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755" yWindow="420" windowWidth="20370" windowHeight="5520" tabRatio="972" activeTab="2"/>
  </bookViews>
  <sheets>
    <sheet name="PROJEKTY WYŁ i NOWE" sheetId="14" r:id="rId1"/>
    <sheet name="Tabela nr 6" sheetId="1" r:id="rId2"/>
    <sheet name="Tab. 6A -Drogi" sheetId="2" r:id="rId3"/>
    <sheet name="Tab. 6B Polit społ i rozwój prz" sheetId="3" r:id="rId4"/>
    <sheet name="Tab. 6C - Ochrona zdrowia" sheetId="4" r:id="rId5"/>
    <sheet name="Tab. 6D - Oświata" sheetId="5" r:id="rId6"/>
    <sheet name="Tab. 6E - Administracja" sheetId="6" r:id="rId7"/>
    <sheet name="Tab. 6F - Kultura" sheetId="7" r:id="rId8"/>
    <sheet name="Tab. 6G - Roln i ochrona środ." sheetId="8" r:id="rId9"/>
    <sheet name="Tab. 6H - Kultura fiz. i turyst" sheetId="9" r:id="rId10"/>
    <sheet name="Tab.6I - Planow. przestrz." sheetId="13" r:id="rId11"/>
    <sheet name="projekty UE" sheetId="10" r:id="rId12"/>
    <sheet name="Dane do WPF" sheetId="12" r:id="rId13"/>
    <sheet name="Arkusz1" sheetId="15" r:id="rId14"/>
  </sheets>
  <externalReferences>
    <externalReference r:id="rId15"/>
    <externalReference r:id="rId16"/>
    <externalReference r:id="rId17"/>
    <externalReference r:id="rId18"/>
  </externalReferences>
  <definedNames>
    <definedName name="_xlnm._FilterDatabase" localSheetId="2" hidden="1">'Tab. 6A -Drogi'!$A$11:$EA$529</definedName>
    <definedName name="_xlnm._FilterDatabase" localSheetId="3" hidden="1">'Tab. 6B Polit społ i rozwój prz'!#REF!</definedName>
    <definedName name="_xlnm._FilterDatabase" localSheetId="8" hidden="1">'Tab. 6G - Roln i ochrona środ.'!$A$4:$O$56</definedName>
    <definedName name="_xlnm.Print_Area" localSheetId="12">'Dane do WPF'!$A$1:$V$616</definedName>
    <definedName name="_xlnm.Print_Area" localSheetId="2">'Tab. 6A -Drogi'!$A$1:$O$656</definedName>
    <definedName name="_xlnm.Print_Area" localSheetId="3">'Tab. 6B Polit społ i rozwój prz'!$A$1:$O$281</definedName>
    <definedName name="_xlnm.Print_Area" localSheetId="4">'Tab. 6C - Ochrona zdrowia'!$A$1:$O$60</definedName>
    <definedName name="_xlnm.Print_Area" localSheetId="5">'Tab. 6D - Oświata'!$A$1:$O$86</definedName>
    <definedName name="_xlnm.Print_Area" localSheetId="6">'Tab. 6E - Administracja'!$A$1:$O$266</definedName>
    <definedName name="_xlnm.Print_Area" localSheetId="7">'Tab. 6F - Kultura'!$A$1:$O$176</definedName>
    <definedName name="_xlnm.Print_Area" localSheetId="8">'Tab. 6G - Roln i ochrona środ.'!$A$1:$O$140</definedName>
    <definedName name="_xlnm.Print_Area" localSheetId="9">'Tab. 6H - Kultura fiz. i turyst'!$A$1:$O$257</definedName>
    <definedName name="_xlnm.Print_Area" localSheetId="10">'Tab.6I - Planow. przestrz.'!$A$1:$O$101</definedName>
    <definedName name="_xlnm.Print_Area" localSheetId="1">'Tabela nr 6'!$A$1:$L$93</definedName>
    <definedName name="_xlnm.Print_Titles" localSheetId="12">'Dane do WPF'!$4:$8</definedName>
    <definedName name="_xlnm.Print_Titles" localSheetId="2">'Tab. 6A -Drogi'!$5:$7</definedName>
    <definedName name="_xlnm.Print_Titles" localSheetId="3">'Tab. 6B Polit społ i rozwój prz'!$4:$6</definedName>
    <definedName name="_xlnm.Print_Titles" localSheetId="4">'Tab. 6C - Ochrona zdrowia'!$6:$9</definedName>
    <definedName name="_xlnm.Print_Titles" localSheetId="5">'Tab. 6D - Oświata'!$6:$9</definedName>
    <definedName name="_xlnm.Print_Titles" localSheetId="6">'Tab. 6E - Administracja'!$6:$8</definedName>
    <definedName name="_xlnm.Print_Titles" localSheetId="7">'Tab. 6F - Kultura'!$4:$6</definedName>
    <definedName name="_xlnm.Print_Titles" localSheetId="8">'Tab. 6G - Roln i ochrona środ.'!$5:$7</definedName>
    <definedName name="_xlnm.Print_Titles" localSheetId="9">'Tab. 6H - Kultura fiz. i turyst'!$4:$6</definedName>
    <definedName name="_xlnm.Print_Titles" localSheetId="10">'Tab.6I - Planow. przestrz.'!$5:$7</definedName>
  </definedNames>
  <calcPr calcId="125725"/>
</workbook>
</file>

<file path=xl/calcChain.xml><?xml version="1.0" encoding="utf-8"?>
<calcChain xmlns="http://schemas.openxmlformats.org/spreadsheetml/2006/main">
  <c r="D109" i="3"/>
  <c r="H594" i="12" l="1"/>
  <c r="H597"/>
  <c r="K576"/>
  <c r="J576"/>
  <c r="I576"/>
  <c r="G539"/>
  <c r="H539"/>
  <c r="I539"/>
  <c r="J539"/>
  <c r="K539"/>
  <c r="L539"/>
  <c r="M539"/>
  <c r="F539"/>
  <c r="G538"/>
  <c r="H538"/>
  <c r="I538"/>
  <c r="J538"/>
  <c r="K538"/>
  <c r="L538"/>
  <c r="M538"/>
  <c r="F538"/>
  <c r="G536"/>
  <c r="H536"/>
  <c r="I536"/>
  <c r="J536"/>
  <c r="K536"/>
  <c r="L536"/>
  <c r="M536"/>
  <c r="F536"/>
  <c r="G537"/>
  <c r="H537"/>
  <c r="I537"/>
  <c r="J537"/>
  <c r="K537"/>
  <c r="L537"/>
  <c r="M537"/>
  <c r="F537"/>
  <c r="B535"/>
  <c r="G108" i="6"/>
  <c r="G110"/>
  <c r="G100"/>
  <c r="G98"/>
  <c r="C25" i="14"/>
  <c r="E9" i="7" l="1"/>
  <c r="F9"/>
  <c r="G9"/>
  <c r="H9"/>
  <c r="I9"/>
  <c r="J9"/>
  <c r="K9"/>
  <c r="L9"/>
  <c r="D9"/>
  <c r="G13"/>
  <c r="G40"/>
  <c r="F40"/>
  <c r="G35"/>
  <c r="H109" i="3"/>
  <c r="I109"/>
  <c r="E104" i="7"/>
  <c r="E105"/>
  <c r="F105"/>
  <c r="E32" i="2"/>
  <c r="F32"/>
  <c r="G32"/>
  <c r="H32"/>
  <c r="I32"/>
  <c r="J32"/>
  <c r="K32"/>
  <c r="L32"/>
  <c r="D32"/>
  <c r="E20"/>
  <c r="F20"/>
  <c r="G20"/>
  <c r="H20"/>
  <c r="I20"/>
  <c r="J20"/>
  <c r="K20"/>
  <c r="L20"/>
  <c r="D20"/>
  <c r="H13" i="7"/>
  <c r="I294" i="2"/>
  <c r="I293"/>
  <c r="I289" s="1"/>
  <c r="I290"/>
  <c r="H291"/>
  <c r="G291"/>
  <c r="H275"/>
  <c r="H270"/>
  <c r="H267"/>
  <c r="E360"/>
  <c r="F360"/>
  <c r="G360"/>
  <c r="H360"/>
  <c r="I360"/>
  <c r="J360"/>
  <c r="K360"/>
  <c r="L360"/>
  <c r="E350"/>
  <c r="E349" s="1"/>
  <c r="F350"/>
  <c r="F349" s="1"/>
  <c r="G350"/>
  <c r="G349" s="1"/>
  <c r="H350"/>
  <c r="H349" s="1"/>
  <c r="I350"/>
  <c r="I349" s="1"/>
  <c r="J350"/>
  <c r="J349" s="1"/>
  <c r="K350"/>
  <c r="K349" s="1"/>
  <c r="L350"/>
  <c r="L349" s="1"/>
  <c r="D360"/>
  <c r="E345"/>
  <c r="F345"/>
  <c r="G345"/>
  <c r="H345"/>
  <c r="I345"/>
  <c r="J345"/>
  <c r="K345"/>
  <c r="L345"/>
  <c r="I344"/>
  <c r="I343" s="1"/>
  <c r="J344"/>
  <c r="J343" s="1"/>
  <c r="K344"/>
  <c r="K343" s="1"/>
  <c r="L344"/>
  <c r="L343" s="1"/>
  <c r="D345"/>
  <c r="G645"/>
  <c r="G648"/>
  <c r="J417"/>
  <c r="J416" s="1"/>
  <c r="I418"/>
  <c r="H418"/>
  <c r="H415"/>
  <c r="G415"/>
  <c r="I414"/>
  <c r="I411" s="1"/>
  <c r="I412"/>
  <c r="H413"/>
  <c r="G413"/>
  <c r="J407"/>
  <c r="J408"/>
  <c r="I409"/>
  <c r="H409"/>
  <c r="H406"/>
  <c r="I405"/>
  <c r="I403"/>
  <c r="H404"/>
  <c r="G406"/>
  <c r="G404"/>
  <c r="E403"/>
  <c r="I391"/>
  <c r="H391"/>
  <c r="E388"/>
  <c r="H388"/>
  <c r="G388"/>
  <c r="H386"/>
  <c r="G386"/>
  <c r="I381"/>
  <c r="I378" s="1"/>
  <c r="H382"/>
  <c r="G382"/>
  <c r="H377"/>
  <c r="G377"/>
  <c r="H374"/>
  <c r="G374"/>
  <c r="I402" l="1"/>
  <c r="E20" i="7"/>
  <c r="F20"/>
  <c r="I20"/>
  <c r="J20"/>
  <c r="K20"/>
  <c r="L20"/>
  <c r="E14"/>
  <c r="F14"/>
  <c r="I14"/>
  <c r="J14"/>
  <c r="K14"/>
  <c r="L14"/>
  <c r="E13"/>
  <c r="J13"/>
  <c r="L13"/>
  <c r="H12"/>
  <c r="I12"/>
  <c r="J12"/>
  <c r="K12"/>
  <c r="L12"/>
  <c r="H101"/>
  <c r="D102"/>
  <c r="D101" s="1"/>
  <c r="K101"/>
  <c r="J101"/>
  <c r="I101"/>
  <c r="G101"/>
  <c r="F101"/>
  <c r="E101"/>
  <c r="D100"/>
  <c r="G98"/>
  <c r="K98"/>
  <c r="J98"/>
  <c r="I98"/>
  <c r="I97" s="1"/>
  <c r="F98"/>
  <c r="E98"/>
  <c r="E97" s="1"/>
  <c r="D96"/>
  <c r="D95" s="1"/>
  <c r="N95"/>
  <c r="M95"/>
  <c r="K95"/>
  <c r="J95"/>
  <c r="I95"/>
  <c r="H95"/>
  <c r="G95"/>
  <c r="F95"/>
  <c r="E95"/>
  <c r="D94"/>
  <c r="N93"/>
  <c r="N91" s="1"/>
  <c r="N90" s="1"/>
  <c r="M93"/>
  <c r="M91" s="1"/>
  <c r="M90" s="1"/>
  <c r="D92"/>
  <c r="L91"/>
  <c r="K91"/>
  <c r="K90" s="1"/>
  <c r="J91"/>
  <c r="J90" s="1"/>
  <c r="I91"/>
  <c r="I90" s="1"/>
  <c r="F91"/>
  <c r="F90" s="1"/>
  <c r="E91"/>
  <c r="C31" i="14"/>
  <c r="F97" i="7" l="1"/>
  <c r="K97"/>
  <c r="J97"/>
  <c r="E90"/>
  <c r="G97"/>
  <c r="H98"/>
  <c r="H97" s="1"/>
  <c r="D99"/>
  <c r="D98" s="1"/>
  <c r="D97" s="1"/>
  <c r="H91"/>
  <c r="H90" s="1"/>
  <c r="D93"/>
  <c r="D91" s="1"/>
  <c r="D90" s="1"/>
  <c r="G91"/>
  <c r="G90" s="1"/>
  <c r="G568" i="12" l="1"/>
  <c r="E23" i="3"/>
  <c r="J23"/>
  <c r="K23"/>
  <c r="E20"/>
  <c r="F20"/>
  <c r="G20"/>
  <c r="H20"/>
  <c r="I20"/>
  <c r="J20"/>
  <c r="K20"/>
  <c r="L20"/>
  <c r="E14"/>
  <c r="F14"/>
  <c r="G14"/>
  <c r="H14"/>
  <c r="I14"/>
  <c r="J14"/>
  <c r="K14"/>
  <c r="L14"/>
  <c r="E13"/>
  <c r="F13"/>
  <c r="E111"/>
  <c r="F111"/>
  <c r="G111"/>
  <c r="H111"/>
  <c r="I111"/>
  <c r="J111"/>
  <c r="K111"/>
  <c r="L111"/>
  <c r="D114"/>
  <c r="D14" s="1"/>
  <c r="D121"/>
  <c r="D120" s="1"/>
  <c r="L120"/>
  <c r="K120"/>
  <c r="J120"/>
  <c r="I120"/>
  <c r="H120"/>
  <c r="G120"/>
  <c r="F120"/>
  <c r="E120"/>
  <c r="D119"/>
  <c r="D118" s="1"/>
  <c r="L118"/>
  <c r="K118"/>
  <c r="J118"/>
  <c r="I118"/>
  <c r="H118"/>
  <c r="G118"/>
  <c r="F118"/>
  <c r="E118"/>
  <c r="J117"/>
  <c r="N116"/>
  <c r="N115" s="1"/>
  <c r="M116"/>
  <c r="M115" s="1"/>
  <c r="F115"/>
  <c r="L115"/>
  <c r="K115"/>
  <c r="J115"/>
  <c r="I115"/>
  <c r="H115"/>
  <c r="G115"/>
  <c r="E115"/>
  <c r="N113"/>
  <c r="M113"/>
  <c r="D113"/>
  <c r="N112"/>
  <c r="M112"/>
  <c r="M111" s="1"/>
  <c r="M110" s="1"/>
  <c r="D112"/>
  <c r="D111" l="1"/>
  <c r="L110"/>
  <c r="H110"/>
  <c r="I110"/>
  <c r="E110"/>
  <c r="J110"/>
  <c r="F110"/>
  <c r="K110"/>
  <c r="G110"/>
  <c r="K117"/>
  <c r="L117"/>
  <c r="H117"/>
  <c r="G117"/>
  <c r="F117"/>
  <c r="N111"/>
  <c r="N110" s="1"/>
  <c r="D116"/>
  <c r="D115" s="1"/>
  <c r="D110" s="1"/>
  <c r="E117"/>
  <c r="I117"/>
  <c r="D117"/>
  <c r="I568" i="12"/>
  <c r="J568"/>
  <c r="K568"/>
  <c r="H568"/>
  <c r="G109" i="3" l="1"/>
  <c r="N162" i="9"/>
  <c r="N91" i="8"/>
  <c r="N62"/>
  <c r="N96" i="13"/>
  <c r="H577" i="12"/>
  <c r="I597"/>
  <c r="J611"/>
  <c r="K611"/>
  <c r="L611"/>
  <c r="M611"/>
  <c r="B611"/>
  <c r="G15" i="5"/>
  <c r="J462" i="12"/>
  <c r="K462"/>
  <c r="L462"/>
  <c r="M462"/>
  <c r="J463"/>
  <c r="K463"/>
  <c r="L463"/>
  <c r="M463"/>
  <c r="G464"/>
  <c r="H464"/>
  <c r="I464"/>
  <c r="J464"/>
  <c r="K464"/>
  <c r="L464"/>
  <c r="M464"/>
  <c r="G465"/>
  <c r="I465"/>
  <c r="J465"/>
  <c r="K465"/>
  <c r="L465"/>
  <c r="M465"/>
  <c r="F465"/>
  <c r="F464"/>
  <c r="B461"/>
  <c r="I508"/>
  <c r="J508"/>
  <c r="K508"/>
  <c r="L508"/>
  <c r="M508"/>
  <c r="I509"/>
  <c r="J509"/>
  <c r="K509"/>
  <c r="L509"/>
  <c r="M509"/>
  <c r="G508"/>
  <c r="H508"/>
  <c r="G509"/>
  <c r="H509"/>
  <c r="F509"/>
  <c r="F508"/>
  <c r="B505"/>
  <c r="H503"/>
  <c r="I503"/>
  <c r="J503"/>
  <c r="K503"/>
  <c r="L503"/>
  <c r="M503"/>
  <c r="H504"/>
  <c r="I504"/>
  <c r="J504"/>
  <c r="K504"/>
  <c r="L504"/>
  <c r="M504"/>
  <c r="F504"/>
  <c r="F503"/>
  <c r="B500"/>
  <c r="K357"/>
  <c r="L357"/>
  <c r="M357"/>
  <c r="K358"/>
  <c r="L358"/>
  <c r="M358"/>
  <c r="H359"/>
  <c r="I359"/>
  <c r="J359"/>
  <c r="K359"/>
  <c r="L359"/>
  <c r="M359"/>
  <c r="H360"/>
  <c r="I360"/>
  <c r="J360"/>
  <c r="K360"/>
  <c r="L360"/>
  <c r="M360"/>
  <c r="F360"/>
  <c r="F359"/>
  <c r="B356"/>
  <c r="G354"/>
  <c r="H354"/>
  <c r="I354"/>
  <c r="J354"/>
  <c r="K354"/>
  <c r="L354"/>
  <c r="M354"/>
  <c r="F354"/>
  <c r="B351"/>
  <c r="G349"/>
  <c r="F349"/>
  <c r="B346"/>
  <c r="E354" l="1"/>
  <c r="G647" i="2"/>
  <c r="G646" s="1"/>
  <c r="J10"/>
  <c r="K10"/>
  <c r="L10"/>
  <c r="J51"/>
  <c r="K51"/>
  <c r="L51"/>
  <c r="J42"/>
  <c r="K42"/>
  <c r="L42"/>
  <c r="I37"/>
  <c r="J37"/>
  <c r="K37"/>
  <c r="L37"/>
  <c r="H19" i="10" l="1"/>
  <c r="I19"/>
  <c r="J19"/>
  <c r="L22" i="5" l="1"/>
  <c r="L21" s="1"/>
  <c r="K22"/>
  <c r="K21" s="1"/>
  <c r="J22"/>
  <c r="J21" s="1"/>
  <c r="I22"/>
  <c r="I21" s="1"/>
  <c r="H22"/>
  <c r="H21" s="1"/>
  <c r="G22"/>
  <c r="G21" s="1"/>
  <c r="F22"/>
  <c r="F21" s="1"/>
  <c r="E22"/>
  <c r="E21" s="1"/>
  <c r="L18"/>
  <c r="K18"/>
  <c r="J18"/>
  <c r="I18"/>
  <c r="H18"/>
  <c r="G18"/>
  <c r="F18"/>
  <c r="E18"/>
  <c r="L16"/>
  <c r="K16"/>
  <c r="J16"/>
  <c r="I16"/>
  <c r="H16"/>
  <c r="G16"/>
  <c r="G14" s="1"/>
  <c r="F16"/>
  <c r="E16"/>
  <c r="N81"/>
  <c r="N80" s="1"/>
  <c r="N79"/>
  <c r="N78" s="1"/>
  <c r="L85"/>
  <c r="L24" s="1"/>
  <c r="K85"/>
  <c r="K24" s="1"/>
  <c r="J85"/>
  <c r="J24" s="1"/>
  <c r="I85"/>
  <c r="I24" s="1"/>
  <c r="H85"/>
  <c r="H24" s="1"/>
  <c r="G85"/>
  <c r="G24" s="1"/>
  <c r="F85"/>
  <c r="F24" s="1"/>
  <c r="E85"/>
  <c r="E24" s="1"/>
  <c r="L83"/>
  <c r="L82" s="1"/>
  <c r="K83"/>
  <c r="K82" s="1"/>
  <c r="J83"/>
  <c r="J82" s="1"/>
  <c r="I83"/>
  <c r="I82" s="1"/>
  <c r="H83"/>
  <c r="H82" s="1"/>
  <c r="G83"/>
  <c r="G82" s="1"/>
  <c r="F83"/>
  <c r="E83"/>
  <c r="L80"/>
  <c r="K80"/>
  <c r="J80"/>
  <c r="I80"/>
  <c r="H80"/>
  <c r="G80"/>
  <c r="F80"/>
  <c r="E80"/>
  <c r="L78"/>
  <c r="K78"/>
  <c r="L507" i="12" s="1"/>
  <c r="J78" i="5"/>
  <c r="I78"/>
  <c r="H78"/>
  <c r="G78"/>
  <c r="F78"/>
  <c r="E78"/>
  <c r="D86"/>
  <c r="D85" s="1"/>
  <c r="D24" s="1"/>
  <c r="D84"/>
  <c r="D83" s="1"/>
  <c r="D81"/>
  <c r="D80" s="1"/>
  <c r="D79"/>
  <c r="M77"/>
  <c r="H13" i="8"/>
  <c r="L102"/>
  <c r="L101" s="1"/>
  <c r="K102"/>
  <c r="K101" s="1"/>
  <c r="J102"/>
  <c r="J101" s="1"/>
  <c r="L99"/>
  <c r="K99"/>
  <c r="J99"/>
  <c r="L97"/>
  <c r="M502" i="12" s="1"/>
  <c r="K97" i="8"/>
  <c r="J97"/>
  <c r="K502" i="12" s="1"/>
  <c r="L96" i="8"/>
  <c r="M501" i="12" s="1"/>
  <c r="E59" i="13"/>
  <c r="E29" i="8"/>
  <c r="E18"/>
  <c r="L13"/>
  <c r="K13"/>
  <c r="J13"/>
  <c r="I13"/>
  <c r="E13"/>
  <c r="F103"/>
  <c r="I102"/>
  <c r="H102"/>
  <c r="H101" s="1"/>
  <c r="G102"/>
  <c r="G101" s="1"/>
  <c r="E102"/>
  <c r="E101" s="1"/>
  <c r="I101"/>
  <c r="N100"/>
  <c r="N99" s="1"/>
  <c r="F100"/>
  <c r="I99"/>
  <c r="H99"/>
  <c r="G99"/>
  <c r="F99"/>
  <c r="E99"/>
  <c r="N98"/>
  <c r="N97" s="1"/>
  <c r="F98"/>
  <c r="D98" s="1"/>
  <c r="I97"/>
  <c r="J502" i="12" s="1"/>
  <c r="H97" i="8"/>
  <c r="G97"/>
  <c r="F97"/>
  <c r="E97"/>
  <c r="F502" i="12" s="1"/>
  <c r="I93" i="8"/>
  <c r="I92" s="1"/>
  <c r="I90"/>
  <c r="I88"/>
  <c r="J358" i="12" s="1"/>
  <c r="F94" i="8"/>
  <c r="H93"/>
  <c r="H92" s="1"/>
  <c r="G93"/>
  <c r="G92" s="1"/>
  <c r="F93"/>
  <c r="F92" s="1"/>
  <c r="E93"/>
  <c r="E92" s="1"/>
  <c r="N90"/>
  <c r="F91"/>
  <c r="H90"/>
  <c r="G90"/>
  <c r="E90"/>
  <c r="N89"/>
  <c r="N88" s="1"/>
  <c r="F89"/>
  <c r="M89" s="1"/>
  <c r="M88" s="1"/>
  <c r="H88"/>
  <c r="I358" i="12" s="1"/>
  <c r="G88" i="8"/>
  <c r="H358" i="12" s="1"/>
  <c r="E88" i="8"/>
  <c r="I96" l="1"/>
  <c r="J501" i="12" s="1"/>
  <c r="E96" i="8"/>
  <c r="F501" i="12" s="1"/>
  <c r="J96" i="8"/>
  <c r="K501" i="12" s="1"/>
  <c r="E87" i="8"/>
  <c r="F357" i="12" s="1"/>
  <c r="F358"/>
  <c r="F96" i="8"/>
  <c r="G501" i="12" s="1"/>
  <c r="G502"/>
  <c r="H96" i="8"/>
  <c r="I501" i="12" s="1"/>
  <c r="I502"/>
  <c r="D103" i="8"/>
  <c r="G504" i="12"/>
  <c r="K96" i="8"/>
  <c r="L501" i="12" s="1"/>
  <c r="L502"/>
  <c r="D78" i="5"/>
  <c r="D77" s="1"/>
  <c r="D16"/>
  <c r="E77"/>
  <c r="F506" i="12" s="1"/>
  <c r="F507"/>
  <c r="G77" i="5"/>
  <c r="H506" i="12" s="1"/>
  <c r="H507"/>
  <c r="I77" i="5"/>
  <c r="J506" i="12" s="1"/>
  <c r="J507"/>
  <c r="F88" i="8"/>
  <c r="G358" i="12" s="1"/>
  <c r="D91" i="8"/>
  <c r="G359" i="12"/>
  <c r="E359" s="1"/>
  <c r="D94" i="8"/>
  <c r="G360" i="12"/>
  <c r="E360" s="1"/>
  <c r="G96" i="8"/>
  <c r="H501" i="12" s="1"/>
  <c r="H502"/>
  <c r="D100" i="8"/>
  <c r="D99" s="1"/>
  <c r="G503" i="12"/>
  <c r="F77" i="5"/>
  <c r="G507" i="12"/>
  <c r="H77" i="5"/>
  <c r="I506" i="12" s="1"/>
  <c r="I507"/>
  <c r="J77" i="5"/>
  <c r="K506" i="12" s="1"/>
  <c r="K507"/>
  <c r="L77" i="5"/>
  <c r="M506" i="12" s="1"/>
  <c r="M507"/>
  <c r="N87" i="8"/>
  <c r="G506" i="12"/>
  <c r="F90" i="8"/>
  <c r="H87"/>
  <c r="I357" i="12" s="1"/>
  <c r="M91" i="8"/>
  <c r="M90" s="1"/>
  <c r="D89"/>
  <c r="D88" s="1"/>
  <c r="I87"/>
  <c r="J357" i="12" s="1"/>
  <c r="M98" i="8"/>
  <c r="M97" s="1"/>
  <c r="M100"/>
  <c r="M99" s="1"/>
  <c r="D97"/>
  <c r="D22" i="5"/>
  <c r="D21" s="1"/>
  <c r="K77"/>
  <c r="L506" i="12" s="1"/>
  <c r="N16" i="5"/>
  <c r="N18"/>
  <c r="N77"/>
  <c r="D18"/>
  <c r="F82"/>
  <c r="D82"/>
  <c r="E82"/>
  <c r="D102" i="8"/>
  <c r="D101" s="1"/>
  <c r="N96"/>
  <c r="D96"/>
  <c r="F102"/>
  <c r="F101" s="1"/>
  <c r="G87"/>
  <c r="H357" i="12" s="1"/>
  <c r="D90" i="8"/>
  <c r="D93"/>
  <c r="D92" s="1"/>
  <c r="M87"/>
  <c r="E56" i="13"/>
  <c r="E55" s="1"/>
  <c r="F549" i="2"/>
  <c r="E549"/>
  <c r="G52" i="9"/>
  <c r="G46"/>
  <c r="G41"/>
  <c r="G40"/>
  <c r="G34"/>
  <c r="G29"/>
  <c r="G28"/>
  <c r="G299" i="2"/>
  <c r="G294"/>
  <c r="G159"/>
  <c r="G275"/>
  <c r="G287"/>
  <c r="H284"/>
  <c r="H286"/>
  <c r="F286"/>
  <c r="E286"/>
  <c r="D285"/>
  <c r="G284"/>
  <c r="F284"/>
  <c r="E284"/>
  <c r="D284"/>
  <c r="N282"/>
  <c r="N281" s="1"/>
  <c r="M282"/>
  <c r="M281" s="1"/>
  <c r="D282"/>
  <c r="D281" s="1"/>
  <c r="H281"/>
  <c r="G281"/>
  <c r="F281"/>
  <c r="E281"/>
  <c r="N280"/>
  <c r="M280"/>
  <c r="D280"/>
  <c r="N279"/>
  <c r="N278" s="1"/>
  <c r="M279"/>
  <c r="M278" s="1"/>
  <c r="D279"/>
  <c r="H278"/>
  <c r="G278"/>
  <c r="H463" i="12" s="1"/>
  <c r="F278" i="2"/>
  <c r="G463" i="12" s="1"/>
  <c r="E278" i="2"/>
  <c r="F463" i="12" s="1"/>
  <c r="D87" i="8" l="1"/>
  <c r="F87"/>
  <c r="G357" i="12" s="1"/>
  <c r="E357" s="1"/>
  <c r="D356" s="1"/>
  <c r="M96" i="8"/>
  <c r="D287" i="2"/>
  <c r="D286" s="1"/>
  <c r="D283" s="1"/>
  <c r="H465" i="12"/>
  <c r="C359"/>
  <c r="H277" i="2"/>
  <c r="I463" i="12"/>
  <c r="E358"/>
  <c r="H283" i="2"/>
  <c r="G286"/>
  <c r="G283" s="1"/>
  <c r="D278"/>
  <c r="D277" s="1"/>
  <c r="E277"/>
  <c r="F462" i="12" s="1"/>
  <c r="G277" i="2"/>
  <c r="F283"/>
  <c r="E283"/>
  <c r="M277"/>
  <c r="N277"/>
  <c r="F277"/>
  <c r="G462" i="12" s="1"/>
  <c r="F46" i="2"/>
  <c r="G46"/>
  <c r="H46"/>
  <c r="I46"/>
  <c r="J46"/>
  <c r="K46"/>
  <c r="L46"/>
  <c r="E46"/>
  <c r="E50"/>
  <c r="F50"/>
  <c r="G50"/>
  <c r="H50"/>
  <c r="I50"/>
  <c r="J50"/>
  <c r="K50"/>
  <c r="L50"/>
  <c r="E39"/>
  <c r="F39"/>
  <c r="G39"/>
  <c r="H39"/>
  <c r="I39"/>
  <c r="J39"/>
  <c r="K39"/>
  <c r="L39"/>
  <c r="G329"/>
  <c r="G587"/>
  <c r="F55" i="8"/>
  <c r="G55"/>
  <c r="H55"/>
  <c r="H29" s="1"/>
  <c r="I55"/>
  <c r="I29" s="1"/>
  <c r="J55"/>
  <c r="J29" s="1"/>
  <c r="K55"/>
  <c r="K29" s="1"/>
  <c r="L55"/>
  <c r="L29" s="1"/>
  <c r="J145"/>
  <c r="K145"/>
  <c r="L145"/>
  <c r="M145"/>
  <c r="E23"/>
  <c r="E14"/>
  <c r="L59"/>
  <c r="M353" i="12" s="1"/>
  <c r="E59" i="8"/>
  <c r="F353" i="12" s="1"/>
  <c r="F59" i="8"/>
  <c r="G353" i="12" s="1"/>
  <c r="G59" i="8"/>
  <c r="H353" i="12" s="1"/>
  <c r="H59" i="8"/>
  <c r="I353" i="12" s="1"/>
  <c r="I59" i="8"/>
  <c r="J353" i="12" s="1"/>
  <c r="J59" i="8"/>
  <c r="K353" i="12" s="1"/>
  <c r="K59" i="8"/>
  <c r="L353" i="12" s="1"/>
  <c r="N60" i="8"/>
  <c r="M283" i="3"/>
  <c r="J280"/>
  <c r="K350" i="12" s="1"/>
  <c r="I280" i="3"/>
  <c r="J350" i="12" s="1"/>
  <c r="L280" i="3"/>
  <c r="M350" i="12" s="1"/>
  <c r="K280" i="3"/>
  <c r="L350" i="12" s="1"/>
  <c r="F280" i="3"/>
  <c r="G350" i="12" s="1"/>
  <c r="E280" i="3"/>
  <c r="F350" i="12" s="1"/>
  <c r="D279" i="3"/>
  <c r="D278" s="1"/>
  <c r="L278"/>
  <c r="K278"/>
  <c r="J278"/>
  <c r="I278"/>
  <c r="H278"/>
  <c r="G278"/>
  <c r="F278"/>
  <c r="E278"/>
  <c r="N276"/>
  <c r="D276"/>
  <c r="N275"/>
  <c r="D275"/>
  <c r="L274"/>
  <c r="K274"/>
  <c r="J274"/>
  <c r="I274"/>
  <c r="H274"/>
  <c r="G274"/>
  <c r="H349" i="12" s="1"/>
  <c r="F273" i="3"/>
  <c r="E273"/>
  <c r="N272"/>
  <c r="D272"/>
  <c r="N271"/>
  <c r="D271"/>
  <c r="L270"/>
  <c r="K270"/>
  <c r="J270"/>
  <c r="I270"/>
  <c r="H270"/>
  <c r="G270"/>
  <c r="N269"/>
  <c r="D269"/>
  <c r="N268"/>
  <c r="D268"/>
  <c r="L267"/>
  <c r="K267"/>
  <c r="J267"/>
  <c r="I267"/>
  <c r="H267"/>
  <c r="G267"/>
  <c r="F266"/>
  <c r="E266"/>
  <c r="F348" i="12" s="1"/>
  <c r="G595" i="2"/>
  <c r="G591"/>
  <c r="L66" i="8"/>
  <c r="M355" i="12" s="1"/>
  <c r="K66" i="8"/>
  <c r="L355" i="12" s="1"/>
  <c r="J66" i="8"/>
  <c r="K355" i="12" s="1"/>
  <c r="I66" i="8"/>
  <c r="J355" i="12" s="1"/>
  <c r="H66" i="8"/>
  <c r="I355" i="12" s="1"/>
  <c r="G66" i="8"/>
  <c r="H355" i="12" s="1"/>
  <c r="F66" i="8"/>
  <c r="G355" i="12" s="1"/>
  <c r="E66" i="8"/>
  <c r="F355" i="12" s="1"/>
  <c r="L64" i="8"/>
  <c r="K64"/>
  <c r="J64"/>
  <c r="I64"/>
  <c r="H64"/>
  <c r="G64"/>
  <c r="F64"/>
  <c r="E64"/>
  <c r="L61"/>
  <c r="K61"/>
  <c r="J61"/>
  <c r="I61"/>
  <c r="H61"/>
  <c r="F61"/>
  <c r="E61"/>
  <c r="E355" i="12" l="1"/>
  <c r="C354" s="1"/>
  <c r="I273" i="3"/>
  <c r="J349" i="12"/>
  <c r="K273" i="3"/>
  <c r="L349" i="12"/>
  <c r="E353"/>
  <c r="F265" i="3"/>
  <c r="G347" i="12" s="1"/>
  <c r="G348"/>
  <c r="H273" i="3"/>
  <c r="I349" i="12"/>
  <c r="J273" i="3"/>
  <c r="K349" i="12"/>
  <c r="L273" i="3"/>
  <c r="M349" i="12"/>
  <c r="H611"/>
  <c r="H462"/>
  <c r="I611"/>
  <c r="I462"/>
  <c r="G273" i="3"/>
  <c r="K266"/>
  <c r="D55" i="8"/>
  <c r="L277" i="3"/>
  <c r="K277"/>
  <c r="F277"/>
  <c r="E277"/>
  <c r="E265"/>
  <c r="F347" i="12" s="1"/>
  <c r="H266" i="3"/>
  <c r="L266"/>
  <c r="J277"/>
  <c r="H280"/>
  <c r="I277"/>
  <c r="D274"/>
  <c r="G266"/>
  <c r="H348" i="12" s="1"/>
  <c r="J266" i="3"/>
  <c r="N270"/>
  <c r="I266"/>
  <c r="D270"/>
  <c r="P271" s="1"/>
  <c r="D267"/>
  <c r="N267"/>
  <c r="N274"/>
  <c r="N273" s="1"/>
  <c r="M267"/>
  <c r="M266" s="1"/>
  <c r="M274"/>
  <c r="M273" s="1"/>
  <c r="D62" i="8"/>
  <c r="D61" s="1"/>
  <c r="F63"/>
  <c r="D16" i="10" s="1"/>
  <c r="H58" i="8"/>
  <c r="J63"/>
  <c r="H16" i="10" s="1"/>
  <c r="M60" i="8"/>
  <c r="J58"/>
  <c r="D65"/>
  <c r="G63"/>
  <c r="E16" i="10" s="1"/>
  <c r="K63" i="8"/>
  <c r="I16" i="10" s="1"/>
  <c r="K58" i="8"/>
  <c r="L58"/>
  <c r="D67"/>
  <c r="D66" s="1"/>
  <c r="M59"/>
  <c r="N61"/>
  <c r="E63"/>
  <c r="C16" i="10" s="1"/>
  <c r="I63" i="8"/>
  <c r="G16" i="10" s="1"/>
  <c r="E58" i="8"/>
  <c r="G61"/>
  <c r="H63"/>
  <c r="F16" i="10" s="1"/>
  <c r="L63" i="8"/>
  <c r="J16" i="10" s="1"/>
  <c r="I58" i="8"/>
  <c r="N59"/>
  <c r="M62"/>
  <c r="M61" s="1"/>
  <c r="D60"/>
  <c r="D59" s="1"/>
  <c r="F58"/>
  <c r="H41" i="13"/>
  <c r="H36"/>
  <c r="F36"/>
  <c r="H38"/>
  <c r="F38"/>
  <c r="J41"/>
  <c r="I41"/>
  <c r="F41"/>
  <c r="H27"/>
  <c r="F27"/>
  <c r="H29"/>
  <c r="F29"/>
  <c r="I32"/>
  <c r="H32"/>
  <c r="F32"/>
  <c r="F40" i="5"/>
  <c r="H42"/>
  <c r="F42"/>
  <c r="G47"/>
  <c r="F47"/>
  <c r="F74" i="13"/>
  <c r="F76"/>
  <c r="G79"/>
  <c r="G81"/>
  <c r="J68"/>
  <c r="I68"/>
  <c r="H68"/>
  <c r="G68"/>
  <c r="F68"/>
  <c r="J70"/>
  <c r="I70"/>
  <c r="H70"/>
  <c r="G70"/>
  <c r="F70"/>
  <c r="G65"/>
  <c r="F65"/>
  <c r="E65"/>
  <c r="E62" s="1"/>
  <c r="I64"/>
  <c r="H64"/>
  <c r="G64"/>
  <c r="F64"/>
  <c r="G60"/>
  <c r="F60"/>
  <c r="G59"/>
  <c r="F59"/>
  <c r="I58"/>
  <c r="H58"/>
  <c r="G58"/>
  <c r="F58"/>
  <c r="N56" i="7"/>
  <c r="K342" i="12"/>
  <c r="L342"/>
  <c r="M342"/>
  <c r="K343"/>
  <c r="L343"/>
  <c r="M343"/>
  <c r="K344"/>
  <c r="L344"/>
  <c r="M344"/>
  <c r="G345"/>
  <c r="K345"/>
  <c r="L345"/>
  <c r="M345"/>
  <c r="B341"/>
  <c r="J162"/>
  <c r="K162"/>
  <c r="L162"/>
  <c r="M162"/>
  <c r="G163"/>
  <c r="J163"/>
  <c r="K163"/>
  <c r="L163"/>
  <c r="M163"/>
  <c r="G164"/>
  <c r="J164"/>
  <c r="K164"/>
  <c r="L164"/>
  <c r="M164"/>
  <c r="G165"/>
  <c r="J165"/>
  <c r="K165"/>
  <c r="L165"/>
  <c r="M165"/>
  <c r="B161"/>
  <c r="I157"/>
  <c r="J157"/>
  <c r="K157"/>
  <c r="L157"/>
  <c r="M157"/>
  <c r="I158"/>
  <c r="J158"/>
  <c r="K158"/>
  <c r="L158"/>
  <c r="M158"/>
  <c r="I159"/>
  <c r="J159"/>
  <c r="K159"/>
  <c r="L159"/>
  <c r="M159"/>
  <c r="J160"/>
  <c r="K160"/>
  <c r="L160"/>
  <c r="M160"/>
  <c r="F160"/>
  <c r="B156"/>
  <c r="M339"/>
  <c r="J339"/>
  <c r="K339"/>
  <c r="L339"/>
  <c r="J338"/>
  <c r="K338"/>
  <c r="L338"/>
  <c r="M338"/>
  <c r="B336"/>
  <c r="E349" l="1"/>
  <c r="G352"/>
  <c r="D15" i="10"/>
  <c r="J352" i="12"/>
  <c r="G15" i="10"/>
  <c r="F352" i="12"/>
  <c r="C15" i="10"/>
  <c r="K16"/>
  <c r="P16" s="1"/>
  <c r="M352" i="12"/>
  <c r="J15" i="10"/>
  <c r="I352" i="12"/>
  <c r="F15" i="10"/>
  <c r="H265" i="3"/>
  <c r="I347" i="12" s="1"/>
  <c r="I348"/>
  <c r="L352"/>
  <c r="I15" i="10"/>
  <c r="K352" i="12"/>
  <c r="H15" i="10"/>
  <c r="I265" i="3"/>
  <c r="J347" i="12" s="1"/>
  <c r="J348"/>
  <c r="J265" i="3"/>
  <c r="K347" i="12" s="1"/>
  <c r="K348"/>
  <c r="H277" i="3"/>
  <c r="I350" i="12"/>
  <c r="L265" i="3"/>
  <c r="M347" i="12" s="1"/>
  <c r="M348"/>
  <c r="K265" i="3"/>
  <c r="L347" i="12" s="1"/>
  <c r="L348"/>
  <c r="G265" i="3"/>
  <c r="H347" i="12" s="1"/>
  <c r="D266" i="3"/>
  <c r="D64" i="8"/>
  <c r="D63" s="1"/>
  <c r="D273" i="3"/>
  <c r="D281"/>
  <c r="D280" s="1"/>
  <c r="D277" s="1"/>
  <c r="G280"/>
  <c r="N266"/>
  <c r="N265" s="1"/>
  <c r="M265"/>
  <c r="N58" i="8"/>
  <c r="G58"/>
  <c r="M58"/>
  <c r="D58"/>
  <c r="E347" i="12" l="1"/>
  <c r="D346" s="1"/>
  <c r="E348"/>
  <c r="H352"/>
  <c r="E352" s="1"/>
  <c r="D351" s="1"/>
  <c r="E15" i="10"/>
  <c r="G277" i="3"/>
  <c r="H350" i="12"/>
  <c r="E350" s="1"/>
  <c r="C349" s="1"/>
  <c r="D265" i="3"/>
  <c r="K15" i="10"/>
  <c r="P15" s="1"/>
  <c r="P273" i="3"/>
  <c r="F63" i="6" l="1"/>
  <c r="F62"/>
  <c r="H562" i="12" l="1"/>
  <c r="H560" s="1"/>
  <c r="N107" i="7" l="1"/>
  <c r="K610" i="12"/>
  <c r="L610"/>
  <c r="M610"/>
  <c r="M600" s="1"/>
  <c r="K447"/>
  <c r="L447"/>
  <c r="M447"/>
  <c r="K448"/>
  <c r="L448"/>
  <c r="M448"/>
  <c r="K449"/>
  <c r="L449"/>
  <c r="M449"/>
  <c r="K450"/>
  <c r="L450"/>
  <c r="M450"/>
  <c r="B446"/>
  <c r="J460"/>
  <c r="K460"/>
  <c r="L460"/>
  <c r="M460"/>
  <c r="I459"/>
  <c r="J459"/>
  <c r="K459"/>
  <c r="L459"/>
  <c r="M459"/>
  <c r="F459"/>
  <c r="I457"/>
  <c r="J457"/>
  <c r="K457"/>
  <c r="L457"/>
  <c r="M457"/>
  <c r="I458"/>
  <c r="J458"/>
  <c r="K458"/>
  <c r="L458"/>
  <c r="M458"/>
  <c r="B151"/>
  <c r="B331"/>
  <c r="B326"/>
  <c r="B321"/>
  <c r="B316"/>
  <c r="G149"/>
  <c r="H149"/>
  <c r="I149"/>
  <c r="J149"/>
  <c r="K149"/>
  <c r="L149"/>
  <c r="M149"/>
  <c r="F149"/>
  <c r="B146"/>
  <c r="G314"/>
  <c r="F314"/>
  <c r="B311"/>
  <c r="B306"/>
  <c r="F304"/>
  <c r="B301"/>
  <c r="I67" l="1"/>
  <c r="J67"/>
  <c r="I68"/>
  <c r="J68"/>
  <c r="G69"/>
  <c r="H69"/>
  <c r="I69"/>
  <c r="J69"/>
  <c r="I70"/>
  <c r="J70"/>
  <c r="F69"/>
  <c r="B66"/>
  <c r="M86" i="1" l="1"/>
  <c r="D235" i="3"/>
  <c r="M660" i="2"/>
  <c r="J659"/>
  <c r="K659"/>
  <c r="L659"/>
  <c r="M659"/>
  <c r="D263" i="3" l="1"/>
  <c r="D262" s="1"/>
  <c r="L262"/>
  <c r="M155" i="12" s="1"/>
  <c r="K262" i="3"/>
  <c r="L155" i="12" s="1"/>
  <c r="J262" i="3"/>
  <c r="K155" i="12" s="1"/>
  <c r="I262" i="3"/>
  <c r="J155" i="12" s="1"/>
  <c r="H262" i="3"/>
  <c r="I155" i="12" s="1"/>
  <c r="G262" i="3"/>
  <c r="H155" i="12" s="1"/>
  <c r="F262" i="3"/>
  <c r="G155" i="12" s="1"/>
  <c r="E262" i="3"/>
  <c r="F155" i="12" s="1"/>
  <c r="D261" i="3"/>
  <c r="D260" s="1"/>
  <c r="L260"/>
  <c r="K260"/>
  <c r="J260"/>
  <c r="I260"/>
  <c r="H260"/>
  <c r="G260"/>
  <c r="F260"/>
  <c r="E260"/>
  <c r="L257"/>
  <c r="M154" i="12" s="1"/>
  <c r="K257" i="3"/>
  <c r="L154" i="12" s="1"/>
  <c r="J257" i="3"/>
  <c r="K154" i="12" s="1"/>
  <c r="I257" i="3"/>
  <c r="J154" i="12" s="1"/>
  <c r="H257" i="3"/>
  <c r="I154" i="12" s="1"/>
  <c r="F257" i="3"/>
  <c r="G154" i="12" s="1"/>
  <c r="E257" i="3"/>
  <c r="F154" i="12" s="1"/>
  <c r="L255" i="3"/>
  <c r="M153" i="12" s="1"/>
  <c r="K255" i="3"/>
  <c r="L153" i="12" s="1"/>
  <c r="J255" i="3"/>
  <c r="K153" i="12" s="1"/>
  <c r="I255" i="3"/>
  <c r="J153" i="12" s="1"/>
  <c r="H255" i="3"/>
  <c r="I153" i="12" s="1"/>
  <c r="M255" i="3"/>
  <c r="F255"/>
  <c r="G153" i="12" s="1"/>
  <c r="E255" i="3"/>
  <c r="F153" i="12" s="1"/>
  <c r="D252" i="3"/>
  <c r="D251" s="1"/>
  <c r="L251"/>
  <c r="M335" i="12" s="1"/>
  <c r="K251" i="3"/>
  <c r="L335" i="12" s="1"/>
  <c r="J251" i="3"/>
  <c r="K335" i="12" s="1"/>
  <c r="I251" i="3"/>
  <c r="J335" i="12" s="1"/>
  <c r="H251" i="3"/>
  <c r="I335" i="12" s="1"/>
  <c r="G251" i="3"/>
  <c r="H335" i="12" s="1"/>
  <c r="F251" i="3"/>
  <c r="G335" i="12" s="1"/>
  <c r="E251" i="3"/>
  <c r="F335" i="12" s="1"/>
  <c r="D250" i="3"/>
  <c r="D249" s="1"/>
  <c r="L249"/>
  <c r="K249"/>
  <c r="J249"/>
  <c r="I249"/>
  <c r="H249"/>
  <c r="G249"/>
  <c r="F249"/>
  <c r="E249"/>
  <c r="N247"/>
  <c r="D247"/>
  <c r="N246"/>
  <c r="D246"/>
  <c r="L245"/>
  <c r="L244" s="1"/>
  <c r="M334" i="12" s="1"/>
  <c r="K245" i="3"/>
  <c r="K244" s="1"/>
  <c r="L334" i="12" s="1"/>
  <c r="J245" i="3"/>
  <c r="J244" s="1"/>
  <c r="K334" i="12" s="1"/>
  <c r="I245" i="3"/>
  <c r="I244" s="1"/>
  <c r="J334" i="12" s="1"/>
  <c r="H245" i="3"/>
  <c r="H244" s="1"/>
  <c r="I334" i="12" s="1"/>
  <c r="G245" i="3"/>
  <c r="G244" s="1"/>
  <c r="H334" i="12" s="1"/>
  <c r="F244" i="3"/>
  <c r="G334" i="12" s="1"/>
  <c r="E244" i="3"/>
  <c r="F334" i="12" s="1"/>
  <c r="N243" i="3"/>
  <c r="D243"/>
  <c r="N242"/>
  <c r="D242"/>
  <c r="L241"/>
  <c r="L240" s="1"/>
  <c r="M333" i="12" s="1"/>
  <c r="K241" i="3"/>
  <c r="K240" s="1"/>
  <c r="L333" i="12" s="1"/>
  <c r="J241" i="3"/>
  <c r="J240" s="1"/>
  <c r="K333" i="12" s="1"/>
  <c r="I241" i="3"/>
  <c r="I240" s="1"/>
  <c r="J333" i="12" s="1"/>
  <c r="H241" i="3"/>
  <c r="H240" s="1"/>
  <c r="I333" i="12" s="1"/>
  <c r="G241" i="3"/>
  <c r="M240"/>
  <c r="F240"/>
  <c r="G333" i="12" s="1"/>
  <c r="E240" i="3"/>
  <c r="F333" i="12" s="1"/>
  <c r="D237" i="3"/>
  <c r="D236" s="1"/>
  <c r="L236"/>
  <c r="M330" i="12" s="1"/>
  <c r="K236" i="3"/>
  <c r="L330" i="12" s="1"/>
  <c r="J236" i="3"/>
  <c r="K330" i="12" s="1"/>
  <c r="I236" i="3"/>
  <c r="J330" i="12" s="1"/>
  <c r="H236" i="3"/>
  <c r="I330" i="12" s="1"/>
  <c r="G236" i="3"/>
  <c r="H330" i="12" s="1"/>
  <c r="F236" i="3"/>
  <c r="G330" i="12" s="1"/>
  <c r="E236" i="3"/>
  <c r="F330" i="12" s="1"/>
  <c r="L234" i="3"/>
  <c r="K234"/>
  <c r="J234"/>
  <c r="I234"/>
  <c r="H234"/>
  <c r="G234"/>
  <c r="F234"/>
  <c r="E234"/>
  <c r="N232"/>
  <c r="D232"/>
  <c r="N231"/>
  <c r="D231"/>
  <c r="L230"/>
  <c r="L229" s="1"/>
  <c r="M329" i="12" s="1"/>
  <c r="K230" i="3"/>
  <c r="K229" s="1"/>
  <c r="L329" i="12" s="1"/>
  <c r="J230" i="3"/>
  <c r="J229" s="1"/>
  <c r="K329" i="12" s="1"/>
  <c r="I230" i="3"/>
  <c r="I229" s="1"/>
  <c r="J329" i="12" s="1"/>
  <c r="H230" i="3"/>
  <c r="H229" s="1"/>
  <c r="I329" i="12" s="1"/>
  <c r="G230" i="3"/>
  <c r="F229"/>
  <c r="G329" i="12" s="1"/>
  <c r="E229" i="3"/>
  <c r="F329" i="12" s="1"/>
  <c r="N228" i="3"/>
  <c r="D228"/>
  <c r="N227"/>
  <c r="D227"/>
  <c r="L226"/>
  <c r="K226"/>
  <c r="J226"/>
  <c r="I226"/>
  <c r="H226"/>
  <c r="G226"/>
  <c r="N225"/>
  <c r="D225"/>
  <c r="N224"/>
  <c r="D224"/>
  <c r="L223"/>
  <c r="K223"/>
  <c r="J223"/>
  <c r="I223"/>
  <c r="H223"/>
  <c r="G223"/>
  <c r="F222"/>
  <c r="G328" i="12" s="1"/>
  <c r="E222" i="3"/>
  <c r="F328" i="12" s="1"/>
  <c r="E22" i="3"/>
  <c r="K22"/>
  <c r="L22"/>
  <c r="E21" i="9"/>
  <c r="F21"/>
  <c r="G21"/>
  <c r="H21"/>
  <c r="I21"/>
  <c r="J21"/>
  <c r="K21"/>
  <c r="L21"/>
  <c r="E14"/>
  <c r="F14"/>
  <c r="G14"/>
  <c r="H14"/>
  <c r="I14"/>
  <c r="J14"/>
  <c r="K14"/>
  <c r="L14"/>
  <c r="E155" i="12" l="1"/>
  <c r="E334"/>
  <c r="D230" i="3"/>
  <c r="E330" i="12"/>
  <c r="E335"/>
  <c r="D234" i="3"/>
  <c r="D233" s="1"/>
  <c r="H259"/>
  <c r="L259"/>
  <c r="J259"/>
  <c r="E239"/>
  <c r="F332" i="12" s="1"/>
  <c r="F233" i="3"/>
  <c r="J233"/>
  <c r="F221"/>
  <c r="G327" i="12" s="1"/>
  <c r="F248" i="3"/>
  <c r="J248"/>
  <c r="E221"/>
  <c r="F327" i="12" s="1"/>
  <c r="H233" i="3"/>
  <c r="G248"/>
  <c r="K248"/>
  <c r="F254"/>
  <c r="G152" i="12" s="1"/>
  <c r="D248" i="3"/>
  <c r="H248"/>
  <c r="L248"/>
  <c r="E259"/>
  <c r="I259"/>
  <c r="K222"/>
  <c r="L233"/>
  <c r="G259"/>
  <c r="K259"/>
  <c r="K254"/>
  <c r="L152" i="12" s="1"/>
  <c r="F259" i="3"/>
  <c r="L222"/>
  <c r="G233"/>
  <c r="K233"/>
  <c r="I239"/>
  <c r="J332" i="12" s="1"/>
  <c r="E248" i="3"/>
  <c r="E254"/>
  <c r="F152" i="12" s="1"/>
  <c r="H254" i="3"/>
  <c r="I152" i="12" s="1"/>
  <c r="L254" i="3"/>
  <c r="M152" i="12" s="1"/>
  <c r="F239" i="3"/>
  <c r="G332" i="12" s="1"/>
  <c r="N256" i="3"/>
  <c r="N255" s="1"/>
  <c r="E233"/>
  <c r="I233"/>
  <c r="D241"/>
  <c r="G255"/>
  <c r="H153" i="12" s="1"/>
  <c r="E153" s="1"/>
  <c r="D256" i="3"/>
  <c r="D255" s="1"/>
  <c r="J254"/>
  <c r="K152" i="12" s="1"/>
  <c r="M258" i="3"/>
  <c r="M257" s="1"/>
  <c r="M254" s="1"/>
  <c r="I254"/>
  <c r="J152" i="12" s="1"/>
  <c r="D259" i="3"/>
  <c r="G257"/>
  <c r="H154" i="12" s="1"/>
  <c r="E154" s="1"/>
  <c r="D258" i="3"/>
  <c r="D257" s="1"/>
  <c r="N258"/>
  <c r="N257" s="1"/>
  <c r="I248"/>
  <c r="K239"/>
  <c r="L332" i="12" s="1"/>
  <c r="J239" i="3"/>
  <c r="K332" i="12" s="1"/>
  <c r="D245" i="3"/>
  <c r="D244" s="1"/>
  <c r="P244" s="1"/>
  <c r="H239"/>
  <c r="I332" i="12" s="1"/>
  <c r="L239" i="3"/>
  <c r="M332" i="12" s="1"/>
  <c r="N241" i="3"/>
  <c r="N240" s="1"/>
  <c r="N245"/>
  <c r="N244" s="1"/>
  <c r="M245"/>
  <c r="M244" s="1"/>
  <c r="M239" s="1"/>
  <c r="G240"/>
  <c r="J222"/>
  <c r="I222"/>
  <c r="H222"/>
  <c r="M230"/>
  <c r="M229" s="1"/>
  <c r="M223"/>
  <c r="M222" s="1"/>
  <c r="N226"/>
  <c r="D226"/>
  <c r="P226" s="1"/>
  <c r="G222"/>
  <c r="H328" i="12" s="1"/>
  <c r="D223" i="3"/>
  <c r="N223"/>
  <c r="G229"/>
  <c r="H329" i="12" s="1"/>
  <c r="E329" s="1"/>
  <c r="D229" i="3"/>
  <c r="P229" s="1"/>
  <c r="N230"/>
  <c r="N229" s="1"/>
  <c r="D112" i="7"/>
  <c r="D111" s="1"/>
  <c r="D114"/>
  <c r="D113" s="1"/>
  <c r="E111"/>
  <c r="E113"/>
  <c r="E108"/>
  <c r="D108"/>
  <c r="D109"/>
  <c r="D106"/>
  <c r="D107"/>
  <c r="F92" i="6"/>
  <c r="F90"/>
  <c r="F87"/>
  <c r="F85"/>
  <c r="D105" i="7" l="1"/>
  <c r="D104" s="1"/>
  <c r="E110"/>
  <c r="C334" i="12"/>
  <c r="C329"/>
  <c r="C154"/>
  <c r="I221" i="3"/>
  <c r="J327" i="12" s="1"/>
  <c r="J328"/>
  <c r="G239" i="3"/>
  <c r="H332" i="12" s="1"/>
  <c r="E332" s="1"/>
  <c r="D331" s="1"/>
  <c r="H333"/>
  <c r="E333" s="1"/>
  <c r="H221" i="3"/>
  <c r="I327" i="12" s="1"/>
  <c r="I328"/>
  <c r="J221" i="3"/>
  <c r="K327" i="12" s="1"/>
  <c r="K328"/>
  <c r="L221" i="3"/>
  <c r="M327" i="12" s="1"/>
  <c r="M328"/>
  <c r="K221" i="3"/>
  <c r="L327" i="12" s="1"/>
  <c r="L328"/>
  <c r="D110" i="7"/>
  <c r="D240" i="3"/>
  <c r="D239" s="1"/>
  <c r="P241"/>
  <c r="G254"/>
  <c r="H152" i="12" s="1"/>
  <c r="E152" s="1"/>
  <c r="D151" s="1"/>
  <c r="D254" i="3"/>
  <c r="N254"/>
  <c r="N239"/>
  <c r="G221"/>
  <c r="H327" i="12" s="1"/>
  <c r="M221" i="3"/>
  <c r="D222"/>
  <c r="D221" s="1"/>
  <c r="N222"/>
  <c r="N221" s="1"/>
  <c r="G400" i="2"/>
  <c r="G397"/>
  <c r="G395"/>
  <c r="H385"/>
  <c r="H387"/>
  <c r="I390"/>
  <c r="I389" s="1"/>
  <c r="G391"/>
  <c r="H376"/>
  <c r="I164" i="12" s="1"/>
  <c r="H373" i="2"/>
  <c r="H369"/>
  <c r="G370"/>
  <c r="G367"/>
  <c r="F367"/>
  <c r="G365"/>
  <c r="F365"/>
  <c r="J61" i="7"/>
  <c r="J63"/>
  <c r="D64"/>
  <c r="D63" s="1"/>
  <c r="D62"/>
  <c r="D61" s="1"/>
  <c r="D59"/>
  <c r="D58" s="1"/>
  <c r="D57"/>
  <c r="D56"/>
  <c r="J58"/>
  <c r="J55"/>
  <c r="F108" i="3"/>
  <c r="F103"/>
  <c r="F100"/>
  <c r="H96"/>
  <c r="H91"/>
  <c r="H88"/>
  <c r="G96"/>
  <c r="G91"/>
  <c r="G88"/>
  <c r="F96"/>
  <c r="F91"/>
  <c r="F88"/>
  <c r="F84"/>
  <c r="F79"/>
  <c r="F76"/>
  <c r="H69"/>
  <c r="I69"/>
  <c r="J69"/>
  <c r="K69"/>
  <c r="L69"/>
  <c r="J71"/>
  <c r="K71"/>
  <c r="L71"/>
  <c r="I72"/>
  <c r="H72"/>
  <c r="G72"/>
  <c r="F72"/>
  <c r="J63"/>
  <c r="K63"/>
  <c r="L63"/>
  <c r="J66"/>
  <c r="K66"/>
  <c r="L66"/>
  <c r="I67"/>
  <c r="H67"/>
  <c r="G67"/>
  <c r="F67"/>
  <c r="I64"/>
  <c r="G64"/>
  <c r="H64"/>
  <c r="F64"/>
  <c r="J49" i="2"/>
  <c r="K49"/>
  <c r="L49"/>
  <c r="I274"/>
  <c r="J450" i="12" s="1"/>
  <c r="I269" i="2"/>
  <c r="J449" i="12" s="1"/>
  <c r="I266" i="2"/>
  <c r="J448" i="12" s="1"/>
  <c r="D275" i="2"/>
  <c r="D274" s="1"/>
  <c r="H274"/>
  <c r="I450" i="12" s="1"/>
  <c r="G274" i="2"/>
  <c r="H450" i="12" s="1"/>
  <c r="F274" i="2"/>
  <c r="G450" i="12" s="1"/>
  <c r="E274" i="2"/>
  <c r="F450" i="12" s="1"/>
  <c r="D273" i="2"/>
  <c r="G272"/>
  <c r="F272"/>
  <c r="E272"/>
  <c r="E271" s="1"/>
  <c r="D272"/>
  <c r="N270"/>
  <c r="N269" s="1"/>
  <c r="M270"/>
  <c r="M269" s="1"/>
  <c r="D270"/>
  <c r="D269" s="1"/>
  <c r="H269"/>
  <c r="G269"/>
  <c r="H449" i="12" s="1"/>
  <c r="F269" i="2"/>
  <c r="G449" i="12" s="1"/>
  <c r="E269" i="2"/>
  <c r="F449" i="12" s="1"/>
  <c r="N268" i="2"/>
  <c r="M268"/>
  <c r="D268"/>
  <c r="N267"/>
  <c r="N266" s="1"/>
  <c r="M267"/>
  <c r="M266" s="1"/>
  <c r="H266"/>
  <c r="I448" i="12" s="1"/>
  <c r="G266" i="2"/>
  <c r="H448" i="12" s="1"/>
  <c r="F266" i="2"/>
  <c r="G448" i="12" s="1"/>
  <c r="E266" i="2"/>
  <c r="G179"/>
  <c r="G174"/>
  <c r="G171"/>
  <c r="F179"/>
  <c r="F177"/>
  <c r="F174"/>
  <c r="F172"/>
  <c r="F171"/>
  <c r="G215"/>
  <c r="G213"/>
  <c r="G210"/>
  <c r="G208"/>
  <c r="F215"/>
  <c r="F213"/>
  <c r="F210"/>
  <c r="F208"/>
  <c r="F207"/>
  <c r="H294"/>
  <c r="H290"/>
  <c r="F291"/>
  <c r="H222"/>
  <c r="H219"/>
  <c r="H37" s="1"/>
  <c r="H227"/>
  <c r="G227"/>
  <c r="F222"/>
  <c r="F219"/>
  <c r="E225"/>
  <c r="E220"/>
  <c r="E219"/>
  <c r="G258"/>
  <c r="G255"/>
  <c r="F258"/>
  <c r="F255"/>
  <c r="G186"/>
  <c r="G183"/>
  <c r="F183"/>
  <c r="F186"/>
  <c r="F271" l="1"/>
  <c r="H293"/>
  <c r="H289" s="1"/>
  <c r="H42"/>
  <c r="H51"/>
  <c r="H49" s="1"/>
  <c r="H271"/>
  <c r="D55" i="7"/>
  <c r="D54" s="1"/>
  <c r="J60"/>
  <c r="F265" i="2"/>
  <c r="G447" i="12" s="1"/>
  <c r="H384" i="2"/>
  <c r="E327" i="12"/>
  <c r="D326" s="1"/>
  <c r="E328"/>
  <c r="E265" i="2"/>
  <c r="F447" i="12" s="1"/>
  <c r="F448"/>
  <c r="H265" i="2"/>
  <c r="I449" i="12"/>
  <c r="I265" i="2"/>
  <c r="I271"/>
  <c r="H372"/>
  <c r="I162" i="12" s="1"/>
  <c r="I163"/>
  <c r="H368" i="2"/>
  <c r="I160" i="12"/>
  <c r="G271" i="2"/>
  <c r="G265"/>
  <c r="D60" i="7"/>
  <c r="P239" i="3"/>
  <c r="L62"/>
  <c r="J68"/>
  <c r="K68"/>
  <c r="J62"/>
  <c r="L68"/>
  <c r="K62"/>
  <c r="J54" i="7"/>
  <c r="N265" i="2"/>
  <c r="D271"/>
  <c r="M265"/>
  <c r="D267"/>
  <c r="D266" s="1"/>
  <c r="D265" s="1"/>
  <c r="H610" i="12" l="1"/>
  <c r="H447"/>
  <c r="J610"/>
  <c r="J447"/>
  <c r="I610"/>
  <c r="I447"/>
  <c r="N222" i="9"/>
  <c r="E16"/>
  <c r="E15" s="1"/>
  <c r="E12"/>
  <c r="E13"/>
  <c r="F13"/>
  <c r="G13"/>
  <c r="H13"/>
  <c r="I13"/>
  <c r="J13"/>
  <c r="K13"/>
  <c r="D203"/>
  <c r="D201"/>
  <c r="D200"/>
  <c r="D208"/>
  <c r="N29"/>
  <c r="N332" i="2"/>
  <c r="N330"/>
  <c r="N329"/>
  <c r="G334"/>
  <c r="E336"/>
  <c r="F70" i="12" s="1"/>
  <c r="F336" i="2"/>
  <c r="G70" i="12" s="1"/>
  <c r="G336" i="2"/>
  <c r="H70" i="12" s="1"/>
  <c r="E328" i="2"/>
  <c r="F328"/>
  <c r="G68" i="12" s="1"/>
  <c r="G328" i="2"/>
  <c r="H68" i="12" s="1"/>
  <c r="E331" i="2"/>
  <c r="F331"/>
  <c r="G331"/>
  <c r="G325"/>
  <c r="E40"/>
  <c r="H40"/>
  <c r="J40"/>
  <c r="K40"/>
  <c r="L40"/>
  <c r="E48"/>
  <c r="H48"/>
  <c r="I48"/>
  <c r="J48"/>
  <c r="K48"/>
  <c r="L48"/>
  <c r="G319"/>
  <c r="G315"/>
  <c r="G333" l="1"/>
  <c r="E327"/>
  <c r="F67" i="12" s="1"/>
  <c r="F68"/>
  <c r="E70"/>
  <c r="E11" i="9"/>
  <c r="G327" i="2"/>
  <c r="H67" i="12" s="1"/>
  <c r="F327" i="2"/>
  <c r="G67" i="12" s="1"/>
  <c r="N328" i="2"/>
  <c r="F49" i="8"/>
  <c r="J16" i="3"/>
  <c r="K16"/>
  <c r="L16"/>
  <c r="E19"/>
  <c r="F19"/>
  <c r="G19"/>
  <c r="H19"/>
  <c r="I19"/>
  <c r="J19"/>
  <c r="K19"/>
  <c r="L19"/>
  <c r="K21"/>
  <c r="E207"/>
  <c r="F323" i="12" s="1"/>
  <c r="F207" i="3"/>
  <c r="G323" i="12" s="1"/>
  <c r="D219" i="3"/>
  <c r="D218" s="1"/>
  <c r="L218"/>
  <c r="M325" i="12" s="1"/>
  <c r="K218" i="3"/>
  <c r="L325" i="12" s="1"/>
  <c r="J218" i="3"/>
  <c r="K325" i="12" s="1"/>
  <c r="I218" i="3"/>
  <c r="J325" i="12" s="1"/>
  <c r="H218" i="3"/>
  <c r="I325" i="12" s="1"/>
  <c r="G218" i="3"/>
  <c r="H325" i="12" s="1"/>
  <c r="F218" i="3"/>
  <c r="G325" i="12" s="1"/>
  <c r="E218" i="3"/>
  <c r="F325" i="12" s="1"/>
  <c r="D217" i="3"/>
  <c r="D216" s="1"/>
  <c r="L216"/>
  <c r="K216"/>
  <c r="J216"/>
  <c r="I216"/>
  <c r="H216"/>
  <c r="G216"/>
  <c r="F216"/>
  <c r="E216"/>
  <c r="N214"/>
  <c r="D214"/>
  <c r="N213"/>
  <c r="D213"/>
  <c r="L212"/>
  <c r="L211" s="1"/>
  <c r="M324" i="12" s="1"/>
  <c r="K212" i="3"/>
  <c r="K211" s="1"/>
  <c r="L324" i="12" s="1"/>
  <c r="J212" i="3"/>
  <c r="J211" s="1"/>
  <c r="K324" i="12" s="1"/>
  <c r="I212" i="3"/>
  <c r="I211" s="1"/>
  <c r="J324" i="12" s="1"/>
  <c r="H212" i="3"/>
  <c r="H211" s="1"/>
  <c r="I324" i="12" s="1"/>
  <c r="G212" i="3"/>
  <c r="G211" s="1"/>
  <c r="H324" i="12" s="1"/>
  <c r="F211" i="3"/>
  <c r="G324" i="12" s="1"/>
  <c r="E211" i="3"/>
  <c r="F324" i="12" s="1"/>
  <c r="N210" i="3"/>
  <c r="D210"/>
  <c r="N209"/>
  <c r="D209"/>
  <c r="L208"/>
  <c r="L207" s="1"/>
  <c r="M323" i="12" s="1"/>
  <c r="K208" i="3"/>
  <c r="K207" s="1"/>
  <c r="L323" i="12" s="1"/>
  <c r="J208" i="3"/>
  <c r="J207" s="1"/>
  <c r="K323" i="12" s="1"/>
  <c r="I208" i="3"/>
  <c r="I207" s="1"/>
  <c r="J323" i="12" s="1"/>
  <c r="H208" i="3"/>
  <c r="H207" s="1"/>
  <c r="I323" i="12" s="1"/>
  <c r="G208" i="3"/>
  <c r="G207" s="1"/>
  <c r="H323" i="12" s="1"/>
  <c r="M284" i="3"/>
  <c r="G193"/>
  <c r="H193"/>
  <c r="D191"/>
  <c r="D192"/>
  <c r="D194"/>
  <c r="D195"/>
  <c r="D204"/>
  <c r="D203" s="1"/>
  <c r="L203"/>
  <c r="K203"/>
  <c r="L320" i="12" s="1"/>
  <c r="J203" i="3"/>
  <c r="K320" i="12" s="1"/>
  <c r="I203" i="3"/>
  <c r="J320" i="12" s="1"/>
  <c r="H203" i="3"/>
  <c r="I320" i="12" s="1"/>
  <c r="G203" i="3"/>
  <c r="H320" i="12" s="1"/>
  <c r="F203" i="3"/>
  <c r="G320" i="12" s="1"/>
  <c r="E203" i="3"/>
  <c r="F320" i="12" s="1"/>
  <c r="D202" i="3"/>
  <c r="D201" s="1"/>
  <c r="L201"/>
  <c r="K201"/>
  <c r="J201"/>
  <c r="I201"/>
  <c r="H201"/>
  <c r="G201"/>
  <c r="F201"/>
  <c r="E201"/>
  <c r="N199"/>
  <c r="D199"/>
  <c r="N198"/>
  <c r="D198"/>
  <c r="L197"/>
  <c r="L196" s="1"/>
  <c r="K197"/>
  <c r="K196" s="1"/>
  <c r="L319" i="12" s="1"/>
  <c r="J197" i="3"/>
  <c r="J196" s="1"/>
  <c r="K319" i="12" s="1"/>
  <c r="I197" i="3"/>
  <c r="I196" s="1"/>
  <c r="J319" i="12" s="1"/>
  <c r="H197" i="3"/>
  <c r="H196" s="1"/>
  <c r="I319" i="12" s="1"/>
  <c r="G197" i="3"/>
  <c r="G196" s="1"/>
  <c r="H319" i="12" s="1"/>
  <c r="F196" i="3"/>
  <c r="G319" i="12" s="1"/>
  <c r="E196" i="3"/>
  <c r="F319" i="12" s="1"/>
  <c r="N195" i="3"/>
  <c r="N194"/>
  <c r="L193"/>
  <c r="K193"/>
  <c r="J193"/>
  <c r="I193"/>
  <c r="N192"/>
  <c r="N191"/>
  <c r="L190"/>
  <c r="K190"/>
  <c r="J190"/>
  <c r="I190"/>
  <c r="H190"/>
  <c r="G190"/>
  <c r="F189"/>
  <c r="E189"/>
  <c r="G76" i="8"/>
  <c r="F76"/>
  <c r="G85"/>
  <c r="F85"/>
  <c r="G82"/>
  <c r="G80"/>
  <c r="F82"/>
  <c r="F80"/>
  <c r="F81" i="6"/>
  <c r="F79"/>
  <c r="F76"/>
  <c r="F74"/>
  <c r="F29" i="8" l="1"/>
  <c r="G29"/>
  <c r="E319" i="12"/>
  <c r="E325"/>
  <c r="F188" i="3"/>
  <c r="G317" i="12" s="1"/>
  <c r="G318"/>
  <c r="E320"/>
  <c r="C319" s="1"/>
  <c r="E324"/>
  <c r="E188" i="3"/>
  <c r="F317" i="12" s="1"/>
  <c r="F318"/>
  <c r="E323"/>
  <c r="K200" i="3"/>
  <c r="J189"/>
  <c r="G215"/>
  <c r="E21"/>
  <c r="E18" s="1"/>
  <c r="E215"/>
  <c r="E200"/>
  <c r="I200"/>
  <c r="F334" i="2"/>
  <c r="F333" s="1"/>
  <c r="E334"/>
  <c r="E333" s="1"/>
  <c r="L200" i="3"/>
  <c r="G200"/>
  <c r="L215"/>
  <c r="J24" i="10" s="1"/>
  <c r="F206" i="3"/>
  <c r="G322" i="12" s="1"/>
  <c r="K18" i="3"/>
  <c r="N208"/>
  <c r="N207" s="1"/>
  <c r="K206"/>
  <c r="I23" i="10" s="1"/>
  <c r="D212" i="3"/>
  <c r="H215"/>
  <c r="I206"/>
  <c r="J322" i="12" s="1"/>
  <c r="I189" i="3"/>
  <c r="K189"/>
  <c r="E206"/>
  <c r="F322" i="12" s="1"/>
  <c r="D208" i="3"/>
  <c r="D207" s="1"/>
  <c r="K215"/>
  <c r="I24" i="10" s="1"/>
  <c r="L189" i="3"/>
  <c r="L188" s="1"/>
  <c r="F200"/>
  <c r="J200"/>
  <c r="G206"/>
  <c r="H322" i="12" s="1"/>
  <c r="F215" i="3"/>
  <c r="J215"/>
  <c r="H24" i="10" s="1"/>
  <c r="D215" i="3"/>
  <c r="I215"/>
  <c r="H206"/>
  <c r="I322" i="12" s="1"/>
  <c r="L206" i="3"/>
  <c r="J23" i="10" s="1"/>
  <c r="J206" i="3"/>
  <c r="H23" i="10" s="1"/>
  <c r="N212" i="3"/>
  <c r="N211" s="1"/>
  <c r="M207"/>
  <c r="M212"/>
  <c r="M211" s="1"/>
  <c r="D197"/>
  <c r="D196" s="1"/>
  <c r="G189"/>
  <c r="D200"/>
  <c r="H200"/>
  <c r="D193"/>
  <c r="D190"/>
  <c r="H189"/>
  <c r="N193"/>
  <c r="N190"/>
  <c r="N197"/>
  <c r="N196" s="1"/>
  <c r="M190"/>
  <c r="M189" s="1"/>
  <c r="M197"/>
  <c r="M196" s="1"/>
  <c r="G72" i="5"/>
  <c r="F72"/>
  <c r="F75"/>
  <c r="I121" i="9"/>
  <c r="H121"/>
  <c r="G121"/>
  <c r="H118"/>
  <c r="H116"/>
  <c r="G118"/>
  <c r="G116"/>
  <c r="F118"/>
  <c r="F116"/>
  <c r="I112"/>
  <c r="H112"/>
  <c r="G112"/>
  <c r="F112"/>
  <c r="F109"/>
  <c r="H108"/>
  <c r="H107" s="1"/>
  <c r="G108"/>
  <c r="G107" s="1"/>
  <c r="F108"/>
  <c r="F105"/>
  <c r="H104"/>
  <c r="H103" s="1"/>
  <c r="G104"/>
  <c r="G103" s="1"/>
  <c r="F104"/>
  <c r="G174"/>
  <c r="G171"/>
  <c r="G169"/>
  <c r="H165"/>
  <c r="G161"/>
  <c r="N161" s="1"/>
  <c r="G157"/>
  <c r="F161"/>
  <c r="F157"/>
  <c r="F156" s="1"/>
  <c r="L136" i="6"/>
  <c r="K136"/>
  <c r="J136"/>
  <c r="I136"/>
  <c r="H136"/>
  <c r="G136"/>
  <c r="F136"/>
  <c r="H132"/>
  <c r="F130"/>
  <c r="L128"/>
  <c r="K128"/>
  <c r="J128"/>
  <c r="I128"/>
  <c r="H128"/>
  <c r="G128"/>
  <c r="F128"/>
  <c r="H127"/>
  <c r="F127"/>
  <c r="H122"/>
  <c r="F122"/>
  <c r="H117"/>
  <c r="E117"/>
  <c r="H108"/>
  <c r="F103" i="9" l="1"/>
  <c r="H188" i="3"/>
  <c r="I317" i="12" s="1"/>
  <c r="I318"/>
  <c r="K322"/>
  <c r="K188" i="3"/>
  <c r="L317" i="12" s="1"/>
  <c r="L318"/>
  <c r="C324"/>
  <c r="G188" i="3"/>
  <c r="H317" i="12" s="1"/>
  <c r="H318"/>
  <c r="M322"/>
  <c r="I188" i="3"/>
  <c r="J317" i="12" s="1"/>
  <c r="J318"/>
  <c r="L322"/>
  <c r="J188" i="3"/>
  <c r="K317" i="12" s="1"/>
  <c r="K318"/>
  <c r="D136" i="6"/>
  <c r="D211" i="3"/>
  <c r="D206" s="1"/>
  <c r="P212"/>
  <c r="P208"/>
  <c r="M206"/>
  <c r="N206"/>
  <c r="M188"/>
  <c r="D189"/>
  <c r="D188" s="1"/>
  <c r="N189"/>
  <c r="N188" s="1"/>
  <c r="F107" i="9"/>
  <c r="J108" i="6"/>
  <c r="J100"/>
  <c r="K577" i="12" s="1"/>
  <c r="I100" i="6"/>
  <c r="J577" i="12" s="1"/>
  <c r="H113" i="6"/>
  <c r="H103"/>
  <c r="H100"/>
  <c r="I577" i="12" s="1"/>
  <c r="F114" i="6"/>
  <c r="F113"/>
  <c r="F103"/>
  <c r="L117"/>
  <c r="K117"/>
  <c r="J117"/>
  <c r="I117"/>
  <c r="G117"/>
  <c r="F117"/>
  <c r="H110"/>
  <c r="F110"/>
  <c r="H112"/>
  <c r="F112"/>
  <c r="F111"/>
  <c r="L109"/>
  <c r="K109"/>
  <c r="J109"/>
  <c r="I109"/>
  <c r="H109"/>
  <c r="G109"/>
  <c r="F109"/>
  <c r="F108"/>
  <c r="E108"/>
  <c r="F100"/>
  <c r="G577" i="12" s="1"/>
  <c r="F98" i="6"/>
  <c r="E317" i="12" l="1"/>
  <c r="D316" s="1"/>
  <c r="E318"/>
  <c r="E322"/>
  <c r="D321" s="1"/>
  <c r="D117" i="6"/>
  <c r="I204"/>
  <c r="H177"/>
  <c r="G172"/>
  <c r="F172"/>
  <c r="H176"/>
  <c r="F176"/>
  <c r="I177"/>
  <c r="G177"/>
  <c r="H183"/>
  <c r="F183"/>
  <c r="I184"/>
  <c r="H184"/>
  <c r="G184"/>
  <c r="I199"/>
  <c r="H199"/>
  <c r="H204"/>
  <c r="I211"/>
  <c r="H211"/>
  <c r="G549" i="2" l="1"/>
  <c r="I549"/>
  <c r="H549"/>
  <c r="F644"/>
  <c r="F645"/>
  <c r="F648"/>
  <c r="F636"/>
  <c r="G632"/>
  <c r="F656"/>
  <c r="F640"/>
  <c r="F184" i="9"/>
  <c r="F180"/>
  <c r="G184"/>
  <c r="G183"/>
  <c r="F183"/>
  <c r="G180"/>
  <c r="G179"/>
  <c r="F179"/>
  <c r="G131" i="3"/>
  <c r="F131"/>
  <c r="G130"/>
  <c r="F130"/>
  <c r="G127"/>
  <c r="F127"/>
  <c r="G126"/>
  <c r="F126"/>
  <c r="F131" i="9"/>
  <c r="F127"/>
  <c r="G130"/>
  <c r="G131"/>
  <c r="G126"/>
  <c r="G127"/>
  <c r="H131"/>
  <c r="H127"/>
  <c r="I255" i="6"/>
  <c r="H255"/>
  <c r="H243" s="1"/>
  <c r="G255"/>
  <c r="F255"/>
  <c r="I156" i="3"/>
  <c r="H156"/>
  <c r="G156"/>
  <c r="H152"/>
  <c r="G152"/>
  <c r="I151"/>
  <c r="H151"/>
  <c r="G151"/>
  <c r="I146"/>
  <c r="I23" s="1"/>
  <c r="H146"/>
  <c r="H23" s="1"/>
  <c r="G146"/>
  <c r="G23" s="1"/>
  <c r="G143"/>
  <c r="F143"/>
  <c r="H142"/>
  <c r="G142"/>
  <c r="F142"/>
  <c r="H140"/>
  <c r="G140"/>
  <c r="F140"/>
  <c r="I139"/>
  <c r="H139"/>
  <c r="G139"/>
  <c r="F595" i="2" l="1"/>
  <c r="F596"/>
  <c r="F592"/>
  <c r="F591"/>
  <c r="F628"/>
  <c r="F587"/>
  <c r="G118" i="7"/>
  <c r="G12" s="1"/>
  <c r="G119"/>
  <c r="F118"/>
  <c r="F12" s="1"/>
  <c r="G129" i="9"/>
  <c r="F129"/>
  <c r="G125"/>
  <c r="F125"/>
  <c r="F126"/>
  <c r="F130"/>
  <c r="G239" i="2"/>
  <c r="G234"/>
  <c r="G231"/>
  <c r="F239"/>
  <c r="F234"/>
  <c r="F231"/>
  <c r="E51" i="9"/>
  <c r="F458" i="12" s="1"/>
  <c r="G60" i="9"/>
  <c r="G55"/>
  <c r="H459" i="12" s="1"/>
  <c r="G51" i="9"/>
  <c r="H458" i="12" s="1"/>
  <c r="F55" i="9"/>
  <c r="G459" i="12" s="1"/>
  <c r="F52" i="9"/>
  <c r="F51" s="1"/>
  <c r="D58"/>
  <c r="D57" s="1"/>
  <c r="L57"/>
  <c r="K57"/>
  <c r="J57"/>
  <c r="I57"/>
  <c r="H57"/>
  <c r="G57"/>
  <c r="F57"/>
  <c r="E57"/>
  <c r="N53"/>
  <c r="D53"/>
  <c r="N41"/>
  <c r="G39"/>
  <c r="E39"/>
  <c r="H48"/>
  <c r="G48"/>
  <c r="D46"/>
  <c r="D45" s="1"/>
  <c r="L45"/>
  <c r="K45"/>
  <c r="J45"/>
  <c r="I45"/>
  <c r="H45"/>
  <c r="G45"/>
  <c r="F45"/>
  <c r="E45"/>
  <c r="G43"/>
  <c r="F43"/>
  <c r="D41"/>
  <c r="F40"/>
  <c r="F39" s="1"/>
  <c r="H36"/>
  <c r="G36"/>
  <c r="D34"/>
  <c r="D33" s="1"/>
  <c r="L33"/>
  <c r="K33"/>
  <c r="J33"/>
  <c r="I33"/>
  <c r="H33"/>
  <c r="G33"/>
  <c r="F33"/>
  <c r="E33"/>
  <c r="G31"/>
  <c r="F31"/>
  <c r="E27"/>
  <c r="D29"/>
  <c r="F28"/>
  <c r="N14" l="1"/>
  <c r="G27"/>
  <c r="N31"/>
  <c r="F27"/>
  <c r="G224" i="6"/>
  <c r="F224"/>
  <c r="G222"/>
  <c r="F222"/>
  <c r="G219"/>
  <c r="F219"/>
  <c r="G216"/>
  <c r="F216"/>
  <c r="H152" i="7"/>
  <c r="G152"/>
  <c r="H150"/>
  <c r="H20" s="1"/>
  <c r="G150"/>
  <c r="G20" s="1"/>
  <c r="H149"/>
  <c r="G149"/>
  <c r="H146"/>
  <c r="G146"/>
  <c r="H144"/>
  <c r="H14" s="1"/>
  <c r="G144"/>
  <c r="G14" s="1"/>
  <c r="H143"/>
  <c r="G143"/>
  <c r="F35"/>
  <c r="H176"/>
  <c r="G176"/>
  <c r="H174"/>
  <c r="G174"/>
  <c r="H171"/>
  <c r="G171"/>
  <c r="H169"/>
  <c r="G169"/>
  <c r="I164"/>
  <c r="H164"/>
  <c r="G164"/>
  <c r="I162"/>
  <c r="H162"/>
  <c r="G162"/>
  <c r="I159"/>
  <c r="H159"/>
  <c r="G159"/>
  <c r="I157"/>
  <c r="I13" s="1"/>
  <c r="H157"/>
  <c r="G157"/>
  <c r="G131"/>
  <c r="F131"/>
  <c r="H52"/>
  <c r="G52"/>
  <c r="H50"/>
  <c r="G50"/>
  <c r="H47"/>
  <c r="G47"/>
  <c r="H45"/>
  <c r="F45"/>
  <c r="G167" i="2"/>
  <c r="F167"/>
  <c r="G162"/>
  <c r="F162"/>
  <c r="F159"/>
  <c r="G130"/>
  <c r="G129" s="1"/>
  <c r="G143"/>
  <c r="F136"/>
  <c r="F131"/>
  <c r="G81"/>
  <c r="F82"/>
  <c r="G251"/>
  <c r="F251"/>
  <c r="G246"/>
  <c r="F246"/>
  <c r="G243"/>
  <c r="F243"/>
  <c r="G237"/>
  <c r="F237"/>
  <c r="G232"/>
  <c r="F232"/>
  <c r="G215" i="6"/>
  <c r="F215"/>
  <c r="F37" i="2" l="1"/>
  <c r="G42"/>
  <c r="G80"/>
  <c r="H187" i="12" s="1"/>
  <c r="H188"/>
  <c r="L47" i="8"/>
  <c r="L14" s="1"/>
  <c r="L49"/>
  <c r="L18" s="1"/>
  <c r="J47"/>
  <c r="J14" s="1"/>
  <c r="J49"/>
  <c r="J18" s="1"/>
  <c r="I47"/>
  <c r="I14" s="1"/>
  <c r="I49"/>
  <c r="I18" s="1"/>
  <c r="H47"/>
  <c r="H14" s="1"/>
  <c r="H49"/>
  <c r="H18" s="1"/>
  <c r="F47"/>
  <c r="F14" s="1"/>
  <c r="L52"/>
  <c r="L23" s="1"/>
  <c r="J52"/>
  <c r="J23" s="1"/>
  <c r="I52"/>
  <c r="I23" s="1"/>
  <c r="H52"/>
  <c r="H23" s="1"/>
  <c r="F52"/>
  <c r="G217" i="6"/>
  <c r="F217"/>
  <c r="F23" i="8" l="1"/>
  <c r="G43" i="6"/>
  <c r="F43"/>
  <c r="G44"/>
  <c r="F44"/>
  <c r="E44"/>
  <c r="G47"/>
  <c r="F47"/>
  <c r="G48"/>
  <c r="F48"/>
  <c r="E48"/>
  <c r="G52"/>
  <c r="F52"/>
  <c r="G53"/>
  <c r="F53"/>
  <c r="E53"/>
  <c r="H56"/>
  <c r="G56"/>
  <c r="H58"/>
  <c r="G58"/>
  <c r="H37"/>
  <c r="G37"/>
  <c r="F65"/>
  <c r="G68"/>
  <c r="G70"/>
  <c r="G29"/>
  <c r="F29"/>
  <c r="G33"/>
  <c r="F33"/>
  <c r="G34"/>
  <c r="N34" s="1"/>
  <c r="F34"/>
  <c r="G30" i="3" l="1"/>
  <c r="F30"/>
  <c r="G29"/>
  <c r="F29"/>
  <c r="G36"/>
  <c r="F36"/>
  <c r="G35"/>
  <c r="F35"/>
  <c r="I42"/>
  <c r="H42"/>
  <c r="G42"/>
  <c r="G22" s="1"/>
  <c r="G439" i="2"/>
  <c r="F439"/>
  <c r="G440"/>
  <c r="F440"/>
  <c r="G444"/>
  <c r="F444"/>
  <c r="G445"/>
  <c r="F445"/>
  <c r="H448"/>
  <c r="G448"/>
  <c r="G425"/>
  <c r="F425"/>
  <c r="G424"/>
  <c r="F424"/>
  <c r="G430"/>
  <c r="F430"/>
  <c r="F429"/>
  <c r="G429"/>
  <c r="N429" s="1"/>
  <c r="H433"/>
  <c r="G433"/>
  <c r="F433"/>
  <c r="P442" l="1"/>
  <c r="I22" i="3"/>
  <c r="I21" s="1"/>
  <c r="I18" s="1"/>
  <c r="H22"/>
  <c r="H21" s="1"/>
  <c r="H18" s="1"/>
  <c r="G543" i="12" l="1"/>
  <c r="I543"/>
  <c r="K543"/>
  <c r="L543"/>
  <c r="M543"/>
  <c r="B540"/>
  <c r="G454"/>
  <c r="B451"/>
  <c r="D224" i="9" l="1"/>
  <c r="D229" l="1"/>
  <c r="L228"/>
  <c r="K228"/>
  <c r="L455" i="12" s="1"/>
  <c r="J228" i="9"/>
  <c r="I228"/>
  <c r="J455" i="12" s="1"/>
  <c r="H228" i="9"/>
  <c r="G228"/>
  <c r="H455" i="12" s="1"/>
  <c r="F228" i="9"/>
  <c r="G455" i="12" s="1"/>
  <c r="E228" i="9"/>
  <c r="F455" i="12" s="1"/>
  <c r="D227" i="9"/>
  <c r="L226"/>
  <c r="K226"/>
  <c r="K225" s="1"/>
  <c r="J226"/>
  <c r="I226"/>
  <c r="H226"/>
  <c r="G226"/>
  <c r="G225" s="1"/>
  <c r="F226"/>
  <c r="E226"/>
  <c r="N224"/>
  <c r="N223" s="1"/>
  <c r="M224"/>
  <c r="M223" s="1"/>
  <c r="D223"/>
  <c r="L223"/>
  <c r="M454" i="12" s="1"/>
  <c r="K223" i="9"/>
  <c r="L454" i="12" s="1"/>
  <c r="J223" i="9"/>
  <c r="K454" i="12" s="1"/>
  <c r="I223" i="9"/>
  <c r="J454" i="12" s="1"/>
  <c r="H223" i="9"/>
  <c r="I454" i="12" s="1"/>
  <c r="G223" i="9"/>
  <c r="H454" i="12" s="1"/>
  <c r="E223" i="9"/>
  <c r="M222"/>
  <c r="D222"/>
  <c r="D14" s="1"/>
  <c r="N221"/>
  <c r="N220" s="1"/>
  <c r="M221"/>
  <c r="D221"/>
  <c r="L220"/>
  <c r="K220"/>
  <c r="L453" i="12" s="1"/>
  <c r="J220" i="9"/>
  <c r="I220"/>
  <c r="J453" i="12" s="1"/>
  <c r="H220" i="9"/>
  <c r="G220"/>
  <c r="H453" i="12" s="1"/>
  <c r="F220" i="9"/>
  <c r="E220"/>
  <c r="F453" i="12" s="1"/>
  <c r="D217" i="9"/>
  <c r="D216" s="1"/>
  <c r="D215" s="1"/>
  <c r="L216"/>
  <c r="K216"/>
  <c r="L544" i="12" s="1"/>
  <c r="J216" i="9"/>
  <c r="I216"/>
  <c r="J544" i="12" s="1"/>
  <c r="H216" i="9"/>
  <c r="G216"/>
  <c r="H544" i="12" s="1"/>
  <c r="F216" i="9"/>
  <c r="E216"/>
  <c r="F544" i="12" s="1"/>
  <c r="E215" i="9"/>
  <c r="N214"/>
  <c r="N213" s="1"/>
  <c r="M214"/>
  <c r="M213" s="1"/>
  <c r="D214"/>
  <c r="D213" s="1"/>
  <c r="I213"/>
  <c r="J543" i="12" s="1"/>
  <c r="G213" i="9"/>
  <c r="H543" i="12" s="1"/>
  <c r="E213" i="9"/>
  <c r="F543" i="12" s="1"/>
  <c r="N212" i="9"/>
  <c r="N211" s="1"/>
  <c r="M212"/>
  <c r="M211" s="1"/>
  <c r="D212"/>
  <c r="D211" s="1"/>
  <c r="L211"/>
  <c r="K211"/>
  <c r="L542" i="12" s="1"/>
  <c r="J211" i="9"/>
  <c r="I211"/>
  <c r="J542" i="12" s="1"/>
  <c r="H211" i="9"/>
  <c r="G211"/>
  <c r="H542" i="12" s="1"/>
  <c r="F211" i="9"/>
  <c r="G542" i="12" s="1"/>
  <c r="E211" i="9"/>
  <c r="F542" i="12" s="1"/>
  <c r="F210" i="9"/>
  <c r="G541" i="12" s="1"/>
  <c r="E225" i="9" l="1"/>
  <c r="I225"/>
  <c r="I210"/>
  <c r="J541" i="12" s="1"/>
  <c r="G215" i="9"/>
  <c r="G210" s="1"/>
  <c r="H541" i="12" s="1"/>
  <c r="D220" i="9"/>
  <c r="E210"/>
  <c r="F541" i="12" s="1"/>
  <c r="K215" i="9"/>
  <c r="K210" s="1"/>
  <c r="L541" i="12" s="1"/>
  <c r="I219" i="9"/>
  <c r="J452" i="12" s="1"/>
  <c r="I542"/>
  <c r="J210" i="9"/>
  <c r="K541" i="12" s="1"/>
  <c r="K542"/>
  <c r="M542"/>
  <c r="H225" i="9"/>
  <c r="I455" i="12"/>
  <c r="L225" i="9"/>
  <c r="M455" i="12"/>
  <c r="E543"/>
  <c r="I215" i="9"/>
  <c r="F215"/>
  <c r="G544" i="12"/>
  <c r="H215" i="9"/>
  <c r="H210" s="1"/>
  <c r="I541" i="12" s="1"/>
  <c r="I544"/>
  <c r="J215" i="9"/>
  <c r="K544" i="12"/>
  <c r="L215" i="9"/>
  <c r="L210" s="1"/>
  <c r="M541" i="12" s="1"/>
  <c r="M498" s="1"/>
  <c r="M544"/>
  <c r="G219" i="9"/>
  <c r="H452" i="12" s="1"/>
  <c r="K219" i="9"/>
  <c r="L452" i="12" s="1"/>
  <c r="F219" i="9"/>
  <c r="G452" i="12" s="1"/>
  <c r="G453"/>
  <c r="H219" i="9"/>
  <c r="I452" i="12" s="1"/>
  <c r="I453"/>
  <c r="J219" i="9"/>
  <c r="K452" i="12" s="1"/>
  <c r="K453"/>
  <c r="L219" i="9"/>
  <c r="M452" i="12" s="1"/>
  <c r="M453"/>
  <c r="E219" i="9"/>
  <c r="F452" i="12" s="1"/>
  <c r="F454"/>
  <c r="J225" i="9"/>
  <c r="K455" i="12"/>
  <c r="D228" i="9"/>
  <c r="D226"/>
  <c r="M210"/>
  <c r="D210"/>
  <c r="M220"/>
  <c r="M219" s="1"/>
  <c r="F225"/>
  <c r="D219"/>
  <c r="N219"/>
  <c r="N210"/>
  <c r="K372" i="12"/>
  <c r="L372"/>
  <c r="M372"/>
  <c r="K373"/>
  <c r="L373"/>
  <c r="M373"/>
  <c r="E542" l="1"/>
  <c r="E541"/>
  <c r="D540" s="1"/>
  <c r="D225" i="9"/>
  <c r="E544" i="12"/>
  <c r="C543" s="1"/>
  <c r="F294" i="2"/>
  <c r="E377" i="12" l="1"/>
  <c r="B296"/>
  <c r="L58" i="3" l="1"/>
  <c r="M310" i="12" s="1"/>
  <c r="K58" i="3"/>
  <c r="L310" i="12" s="1"/>
  <c r="J58" i="3"/>
  <c r="K310" i="12" s="1"/>
  <c r="I58" i="3"/>
  <c r="J310" i="12" s="1"/>
  <c r="L56" i="3"/>
  <c r="L55" s="1"/>
  <c r="K56"/>
  <c r="J56"/>
  <c r="I56"/>
  <c r="L52"/>
  <c r="K52"/>
  <c r="J52"/>
  <c r="I52"/>
  <c r="L47"/>
  <c r="K47"/>
  <c r="J47"/>
  <c r="I47"/>
  <c r="E47"/>
  <c r="J309" i="12" l="1"/>
  <c r="M309"/>
  <c r="I55" i="3"/>
  <c r="K51"/>
  <c r="L309" i="12"/>
  <c r="J51" i="3"/>
  <c r="K309" i="12"/>
  <c r="I51" i="3"/>
  <c r="L51"/>
  <c r="K46"/>
  <c r="I46"/>
  <c r="J308" i="12" s="1"/>
  <c r="J46" i="3"/>
  <c r="L46"/>
  <c r="M308" i="12" s="1"/>
  <c r="J55" i="3"/>
  <c r="K55"/>
  <c r="C16" i="14"/>
  <c r="D16"/>
  <c r="I45" i="3" l="1"/>
  <c r="L45"/>
  <c r="J45"/>
  <c r="K308" i="12"/>
  <c r="K45" i="3"/>
  <c r="L308" i="12"/>
  <c r="J307" l="1"/>
  <c r="K307"/>
  <c r="M307"/>
  <c r="L307"/>
  <c r="B206"/>
  <c r="B141"/>
  <c r="N48" i="3" l="1"/>
  <c r="N49"/>
  <c r="F52"/>
  <c r="E52"/>
  <c r="E17" s="1"/>
  <c r="G309" i="12" l="1"/>
  <c r="F309"/>
  <c r="G601"/>
  <c r="E143" l="1"/>
  <c r="D186" i="3" l="1"/>
  <c r="D185" s="1"/>
  <c r="L185"/>
  <c r="M150" i="12" s="1"/>
  <c r="K185" i="3"/>
  <c r="L150" i="12" s="1"/>
  <c r="J185" i="3"/>
  <c r="K150" i="12" s="1"/>
  <c r="I185" i="3"/>
  <c r="J150" i="12" s="1"/>
  <c r="H185" i="3"/>
  <c r="I150" i="12" s="1"/>
  <c r="G185" i="3"/>
  <c r="H150" i="12" s="1"/>
  <c r="F185" i="3"/>
  <c r="G150" i="12" s="1"/>
  <c r="E185" i="3"/>
  <c r="F150" i="12" s="1"/>
  <c r="D184" i="3"/>
  <c r="D183" s="1"/>
  <c r="L183"/>
  <c r="K183"/>
  <c r="J183"/>
  <c r="I183"/>
  <c r="H183"/>
  <c r="G183"/>
  <c r="F183"/>
  <c r="E183"/>
  <c r="K180"/>
  <c r="J180"/>
  <c r="I180"/>
  <c r="H180"/>
  <c r="L180"/>
  <c r="F180"/>
  <c r="E180"/>
  <c r="L177"/>
  <c r="M148" i="12" s="1"/>
  <c r="K177" i="3"/>
  <c r="L148" i="12" s="1"/>
  <c r="J177" i="3"/>
  <c r="K148" i="12" s="1"/>
  <c r="I177" i="3"/>
  <c r="J148" i="12" s="1"/>
  <c r="H177" i="3"/>
  <c r="I148" i="12" s="1"/>
  <c r="G177" i="3"/>
  <c r="H148" i="12" s="1"/>
  <c r="F177" i="3"/>
  <c r="G148" i="12" s="1"/>
  <c r="E177" i="3"/>
  <c r="E159"/>
  <c r="F313" i="12" s="1"/>
  <c r="F159" i="3"/>
  <c r="G313" i="12" s="1"/>
  <c r="D174" i="3"/>
  <c r="L171"/>
  <c r="K171"/>
  <c r="J171"/>
  <c r="I171"/>
  <c r="H171"/>
  <c r="G171"/>
  <c r="F171"/>
  <c r="E171"/>
  <c r="D172"/>
  <c r="D171" s="1"/>
  <c r="L163"/>
  <c r="L13" s="1"/>
  <c r="K163"/>
  <c r="K13" s="1"/>
  <c r="J163"/>
  <c r="J13" s="1"/>
  <c r="I163"/>
  <c r="I13" s="1"/>
  <c r="H163"/>
  <c r="H13" s="1"/>
  <c r="G163"/>
  <c r="G13" s="1"/>
  <c r="D165"/>
  <c r="D164"/>
  <c r="N165"/>
  <c r="N164"/>
  <c r="J182" l="1"/>
  <c r="E150" i="12"/>
  <c r="E176" i="3"/>
  <c r="F147" i="12" s="1"/>
  <c r="F148"/>
  <c r="E148" s="1"/>
  <c r="L182" i="3"/>
  <c r="F182"/>
  <c r="H182"/>
  <c r="M181"/>
  <c r="M180" s="1"/>
  <c r="E182"/>
  <c r="G182"/>
  <c r="I182"/>
  <c r="K182"/>
  <c r="N163"/>
  <c r="F176"/>
  <c r="G147" i="12" s="1"/>
  <c r="J176" i="3"/>
  <c r="K147" i="12" s="1"/>
  <c r="I176" i="3"/>
  <c r="J147" i="12" s="1"/>
  <c r="K176" i="3"/>
  <c r="L147" i="12" s="1"/>
  <c r="M178" i="3"/>
  <c r="M177" s="1"/>
  <c r="D179"/>
  <c r="P184" s="1"/>
  <c r="H176"/>
  <c r="I147" i="12" s="1"/>
  <c r="L176" i="3"/>
  <c r="M147" i="12" s="1"/>
  <c r="D182" i="3"/>
  <c r="G180"/>
  <c r="D181"/>
  <c r="D180" s="1"/>
  <c r="D163"/>
  <c r="D178"/>
  <c r="N178"/>
  <c r="N179"/>
  <c r="N181"/>
  <c r="N180" s="1"/>
  <c r="M176" l="1"/>
  <c r="P172"/>
  <c r="K602" i="12"/>
  <c r="J602"/>
  <c r="G176" i="3"/>
  <c r="H147" i="12" s="1"/>
  <c r="I602"/>
  <c r="D177" i="3"/>
  <c r="D176" s="1"/>
  <c r="P186"/>
  <c r="N177"/>
  <c r="N176" s="1"/>
  <c r="H602" i="12" l="1"/>
  <c r="L167" i="3"/>
  <c r="M314" i="12" s="1"/>
  <c r="K167" i="3"/>
  <c r="L314" i="12" s="1"/>
  <c r="J167" i="3"/>
  <c r="K314" i="12" s="1"/>
  <c r="I167" i="3"/>
  <c r="J314" i="12" s="1"/>
  <c r="H167" i="3"/>
  <c r="I314" i="12" s="1"/>
  <c r="G167" i="3"/>
  <c r="H314" i="12" s="1"/>
  <c r="N169" i="3"/>
  <c r="N168"/>
  <c r="N162"/>
  <c r="N161"/>
  <c r="H160"/>
  <c r="I160"/>
  <c r="J160"/>
  <c r="K160"/>
  <c r="L160"/>
  <c r="G160"/>
  <c r="E314" i="12" l="1"/>
  <c r="H601"/>
  <c r="H159" i="3"/>
  <c r="I313" i="12" s="1"/>
  <c r="J159" i="3"/>
  <c r="K313" i="12" s="1"/>
  <c r="K159" i="3"/>
  <c r="L313" i="12" s="1"/>
  <c r="L159" i="3"/>
  <c r="M313" i="12" s="1"/>
  <c r="I159" i="3"/>
  <c r="J313" i="12" s="1"/>
  <c r="G159" i="3"/>
  <c r="H313" i="12" s="1"/>
  <c r="N160" i="3"/>
  <c r="N159" s="1"/>
  <c r="D167"/>
  <c r="D173"/>
  <c r="D170" s="1"/>
  <c r="L173"/>
  <c r="M315" i="12" s="1"/>
  <c r="K173" i="3"/>
  <c r="L315" i="12" s="1"/>
  <c r="J173" i="3"/>
  <c r="K315" i="12" s="1"/>
  <c r="I173" i="3"/>
  <c r="J315" i="12" s="1"/>
  <c r="H173" i="3"/>
  <c r="I315" i="12" s="1"/>
  <c r="G173" i="3"/>
  <c r="H315" i="12" s="1"/>
  <c r="F173" i="3"/>
  <c r="E173"/>
  <c r="D169"/>
  <c r="D168"/>
  <c r="M167"/>
  <c r="M166" s="1"/>
  <c r="N167"/>
  <c r="N166" s="1"/>
  <c r="L166"/>
  <c r="K166"/>
  <c r="J166"/>
  <c r="I166"/>
  <c r="H166"/>
  <c r="G166"/>
  <c r="F166"/>
  <c r="E166"/>
  <c r="D162"/>
  <c r="D161"/>
  <c r="M160"/>
  <c r="M159" s="1"/>
  <c r="E313" i="12" l="1"/>
  <c r="F170" i="3"/>
  <c r="G315" i="12"/>
  <c r="E170" i="3"/>
  <c r="F315" i="12"/>
  <c r="P174" i="3"/>
  <c r="I170"/>
  <c r="K170"/>
  <c r="J170"/>
  <c r="L170"/>
  <c r="J158"/>
  <c r="K312" i="12" s="1"/>
  <c r="N158" i="3"/>
  <c r="H170"/>
  <c r="G170"/>
  <c r="D166"/>
  <c r="H158"/>
  <c r="I312" i="12" s="1"/>
  <c r="L158" i="3"/>
  <c r="M312" i="12" s="1"/>
  <c r="F158" i="3"/>
  <c r="G312" i="12" s="1"/>
  <c r="E158" i="3"/>
  <c r="F312" i="12" s="1"/>
  <c r="K158" i="3"/>
  <c r="L312" i="12" s="1"/>
  <c r="G158" i="3"/>
  <c r="H312" i="12" s="1"/>
  <c r="I158" i="3"/>
  <c r="J312" i="12" s="1"/>
  <c r="M158" i="3"/>
  <c r="D160"/>
  <c r="D159" s="1"/>
  <c r="F427" i="2"/>
  <c r="F344" s="1"/>
  <c r="F343" s="1"/>
  <c r="E315" i="12" l="1"/>
  <c r="C314" s="1"/>
  <c r="E312"/>
  <c r="D311" s="1"/>
  <c r="D158" i="3"/>
  <c r="P157" l="1"/>
  <c r="N172" i="2" l="1"/>
  <c r="N232"/>
  <c r="O18" i="4" l="1"/>
  <c r="L18"/>
  <c r="O21" i="10" l="1"/>
  <c r="M249" i="9" l="1"/>
  <c r="M172" i="2" l="1"/>
  <c r="M143" i="7"/>
  <c r="L15" i="4"/>
  <c r="M56"/>
  <c r="M51"/>
  <c r="M46"/>
  <c r="M34"/>
  <c r="M169" i="7"/>
  <c r="M157"/>
  <c r="M15" i="4" l="1"/>
  <c r="E30" i="7"/>
  <c r="E29" s="1"/>
  <c r="D429" i="2" l="1"/>
  <c r="E8" i="7" l="1"/>
  <c r="F8"/>
  <c r="G8"/>
  <c r="H8"/>
  <c r="I8"/>
  <c r="J8"/>
  <c r="K8"/>
  <c r="L8"/>
  <c r="E22"/>
  <c r="F22"/>
  <c r="G22"/>
  <c r="H22"/>
  <c r="I22"/>
  <c r="J22"/>
  <c r="K22"/>
  <c r="L22"/>
  <c r="I113" i="6" l="1"/>
  <c r="I108"/>
  <c r="I103"/>
  <c r="E31" l="1"/>
  <c r="G667" i="2" l="1"/>
  <c r="H667"/>
  <c r="I667"/>
  <c r="J667"/>
  <c r="K667"/>
  <c r="L667"/>
  <c r="I19" i="7"/>
  <c r="I137" i="12"/>
  <c r="J137"/>
  <c r="K137"/>
  <c r="L137"/>
  <c r="M137"/>
  <c r="I138"/>
  <c r="J138"/>
  <c r="K138"/>
  <c r="L138"/>
  <c r="M138"/>
  <c r="I139"/>
  <c r="J139"/>
  <c r="K139"/>
  <c r="L139"/>
  <c r="M139"/>
  <c r="I140"/>
  <c r="J140"/>
  <c r="K140"/>
  <c r="L140"/>
  <c r="M140"/>
  <c r="J387"/>
  <c r="K387"/>
  <c r="L387"/>
  <c r="M387"/>
  <c r="J388"/>
  <c r="K388"/>
  <c r="L388"/>
  <c r="M388"/>
  <c r="J389"/>
  <c r="K389"/>
  <c r="L389"/>
  <c r="M389"/>
  <c r="J390"/>
  <c r="K390"/>
  <c r="L390"/>
  <c r="M390"/>
  <c r="G533"/>
  <c r="I533"/>
  <c r="K533"/>
  <c r="L533"/>
  <c r="B530"/>
  <c r="M201" i="9"/>
  <c r="M14" s="1"/>
  <c r="G439" i="12"/>
  <c r="B436"/>
  <c r="B386"/>
  <c r="B136"/>
  <c r="J247"/>
  <c r="K247"/>
  <c r="L247"/>
  <c r="M247"/>
  <c r="J248"/>
  <c r="K248"/>
  <c r="L248"/>
  <c r="M248"/>
  <c r="J249"/>
  <c r="K249"/>
  <c r="L249"/>
  <c r="M249"/>
  <c r="J250"/>
  <c r="K250"/>
  <c r="L250"/>
  <c r="M250"/>
  <c r="B246"/>
  <c r="K127"/>
  <c r="L127"/>
  <c r="K128"/>
  <c r="L128"/>
  <c r="K129"/>
  <c r="L129"/>
  <c r="K130"/>
  <c r="L130"/>
  <c r="B126"/>
  <c r="G78" i="9" l="1"/>
  <c r="F78"/>
  <c r="G75"/>
  <c r="F75"/>
  <c r="G73"/>
  <c r="F73"/>
  <c r="M35" i="8" l="1"/>
  <c r="M15" s="1"/>
  <c r="E19" i="7"/>
  <c r="H19"/>
  <c r="J19"/>
  <c r="K19"/>
  <c r="L19"/>
  <c r="E16"/>
  <c r="F16"/>
  <c r="G16"/>
  <c r="H16"/>
  <c r="I16"/>
  <c r="J16"/>
  <c r="K16"/>
  <c r="L16"/>
  <c r="E156"/>
  <c r="E12" s="1"/>
  <c r="D176"/>
  <c r="D175" s="1"/>
  <c r="K175"/>
  <c r="J175"/>
  <c r="I175"/>
  <c r="H175"/>
  <c r="G175"/>
  <c r="F175"/>
  <c r="E175"/>
  <c r="D174"/>
  <c r="D173" s="1"/>
  <c r="K173"/>
  <c r="J173"/>
  <c r="J172" s="1"/>
  <c r="I173"/>
  <c r="H173"/>
  <c r="G173"/>
  <c r="F173"/>
  <c r="F172" s="1"/>
  <c r="E173"/>
  <c r="D171"/>
  <c r="D170" s="1"/>
  <c r="N170"/>
  <c r="M170"/>
  <c r="K170"/>
  <c r="J170"/>
  <c r="I170"/>
  <c r="H170"/>
  <c r="G170"/>
  <c r="F170"/>
  <c r="E170"/>
  <c r="N169"/>
  <c r="N167" s="1"/>
  <c r="N166" s="1"/>
  <c r="M167"/>
  <c r="M166" s="1"/>
  <c r="D168"/>
  <c r="K167"/>
  <c r="K166" s="1"/>
  <c r="J167"/>
  <c r="I167"/>
  <c r="H167"/>
  <c r="G167"/>
  <c r="F167"/>
  <c r="E167"/>
  <c r="J166"/>
  <c r="D164"/>
  <c r="D163" s="1"/>
  <c r="K163"/>
  <c r="J163"/>
  <c r="I163"/>
  <c r="H163"/>
  <c r="G163"/>
  <c r="F163"/>
  <c r="E163"/>
  <c r="D162"/>
  <c r="D161" s="1"/>
  <c r="K161"/>
  <c r="J161"/>
  <c r="J160" s="1"/>
  <c r="I161"/>
  <c r="H161"/>
  <c r="G161"/>
  <c r="G160" s="1"/>
  <c r="F161"/>
  <c r="F160" s="1"/>
  <c r="E161"/>
  <c r="D159"/>
  <c r="D158" s="1"/>
  <c r="N158"/>
  <c r="M158"/>
  <c r="K158"/>
  <c r="J158"/>
  <c r="I158"/>
  <c r="H158"/>
  <c r="G158"/>
  <c r="F158"/>
  <c r="E158"/>
  <c r="N157"/>
  <c r="N155" s="1"/>
  <c r="N154" s="1"/>
  <c r="M155"/>
  <c r="M154" s="1"/>
  <c r="D156"/>
  <c r="K155"/>
  <c r="K154" s="1"/>
  <c r="J155"/>
  <c r="I155"/>
  <c r="H155"/>
  <c r="G155"/>
  <c r="G154" s="1"/>
  <c r="F155"/>
  <c r="G19"/>
  <c r="F50"/>
  <c r="F19" s="1"/>
  <c r="G45"/>
  <c r="F154" l="1"/>
  <c r="J154"/>
  <c r="E166"/>
  <c r="I166"/>
  <c r="K172"/>
  <c r="K160"/>
  <c r="E160"/>
  <c r="I154"/>
  <c r="G172"/>
  <c r="H166"/>
  <c r="G166"/>
  <c r="F166"/>
  <c r="E172"/>
  <c r="I172"/>
  <c r="I160"/>
  <c r="H154"/>
  <c r="H160"/>
  <c r="E155"/>
  <c r="E154" s="1"/>
  <c r="H172"/>
  <c r="D172"/>
  <c r="D160"/>
  <c r="D169"/>
  <c r="D157"/>
  <c r="D155" s="1"/>
  <c r="D154" s="1"/>
  <c r="G199" i="6"/>
  <c r="F251"/>
  <c r="M251" s="1"/>
  <c r="G250"/>
  <c r="G249" s="1"/>
  <c r="I43"/>
  <c r="H43"/>
  <c r="E43"/>
  <c r="E41" s="1"/>
  <c r="I44"/>
  <c r="H44"/>
  <c r="I47"/>
  <c r="H47"/>
  <c r="E47"/>
  <c r="I48"/>
  <c r="H48"/>
  <c r="I53"/>
  <c r="I52"/>
  <c r="H52"/>
  <c r="E52"/>
  <c r="E50" s="1"/>
  <c r="H53"/>
  <c r="D53" s="1"/>
  <c r="F58"/>
  <c r="K33"/>
  <c r="N33" s="1"/>
  <c r="F37"/>
  <c r="N52" l="1"/>
  <c r="D44"/>
  <c r="D48"/>
  <c r="D33"/>
  <c r="M33"/>
  <c r="D52"/>
  <c r="M199"/>
  <c r="D167" i="7"/>
  <c r="D166" s="1"/>
  <c r="E45" i="6"/>
  <c r="D47"/>
  <c r="G71" i="5"/>
  <c r="G70" s="1"/>
  <c r="G74"/>
  <c r="G73" s="1"/>
  <c r="I29" i="3"/>
  <c r="H29"/>
  <c r="I30"/>
  <c r="H30"/>
  <c r="E30"/>
  <c r="E27" s="1"/>
  <c r="E12" s="1"/>
  <c r="E11" s="1"/>
  <c r="I35"/>
  <c r="H35"/>
  <c r="I36"/>
  <c r="H36"/>
  <c r="N36" s="1"/>
  <c r="E36"/>
  <c r="J42"/>
  <c r="F42"/>
  <c r="F22" s="1"/>
  <c r="I439" i="2"/>
  <c r="H439"/>
  <c r="I440"/>
  <c r="H440"/>
  <c r="I444"/>
  <c r="H444"/>
  <c r="I445"/>
  <c r="H445"/>
  <c r="I433"/>
  <c r="H425"/>
  <c r="N425" s="1"/>
  <c r="E425"/>
  <c r="H430"/>
  <c r="N430" s="1"/>
  <c r="E430"/>
  <c r="E427" s="1"/>
  <c r="E344" s="1"/>
  <c r="E343" s="1"/>
  <c r="N440" l="1"/>
  <c r="N35" i="3"/>
  <c r="N30"/>
  <c r="N439" i="2"/>
  <c r="N29" i="3"/>
  <c r="J22"/>
  <c r="J21" s="1"/>
  <c r="J18" s="1"/>
  <c r="D430" i="2"/>
  <c r="D425"/>
  <c r="E422"/>
  <c r="D35" i="3"/>
  <c r="D29"/>
  <c r="D36"/>
  <c r="E33"/>
  <c r="E16" s="1"/>
  <c r="E15" s="1"/>
  <c r="D30"/>
  <c r="E10" l="1"/>
  <c r="G73" i="8"/>
  <c r="N73" s="1"/>
  <c r="F73"/>
  <c r="F18" s="1"/>
  <c r="G71"/>
  <c r="F71"/>
  <c r="D206" i="9"/>
  <c r="D21" s="1"/>
  <c r="L205"/>
  <c r="K205"/>
  <c r="J205"/>
  <c r="I205"/>
  <c r="H205"/>
  <c r="G205"/>
  <c r="F205"/>
  <c r="E205"/>
  <c r="E199"/>
  <c r="F438" i="12" s="1"/>
  <c r="F199" i="9"/>
  <c r="G438" i="12" s="1"/>
  <c r="G199" i="9"/>
  <c r="H438" i="12" s="1"/>
  <c r="H199" i="9"/>
  <c r="I199"/>
  <c r="J438" i="12" s="1"/>
  <c r="H202" i="9"/>
  <c r="I439" i="12" s="1"/>
  <c r="I202" i="9"/>
  <c r="J202"/>
  <c r="K439" i="12" s="1"/>
  <c r="K202" i="9"/>
  <c r="L439" i="12" s="1"/>
  <c r="L202" i="9"/>
  <c r="E194"/>
  <c r="E195"/>
  <c r="J199"/>
  <c r="K438" i="12" s="1"/>
  <c r="K199" i="9"/>
  <c r="L438" i="12" s="1"/>
  <c r="L199" i="9"/>
  <c r="L198" s="1"/>
  <c r="J195"/>
  <c r="I192"/>
  <c r="J533" i="12" s="1"/>
  <c r="I190" i="9"/>
  <c r="J532" i="12" s="1"/>
  <c r="J190" i="9"/>
  <c r="K190"/>
  <c r="L532" i="12" s="1"/>
  <c r="L190" i="9"/>
  <c r="H190"/>
  <c r="I532" i="12" s="1"/>
  <c r="D207" i="9"/>
  <c r="L207"/>
  <c r="K207"/>
  <c r="L440" i="12" s="1"/>
  <c r="J207" i="9"/>
  <c r="I207"/>
  <c r="H207"/>
  <c r="G207"/>
  <c r="F207"/>
  <c r="G440" i="12" s="1"/>
  <c r="E207" i="9"/>
  <c r="F440" i="12" s="1"/>
  <c r="N203" i="9"/>
  <c r="N202" s="1"/>
  <c r="M203"/>
  <c r="M202" s="1"/>
  <c r="D202"/>
  <c r="G202"/>
  <c r="E202"/>
  <c r="F439" i="12" s="1"/>
  <c r="N200" i="9"/>
  <c r="N199" s="1"/>
  <c r="M200"/>
  <c r="M199" s="1"/>
  <c r="D199"/>
  <c r="E198"/>
  <c r="F437" i="12" s="1"/>
  <c r="D196" i="9"/>
  <c r="D195" s="1"/>
  <c r="D194" s="1"/>
  <c r="L195"/>
  <c r="K195"/>
  <c r="K23" s="1"/>
  <c r="I195"/>
  <c r="H195"/>
  <c r="G195"/>
  <c r="F195"/>
  <c r="N193"/>
  <c r="N192" s="1"/>
  <c r="M193"/>
  <c r="D193"/>
  <c r="D192" s="1"/>
  <c r="M192"/>
  <c r="G192"/>
  <c r="H533" i="12" s="1"/>
  <c r="E192" i="9"/>
  <c r="F533" i="12" s="1"/>
  <c r="N191" i="9"/>
  <c r="N190" s="1"/>
  <c r="M191"/>
  <c r="M190" s="1"/>
  <c r="M189" s="1"/>
  <c r="D191"/>
  <c r="D190" s="1"/>
  <c r="G190"/>
  <c r="H532" i="12" s="1"/>
  <c r="F190" i="9"/>
  <c r="G532" i="12" s="1"/>
  <c r="E190" i="9"/>
  <c r="F532" i="12" s="1"/>
  <c r="F189" i="9"/>
  <c r="I23" l="1"/>
  <c r="F198"/>
  <c r="G437" i="12" s="1"/>
  <c r="E189" i="9"/>
  <c r="F531" i="12" s="1"/>
  <c r="F498" s="1"/>
  <c r="K198" i="9"/>
  <c r="L437" i="12" s="1"/>
  <c r="D198" i="9"/>
  <c r="J198"/>
  <c r="K437" i="12" s="1"/>
  <c r="C38" i="10"/>
  <c r="L194" i="9"/>
  <c r="L23"/>
  <c r="J189"/>
  <c r="K532" i="12"/>
  <c r="E532" s="1"/>
  <c r="J23" i="9"/>
  <c r="I198"/>
  <c r="J437" i="12" s="1"/>
  <c r="J439"/>
  <c r="H198" i="9"/>
  <c r="I437" i="12" s="1"/>
  <c r="I438"/>
  <c r="D205" i="9"/>
  <c r="G531" i="12"/>
  <c r="G498" s="1"/>
  <c r="E533"/>
  <c r="G198" i="9"/>
  <c r="H437" i="12" s="1"/>
  <c r="H439"/>
  <c r="I189" i="9"/>
  <c r="F534" i="12"/>
  <c r="F499" s="1"/>
  <c r="E23" i="9"/>
  <c r="G194"/>
  <c r="H534" i="12"/>
  <c r="H499" s="1"/>
  <c r="H554" s="1"/>
  <c r="H552" s="1"/>
  <c r="I194" i="9"/>
  <c r="J534" i="12"/>
  <c r="L189" i="9"/>
  <c r="J38" i="10" s="1"/>
  <c r="G204" i="9"/>
  <c r="H440" i="12"/>
  <c r="I204" i="9"/>
  <c r="J440" i="12"/>
  <c r="J194" i="9"/>
  <c r="K534" i="12"/>
  <c r="F194" i="9"/>
  <c r="G534" i="12"/>
  <c r="H194" i="9"/>
  <c r="I534" i="12"/>
  <c r="K194" i="9"/>
  <c r="L534" i="12"/>
  <c r="L499" s="1"/>
  <c r="L554" s="1"/>
  <c r="H204" i="9"/>
  <c r="I440" i="12"/>
  <c r="J204" i="9"/>
  <c r="K440" i="12"/>
  <c r="F204" i="9"/>
  <c r="L204"/>
  <c r="K204"/>
  <c r="E204"/>
  <c r="C39" i="10" s="1"/>
  <c r="D204" i="9"/>
  <c r="M198"/>
  <c r="N198"/>
  <c r="D189"/>
  <c r="N189"/>
  <c r="F91"/>
  <c r="G99"/>
  <c r="F99"/>
  <c r="D38" i="10" l="1"/>
  <c r="E437" i="12"/>
  <c r="F39" i="10"/>
  <c r="H39"/>
  <c r="G38"/>
  <c r="J531" i="12"/>
  <c r="J498" s="1"/>
  <c r="H38" i="10"/>
  <c r="K531" i="12"/>
  <c r="K498" s="1"/>
  <c r="I39" i="10"/>
  <c r="D39"/>
  <c r="G39"/>
  <c r="G189" i="9"/>
  <c r="E38" i="10" s="1"/>
  <c r="E39"/>
  <c r="J39"/>
  <c r="E534" i="12"/>
  <c r="C533" s="1"/>
  <c r="H531"/>
  <c r="H498" s="1"/>
  <c r="K189" i="9"/>
  <c r="I38" i="10" s="1"/>
  <c r="H189" i="9"/>
  <c r="F38" i="10" s="1"/>
  <c r="G94" i="9"/>
  <c r="F94"/>
  <c r="G91"/>
  <c r="K39" i="10" l="1"/>
  <c r="I531" i="12"/>
  <c r="I498" s="1"/>
  <c r="M38" i="10"/>
  <c r="L531" i="12"/>
  <c r="L498" s="1"/>
  <c r="K38" i="10"/>
  <c r="G38" i="13"/>
  <c r="L38" i="10" l="1"/>
  <c r="E531" i="12"/>
  <c r="D530" s="1"/>
  <c r="G27" i="13"/>
  <c r="G36"/>
  <c r="G29"/>
  <c r="G134" i="9" l="1"/>
  <c r="F134"/>
  <c r="H18" i="7" l="1"/>
  <c r="I18"/>
  <c r="J18"/>
  <c r="L18"/>
  <c r="E11"/>
  <c r="H11"/>
  <c r="J11"/>
  <c r="L11"/>
  <c r="E18"/>
  <c r="F18"/>
  <c r="K18"/>
  <c r="I11"/>
  <c r="D150"/>
  <c r="D20" s="1"/>
  <c r="E148"/>
  <c r="F148"/>
  <c r="G148"/>
  <c r="H148"/>
  <c r="I148"/>
  <c r="J148"/>
  <c r="K148"/>
  <c r="E141"/>
  <c r="F141"/>
  <c r="G141"/>
  <c r="H141"/>
  <c r="I141"/>
  <c r="J141"/>
  <c r="K141"/>
  <c r="L141"/>
  <c r="D144"/>
  <c r="D14" s="1"/>
  <c r="D152"/>
  <c r="D151" s="1"/>
  <c r="K151"/>
  <c r="K147" s="1"/>
  <c r="J151"/>
  <c r="I151"/>
  <c r="H151"/>
  <c r="G151"/>
  <c r="F151"/>
  <c r="E151"/>
  <c r="D149"/>
  <c r="D146"/>
  <c r="D145" s="1"/>
  <c r="N145"/>
  <c r="M145"/>
  <c r="K145"/>
  <c r="K140" s="1"/>
  <c r="J145"/>
  <c r="I145"/>
  <c r="I140" s="1"/>
  <c r="H145"/>
  <c r="G145"/>
  <c r="F145"/>
  <c r="E145"/>
  <c r="E140" s="1"/>
  <c r="M141"/>
  <c r="M140" s="1"/>
  <c r="D143"/>
  <c r="D142"/>
  <c r="E7"/>
  <c r="H7"/>
  <c r="I7"/>
  <c r="J7"/>
  <c r="L7"/>
  <c r="F39"/>
  <c r="F38" s="1"/>
  <c r="D40"/>
  <c r="D39" s="1"/>
  <c r="D38" s="1"/>
  <c r="G39"/>
  <c r="G38" s="1"/>
  <c r="D37"/>
  <c r="D36" s="1"/>
  <c r="G34"/>
  <c r="G33" s="1"/>
  <c r="M35"/>
  <c r="D35"/>
  <c r="D13" s="1"/>
  <c r="I34"/>
  <c r="H34"/>
  <c r="F34"/>
  <c r="F33" s="1"/>
  <c r="E34"/>
  <c r="E33" s="1"/>
  <c r="I33"/>
  <c r="H33"/>
  <c r="L96" i="3"/>
  <c r="L23" s="1"/>
  <c r="L91"/>
  <c r="L88"/>
  <c r="H45" i="2"/>
  <c r="I45"/>
  <c r="J45"/>
  <c r="K45"/>
  <c r="L45"/>
  <c r="H38"/>
  <c r="I38"/>
  <c r="J38"/>
  <c r="K38"/>
  <c r="L38"/>
  <c r="N231"/>
  <c r="N230" s="1"/>
  <c r="G45"/>
  <c r="G38"/>
  <c r="G176"/>
  <c r="F176"/>
  <c r="H262"/>
  <c r="I390" i="12" s="1"/>
  <c r="H257" i="2"/>
  <c r="I389" i="12" s="1"/>
  <c r="H254" i="2"/>
  <c r="I388" i="12" s="1"/>
  <c r="D263" i="2"/>
  <c r="D262" s="1"/>
  <c r="G262"/>
  <c r="H390" i="12" s="1"/>
  <c r="E262" i="2"/>
  <c r="F390" i="12" s="1"/>
  <c r="D261" i="2"/>
  <c r="D260" s="1"/>
  <c r="G260"/>
  <c r="F260"/>
  <c r="E260"/>
  <c r="N258"/>
  <c r="N257" s="1"/>
  <c r="D258"/>
  <c r="D257" s="1"/>
  <c r="G257"/>
  <c r="H389" i="12" s="1"/>
  <c r="E257" i="2"/>
  <c r="F389" i="12" s="1"/>
  <c r="N256" i="2"/>
  <c r="M256"/>
  <c r="D256"/>
  <c r="N255"/>
  <c r="N254" s="1"/>
  <c r="D255"/>
  <c r="G254"/>
  <c r="E254"/>
  <c r="F388" i="12" s="1"/>
  <c r="G564" i="2"/>
  <c r="G563" s="1"/>
  <c r="F565"/>
  <c r="F140" i="7" l="1"/>
  <c r="E147"/>
  <c r="I147"/>
  <c r="L21" i="3"/>
  <c r="L18" s="1"/>
  <c r="J140" i="7"/>
  <c r="M174" i="2"/>
  <c r="D254"/>
  <c r="D253" s="1"/>
  <c r="M171"/>
  <c r="M170" s="1"/>
  <c r="G21" i="3"/>
  <c r="G18" s="1"/>
  <c r="N88"/>
  <c r="E253" i="2"/>
  <c r="F387" i="12" s="1"/>
  <c r="D148" i="7"/>
  <c r="D147" s="1"/>
  <c r="G147"/>
  <c r="G140"/>
  <c r="H140"/>
  <c r="H259" i="2"/>
  <c r="N171"/>
  <c r="N170" s="1"/>
  <c r="M34" i="7"/>
  <c r="M33" s="1"/>
  <c r="M8"/>
  <c r="G253" i="2"/>
  <c r="H387" i="12" s="1"/>
  <c r="H388"/>
  <c r="H253" i="2"/>
  <c r="I387" i="12" s="1"/>
  <c r="D34" i="7"/>
  <c r="D33" s="1"/>
  <c r="D8"/>
  <c r="M67" i="3"/>
  <c r="M64"/>
  <c r="G18" i="7"/>
  <c r="J147"/>
  <c r="H147"/>
  <c r="F147"/>
  <c r="D141"/>
  <c r="D140" s="1"/>
  <c r="N143"/>
  <c r="N141" s="1"/>
  <c r="N140" s="1"/>
  <c r="N35"/>
  <c r="N34" s="1"/>
  <c r="N33" s="1"/>
  <c r="G259" i="2"/>
  <c r="E259"/>
  <c r="D259"/>
  <c r="N253"/>
  <c r="M255"/>
  <c r="M254" s="1"/>
  <c r="M258"/>
  <c r="M257" s="1"/>
  <c r="F254"/>
  <c r="G388" i="12" s="1"/>
  <c r="F257" i="2"/>
  <c r="G389" i="12" s="1"/>
  <c r="F262" i="2"/>
  <c r="G364"/>
  <c r="H158" i="12" s="1"/>
  <c r="G366" i="2"/>
  <c r="H159" i="12" s="1"/>
  <c r="G363" i="2" l="1"/>
  <c r="H157" i="12" s="1"/>
  <c r="F259" i="2"/>
  <c r="G390" i="12"/>
  <c r="F253" i="2"/>
  <c r="G387" i="12" s="1"/>
  <c r="M253" i="2"/>
  <c r="K608" i="12"/>
  <c r="K607"/>
  <c r="L607"/>
  <c r="J605"/>
  <c r="K605"/>
  <c r="L605"/>
  <c r="J604"/>
  <c r="K604"/>
  <c r="J603"/>
  <c r="K603"/>
  <c r="L601"/>
  <c r="M601"/>
  <c r="G100" i="13" l="1"/>
  <c r="N100" s="1"/>
  <c r="F100"/>
  <c r="M215" i="6" l="1"/>
  <c r="M219"/>
  <c r="M216"/>
  <c r="F156" i="3" l="1"/>
  <c r="G153"/>
  <c r="F153"/>
  <c r="F152"/>
  <c r="D152" s="1"/>
  <c r="F151"/>
  <c r="F146"/>
  <c r="I143"/>
  <c r="H143"/>
  <c r="H141"/>
  <c r="G141"/>
  <c r="F141"/>
  <c r="F139"/>
  <c r="F23" l="1"/>
  <c r="D153"/>
  <c r="D143"/>
  <c r="D140"/>
  <c r="D142"/>
  <c r="D151"/>
  <c r="D139"/>
  <c r="D141"/>
  <c r="D85" i="8"/>
  <c r="D84" s="1"/>
  <c r="D83" s="1"/>
  <c r="H84"/>
  <c r="I250" i="12" s="1"/>
  <c r="G84" i="8"/>
  <c r="H250" i="12" s="1"/>
  <c r="F84" i="8"/>
  <c r="G250" i="12" s="1"/>
  <c r="E84" i="8"/>
  <c r="F250" i="12" s="1"/>
  <c r="H83" i="8"/>
  <c r="G83"/>
  <c r="N82"/>
  <c r="N81" s="1"/>
  <c r="M82"/>
  <c r="M81" s="1"/>
  <c r="D82"/>
  <c r="D81" s="1"/>
  <c r="H81"/>
  <c r="I249" i="12" s="1"/>
  <c r="G81" i="8"/>
  <c r="H249" i="12" s="1"/>
  <c r="F81" i="8"/>
  <c r="G249" i="12" s="1"/>
  <c r="E81" i="8"/>
  <c r="F249" i="12" s="1"/>
  <c r="N80" i="8"/>
  <c r="N79" s="1"/>
  <c r="M80"/>
  <c r="M79" s="1"/>
  <c r="D80"/>
  <c r="D79" s="1"/>
  <c r="H79"/>
  <c r="I248" i="12" s="1"/>
  <c r="G79" i="8"/>
  <c r="H248" i="12" s="1"/>
  <c r="F79" i="8"/>
  <c r="G248" i="12" s="1"/>
  <c r="E79" i="8"/>
  <c r="F248" i="12" s="1"/>
  <c r="J10" i="8"/>
  <c r="K10"/>
  <c r="L10"/>
  <c r="F20"/>
  <c r="G20"/>
  <c r="H20"/>
  <c r="I20"/>
  <c r="J20"/>
  <c r="K20"/>
  <c r="L20"/>
  <c r="D76"/>
  <c r="I75"/>
  <c r="J130" i="12" s="1"/>
  <c r="H75" i="8"/>
  <c r="I130" i="12" s="1"/>
  <c r="G75" i="8"/>
  <c r="H130" i="12" s="1"/>
  <c r="F75" i="8"/>
  <c r="G130" i="12" s="1"/>
  <c r="E75" i="8"/>
  <c r="F130" i="12" s="1"/>
  <c r="H74" i="8"/>
  <c r="H145" s="1"/>
  <c r="N72"/>
  <c r="M73"/>
  <c r="M72" s="1"/>
  <c r="D73"/>
  <c r="D72" s="1"/>
  <c r="I72"/>
  <c r="J129" i="12" s="1"/>
  <c r="H72" i="8"/>
  <c r="I129" i="12" s="1"/>
  <c r="G72" i="8"/>
  <c r="H129" i="12" s="1"/>
  <c r="F72" i="8"/>
  <c r="G129" i="12" s="1"/>
  <c r="E72" i="8"/>
  <c r="F129" i="12" s="1"/>
  <c r="N71" i="8"/>
  <c r="N70" s="1"/>
  <c r="M71"/>
  <c r="D71"/>
  <c r="I70"/>
  <c r="J128" i="12" s="1"/>
  <c r="H70" i="8"/>
  <c r="I128" i="12" s="1"/>
  <c r="G70" i="8"/>
  <c r="H128" i="12" s="1"/>
  <c r="F70" i="8"/>
  <c r="G128" i="12" s="1"/>
  <c r="E70" i="8"/>
  <c r="D106"/>
  <c r="E106"/>
  <c r="F106"/>
  <c r="G106"/>
  <c r="H106"/>
  <c r="I106"/>
  <c r="J106"/>
  <c r="D29" l="1"/>
  <c r="F128" i="12"/>
  <c r="E69" i="8"/>
  <c r="F127" i="12" s="1"/>
  <c r="D75" i="8"/>
  <c r="D74" s="1"/>
  <c r="D145" s="1"/>
  <c r="H78"/>
  <c r="I247" i="12" s="1"/>
  <c r="G78" i="8"/>
  <c r="H247" i="12" s="1"/>
  <c r="I69" i="8"/>
  <c r="I10" s="1"/>
  <c r="F74"/>
  <c r="F145" s="1"/>
  <c r="G69"/>
  <c r="H127" i="12" s="1"/>
  <c r="E74" i="8"/>
  <c r="E145" s="1"/>
  <c r="I74"/>
  <c r="I145" s="1"/>
  <c r="N106"/>
  <c r="E78"/>
  <c r="F247" i="12" s="1"/>
  <c r="G74" i="8"/>
  <c r="G145" s="1"/>
  <c r="F83"/>
  <c r="N78"/>
  <c r="D78"/>
  <c r="F78"/>
  <c r="G247" i="12" s="1"/>
  <c r="M78" i="8"/>
  <c r="E83"/>
  <c r="N69"/>
  <c r="F69"/>
  <c r="G607" i="12" s="1"/>
  <c r="H69" i="8"/>
  <c r="I607" i="12" s="1"/>
  <c r="J127"/>
  <c r="J607"/>
  <c r="M70" i="8"/>
  <c r="M69" s="1"/>
  <c r="D70"/>
  <c r="D69" s="1"/>
  <c r="K52"/>
  <c r="K23" s="1"/>
  <c r="K49"/>
  <c r="K18" s="1"/>
  <c r="K47"/>
  <c r="K14" s="1"/>
  <c r="G52"/>
  <c r="G49"/>
  <c r="G47"/>
  <c r="G14" s="1"/>
  <c r="G18" l="1"/>
  <c r="N49"/>
  <c r="I127" i="12"/>
  <c r="G23" i="8"/>
  <c r="D52"/>
  <c r="D23" s="1"/>
  <c r="H607" i="12"/>
  <c r="G127"/>
  <c r="F568" i="2"/>
  <c r="E565"/>
  <c r="E251" i="6"/>
  <c r="K21" i="10"/>
  <c r="M21"/>
  <c r="L21"/>
  <c r="M15"/>
  <c r="L15"/>
  <c r="M11"/>
  <c r="L11"/>
  <c r="M9"/>
  <c r="L9"/>
  <c r="M51" i="5"/>
  <c r="M31"/>
  <c r="M29"/>
  <c r="G17" i="10"/>
  <c r="H17"/>
  <c r="I17"/>
  <c r="J17"/>
  <c r="G18"/>
  <c r="H18"/>
  <c r="I18"/>
  <c r="J18"/>
  <c r="L13" i="9"/>
  <c r="E20"/>
  <c r="E19" s="1"/>
  <c r="F20"/>
  <c r="F19" s="1"/>
  <c r="G20"/>
  <c r="G19" s="1"/>
  <c r="H20"/>
  <c r="H19" s="1"/>
  <c r="I20"/>
  <c r="I19" s="1"/>
  <c r="J20"/>
  <c r="J19" s="1"/>
  <c r="K20"/>
  <c r="K19" s="1"/>
  <c r="L20"/>
  <c r="L19" s="1"/>
  <c r="E22"/>
  <c r="E18" s="1"/>
  <c r="I22"/>
  <c r="J22"/>
  <c r="K22"/>
  <c r="L22"/>
  <c r="E15" i="8"/>
  <c r="F15"/>
  <c r="G15"/>
  <c r="H15"/>
  <c r="I15"/>
  <c r="J15"/>
  <c r="K15"/>
  <c r="L15"/>
  <c r="G16"/>
  <c r="H16"/>
  <c r="I16"/>
  <c r="J16"/>
  <c r="K16"/>
  <c r="L16"/>
  <c r="E20"/>
  <c r="E16" s="1"/>
  <c r="E25"/>
  <c r="F25"/>
  <c r="G25"/>
  <c r="H25"/>
  <c r="I25"/>
  <c r="J25"/>
  <c r="K25"/>
  <c r="L25"/>
  <c r="E31"/>
  <c r="E28" s="1"/>
  <c r="F31"/>
  <c r="H31"/>
  <c r="H28" s="1"/>
  <c r="I31"/>
  <c r="I28" s="1"/>
  <c r="J31"/>
  <c r="J28" s="1"/>
  <c r="K31"/>
  <c r="K28" s="1"/>
  <c r="L31"/>
  <c r="L28" s="1"/>
  <c r="G54"/>
  <c r="G51"/>
  <c r="G48"/>
  <c r="G46"/>
  <c r="G13" s="1"/>
  <c r="V66" i="4"/>
  <c r="L64"/>
  <c r="G64"/>
  <c r="H64"/>
  <c r="I64"/>
  <c r="J64"/>
  <c r="K64"/>
  <c r="F64"/>
  <c r="M18"/>
  <c r="E15"/>
  <c r="F15"/>
  <c r="G15"/>
  <c r="H15"/>
  <c r="I15"/>
  <c r="J15"/>
  <c r="K15"/>
  <c r="E16"/>
  <c r="F16"/>
  <c r="G16"/>
  <c r="D67" i="1" s="1"/>
  <c r="H16" i="4"/>
  <c r="E67" i="1" s="1"/>
  <c r="I16" i="4"/>
  <c r="F67" i="1" s="1"/>
  <c r="J16" i="4"/>
  <c r="G67" i="1" s="1"/>
  <c r="K16" i="4"/>
  <c r="H67" i="1" s="1"/>
  <c r="L16" i="4"/>
  <c r="I67" i="1" s="1"/>
  <c r="E17" i="4"/>
  <c r="F17"/>
  <c r="G17"/>
  <c r="H17"/>
  <c r="I17"/>
  <c r="J17"/>
  <c r="G68" i="1" s="1"/>
  <c r="K17" i="4"/>
  <c r="L17"/>
  <c r="I68" i="1" s="1"/>
  <c r="E18" i="4"/>
  <c r="F18"/>
  <c r="G18"/>
  <c r="H18"/>
  <c r="I18"/>
  <c r="J18"/>
  <c r="K18"/>
  <c r="E20"/>
  <c r="F20"/>
  <c r="G20"/>
  <c r="H20"/>
  <c r="I20"/>
  <c r="J20"/>
  <c r="K20"/>
  <c r="L20"/>
  <c r="E21"/>
  <c r="F21"/>
  <c r="G21"/>
  <c r="H21"/>
  <c r="I21"/>
  <c r="J21"/>
  <c r="K21"/>
  <c r="L21"/>
  <c r="E25"/>
  <c r="F25"/>
  <c r="G25"/>
  <c r="H25"/>
  <c r="I25"/>
  <c r="J25"/>
  <c r="K25"/>
  <c r="L25"/>
  <c r="E26"/>
  <c r="F26"/>
  <c r="G26"/>
  <c r="H26"/>
  <c r="I26"/>
  <c r="J26"/>
  <c r="K26"/>
  <c r="L26"/>
  <c r="E27"/>
  <c r="F27"/>
  <c r="G27"/>
  <c r="H27"/>
  <c r="I27"/>
  <c r="J27"/>
  <c r="K27"/>
  <c r="L27"/>
  <c r="M11"/>
  <c r="E11"/>
  <c r="F11"/>
  <c r="G11"/>
  <c r="H11"/>
  <c r="I11"/>
  <c r="J11"/>
  <c r="K11"/>
  <c r="L11"/>
  <c r="E12"/>
  <c r="F12"/>
  <c r="G12"/>
  <c r="H12"/>
  <c r="I12"/>
  <c r="J12"/>
  <c r="K12"/>
  <c r="L12"/>
  <c r="K18" i="9" l="1"/>
  <c r="I18"/>
  <c r="J18"/>
  <c r="L18"/>
  <c r="M13"/>
  <c r="G45" i="8"/>
  <c r="G44" s="1"/>
  <c r="G9" s="1"/>
  <c r="G12"/>
  <c r="G11" s="1"/>
  <c r="N13" i="9"/>
  <c r="K24" i="4"/>
  <c r="I24"/>
  <c r="I23" s="1"/>
  <c r="G24"/>
  <c r="E24"/>
  <c r="E23" s="1"/>
  <c r="L24"/>
  <c r="J24"/>
  <c r="J23" s="1"/>
  <c r="H24"/>
  <c r="F24"/>
  <c r="F23" s="1"/>
  <c r="L14"/>
  <c r="L13" s="1"/>
  <c r="J14"/>
  <c r="H14"/>
  <c r="H13" s="1"/>
  <c r="K14"/>
  <c r="I14"/>
  <c r="I13" s="1"/>
  <c r="G14"/>
  <c r="G13" s="1"/>
  <c r="E14"/>
  <c r="E13" s="1"/>
  <c r="E13" i="10"/>
  <c r="K22" i="8"/>
  <c r="I22"/>
  <c r="I21" s="1"/>
  <c r="E22"/>
  <c r="E21" s="1"/>
  <c r="I12"/>
  <c r="I11" s="1"/>
  <c r="E12"/>
  <c r="E11" s="1"/>
  <c r="L22"/>
  <c r="L21" s="1"/>
  <c r="J22"/>
  <c r="J21" s="1"/>
  <c r="H22"/>
  <c r="H21" s="1"/>
  <c r="L12"/>
  <c r="L11" s="1"/>
  <c r="G22"/>
  <c r="H12"/>
  <c r="H11" s="1"/>
  <c r="F14" i="4"/>
  <c r="F13" s="1"/>
  <c r="K12" i="8"/>
  <c r="K11" s="1"/>
  <c r="J12"/>
  <c r="J11" s="1"/>
  <c r="G50"/>
  <c r="G144" s="1"/>
  <c r="E10" i="9"/>
  <c r="K21" i="8"/>
  <c r="L23" i="4"/>
  <c r="H23"/>
  <c r="K23"/>
  <c r="G23"/>
  <c r="K13"/>
  <c r="J13"/>
  <c r="O13" i="10" l="1"/>
  <c r="E14"/>
  <c r="E365" i="2"/>
  <c r="H41"/>
  <c r="J41"/>
  <c r="K41"/>
  <c r="L41"/>
  <c r="G138"/>
  <c r="E143"/>
  <c r="F143"/>
  <c r="E140"/>
  <c r="F140"/>
  <c r="F45" s="1"/>
  <c r="E136"/>
  <c r="E133"/>
  <c r="F133"/>
  <c r="F38" s="1"/>
  <c r="E131"/>
  <c r="E90"/>
  <c r="E88"/>
  <c r="E85"/>
  <c r="E83"/>
  <c r="E38" s="1"/>
  <c r="E82"/>
  <c r="E37" l="1"/>
  <c r="E42"/>
  <c r="E41" s="1"/>
  <c r="E51"/>
  <c r="E49" s="1"/>
  <c r="E45"/>
  <c r="E44" s="1"/>
  <c r="K44"/>
  <c r="K43" s="1"/>
  <c r="I44"/>
  <c r="K36"/>
  <c r="K35" s="1"/>
  <c r="L44"/>
  <c r="L43" s="1"/>
  <c r="J44"/>
  <c r="J43" s="1"/>
  <c r="H44"/>
  <c r="H43" s="1"/>
  <c r="L36"/>
  <c r="L35" s="1"/>
  <c r="J36"/>
  <c r="J35" s="1"/>
  <c r="H36"/>
  <c r="H35" s="1"/>
  <c r="E36" l="1"/>
  <c r="E35" s="1"/>
  <c r="E43"/>
  <c r="M100" i="13"/>
  <c r="M99" s="1"/>
  <c r="M98" s="1"/>
  <c r="M96"/>
  <c r="M95" s="1"/>
  <c r="M94" s="1"/>
  <c r="M85"/>
  <c r="M76"/>
  <c r="M75" s="1"/>
  <c r="M74"/>
  <c r="M73" s="1"/>
  <c r="M60"/>
  <c r="M47"/>
  <c r="M46" s="1"/>
  <c r="M44"/>
  <c r="M38"/>
  <c r="M37" s="1"/>
  <c r="M36"/>
  <c r="M35" s="1"/>
  <c r="M29"/>
  <c r="M28" s="1"/>
  <c r="M27"/>
  <c r="M26" s="1"/>
  <c r="M16"/>
  <c r="M252" i="9"/>
  <c r="M251" s="1"/>
  <c r="M248"/>
  <c r="M247" s="1"/>
  <c r="M245"/>
  <c r="M244" s="1"/>
  <c r="M243" s="1"/>
  <c r="M184"/>
  <c r="M183"/>
  <c r="M180"/>
  <c r="M179"/>
  <c r="M171"/>
  <c r="M170" s="1"/>
  <c r="M169"/>
  <c r="M168" s="1"/>
  <c r="M162"/>
  <c r="M161"/>
  <c r="M158"/>
  <c r="M157"/>
  <c r="M149"/>
  <c r="M148" s="1"/>
  <c r="M147"/>
  <c r="M146" s="1"/>
  <c r="M140"/>
  <c r="M139" s="1"/>
  <c r="M138"/>
  <c r="M137" s="1"/>
  <c r="M129"/>
  <c r="M128" s="1"/>
  <c r="M125"/>
  <c r="M124" s="1"/>
  <c r="M118"/>
  <c r="M117" s="1"/>
  <c r="M116"/>
  <c r="M115" s="1"/>
  <c r="M92"/>
  <c r="M84"/>
  <c r="M83" s="1"/>
  <c r="M82"/>
  <c r="M81" s="1"/>
  <c r="M133" i="8"/>
  <c r="M132" s="1"/>
  <c r="M131" s="1"/>
  <c r="M125"/>
  <c r="M124"/>
  <c r="M132" i="7"/>
  <c r="M131"/>
  <c r="M129" s="1"/>
  <c r="M128" s="1"/>
  <c r="M120"/>
  <c r="M108"/>
  <c r="M107"/>
  <c r="M105" s="1"/>
  <c r="M104" s="1"/>
  <c r="M82"/>
  <c r="M81"/>
  <c r="M79" s="1"/>
  <c r="M78" s="1"/>
  <c r="M70"/>
  <c r="M68"/>
  <c r="M67" s="1"/>
  <c r="M66" s="1"/>
  <c r="M58"/>
  <c r="M56"/>
  <c r="M55" s="1"/>
  <c r="M54" s="1"/>
  <c r="M46"/>
  <c r="M15"/>
  <c r="M260" i="6"/>
  <c r="M259"/>
  <c r="M250"/>
  <c r="M249" s="1"/>
  <c r="M230"/>
  <c r="M229" s="1"/>
  <c r="M228"/>
  <c r="M218"/>
  <c r="M214"/>
  <c r="M173"/>
  <c r="M129"/>
  <c r="M120"/>
  <c r="M102"/>
  <c r="M17" s="1"/>
  <c r="M101"/>
  <c r="M99"/>
  <c r="M87"/>
  <c r="M86" s="1"/>
  <c r="M85"/>
  <c r="M84" s="1"/>
  <c r="M65"/>
  <c r="M64" s="1"/>
  <c r="M63"/>
  <c r="M62"/>
  <c r="M53"/>
  <c r="M52"/>
  <c r="M48"/>
  <c r="M47"/>
  <c r="M44"/>
  <c r="M43"/>
  <c r="M64" i="4"/>
  <c r="M55"/>
  <c r="M54" s="1"/>
  <c r="M53" s="1"/>
  <c r="M50"/>
  <c r="M49"/>
  <c r="M48" s="1"/>
  <c r="M45"/>
  <c r="M44"/>
  <c r="M43" s="1"/>
  <c r="M35"/>
  <c r="M20" s="1"/>
  <c r="M33"/>
  <c r="M101" i="3"/>
  <c r="M89"/>
  <c r="M79"/>
  <c r="M78" s="1"/>
  <c r="M77"/>
  <c r="M76"/>
  <c r="M66"/>
  <c r="M65"/>
  <c r="M63" s="1"/>
  <c r="M50"/>
  <c r="M37"/>
  <c r="M36"/>
  <c r="M35"/>
  <c r="M31"/>
  <c r="M30"/>
  <c r="M29"/>
  <c r="M656" i="2"/>
  <c r="M655" s="1"/>
  <c r="M654" s="1"/>
  <c r="M652"/>
  <c r="M651" s="1"/>
  <c r="M650" s="1"/>
  <c r="M644"/>
  <c r="M624"/>
  <c r="M623" s="1"/>
  <c r="M622" s="1"/>
  <c r="M620"/>
  <c r="M619" s="1"/>
  <c r="M618" s="1"/>
  <c r="M613"/>
  <c r="M612"/>
  <c r="M605"/>
  <c r="M604"/>
  <c r="M580"/>
  <c r="M579" s="1"/>
  <c r="M578" s="1"/>
  <c r="M573"/>
  <c r="M572"/>
  <c r="M571" s="1"/>
  <c r="M570" s="1"/>
  <c r="M558"/>
  <c r="M557"/>
  <c r="M553"/>
  <c r="M552" s="1"/>
  <c r="M551" s="1"/>
  <c r="M542"/>
  <c r="M506"/>
  <c r="M505" s="1"/>
  <c r="M504"/>
  <c r="M503" s="1"/>
  <c r="M488"/>
  <c r="M487" s="1"/>
  <c r="M486"/>
  <c r="M485" s="1"/>
  <c r="M473"/>
  <c r="M472"/>
  <c r="M470"/>
  <c r="M469"/>
  <c r="M468"/>
  <c r="M445"/>
  <c r="M444"/>
  <c r="M440"/>
  <c r="M439"/>
  <c r="M415"/>
  <c r="M414" s="1"/>
  <c r="M413"/>
  <c r="M412" s="1"/>
  <c r="M406"/>
  <c r="M405" s="1"/>
  <c r="M404"/>
  <c r="M403" s="1"/>
  <c r="M375"/>
  <c r="M356"/>
  <c r="M355" s="1"/>
  <c r="M354"/>
  <c r="M353" s="1"/>
  <c r="M315"/>
  <c r="M332"/>
  <c r="M331" s="1"/>
  <c r="M330"/>
  <c r="M329"/>
  <c r="M244"/>
  <c r="M232"/>
  <c r="M220"/>
  <c r="M120"/>
  <c r="M119" s="1"/>
  <c r="M108"/>
  <c r="M107" s="1"/>
  <c r="M97"/>
  <c r="M96" s="1"/>
  <c r="M95"/>
  <c r="M85"/>
  <c r="M84" s="1"/>
  <c r="M83"/>
  <c r="M73"/>
  <c r="M72" s="1"/>
  <c r="M71"/>
  <c r="M60"/>
  <c r="M58" s="1"/>
  <c r="M57"/>
  <c r="K164" i="1"/>
  <c r="K152"/>
  <c r="K147"/>
  <c r="K146"/>
  <c r="K145"/>
  <c r="K144"/>
  <c r="K143"/>
  <c r="K142"/>
  <c r="K141"/>
  <c r="K140"/>
  <c r="K139"/>
  <c r="K138"/>
  <c r="K137"/>
  <c r="K136"/>
  <c r="M43" i="13" l="1"/>
  <c r="K165" i="1"/>
  <c r="M123" i="8"/>
  <c r="M122" s="1"/>
  <c r="M38" i="6"/>
  <c r="M12" i="4"/>
  <c r="M10" s="1"/>
  <c r="M62" i="3"/>
  <c r="M402" i="2"/>
  <c r="M411"/>
  <c r="M328"/>
  <c r="M327" s="1"/>
  <c r="M467"/>
  <c r="M258" i="6"/>
  <c r="M257" s="1"/>
  <c r="M178" i="9"/>
  <c r="M177" s="1"/>
  <c r="M156"/>
  <c r="M155" s="1"/>
  <c r="M182"/>
  <c r="M181" s="1"/>
  <c r="M556" i="2"/>
  <c r="M555" s="1"/>
  <c r="M61" i="6"/>
  <c r="M60" s="1"/>
  <c r="N550" i="12"/>
  <c r="V65" i="4"/>
  <c r="V67" s="1"/>
  <c r="K148" i="1"/>
  <c r="M83" i="6"/>
  <c r="M471" i="2"/>
  <c r="M31" i="4"/>
  <c r="M30" s="1"/>
  <c r="M34" i="13"/>
  <c r="M25"/>
  <c r="M213" i="6"/>
  <c r="M145" i="9"/>
  <c r="M136"/>
  <c r="M72" i="13"/>
  <c r="M114" i="9"/>
  <c r="M80"/>
  <c r="M123"/>
  <c r="M167"/>
  <c r="M14" i="4"/>
  <c r="M13" s="1"/>
  <c r="M75" i="3"/>
  <c r="M74" s="1"/>
  <c r="M603" i="2"/>
  <c r="M602" s="1"/>
  <c r="M611"/>
  <c r="M610" s="1"/>
  <c r="M484"/>
  <c r="M502"/>
  <c r="M352"/>
  <c r="M132" i="5"/>
  <c r="M131" s="1"/>
  <c r="M122"/>
  <c r="M119"/>
  <c r="M118" s="1"/>
  <c r="M112"/>
  <c r="M111" s="1"/>
  <c r="M110" s="1"/>
  <c r="M94"/>
  <c r="M72"/>
  <c r="M71" s="1"/>
  <c r="M70" s="1"/>
  <c r="M65"/>
  <c r="M64" s="1"/>
  <c r="M63" s="1"/>
  <c r="M58"/>
  <c r="M57" s="1"/>
  <c r="M56" s="1"/>
  <c r="M50"/>
  <c r="M49" s="1"/>
  <c r="M30"/>
  <c r="M28"/>
  <c r="M12"/>
  <c r="E75"/>
  <c r="E72"/>
  <c r="E47"/>
  <c r="M42"/>
  <c r="M41" s="1"/>
  <c r="E42"/>
  <c r="M40"/>
  <c r="M39" s="1"/>
  <c r="E40"/>
  <c r="M466" i="2" l="1"/>
  <c r="M176" i="9"/>
  <c r="M38" i="5"/>
  <c r="M27"/>
  <c r="E346" i="2"/>
  <c r="E348" l="1"/>
  <c r="E342"/>
  <c r="M367" l="1"/>
  <c r="M366" s="1"/>
  <c r="M365"/>
  <c r="M364" s="1"/>
  <c r="M541"/>
  <c r="M540" s="1"/>
  <c r="M539" s="1"/>
  <c r="M565"/>
  <c r="M564" s="1"/>
  <c r="M563" s="1"/>
  <c r="M198"/>
  <c r="M197" s="1"/>
  <c r="M195"/>
  <c r="M194" s="1"/>
  <c r="M150"/>
  <c r="M149" s="1"/>
  <c r="E141"/>
  <c r="E138"/>
  <c r="M136"/>
  <c r="M134" s="1"/>
  <c r="M131"/>
  <c r="M116"/>
  <c r="M115" s="1"/>
  <c r="M114" s="1"/>
  <c r="M106"/>
  <c r="M105" s="1"/>
  <c r="M104" s="1"/>
  <c r="M94"/>
  <c r="M93" s="1"/>
  <c r="M92" s="1"/>
  <c r="M82"/>
  <c r="M81" s="1"/>
  <c r="M80" s="1"/>
  <c r="M70"/>
  <c r="M69" s="1"/>
  <c r="M68" s="1"/>
  <c r="M56"/>
  <c r="M55" s="1"/>
  <c r="M54" s="1"/>
  <c r="M193" l="1"/>
  <c r="E137"/>
  <c r="M363"/>
  <c r="M133"/>
  <c r="M130" s="1"/>
  <c r="M129" s="1"/>
  <c r="M147"/>
  <c r="M146" s="1"/>
  <c r="M145" s="1"/>
  <c r="E149"/>
  <c r="E146"/>
  <c r="E154"/>
  <c r="E151" s="1"/>
  <c r="Q51" i="4"/>
  <c r="N51"/>
  <c r="H157" i="6"/>
  <c r="I157"/>
  <c r="J157"/>
  <c r="K157"/>
  <c r="L157"/>
  <c r="F158"/>
  <c r="F157" s="1"/>
  <c r="G158"/>
  <c r="G157" s="1"/>
  <c r="D159"/>
  <c r="M159" s="1"/>
  <c r="N159"/>
  <c r="H161"/>
  <c r="H160" s="1"/>
  <c r="I161"/>
  <c r="I160" s="1"/>
  <c r="J161"/>
  <c r="J160" s="1"/>
  <c r="K161"/>
  <c r="K160" s="1"/>
  <c r="L161"/>
  <c r="L160" s="1"/>
  <c r="F162"/>
  <c r="F161" s="1"/>
  <c r="G162"/>
  <c r="G161" s="1"/>
  <c r="G160" s="1"/>
  <c r="F164"/>
  <c r="G164"/>
  <c r="H164"/>
  <c r="I164"/>
  <c r="J164"/>
  <c r="K164"/>
  <c r="L164"/>
  <c r="D165"/>
  <c r="H167"/>
  <c r="H166" s="1"/>
  <c r="I167"/>
  <c r="I166" s="1"/>
  <c r="J167"/>
  <c r="J166" s="1"/>
  <c r="K167"/>
  <c r="K166" s="1"/>
  <c r="L167"/>
  <c r="L166" s="1"/>
  <c r="F168"/>
  <c r="F167" s="1"/>
  <c r="G168"/>
  <c r="G167" s="1"/>
  <c r="G166" s="1"/>
  <c r="N173"/>
  <c r="N53"/>
  <c r="N47"/>
  <c r="N48"/>
  <c r="N44"/>
  <c r="N43"/>
  <c r="N85" i="13"/>
  <c r="N74"/>
  <c r="N73" s="1"/>
  <c r="N76"/>
  <c r="N75" s="1"/>
  <c r="N60"/>
  <c r="N38"/>
  <c r="N36"/>
  <c r="N29"/>
  <c r="N27"/>
  <c r="N158" i="6" l="1"/>
  <c r="N162"/>
  <c r="N72" i="13"/>
  <c r="E145" i="2"/>
  <c r="D164" i="6"/>
  <c r="L163"/>
  <c r="F166"/>
  <c r="D166" s="1"/>
  <c r="D167"/>
  <c r="K163"/>
  <c r="I163"/>
  <c r="G163"/>
  <c r="F160"/>
  <c r="F156" s="1"/>
  <c r="D161"/>
  <c r="M161" s="1"/>
  <c r="N161"/>
  <c r="D157"/>
  <c r="M157" s="1"/>
  <c r="N157"/>
  <c r="K156"/>
  <c r="I156"/>
  <c r="J163"/>
  <c r="H163"/>
  <c r="G156"/>
  <c r="L156"/>
  <c r="J156"/>
  <c r="H156"/>
  <c r="D168"/>
  <c r="D162"/>
  <c r="M162" s="1"/>
  <c r="D158"/>
  <c r="M158" s="1"/>
  <c r="D237" i="9"/>
  <c r="N249"/>
  <c r="N245"/>
  <c r="N184"/>
  <c r="N183"/>
  <c r="N180"/>
  <c r="N179"/>
  <c r="N171"/>
  <c r="N169"/>
  <c r="N158"/>
  <c r="N157"/>
  <c r="N149"/>
  <c r="N147"/>
  <c r="N140"/>
  <c r="N138"/>
  <c r="N129"/>
  <c r="N125"/>
  <c r="N118"/>
  <c r="N116"/>
  <c r="N92"/>
  <c r="N84"/>
  <c r="N82"/>
  <c r="N124" i="8"/>
  <c r="N18"/>
  <c r="N47"/>
  <c r="N14" s="1"/>
  <c r="N35"/>
  <c r="N15" s="1"/>
  <c r="N156" i="9" l="1"/>
  <c r="F163" i="6"/>
  <c r="D163" s="1"/>
  <c r="N178" i="9"/>
  <c r="N177" s="1"/>
  <c r="N182"/>
  <c r="N181" s="1"/>
  <c r="D156" i="6"/>
  <c r="M156" s="1"/>
  <c r="N156"/>
  <c r="D160"/>
  <c r="M160" s="1"/>
  <c r="N160"/>
  <c r="N176" i="9" l="1"/>
  <c r="N131" i="7"/>
  <c r="N99" i="6"/>
  <c r="N101"/>
  <c r="N131"/>
  <c r="N130"/>
  <c r="N129"/>
  <c r="E15"/>
  <c r="J15"/>
  <c r="K15"/>
  <c r="L15"/>
  <c r="E16"/>
  <c r="E22"/>
  <c r="H22"/>
  <c r="I22"/>
  <c r="J22"/>
  <c r="K22"/>
  <c r="L22"/>
  <c r="N259"/>
  <c r="N251"/>
  <c r="N230"/>
  <c r="N228"/>
  <c r="N87"/>
  <c r="N85"/>
  <c r="N76"/>
  <c r="N74"/>
  <c r="N65"/>
  <c r="N63"/>
  <c r="N62"/>
  <c r="N40" i="5"/>
  <c r="N42"/>
  <c r="N72"/>
  <c r="N58"/>
  <c r="N56" i="4"/>
  <c r="N55"/>
  <c r="N50"/>
  <c r="N45"/>
  <c r="N46"/>
  <c r="N35"/>
  <c r="N20" s="1"/>
  <c r="N34"/>
  <c r="N18" s="1"/>
  <c r="N33"/>
  <c r="N13" i="3"/>
  <c r="N103"/>
  <c r="N101"/>
  <c r="N100"/>
  <c r="N89"/>
  <c r="N79"/>
  <c r="N77"/>
  <c r="N76"/>
  <c r="N65"/>
  <c r="N656" i="2"/>
  <c r="N652"/>
  <c r="N645"/>
  <c r="N644"/>
  <c r="N637"/>
  <c r="N636"/>
  <c r="N632"/>
  <c r="N592"/>
  <c r="N565"/>
  <c r="N553"/>
  <c r="N542"/>
  <c r="N541"/>
  <c r="N415"/>
  <c r="N413"/>
  <c r="N406"/>
  <c r="N404"/>
  <c r="N397"/>
  <c r="N395"/>
  <c r="N388"/>
  <c r="N386"/>
  <c r="N377"/>
  <c r="N375"/>
  <c r="N374"/>
  <c r="N367"/>
  <c r="N365"/>
  <c r="N315"/>
  <c r="N294"/>
  <c r="N222"/>
  <c r="N220"/>
  <c r="N207"/>
  <c r="N198"/>
  <c r="N195"/>
  <c r="N150"/>
  <c r="N147"/>
  <c r="N136"/>
  <c r="N133"/>
  <c r="N131"/>
  <c r="N120"/>
  <c r="N116"/>
  <c r="N108"/>
  <c r="N106"/>
  <c r="N97"/>
  <c r="N95"/>
  <c r="N94"/>
  <c r="N85"/>
  <c r="N83"/>
  <c r="N82"/>
  <c r="N73"/>
  <c r="N71"/>
  <c r="N70"/>
  <c r="N60"/>
  <c r="N57"/>
  <c r="N56"/>
  <c r="N15" i="4" l="1"/>
  <c r="N11"/>
  <c r="N12"/>
  <c r="M13" i="3"/>
  <c r="K594" i="12" l="1"/>
  <c r="G623"/>
  <c r="G621"/>
  <c r="I132"/>
  <c r="J132"/>
  <c r="K132"/>
  <c r="L132"/>
  <c r="M132"/>
  <c r="I133"/>
  <c r="J133"/>
  <c r="K133"/>
  <c r="L133"/>
  <c r="M133"/>
  <c r="I134"/>
  <c r="J134"/>
  <c r="K134"/>
  <c r="L134"/>
  <c r="M134"/>
  <c r="I135"/>
  <c r="J135"/>
  <c r="K135"/>
  <c r="L135"/>
  <c r="M135"/>
  <c r="B131"/>
  <c r="E449"/>
  <c r="G594" l="1"/>
  <c r="M645" i="2" l="1"/>
  <c r="M643" s="1"/>
  <c r="M642" s="1"/>
  <c r="F632" l="1"/>
  <c r="M632" s="1"/>
  <c r="M631" s="1"/>
  <c r="M630" s="1"/>
  <c r="F60" i="9" l="1"/>
  <c r="N55"/>
  <c r="M55"/>
  <c r="M54" s="1"/>
  <c r="N52"/>
  <c r="N51" s="1"/>
  <c r="M52"/>
  <c r="M51" s="1"/>
  <c r="F48"/>
  <c r="N43"/>
  <c r="M43"/>
  <c r="M42" s="1"/>
  <c r="N40"/>
  <c r="N39" s="1"/>
  <c r="G23"/>
  <c r="G22" s="1"/>
  <c r="G18" s="1"/>
  <c r="F36"/>
  <c r="F23" l="1"/>
  <c r="F22" s="1"/>
  <c r="F18" s="1"/>
  <c r="M50"/>
  <c r="M40"/>
  <c r="M39" s="1"/>
  <c r="M38" s="1"/>
  <c r="M28"/>
  <c r="N28"/>
  <c r="M31"/>
  <c r="M30" s="1"/>
  <c r="H224" i="2"/>
  <c r="H226"/>
  <c r="F227"/>
  <c r="H221"/>
  <c r="H218"/>
  <c r="M222"/>
  <c r="M221" s="1"/>
  <c r="G219"/>
  <c r="G37" s="1"/>
  <c r="N210"/>
  <c r="M210"/>
  <c r="M209" s="1"/>
  <c r="M207"/>
  <c r="G141"/>
  <c r="G137" s="1"/>
  <c r="N174"/>
  <c r="G191"/>
  <c r="F191"/>
  <c r="N186"/>
  <c r="N183"/>
  <c r="G51" l="1"/>
  <c r="G49" s="1"/>
  <c r="N219"/>
  <c r="N27" i="9"/>
  <c r="M27"/>
  <c r="M26" s="1"/>
  <c r="M219" i="2"/>
  <c r="M218" s="1"/>
  <c r="M217" s="1"/>
  <c r="H217"/>
  <c r="M291"/>
  <c r="M290" s="1"/>
  <c r="M208"/>
  <c r="M206" s="1"/>
  <c r="M205" s="1"/>
  <c r="N208"/>
  <c r="N291"/>
  <c r="M183"/>
  <c r="M182" s="1"/>
  <c r="M186"/>
  <c r="M185" s="1"/>
  <c r="M173"/>
  <c r="H223"/>
  <c r="B211" i="12"/>
  <c r="E512"/>
  <c r="E496"/>
  <c r="E495"/>
  <c r="E494"/>
  <c r="E493"/>
  <c r="E486"/>
  <c r="E485"/>
  <c r="E484"/>
  <c r="E475"/>
  <c r="E474"/>
  <c r="E473"/>
  <c r="E472"/>
  <c r="E470"/>
  <c r="E469"/>
  <c r="E468"/>
  <c r="E467"/>
  <c r="E365"/>
  <c r="E364"/>
  <c r="E363"/>
  <c r="E362"/>
  <c r="E380"/>
  <c r="E379"/>
  <c r="E378"/>
  <c r="E228"/>
  <c r="E223"/>
  <c r="E218"/>
  <c r="E183"/>
  <c r="E182"/>
  <c r="E181"/>
  <c r="E180"/>
  <c r="E33"/>
  <c r="C379" l="1"/>
  <c r="M169" i="2"/>
  <c r="M181"/>
  <c r="C364" i="12"/>
  <c r="C182"/>
  <c r="C485"/>
  <c r="C495"/>
  <c r="C469"/>
  <c r="C474"/>
  <c r="J628" i="2" l="1"/>
  <c r="J627"/>
  <c r="I628"/>
  <c r="G628"/>
  <c r="H628"/>
  <c r="J587"/>
  <c r="J586" s="1"/>
  <c r="J585" s="1"/>
  <c r="I587"/>
  <c r="I586" s="1"/>
  <c r="I585" s="1"/>
  <c r="H587"/>
  <c r="N587" l="1"/>
  <c r="M628"/>
  <c r="M627" s="1"/>
  <c r="M626" s="1"/>
  <c r="M587"/>
  <c r="M586" s="1"/>
  <c r="M585" s="1"/>
  <c r="N628"/>
  <c r="J626"/>
  <c r="G150" i="3"/>
  <c r="H150"/>
  <c r="I144" i="12" s="1"/>
  <c r="I150" i="3"/>
  <c r="J144" i="12" s="1"/>
  <c r="J150" i="3"/>
  <c r="K144" i="12" s="1"/>
  <c r="K150" i="3"/>
  <c r="L144" i="12" s="1"/>
  <c r="F150" i="3"/>
  <c r="G144" i="12" s="1"/>
  <c r="H144" l="1"/>
  <c r="M150" i="3"/>
  <c r="M149" s="1"/>
  <c r="M148" s="1"/>
  <c r="N635" i="2"/>
  <c r="M130" i="6" l="1"/>
  <c r="L108"/>
  <c r="L100"/>
  <c r="F104"/>
  <c r="E125"/>
  <c r="E121"/>
  <c r="E102"/>
  <c r="F96"/>
  <c r="D130"/>
  <c r="D129"/>
  <c r="E109"/>
  <c r="E110"/>
  <c r="E100"/>
  <c r="E96" s="1"/>
  <c r="E14" s="1"/>
  <c r="L96" l="1"/>
  <c r="M577" i="12"/>
  <c r="E106" i="6"/>
  <c r="E17"/>
  <c r="N16" i="13" l="1"/>
  <c r="F20"/>
  <c r="D240" i="9"/>
  <c r="D239" s="1"/>
  <c r="D56" i="8"/>
  <c r="D124" i="7"/>
  <c r="D131"/>
  <c r="D44"/>
  <c r="D28"/>
  <c r="D130"/>
  <c r="D263" i="6"/>
  <c r="D260"/>
  <c r="D45" i="5"/>
  <c r="D44" s="1"/>
  <c r="D106" i="3"/>
  <c r="D101"/>
  <c r="D94"/>
  <c r="D89"/>
  <c r="D43"/>
  <c r="D40"/>
  <c r="D37"/>
  <c r="D31"/>
  <c r="D509" i="2"/>
  <c r="D506"/>
  <c r="D504"/>
  <c r="D491"/>
  <c r="D488"/>
  <c r="D486"/>
  <c r="D482"/>
  <c r="D481"/>
  <c r="D480"/>
  <c r="D478"/>
  <c r="D477"/>
  <c r="D476"/>
  <c r="D473"/>
  <c r="D472"/>
  <c r="D470"/>
  <c r="D469"/>
  <c r="D468"/>
  <c r="D445"/>
  <c r="D444"/>
  <c r="D576"/>
  <c r="D573"/>
  <c r="D572"/>
  <c r="D561"/>
  <c r="D558"/>
  <c r="D557"/>
  <c r="D359"/>
  <c r="D356"/>
  <c r="D354"/>
  <c r="D309"/>
  <c r="D337"/>
  <c r="D335"/>
  <c r="D332"/>
  <c r="D330"/>
  <c r="D329"/>
  <c r="D297"/>
  <c r="D292"/>
  <c r="D249"/>
  <c r="D244"/>
  <c r="D237"/>
  <c r="D232"/>
  <c r="D126"/>
  <c r="D124"/>
  <c r="D123"/>
  <c r="D102"/>
  <c r="D65"/>
  <c r="D59"/>
  <c r="D57"/>
  <c r="J42" i="1"/>
  <c r="E182" i="6"/>
  <c r="E181" s="1"/>
  <c r="E179"/>
  <c r="E171"/>
  <c r="E175"/>
  <c r="E174" s="1"/>
  <c r="E144"/>
  <c r="E143" s="1"/>
  <c r="E19" s="1"/>
  <c r="E151"/>
  <c r="E152"/>
  <c r="E23"/>
  <c r="E21" s="1"/>
  <c r="N15" i="1"/>
  <c r="H20" i="10"/>
  <c r="I20"/>
  <c r="J20"/>
  <c r="E150" i="6" l="1"/>
  <c r="E25"/>
  <c r="E24" s="1"/>
  <c r="E20" s="1"/>
  <c r="E13"/>
  <c r="E170"/>
  <c r="E178"/>
  <c r="E142"/>
  <c r="E18"/>
  <c r="E12" l="1"/>
  <c r="E255"/>
  <c r="E23" i="13"/>
  <c r="E21" s="1"/>
  <c r="E20"/>
  <c r="E19" s="1"/>
  <c r="E17"/>
  <c r="E14"/>
  <c r="E13"/>
  <c r="E21" i="7"/>
  <c r="E17" s="1"/>
  <c r="E15"/>
  <c r="E243" i="6"/>
  <c r="E242" s="1"/>
  <c r="E241" s="1"/>
  <c r="E25" i="5"/>
  <c r="E23" s="1"/>
  <c r="E20" s="1"/>
  <c r="E19"/>
  <c r="E17" s="1"/>
  <c r="E15"/>
  <c r="E14" s="1"/>
  <c r="E525" i="2"/>
  <c r="E524"/>
  <c r="E523"/>
  <c r="E522"/>
  <c r="E519"/>
  <c r="E518"/>
  <c r="E517"/>
  <c r="E516"/>
  <c r="E28"/>
  <c r="E15"/>
  <c r="B21" i="1" s="1"/>
  <c r="C35" i="10"/>
  <c r="E99" i="13"/>
  <c r="E98" s="1"/>
  <c r="E95"/>
  <c r="E94" s="1"/>
  <c r="E80"/>
  <c r="E78"/>
  <c r="E75"/>
  <c r="E73"/>
  <c r="E69"/>
  <c r="E67"/>
  <c r="E61"/>
  <c r="E37"/>
  <c r="E35"/>
  <c r="E28"/>
  <c r="E26"/>
  <c r="D100"/>
  <c r="D60"/>
  <c r="D96"/>
  <c r="D81"/>
  <c r="D80" s="1"/>
  <c r="D79"/>
  <c r="D78" s="1"/>
  <c r="D76"/>
  <c r="D75" s="1"/>
  <c r="D74"/>
  <c r="D73" s="1"/>
  <c r="D57"/>
  <c r="D29"/>
  <c r="D27"/>
  <c r="E248" i="9"/>
  <c r="E247" s="1"/>
  <c r="E244"/>
  <c r="E243" s="1"/>
  <c r="E186"/>
  <c r="E181"/>
  <c r="F299" i="12" s="1"/>
  <c r="E177" i="9"/>
  <c r="F298" i="12" s="1"/>
  <c r="E173" i="9"/>
  <c r="E172" s="1"/>
  <c r="E170"/>
  <c r="E168"/>
  <c r="E164"/>
  <c r="E159"/>
  <c r="E155"/>
  <c r="F303" i="12" s="1"/>
  <c r="E151" i="9"/>
  <c r="E148"/>
  <c r="E146"/>
  <c r="E142"/>
  <c r="E139"/>
  <c r="E137"/>
  <c r="E133"/>
  <c r="E128"/>
  <c r="F339" i="12" s="1"/>
  <c r="E124" i="9"/>
  <c r="F338" i="12" s="1"/>
  <c r="E120" i="9"/>
  <c r="E119" s="1"/>
  <c r="E117"/>
  <c r="E115"/>
  <c r="E111"/>
  <c r="E110" s="1"/>
  <c r="E106"/>
  <c r="E102"/>
  <c r="E96"/>
  <c r="E98"/>
  <c r="E93"/>
  <c r="E90"/>
  <c r="F88" i="12" s="1"/>
  <c r="E86" i="9"/>
  <c r="E85" s="1"/>
  <c r="E83"/>
  <c r="E81"/>
  <c r="E77"/>
  <c r="E76" s="1"/>
  <c r="E74"/>
  <c r="E72"/>
  <c r="E68"/>
  <c r="E67" s="1"/>
  <c r="E65"/>
  <c r="E63"/>
  <c r="E59"/>
  <c r="E54"/>
  <c r="E47"/>
  <c r="E44" s="1"/>
  <c r="E42"/>
  <c r="E38" s="1"/>
  <c r="E35"/>
  <c r="E32" s="1"/>
  <c r="E30"/>
  <c r="D249"/>
  <c r="D245"/>
  <c r="D187"/>
  <c r="D174"/>
  <c r="D171"/>
  <c r="D169"/>
  <c r="D165"/>
  <c r="D143"/>
  <c r="D134"/>
  <c r="D133" s="1"/>
  <c r="D132" s="1"/>
  <c r="D129"/>
  <c r="D125"/>
  <c r="D121"/>
  <c r="D120" s="1"/>
  <c r="D119" s="1"/>
  <c r="D118"/>
  <c r="D116"/>
  <c r="D112"/>
  <c r="D111" s="1"/>
  <c r="D110" s="1"/>
  <c r="D97"/>
  <c r="D92"/>
  <c r="D13" s="1"/>
  <c r="D87"/>
  <c r="D86" s="1"/>
  <c r="D85" s="1"/>
  <c r="D84"/>
  <c r="D82"/>
  <c r="D69"/>
  <c r="E54" i="8"/>
  <c r="E51"/>
  <c r="E48"/>
  <c r="E45"/>
  <c r="E41"/>
  <c r="E39"/>
  <c r="E38" s="1"/>
  <c r="C18" i="10" s="1"/>
  <c r="E36" i="8"/>
  <c r="E34"/>
  <c r="E123"/>
  <c r="E122" s="1"/>
  <c r="E107" s="1"/>
  <c r="E105" s="1"/>
  <c r="D128"/>
  <c r="D124"/>
  <c r="D53"/>
  <c r="E129" i="7"/>
  <c r="E123"/>
  <c r="E125"/>
  <c r="E120"/>
  <c r="E117"/>
  <c r="E51"/>
  <c r="E49"/>
  <c r="E46"/>
  <c r="E43"/>
  <c r="E25"/>
  <c r="E24" s="1"/>
  <c r="D118"/>
  <c r="D12" s="1"/>
  <c r="D121"/>
  <c r="D50"/>
  <c r="D47"/>
  <c r="D126"/>
  <c r="D52"/>
  <c r="D31"/>
  <c r="E258" i="6"/>
  <c r="E257" s="1"/>
  <c r="E254"/>
  <c r="E253" s="1"/>
  <c r="E250"/>
  <c r="E249" s="1"/>
  <c r="E234"/>
  <c r="F20" i="12" s="1"/>
  <c r="E232" i="6"/>
  <c r="E229"/>
  <c r="F19" i="12" s="1"/>
  <c r="E227" i="6"/>
  <c r="E223"/>
  <c r="E221"/>
  <c r="E218"/>
  <c r="E214"/>
  <c r="E148"/>
  <c r="E147" s="1"/>
  <c r="E139"/>
  <c r="E138" s="1"/>
  <c r="E135"/>
  <c r="E134" s="1"/>
  <c r="E124"/>
  <c r="E120"/>
  <c r="E116"/>
  <c r="E115" s="1"/>
  <c r="E105"/>
  <c r="E95"/>
  <c r="E91"/>
  <c r="E89"/>
  <c r="E86"/>
  <c r="E84"/>
  <c r="E80"/>
  <c r="E78"/>
  <c r="E75"/>
  <c r="E73"/>
  <c r="E69"/>
  <c r="E67"/>
  <c r="E64"/>
  <c r="E61"/>
  <c r="E57"/>
  <c r="E55"/>
  <c r="E49"/>
  <c r="F294" i="12" s="1"/>
  <c r="E40" i="6"/>
  <c r="E36"/>
  <c r="E35" s="1"/>
  <c r="E30"/>
  <c r="F274" i="12" s="1"/>
  <c r="E28" i="6"/>
  <c r="D87"/>
  <c r="D70"/>
  <c r="D69" s="1"/>
  <c r="D37"/>
  <c r="D259"/>
  <c r="D251"/>
  <c r="D235"/>
  <c r="D233"/>
  <c r="D230"/>
  <c r="D228"/>
  <c r="D101"/>
  <c r="D99"/>
  <c r="D97"/>
  <c r="D92"/>
  <c r="D90"/>
  <c r="D85"/>
  <c r="D68"/>
  <c r="D65"/>
  <c r="D64" s="1"/>
  <c r="D63"/>
  <c r="P63" s="1"/>
  <c r="D62"/>
  <c r="D58"/>
  <c r="D56"/>
  <c r="D43"/>
  <c r="E74" i="5"/>
  <c r="E73" s="1"/>
  <c r="E71"/>
  <c r="E70" s="1"/>
  <c r="E60"/>
  <c r="E59" s="1"/>
  <c r="E57"/>
  <c r="E56" s="1"/>
  <c r="E44"/>
  <c r="E46"/>
  <c r="E41"/>
  <c r="E39"/>
  <c r="D61"/>
  <c r="D56" i="4"/>
  <c r="D51"/>
  <c r="E54"/>
  <c r="E53" s="1"/>
  <c r="E49"/>
  <c r="E48" s="1"/>
  <c r="E44"/>
  <c r="E43" s="1"/>
  <c r="E31"/>
  <c r="E30" s="1"/>
  <c r="E39"/>
  <c r="E38"/>
  <c r="D55"/>
  <c r="D50"/>
  <c r="D46"/>
  <c r="D45"/>
  <c r="D25"/>
  <c r="D35"/>
  <c r="D34"/>
  <c r="D33"/>
  <c r="D17" s="1"/>
  <c r="D32"/>
  <c r="E155" i="3"/>
  <c r="E154" s="1"/>
  <c r="E149"/>
  <c r="E148" s="1"/>
  <c r="E145"/>
  <c r="E144" s="1"/>
  <c r="E137"/>
  <c r="E136" s="1"/>
  <c r="E133"/>
  <c r="E132" s="1"/>
  <c r="E128"/>
  <c r="E124"/>
  <c r="E105"/>
  <c r="E107"/>
  <c r="E102"/>
  <c r="E99"/>
  <c r="E93"/>
  <c r="E95"/>
  <c r="E90"/>
  <c r="E87"/>
  <c r="E81"/>
  <c r="E83"/>
  <c r="E78"/>
  <c r="E75"/>
  <c r="E69"/>
  <c r="E71"/>
  <c r="E66"/>
  <c r="E63"/>
  <c r="E56"/>
  <c r="E58"/>
  <c r="F310" i="12" s="1"/>
  <c r="E51" i="3"/>
  <c r="E46"/>
  <c r="F308" i="12" s="1"/>
  <c r="E32" i="3"/>
  <c r="F204" i="12" s="1"/>
  <c r="E26" i="3"/>
  <c r="D76"/>
  <c r="E239" i="6" l="1"/>
  <c r="E72"/>
  <c r="E83"/>
  <c r="E42" i="7"/>
  <c r="E56" i="9"/>
  <c r="F460" i="12"/>
  <c r="E132" i="9"/>
  <c r="F340" i="12"/>
  <c r="E163" i="9"/>
  <c r="F305" i="12"/>
  <c r="E213" i="6"/>
  <c r="D22" i="7"/>
  <c r="E33" i="8"/>
  <c r="C17" i="10" s="1"/>
  <c r="E54" i="6"/>
  <c r="E77"/>
  <c r="E231"/>
  <c r="D16" i="7"/>
  <c r="E44" i="8"/>
  <c r="E9" s="1"/>
  <c r="E48" i="7"/>
  <c r="E62" i="9"/>
  <c r="E116" i="7"/>
  <c r="E167" i="9"/>
  <c r="E18" i="13"/>
  <c r="E26" i="9"/>
  <c r="E185"/>
  <c r="F300" i="12"/>
  <c r="D19" i="7"/>
  <c r="D18" s="1"/>
  <c r="D18" i="4"/>
  <c r="D12"/>
  <c r="E145" i="9"/>
  <c r="E141"/>
  <c r="E261" s="1"/>
  <c r="D15" i="4"/>
  <c r="D11"/>
  <c r="E50" i="8"/>
  <c r="E12" i="13"/>
  <c r="E15"/>
  <c r="E80" i="9"/>
  <c r="E95"/>
  <c r="E154"/>
  <c r="F302" i="12" s="1"/>
  <c r="E136" i="9"/>
  <c r="E150"/>
  <c r="E515" i="2"/>
  <c r="E514" s="1"/>
  <c r="E43" i="5"/>
  <c r="E136" s="1"/>
  <c r="E13"/>
  <c r="D67" i="6"/>
  <c r="E176" i="9"/>
  <c r="F297" i="12" s="1"/>
  <c r="E226" i="6"/>
  <c r="F17" i="12" s="1"/>
  <c r="F18"/>
  <c r="E27" i="6"/>
  <c r="F272" i="12" s="1"/>
  <c r="F273"/>
  <c r="E39" i="6"/>
  <c r="F292" i="12" s="1"/>
  <c r="F293"/>
  <c r="C19" i="10"/>
  <c r="E25" i="3"/>
  <c r="E45"/>
  <c r="E62"/>
  <c r="E74"/>
  <c r="E86"/>
  <c r="E98"/>
  <c r="E123"/>
  <c r="E94" i="6"/>
  <c r="E119"/>
  <c r="E25" i="13"/>
  <c r="E34"/>
  <c r="E54"/>
  <c r="E66"/>
  <c r="E72"/>
  <c r="E10" s="1"/>
  <c r="D61" i="6"/>
  <c r="E88"/>
  <c r="D72" i="13"/>
  <c r="D77"/>
  <c r="E77"/>
  <c r="E50" i="9"/>
  <c r="F457" i="12" s="1"/>
  <c r="C37" i="10"/>
  <c r="E123" i="9"/>
  <c r="F337" i="12" s="1"/>
  <c r="E71" i="9"/>
  <c r="E89"/>
  <c r="F87" i="12" s="1"/>
  <c r="E101" i="9"/>
  <c r="E114"/>
  <c r="E122" i="7"/>
  <c r="E10"/>
  <c r="E60" i="6"/>
  <c r="E66"/>
  <c r="E220"/>
  <c r="E38" i="5"/>
  <c r="E10" i="4"/>
  <c r="E55" i="3"/>
  <c r="E68"/>
  <c r="E80"/>
  <c r="E92"/>
  <c r="E104"/>
  <c r="E521" i="2"/>
  <c r="E520" s="1"/>
  <c r="E127" i="8"/>
  <c r="E126" s="1"/>
  <c r="D84" i="3"/>
  <c r="D79"/>
  <c r="D156"/>
  <c r="D146"/>
  <c r="P146" s="1"/>
  <c r="D134"/>
  <c r="E564" i="2"/>
  <c r="E563" s="1"/>
  <c r="E655"/>
  <c r="E654" s="1"/>
  <c r="E651"/>
  <c r="E650" s="1"/>
  <c r="E647"/>
  <c r="E646" s="1"/>
  <c r="E643"/>
  <c r="E642" s="1"/>
  <c r="E639"/>
  <c r="E638" s="1"/>
  <c r="E635"/>
  <c r="E634" s="1"/>
  <c r="E627"/>
  <c r="E626" s="1"/>
  <c r="E594"/>
  <c r="E593" s="1"/>
  <c r="E590"/>
  <c r="E589" s="1"/>
  <c r="E586"/>
  <c r="E585" s="1"/>
  <c r="E552"/>
  <c r="E551" s="1"/>
  <c r="E548"/>
  <c r="E547" s="1"/>
  <c r="E544"/>
  <c r="E543" s="1"/>
  <c r="E540"/>
  <c r="E539" s="1"/>
  <c r="E532"/>
  <c r="E531" s="1"/>
  <c r="E528"/>
  <c r="E527" s="1"/>
  <c r="E447"/>
  <c r="E441"/>
  <c r="F344" i="12" s="1"/>
  <c r="E436" i="2"/>
  <c r="F343" i="12" s="1"/>
  <c r="E426" i="2"/>
  <c r="E421"/>
  <c r="E417"/>
  <c r="E416" s="1"/>
  <c r="E414"/>
  <c r="E413"/>
  <c r="E408"/>
  <c r="E407" s="1"/>
  <c r="E405"/>
  <c r="C8" i="10" l="1"/>
  <c r="C7"/>
  <c r="E283" i="3"/>
  <c r="F307" i="12"/>
  <c r="E8" i="3"/>
  <c r="C23" i="10"/>
  <c r="C24"/>
  <c r="C31"/>
  <c r="E144" i="8"/>
  <c r="E146" s="1"/>
  <c r="E11" i="13"/>
  <c r="E10" i="8"/>
  <c r="E8" s="1"/>
  <c r="C13" i="10"/>
  <c r="E446" i="2"/>
  <c r="E659" s="1"/>
  <c r="F345" i="12"/>
  <c r="E284" i="3"/>
  <c r="E9"/>
  <c r="E8" i="9"/>
  <c r="E9"/>
  <c r="E667" i="2"/>
  <c r="P68" i="3"/>
  <c r="E262" i="9"/>
  <c r="E666" i="2"/>
  <c r="B102" i="1" s="1"/>
  <c r="E10" i="6"/>
  <c r="B103" i="1"/>
  <c r="C34" i="10"/>
  <c r="C30"/>
  <c r="C14"/>
  <c r="C36"/>
  <c r="E412" i="2"/>
  <c r="E411" s="1"/>
  <c r="E341"/>
  <c r="C20" i="10"/>
  <c r="E11" i="6"/>
  <c r="E9" i="13"/>
  <c r="E512" i="2"/>
  <c r="E402"/>
  <c r="E420"/>
  <c r="E513"/>
  <c r="C33" i="10"/>
  <c r="E435" i="2"/>
  <c r="F342" i="12" s="1"/>
  <c r="E399" i="2"/>
  <c r="E398" s="1"/>
  <c r="E396"/>
  <c r="E394"/>
  <c r="E390"/>
  <c r="E389" s="1"/>
  <c r="E387"/>
  <c r="E385"/>
  <c r="E381"/>
  <c r="F165" i="12" s="1"/>
  <c r="E379" i="2"/>
  <c r="E376"/>
  <c r="F164" i="12" s="1"/>
  <c r="E373" i="2"/>
  <c r="F163" i="12" s="1"/>
  <c r="E368" i="2"/>
  <c r="E366"/>
  <c r="F159" i="12" s="1"/>
  <c r="E364" i="2"/>
  <c r="F158" i="12" s="1"/>
  <c r="E324" i="2"/>
  <c r="E321"/>
  <c r="E318"/>
  <c r="E314"/>
  <c r="E298"/>
  <c r="E296"/>
  <c r="E293"/>
  <c r="E290"/>
  <c r="E248"/>
  <c r="E250"/>
  <c r="F140" i="12" s="1"/>
  <c r="E245" i="2"/>
  <c r="F139" i="12" s="1"/>
  <c r="E242" i="2"/>
  <c r="F138" i="12" s="1"/>
  <c r="E236" i="2"/>
  <c r="E238"/>
  <c r="E233"/>
  <c r="E230"/>
  <c r="E226"/>
  <c r="E224"/>
  <c r="E221"/>
  <c r="E218"/>
  <c r="E214"/>
  <c r="E212"/>
  <c r="E209"/>
  <c r="E206"/>
  <c r="E202"/>
  <c r="E200"/>
  <c r="E197"/>
  <c r="E194"/>
  <c r="E190"/>
  <c r="E187" s="1"/>
  <c r="E185"/>
  <c r="E182"/>
  <c r="E178"/>
  <c r="E173"/>
  <c r="F134" i="12" s="1"/>
  <c r="E170" i="2"/>
  <c r="E166"/>
  <c r="E163" s="1"/>
  <c r="E161"/>
  <c r="F99" i="12" s="1"/>
  <c r="E158" i="2"/>
  <c r="F98" i="12" s="1"/>
  <c r="E134" i="2"/>
  <c r="E130"/>
  <c r="E125"/>
  <c r="F55" i="12" s="1"/>
  <c r="E119" i="2"/>
  <c r="E115"/>
  <c r="E110"/>
  <c r="E109" s="1"/>
  <c r="E107"/>
  <c r="E105"/>
  <c r="D656"/>
  <c r="D652"/>
  <c r="D644"/>
  <c r="D628"/>
  <c r="D568"/>
  <c r="D553"/>
  <c r="D545"/>
  <c r="D542"/>
  <c r="D541"/>
  <c r="D533"/>
  <c r="D448"/>
  <c r="D418"/>
  <c r="D415"/>
  <c r="D413"/>
  <c r="D409"/>
  <c r="D406"/>
  <c r="D404"/>
  <c r="D380"/>
  <c r="D375"/>
  <c r="D315"/>
  <c r="D227"/>
  <c r="D225"/>
  <c r="D222"/>
  <c r="D220"/>
  <c r="D219"/>
  <c r="D215"/>
  <c r="D213"/>
  <c r="D210"/>
  <c r="D208"/>
  <c r="D140"/>
  <c r="D133"/>
  <c r="D132"/>
  <c r="D120"/>
  <c r="D111"/>
  <c r="D108"/>
  <c r="D100"/>
  <c r="D97"/>
  <c r="D95"/>
  <c r="D90"/>
  <c r="D88"/>
  <c r="D85"/>
  <c r="D83"/>
  <c r="D76"/>
  <c r="D73"/>
  <c r="D71"/>
  <c r="D78"/>
  <c r="D66"/>
  <c r="D63"/>
  <c r="D60"/>
  <c r="E7" i="9" l="1"/>
  <c r="E7" i="3"/>
  <c r="C29" i="10"/>
  <c r="C26" s="1"/>
  <c r="E668" i="2"/>
  <c r="E669" s="1"/>
  <c r="E9" i="6"/>
  <c r="E340" i="2"/>
  <c r="E339" s="1"/>
  <c r="C28" i="10" s="1"/>
  <c r="E511" i="2"/>
  <c r="C32" i="10"/>
  <c r="E8" i="13"/>
  <c r="E199" i="2"/>
  <c r="E205"/>
  <c r="E217"/>
  <c r="E223"/>
  <c r="E229"/>
  <c r="E241"/>
  <c r="F137" i="12" s="1"/>
  <c r="E169" i="2"/>
  <c r="F132" i="12" s="1"/>
  <c r="F133"/>
  <c r="E175" i="2"/>
  <c r="F135" i="12"/>
  <c r="E289" i="2"/>
  <c r="E295"/>
  <c r="E313"/>
  <c r="E320"/>
  <c r="E114"/>
  <c r="E104"/>
  <c r="E393"/>
  <c r="E247"/>
  <c r="E235"/>
  <c r="E372"/>
  <c r="F162" i="12" s="1"/>
  <c r="E378" i="2"/>
  <c r="E384"/>
  <c r="E25"/>
  <c r="B37" i="1" s="1"/>
  <c r="E122" i="2"/>
  <c r="E121" s="1"/>
  <c r="E129"/>
  <c r="E157"/>
  <c r="F97" i="12" s="1"/>
  <c r="E193" i="2"/>
  <c r="E363"/>
  <c r="F157" i="12" s="1"/>
  <c r="E211" i="2"/>
  <c r="E181"/>
  <c r="C25" i="10" l="1"/>
  <c r="I122" i="12" l="1"/>
  <c r="J122"/>
  <c r="K122"/>
  <c r="I123"/>
  <c r="J123"/>
  <c r="K123"/>
  <c r="I124"/>
  <c r="J124"/>
  <c r="K124"/>
  <c r="I125"/>
  <c r="J125"/>
  <c r="K125"/>
  <c r="B121"/>
  <c r="K348" i="2" l="1"/>
  <c r="J348"/>
  <c r="I348"/>
  <c r="H348"/>
  <c r="G348"/>
  <c r="F348"/>
  <c r="H117" i="12" l="1"/>
  <c r="I117"/>
  <c r="J117"/>
  <c r="K117"/>
  <c r="L117"/>
  <c r="H118"/>
  <c r="I118"/>
  <c r="J118"/>
  <c r="K118"/>
  <c r="L118"/>
  <c r="H119"/>
  <c r="I119"/>
  <c r="J119"/>
  <c r="K119"/>
  <c r="L119"/>
  <c r="I120"/>
  <c r="J120"/>
  <c r="K120"/>
  <c r="L120"/>
  <c r="G120"/>
  <c r="B116"/>
  <c r="B111"/>
  <c r="K292"/>
  <c r="L292"/>
  <c r="M292"/>
  <c r="K293"/>
  <c r="L293"/>
  <c r="M293"/>
  <c r="K294"/>
  <c r="L294"/>
  <c r="M294"/>
  <c r="L295"/>
  <c r="M295"/>
  <c r="B291"/>
  <c r="E464" l="1"/>
  <c r="D645" i="2"/>
  <c r="D648"/>
  <c r="B136" i="1" l="1"/>
  <c r="E136"/>
  <c r="G523" i="2" l="1"/>
  <c r="H523"/>
  <c r="I523"/>
  <c r="J523"/>
  <c r="K523"/>
  <c r="L523"/>
  <c r="G517"/>
  <c r="H517"/>
  <c r="I517"/>
  <c r="J517"/>
  <c r="K517"/>
  <c r="L517"/>
  <c r="G635"/>
  <c r="H635"/>
  <c r="I635"/>
  <c r="J635"/>
  <c r="K635"/>
  <c r="L635"/>
  <c r="F637"/>
  <c r="M637" s="1"/>
  <c r="F639"/>
  <c r="F638" s="1"/>
  <c r="L639"/>
  <c r="L638" s="1"/>
  <c r="K639"/>
  <c r="K638" s="1"/>
  <c r="J639"/>
  <c r="J638" s="1"/>
  <c r="I639"/>
  <c r="I638" s="1"/>
  <c r="H639"/>
  <c r="H638" s="1"/>
  <c r="G639"/>
  <c r="G638" s="1"/>
  <c r="N549"/>
  <c r="D565"/>
  <c r="F567"/>
  <c r="F566" s="1"/>
  <c r="G567"/>
  <c r="G566" s="1"/>
  <c r="H567"/>
  <c r="H566" s="1"/>
  <c r="I567"/>
  <c r="I566" s="1"/>
  <c r="J567"/>
  <c r="J566" s="1"/>
  <c r="K567"/>
  <c r="K566" s="1"/>
  <c r="L567"/>
  <c r="L566" s="1"/>
  <c r="D567"/>
  <c r="D566" s="1"/>
  <c r="M549" l="1"/>
  <c r="M548" s="1"/>
  <c r="M547" s="1"/>
  <c r="M513" s="1"/>
  <c r="D636"/>
  <c r="M636"/>
  <c r="M635" s="1"/>
  <c r="M634" s="1"/>
  <c r="D549"/>
  <c r="N517"/>
  <c r="D640"/>
  <c r="D639" s="1"/>
  <c r="D638" s="1"/>
  <c r="F517"/>
  <c r="M517" s="1"/>
  <c r="D637"/>
  <c r="D517" s="1"/>
  <c r="F635"/>
  <c r="F523"/>
  <c r="N75" i="9"/>
  <c r="N73"/>
  <c r="D523" i="2" l="1"/>
  <c r="D73" i="9"/>
  <c r="M73"/>
  <c r="M72" s="1"/>
  <c r="D75"/>
  <c r="M75"/>
  <c r="M74" s="1"/>
  <c r="D78"/>
  <c r="D180"/>
  <c r="D20"/>
  <c r="D19" s="1"/>
  <c r="M71" l="1"/>
  <c r="D77"/>
  <c r="D76" s="1"/>
  <c r="G396" i="2"/>
  <c r="G394"/>
  <c r="H399"/>
  <c r="H398" s="1"/>
  <c r="F400"/>
  <c r="D400" s="1"/>
  <c r="G385"/>
  <c r="H390"/>
  <c r="H389" s="1"/>
  <c r="F391"/>
  <c r="G387"/>
  <c r="F388"/>
  <c r="G376"/>
  <c r="H164" i="12" s="1"/>
  <c r="E164" s="1"/>
  <c r="H381" i="2"/>
  <c r="D370"/>
  <c r="D367"/>
  <c r="D365"/>
  <c r="H378" l="1"/>
  <c r="I165" i="12"/>
  <c r="G384" i="2"/>
  <c r="D388"/>
  <c r="M388"/>
  <c r="M387" s="1"/>
  <c r="D395"/>
  <c r="M395"/>
  <c r="M394" s="1"/>
  <c r="D377"/>
  <c r="M377"/>
  <c r="M376" s="1"/>
  <c r="D374"/>
  <c r="M374"/>
  <c r="M373" s="1"/>
  <c r="M386"/>
  <c r="M385" s="1"/>
  <c r="D397"/>
  <c r="M397"/>
  <c r="M396" s="1"/>
  <c r="D391"/>
  <c r="D382"/>
  <c r="G393"/>
  <c r="G298"/>
  <c r="G295" s="1"/>
  <c r="F299"/>
  <c r="D299" s="1"/>
  <c r="D291"/>
  <c r="D82"/>
  <c r="D56"/>
  <c r="D106"/>
  <c r="D94"/>
  <c r="M384" l="1"/>
  <c r="M372"/>
  <c r="M393"/>
  <c r="D294"/>
  <c r="M294"/>
  <c r="M293" s="1"/>
  <c r="M289" s="1"/>
  <c r="N246"/>
  <c r="N243"/>
  <c r="D251"/>
  <c r="D127"/>
  <c r="D116"/>
  <c r="N234"/>
  <c r="D239"/>
  <c r="D155"/>
  <c r="D150"/>
  <c r="D147"/>
  <c r="D174"/>
  <c r="D198"/>
  <c r="D195"/>
  <c r="D186"/>
  <c r="N162"/>
  <c r="M162"/>
  <c r="M161" s="1"/>
  <c r="D143"/>
  <c r="D136"/>
  <c r="F119" i="7"/>
  <c r="D138"/>
  <c r="K137"/>
  <c r="J137"/>
  <c r="I137"/>
  <c r="H137"/>
  <c r="G137"/>
  <c r="F137"/>
  <c r="K135"/>
  <c r="J135"/>
  <c r="I135"/>
  <c r="I134" s="1"/>
  <c r="H135"/>
  <c r="H134" s="1"/>
  <c r="G135"/>
  <c r="F135"/>
  <c r="N132"/>
  <c r="K132"/>
  <c r="J132"/>
  <c r="I132"/>
  <c r="H132"/>
  <c r="G132"/>
  <c r="F132"/>
  <c r="N129"/>
  <c r="N128" s="1"/>
  <c r="D129"/>
  <c r="K129"/>
  <c r="J129"/>
  <c r="I129"/>
  <c r="H129"/>
  <c r="G129"/>
  <c r="F129"/>
  <c r="I128"/>
  <c r="G26"/>
  <c r="F26"/>
  <c r="H63" i="9"/>
  <c r="H65"/>
  <c r="G66"/>
  <c r="G64"/>
  <c r="F66"/>
  <c r="F64"/>
  <c r="D60"/>
  <c r="D55"/>
  <c r="D52"/>
  <c r="D51" s="1"/>
  <c r="D48"/>
  <c r="D43"/>
  <c r="D40"/>
  <c r="D39" s="1"/>
  <c r="H23"/>
  <c r="H22" s="1"/>
  <c r="H18" s="1"/>
  <c r="D28"/>
  <c r="F13" i="7" l="1"/>
  <c r="G134"/>
  <c r="K134"/>
  <c r="D27" i="9"/>
  <c r="N66"/>
  <c r="G7" i="7"/>
  <c r="M119"/>
  <c r="M37" i="2"/>
  <c r="N64" i="9"/>
  <c r="F7" i="7"/>
  <c r="N119"/>
  <c r="G117"/>
  <c r="N26"/>
  <c r="M26"/>
  <c r="D119"/>
  <c r="M117"/>
  <c r="M116" s="1"/>
  <c r="D64" i="9"/>
  <c r="M64"/>
  <c r="D66"/>
  <c r="M66"/>
  <c r="M65" s="1"/>
  <c r="H62"/>
  <c r="I605" i="12" s="1"/>
  <c r="N159" i="2"/>
  <c r="D231"/>
  <c r="M231"/>
  <c r="M230" s="1"/>
  <c r="D243"/>
  <c r="M243"/>
  <c r="M242" s="1"/>
  <c r="M159"/>
  <c r="M158" s="1"/>
  <c r="M157" s="1"/>
  <c r="M234"/>
  <c r="M233" s="1"/>
  <c r="M246"/>
  <c r="M245" s="1"/>
  <c r="D246"/>
  <c r="D159"/>
  <c r="D167"/>
  <c r="D31" i="9"/>
  <c r="D36"/>
  <c r="D136" i="7"/>
  <c r="D135" s="1"/>
  <c r="D26"/>
  <c r="F128"/>
  <c r="H128"/>
  <c r="J128"/>
  <c r="F134"/>
  <c r="D162" i="2"/>
  <c r="D183"/>
  <c r="D191"/>
  <c r="D171"/>
  <c r="D179"/>
  <c r="D234"/>
  <c r="G128" i="7"/>
  <c r="K128"/>
  <c r="J134"/>
  <c r="D137"/>
  <c r="E137"/>
  <c r="E132"/>
  <c r="E128" s="1"/>
  <c r="E135"/>
  <c r="F182" i="9"/>
  <c r="F181" s="1"/>
  <c r="G299" i="12" s="1"/>
  <c r="L186" i="9"/>
  <c r="M300" i="12" s="1"/>
  <c r="K186" i="9"/>
  <c r="L300" i="12" s="1"/>
  <c r="J186" i="9"/>
  <c r="K300" i="12" s="1"/>
  <c r="I186" i="9"/>
  <c r="J300" i="12" s="1"/>
  <c r="H186" i="9"/>
  <c r="I300" i="12" s="1"/>
  <c r="G186" i="9"/>
  <c r="H300" i="12" s="1"/>
  <c r="F186" i="9"/>
  <c r="G300" i="12" s="1"/>
  <c r="D184" i="9"/>
  <c r="D183"/>
  <c r="L182"/>
  <c r="L181" s="1"/>
  <c r="M299" i="12" s="1"/>
  <c r="K182" i="9"/>
  <c r="K181" s="1"/>
  <c r="L299" i="12" s="1"/>
  <c r="J182" i="9"/>
  <c r="J181" s="1"/>
  <c r="K299" i="12" s="1"/>
  <c r="I182" i="9"/>
  <c r="I181" s="1"/>
  <c r="J299" i="12" s="1"/>
  <c r="H182" i="9"/>
  <c r="G182"/>
  <c r="G181" s="1"/>
  <c r="H299" i="12" s="1"/>
  <c r="H181" i="9"/>
  <c r="I299" i="12" s="1"/>
  <c r="D179" i="9"/>
  <c r="L178"/>
  <c r="K178"/>
  <c r="J178"/>
  <c r="I178"/>
  <c r="H178"/>
  <c r="G178"/>
  <c r="F178"/>
  <c r="F12" s="1"/>
  <c r="F11" s="1"/>
  <c r="M63" l="1"/>
  <c r="M62" s="1"/>
  <c r="J185"/>
  <c r="M229" i="2"/>
  <c r="E299" i="12"/>
  <c r="E300"/>
  <c r="Q7" i="7"/>
  <c r="F11"/>
  <c r="F177" i="9"/>
  <c r="F185"/>
  <c r="L185"/>
  <c r="G11" i="7"/>
  <c r="J177" i="9"/>
  <c r="K298" i="12" s="1"/>
  <c r="H177" i="9"/>
  <c r="I298" i="12" s="1"/>
  <c r="L177" i="9"/>
  <c r="M298" i="12" s="1"/>
  <c r="G177" i="9"/>
  <c r="I177"/>
  <c r="J298" i="12" s="1"/>
  <c r="K177" i="9"/>
  <c r="L298" i="12" s="1"/>
  <c r="K185" i="9"/>
  <c r="M25" i="7"/>
  <c r="M24" s="1"/>
  <c r="M241" i="2"/>
  <c r="H185" i="9"/>
  <c r="D178"/>
  <c r="G185"/>
  <c r="I185"/>
  <c r="D182"/>
  <c r="D134" i="7"/>
  <c r="D133"/>
  <c r="D132" s="1"/>
  <c r="D128" s="1"/>
  <c r="D186" i="9"/>
  <c r="E134" i="7"/>
  <c r="D181" i="9"/>
  <c r="F131" i="6"/>
  <c r="G575" i="12"/>
  <c r="G580" l="1"/>
  <c r="G584"/>
  <c r="H176" i="9"/>
  <c r="I297" i="12" s="1"/>
  <c r="H298"/>
  <c r="G176" i="9"/>
  <c r="H297" i="12" s="1"/>
  <c r="G298"/>
  <c r="F176" i="9"/>
  <c r="G297" i="12" s="1"/>
  <c r="L176" i="9"/>
  <c r="M297" i="12" s="1"/>
  <c r="D185" i="9"/>
  <c r="J176"/>
  <c r="K297" i="12" s="1"/>
  <c r="C299"/>
  <c r="I176" i="9"/>
  <c r="J297" i="12" s="1"/>
  <c r="K176" i="9"/>
  <c r="L297" i="12" s="1"/>
  <c r="D131" i="6"/>
  <c r="M131"/>
  <c r="E523" i="12"/>
  <c r="E524"/>
  <c r="E522"/>
  <c r="E521"/>
  <c r="D177" i="9"/>
  <c r="D176" s="1"/>
  <c r="G132" i="6"/>
  <c r="N132" s="1"/>
  <c r="G127"/>
  <c r="G122"/>
  <c r="G112"/>
  <c r="M112" s="1"/>
  <c r="K100"/>
  <c r="K96" l="1"/>
  <c r="L577" i="12"/>
  <c r="E298"/>
  <c r="C523"/>
  <c r="E297"/>
  <c r="D296" s="1"/>
  <c r="N127" i="6"/>
  <c r="M127"/>
  <c r="D520" i="12"/>
  <c r="D112" i="6"/>
  <c r="N112"/>
  <c r="F106"/>
  <c r="F102"/>
  <c r="D127"/>
  <c r="D81"/>
  <c r="D76" l="1"/>
  <c r="M76"/>
  <c r="M75" s="1"/>
  <c r="D74"/>
  <c r="M74"/>
  <c r="M73" s="1"/>
  <c r="D79"/>
  <c r="G96" i="9"/>
  <c r="F96"/>
  <c r="N91"/>
  <c r="F90"/>
  <c r="G90"/>
  <c r="H90"/>
  <c r="I90"/>
  <c r="J90"/>
  <c r="K90"/>
  <c r="L90"/>
  <c r="G170"/>
  <c r="D170" s="1"/>
  <c r="F173"/>
  <c r="G173"/>
  <c r="H173"/>
  <c r="I173"/>
  <c r="J173"/>
  <c r="K173"/>
  <c r="L173"/>
  <c r="L172" s="1"/>
  <c r="F168"/>
  <c r="G168"/>
  <c r="H168"/>
  <c r="I168"/>
  <c r="J168"/>
  <c r="K168"/>
  <c r="L168"/>
  <c r="L167" s="1"/>
  <c r="D162"/>
  <c r="D161"/>
  <c r="D157"/>
  <c r="N170"/>
  <c r="N168"/>
  <c r="F164"/>
  <c r="G305" i="12" s="1"/>
  <c r="G164" i="9"/>
  <c r="H305" i="12" s="1"/>
  <c r="H164" i="9"/>
  <c r="I305" i="12" s="1"/>
  <c r="I164" i="9"/>
  <c r="J305" i="12" s="1"/>
  <c r="J164" i="9"/>
  <c r="K305" i="12" s="1"/>
  <c r="K164" i="9"/>
  <c r="L305" i="12" s="1"/>
  <c r="L164" i="9"/>
  <c r="M305" i="12" s="1"/>
  <c r="F160" i="9"/>
  <c r="G160"/>
  <c r="H304" i="12" s="1"/>
  <c r="H160" i="9"/>
  <c r="I160"/>
  <c r="J160"/>
  <c r="K160"/>
  <c r="L160"/>
  <c r="G156"/>
  <c r="G12" s="1"/>
  <c r="G11" s="1"/>
  <c r="H156"/>
  <c r="H12" s="1"/>
  <c r="H11" s="1"/>
  <c r="I156"/>
  <c r="I12" s="1"/>
  <c r="I11" s="1"/>
  <c r="J156"/>
  <c r="J12" s="1"/>
  <c r="J11" s="1"/>
  <c r="K156"/>
  <c r="K12" s="1"/>
  <c r="K11" s="1"/>
  <c r="L156"/>
  <c r="E305" i="12" l="1"/>
  <c r="K16" i="9"/>
  <c r="K15" s="1"/>
  <c r="L304" i="12"/>
  <c r="J16" i="9"/>
  <c r="J15" s="1"/>
  <c r="J10" s="1"/>
  <c r="K304" i="12"/>
  <c r="F16" i="9"/>
  <c r="F15" s="1"/>
  <c r="G304" i="12"/>
  <c r="L16" i="9"/>
  <c r="L15" s="1"/>
  <c r="M304" i="12"/>
  <c r="H16" i="9"/>
  <c r="H15" s="1"/>
  <c r="I304" i="12"/>
  <c r="I16" i="9"/>
  <c r="I15" s="1"/>
  <c r="I10" s="1"/>
  <c r="J304" i="12"/>
  <c r="M72" i="6"/>
  <c r="N160" i="9"/>
  <c r="G16"/>
  <c r="G15" s="1"/>
  <c r="N90"/>
  <c r="L12"/>
  <c r="L11" s="1"/>
  <c r="D96"/>
  <c r="K10"/>
  <c r="H172"/>
  <c r="F172"/>
  <c r="J172"/>
  <c r="F167"/>
  <c r="M91"/>
  <c r="M160"/>
  <c r="M159" s="1"/>
  <c r="M154" s="1"/>
  <c r="N159"/>
  <c r="N155"/>
  <c r="E465" i="12"/>
  <c r="C464" s="1"/>
  <c r="G172" i="9"/>
  <c r="D91"/>
  <c r="K163"/>
  <c r="I163"/>
  <c r="G163"/>
  <c r="K167"/>
  <c r="G167"/>
  <c r="D160"/>
  <c r="D156"/>
  <c r="L163"/>
  <c r="J163"/>
  <c r="H163"/>
  <c r="F163"/>
  <c r="I167"/>
  <c r="J167"/>
  <c r="H167"/>
  <c r="K172"/>
  <c r="I172"/>
  <c r="K159"/>
  <c r="I159"/>
  <c r="G159"/>
  <c r="L159"/>
  <c r="J159"/>
  <c r="H159"/>
  <c r="F159"/>
  <c r="L155"/>
  <c r="J155"/>
  <c r="H155"/>
  <c r="K155"/>
  <c r="I155"/>
  <c r="G155"/>
  <c r="D168"/>
  <c r="D164"/>
  <c r="D173"/>
  <c r="N167"/>
  <c r="F155"/>
  <c r="G303" i="12" s="1"/>
  <c r="F105" i="13"/>
  <c r="H105"/>
  <c r="I105"/>
  <c r="J105"/>
  <c r="K105"/>
  <c r="L105"/>
  <c r="N655" i="2"/>
  <c r="N654" s="1"/>
  <c r="F655"/>
  <c r="F654" s="1"/>
  <c r="G655"/>
  <c r="G654" s="1"/>
  <c r="H655"/>
  <c r="H654" s="1"/>
  <c r="I655"/>
  <c r="I654" s="1"/>
  <c r="J655"/>
  <c r="J654" s="1"/>
  <c r="J513" s="1"/>
  <c r="K655"/>
  <c r="K654" s="1"/>
  <c r="K513" s="1"/>
  <c r="L655"/>
  <c r="L654" s="1"/>
  <c r="L513" s="1"/>
  <c r="D655"/>
  <c r="D654" s="1"/>
  <c r="I530"/>
  <c r="I529"/>
  <c r="H530"/>
  <c r="H529"/>
  <c r="G530"/>
  <c r="G529"/>
  <c r="F530"/>
  <c r="F529"/>
  <c r="I595"/>
  <c r="I522" s="1"/>
  <c r="H595"/>
  <c r="H522" s="1"/>
  <c r="G522"/>
  <c r="I591"/>
  <c r="H591"/>
  <c r="D159" i="9" l="1"/>
  <c r="E304" i="12"/>
  <c r="C304" s="1"/>
  <c r="I303"/>
  <c r="L303"/>
  <c r="M303"/>
  <c r="J303"/>
  <c r="H303"/>
  <c r="K303"/>
  <c r="M90" i="9"/>
  <c r="L10"/>
  <c r="N530" i="2"/>
  <c r="N529"/>
  <c r="G154" i="9"/>
  <c r="N591" i="2"/>
  <c r="K154" i="9"/>
  <c r="M591" i="2"/>
  <c r="L154" i="9"/>
  <c r="M302" i="12" s="1"/>
  <c r="D167" i="9"/>
  <c r="G10"/>
  <c r="D172"/>
  <c r="D155"/>
  <c r="D154" s="1"/>
  <c r="D529" i="2"/>
  <c r="M529"/>
  <c r="D530"/>
  <c r="M530"/>
  <c r="N154" i="9"/>
  <c r="D591" i="2"/>
  <c r="H154" i="9"/>
  <c r="I302" i="12" s="1"/>
  <c r="E529"/>
  <c r="E528"/>
  <c r="E462"/>
  <c r="E463"/>
  <c r="D163" i="9"/>
  <c r="J154"/>
  <c r="K302" i="12" s="1"/>
  <c r="I154" i="9"/>
  <c r="J302" i="12" s="1"/>
  <c r="F522" i="2"/>
  <c r="D595"/>
  <c r="E527" i="12"/>
  <c r="F154" i="9"/>
  <c r="G302" i="12" s="1"/>
  <c r="E303" l="1"/>
  <c r="H302"/>
  <c r="L302"/>
  <c r="M528" i="2"/>
  <c r="M527" s="1"/>
  <c r="C528" i="12"/>
  <c r="E302" l="1"/>
  <c r="D301" s="1"/>
  <c r="E526"/>
  <c r="D525" s="1"/>
  <c r="L10" i="13"/>
  <c r="K10"/>
  <c r="J10"/>
  <c r="I10"/>
  <c r="H10"/>
  <c r="G10"/>
  <c r="H20"/>
  <c r="I20"/>
  <c r="J20"/>
  <c r="K20"/>
  <c r="N10" l="1"/>
  <c r="J30" i="10"/>
  <c r="I33"/>
  <c r="H33"/>
  <c r="I32"/>
  <c r="H32"/>
  <c r="D16" i="4" l="1"/>
  <c r="D70" i="13" l="1"/>
  <c r="H23"/>
  <c r="F23"/>
  <c r="F73"/>
  <c r="G118" i="12" s="1"/>
  <c r="E118" s="1"/>
  <c r="F75" i="13"/>
  <c r="G119" i="12" s="1"/>
  <c r="E119" s="1"/>
  <c r="G78" i="13"/>
  <c r="G80"/>
  <c r="H120" i="12" s="1"/>
  <c r="E120" s="1"/>
  <c r="G438" i="2"/>
  <c r="H438"/>
  <c r="I438"/>
  <c r="F438"/>
  <c r="F443"/>
  <c r="G443"/>
  <c r="H443"/>
  <c r="I443"/>
  <c r="J341"/>
  <c r="N438" l="1"/>
  <c r="G23" i="13"/>
  <c r="M443" i="2"/>
  <c r="M438"/>
  <c r="C119" i="12"/>
  <c r="D68" i="13"/>
  <c r="D20" s="1"/>
  <c r="G20"/>
  <c r="F72"/>
  <c r="D443" i="2"/>
  <c r="G77" i="13"/>
  <c r="G105" l="1"/>
  <c r="D105"/>
  <c r="G117" i="12"/>
  <c r="F10" i="13"/>
  <c r="M10" s="1"/>
  <c r="D438" i="2"/>
  <c r="D439"/>
  <c r="D440"/>
  <c r="G437"/>
  <c r="H437"/>
  <c r="I437"/>
  <c r="I341" s="1"/>
  <c r="F437"/>
  <c r="N443"/>
  <c r="N444"/>
  <c r="N445"/>
  <c r="G442"/>
  <c r="H442"/>
  <c r="I442"/>
  <c r="F442"/>
  <c r="D447"/>
  <c r="D446" s="1"/>
  <c r="H447"/>
  <c r="I345" i="12" s="1"/>
  <c r="I447" i="2"/>
  <c r="J345" i="12" s="1"/>
  <c r="G447" i="2"/>
  <c r="H345" i="12" s="1"/>
  <c r="E345" l="1"/>
  <c r="M437" i="2"/>
  <c r="M436" s="1"/>
  <c r="M442"/>
  <c r="M441" s="1"/>
  <c r="N442"/>
  <c r="N441" s="1"/>
  <c r="D437"/>
  <c r="N437"/>
  <c r="N436" s="1"/>
  <c r="E117" i="12"/>
  <c r="D116" s="1"/>
  <c r="D442" i="2"/>
  <c r="F441"/>
  <c r="G344" i="12" s="1"/>
  <c r="I446" i="2"/>
  <c r="G446"/>
  <c r="H446"/>
  <c r="H436"/>
  <c r="I343" i="12" s="1"/>
  <c r="I436" i="2"/>
  <c r="J343" i="12" s="1"/>
  <c r="G436" i="2"/>
  <c r="H343" i="12" s="1"/>
  <c r="F436" i="2"/>
  <c r="G343" i="12" s="1"/>
  <c r="G441" i="2"/>
  <c r="H344" i="12" s="1"/>
  <c r="H441" i="2"/>
  <c r="I344" i="12" s="1"/>
  <c r="I441" i="2"/>
  <c r="J344" i="12" s="1"/>
  <c r="E343" l="1"/>
  <c r="E344"/>
  <c r="N435" i="2"/>
  <c r="M435"/>
  <c r="E517" i="12"/>
  <c r="E519"/>
  <c r="D441" i="2"/>
  <c r="H435"/>
  <c r="I342" i="12" s="1"/>
  <c r="G435" i="2"/>
  <c r="H342" i="12" s="1"/>
  <c r="F435" i="2"/>
  <c r="G342" i="12" s="1"/>
  <c r="D436" i="2"/>
  <c r="I435"/>
  <c r="J342" i="12" s="1"/>
  <c r="E342" l="1"/>
  <c r="D341" s="1"/>
  <c r="C344"/>
  <c r="E518"/>
  <c r="G32" i="10"/>
  <c r="D435" i="2"/>
  <c r="E516" i="12" l="1"/>
  <c r="D55" i="6"/>
  <c r="D57"/>
  <c r="G55"/>
  <c r="H55"/>
  <c r="I55"/>
  <c r="J55"/>
  <c r="F55"/>
  <c r="G57"/>
  <c r="H295" i="12" s="1"/>
  <c r="H57" i="6"/>
  <c r="I295" i="12" s="1"/>
  <c r="I57" i="6"/>
  <c r="J295" i="12" s="1"/>
  <c r="J57" i="6"/>
  <c r="K295" i="12" s="1"/>
  <c r="F57" i="6"/>
  <c r="G295" i="12" s="1"/>
  <c r="F41" i="6"/>
  <c r="G41"/>
  <c r="H41"/>
  <c r="I41"/>
  <c r="F45"/>
  <c r="G45"/>
  <c r="H45"/>
  <c r="H15" s="1"/>
  <c r="I45"/>
  <c r="I15" s="1"/>
  <c r="F50"/>
  <c r="G50"/>
  <c r="H50"/>
  <c r="H49" s="1"/>
  <c r="I294" i="12" s="1"/>
  <c r="I50" i="6"/>
  <c r="I49" s="1"/>
  <c r="J294" i="12" s="1"/>
  <c r="F61" i="6"/>
  <c r="G113" i="12" s="1"/>
  <c r="N50" i="6" l="1"/>
  <c r="D45"/>
  <c r="M50"/>
  <c r="M49" s="1"/>
  <c r="M45"/>
  <c r="M41"/>
  <c r="N45"/>
  <c r="E295" i="12"/>
  <c r="G49" i="6"/>
  <c r="H294" i="12" s="1"/>
  <c r="N49" i="6"/>
  <c r="N41"/>
  <c r="F49"/>
  <c r="G294" i="12" s="1"/>
  <c r="D50" i="6"/>
  <c r="D49" s="1"/>
  <c r="D41"/>
  <c r="J54"/>
  <c r="H54"/>
  <c r="F54"/>
  <c r="I54"/>
  <c r="G54"/>
  <c r="P54" s="1"/>
  <c r="D54"/>
  <c r="I40"/>
  <c r="G40"/>
  <c r="H40"/>
  <c r="F40"/>
  <c r="E294" i="12" l="1"/>
  <c r="C294" s="1"/>
  <c r="N40" i="6"/>
  <c r="N39" s="1"/>
  <c r="M40"/>
  <c r="M39" s="1"/>
  <c r="F39"/>
  <c r="G292" i="12" s="1"/>
  <c r="G293"/>
  <c r="H39" i="6"/>
  <c r="I292" i="12" s="1"/>
  <c r="I293"/>
  <c r="I39" i="6"/>
  <c r="J292" i="12" s="1"/>
  <c r="J293"/>
  <c r="G39" i="6"/>
  <c r="H292" i="12" s="1"/>
  <c r="H293"/>
  <c r="D40" i="6"/>
  <c r="D39" s="1"/>
  <c r="E293" i="12" l="1"/>
  <c r="E292"/>
  <c r="M172" i="6"/>
  <c r="M171" s="1"/>
  <c r="N172"/>
  <c r="N171" s="1"/>
  <c r="G176"/>
  <c r="N177"/>
  <c r="G183"/>
  <c r="N199"/>
  <c r="I200"/>
  <c r="H200"/>
  <c r="I207"/>
  <c r="H207"/>
  <c r="N176" l="1"/>
  <c r="N175" s="1"/>
  <c r="N174" s="1"/>
  <c r="M176"/>
  <c r="D596" i="2" l="1"/>
  <c r="D592" l="1"/>
  <c r="M592"/>
  <c r="M590" s="1"/>
  <c r="M589" s="1"/>
  <c r="M512" s="1"/>
  <c r="M511" s="1"/>
  <c r="G524"/>
  <c r="H524"/>
  <c r="I524"/>
  <c r="J524"/>
  <c r="K524"/>
  <c r="L524"/>
  <c r="L518"/>
  <c r="K518"/>
  <c r="J518"/>
  <c r="I518"/>
  <c r="H518"/>
  <c r="G518"/>
  <c r="F518"/>
  <c r="F524"/>
  <c r="F647"/>
  <c r="F646" s="1"/>
  <c r="F667" s="1"/>
  <c r="D647"/>
  <c r="L643"/>
  <c r="K643"/>
  <c r="J643"/>
  <c r="I643"/>
  <c r="H643"/>
  <c r="G643"/>
  <c r="M518" l="1"/>
  <c r="N518"/>
  <c r="F643"/>
  <c r="D646"/>
  <c r="I110" i="12"/>
  <c r="J110"/>
  <c r="G109"/>
  <c r="H109"/>
  <c r="I109"/>
  <c r="J109"/>
  <c r="F109"/>
  <c r="H108"/>
  <c r="I108"/>
  <c r="J108"/>
  <c r="I107"/>
  <c r="J107"/>
  <c r="B106"/>
  <c r="I105"/>
  <c r="J105"/>
  <c r="H104"/>
  <c r="I104"/>
  <c r="J104"/>
  <c r="I103"/>
  <c r="J103"/>
  <c r="I102"/>
  <c r="J102"/>
  <c r="B101"/>
  <c r="I100"/>
  <c r="J100"/>
  <c r="I99"/>
  <c r="J99"/>
  <c r="I97"/>
  <c r="J97"/>
  <c r="I98"/>
  <c r="J98"/>
  <c r="B96"/>
  <c r="E109" l="1"/>
  <c r="D127" i="9" l="1"/>
  <c r="D131"/>
  <c r="H126"/>
  <c r="H130"/>
  <c r="D126"/>
  <c r="D130"/>
  <c r="D32" i="13" l="1"/>
  <c r="I23"/>
  <c r="D41"/>
  <c r="J23"/>
  <c r="B286" i="12"/>
  <c r="I594" l="1"/>
  <c r="B456" l="1"/>
  <c r="D515" l="1"/>
  <c r="K104" i="13" l="1"/>
  <c r="K106" s="1"/>
  <c r="L104"/>
  <c r="L106" s="1"/>
  <c r="M29" i="6" l="1"/>
  <c r="M28" s="1"/>
  <c r="M34" l="1"/>
  <c r="D34"/>
  <c r="D29"/>
  <c r="N29"/>
  <c r="M94" i="9"/>
  <c r="M93" s="1"/>
  <c r="M89" s="1"/>
  <c r="F81"/>
  <c r="N94" l="1"/>
  <c r="D94"/>
  <c r="D99"/>
  <c r="D23" s="1"/>
  <c r="D131" i="2"/>
  <c r="D98" i="9" l="1"/>
  <c r="D95" s="1"/>
  <c r="F84" i="6"/>
  <c r="F86"/>
  <c r="F89"/>
  <c r="F91"/>
  <c r="F88" l="1"/>
  <c r="F83"/>
  <c r="I84" i="13"/>
  <c r="J84"/>
  <c r="K84"/>
  <c r="L84"/>
  <c r="N99"/>
  <c r="N98" s="1"/>
  <c r="H99"/>
  <c r="H98" s="1"/>
  <c r="G99"/>
  <c r="G98" s="1"/>
  <c r="F99"/>
  <c r="F98" s="1"/>
  <c r="D99" l="1"/>
  <c r="D98" s="1"/>
  <c r="K31" i="6"/>
  <c r="J31"/>
  <c r="I31"/>
  <c r="H31"/>
  <c r="G31"/>
  <c r="F31"/>
  <c r="M31" l="1"/>
  <c r="M30" s="1"/>
  <c r="M27" s="1"/>
  <c r="N31"/>
  <c r="D31"/>
  <c r="D59" i="9"/>
  <c r="D56" s="1"/>
  <c r="H59"/>
  <c r="G59"/>
  <c r="H460" i="12" s="1"/>
  <c r="F59" i="9"/>
  <c r="G460" i="12" s="1"/>
  <c r="G54" i="9"/>
  <c r="N54"/>
  <c r="D54"/>
  <c r="F54"/>
  <c r="H56" l="1"/>
  <c r="I460" i="12"/>
  <c r="F56" i="9"/>
  <c r="G56"/>
  <c r="N50"/>
  <c r="G50"/>
  <c r="H457" i="12" s="1"/>
  <c r="D50" i="9"/>
  <c r="F50" l="1"/>
  <c r="G458" i="12"/>
  <c r="N255" i="6"/>
  <c r="G457" i="12" l="1"/>
  <c r="L138" i="3"/>
  <c r="M209" i="12" s="1"/>
  <c r="K138" i="3"/>
  <c r="L209" i="12" s="1"/>
  <c r="J138" i="3"/>
  <c r="K209" i="12" s="1"/>
  <c r="I138" i="3"/>
  <c r="J209" i="12" s="1"/>
  <c r="H138" i="3"/>
  <c r="I209" i="12" s="1"/>
  <c r="G138" i="3"/>
  <c r="H209" i="12" s="1"/>
  <c r="F138" i="3"/>
  <c r="G209" i="12" s="1"/>
  <c r="D155" i="3"/>
  <c r="D154" s="1"/>
  <c r="L155"/>
  <c r="K155"/>
  <c r="L145" i="12" s="1"/>
  <c r="J155" i="3"/>
  <c r="I155"/>
  <c r="H155"/>
  <c r="G155"/>
  <c r="F155"/>
  <c r="L150"/>
  <c r="J149"/>
  <c r="I149"/>
  <c r="H149"/>
  <c r="K149"/>
  <c r="G149"/>
  <c r="D145"/>
  <c r="D144" s="1"/>
  <c r="L145"/>
  <c r="K145"/>
  <c r="L210" i="12" s="1"/>
  <c r="J145" i="3"/>
  <c r="K210" i="12" s="1"/>
  <c r="I145" i="3"/>
  <c r="J210" i="12" s="1"/>
  <c r="H145" i="3"/>
  <c r="I210" i="12" s="1"/>
  <c r="G145" i="3"/>
  <c r="H210" i="12" s="1"/>
  <c r="F145" i="3"/>
  <c r="G210" i="12" s="1"/>
  <c r="D133" i="3"/>
  <c r="D132" s="1"/>
  <c r="L133"/>
  <c r="L132" s="1"/>
  <c r="K133"/>
  <c r="K132" s="1"/>
  <c r="J133"/>
  <c r="J132" s="1"/>
  <c r="I133"/>
  <c r="H133"/>
  <c r="G133"/>
  <c r="F133"/>
  <c r="D131"/>
  <c r="D130"/>
  <c r="L129"/>
  <c r="L17" s="1"/>
  <c r="K129"/>
  <c r="J129"/>
  <c r="J17" s="1"/>
  <c r="I129"/>
  <c r="I17" s="1"/>
  <c r="H129"/>
  <c r="G129"/>
  <c r="F129"/>
  <c r="F17" s="1"/>
  <c r="D127"/>
  <c r="D126"/>
  <c r="L125"/>
  <c r="L12" s="1"/>
  <c r="L11" s="1"/>
  <c r="K125"/>
  <c r="K12" s="1"/>
  <c r="K11" s="1"/>
  <c r="J125"/>
  <c r="J12" s="1"/>
  <c r="J11" s="1"/>
  <c r="I125"/>
  <c r="H125"/>
  <c r="G125"/>
  <c r="F125"/>
  <c r="K17" l="1"/>
  <c r="K15" s="1"/>
  <c r="J15"/>
  <c r="L15"/>
  <c r="J137"/>
  <c r="J136" s="1"/>
  <c r="K207" i="12" s="1"/>
  <c r="K137" i="3"/>
  <c r="K136" s="1"/>
  <c r="L207" i="12" s="1"/>
  <c r="L137" i="3"/>
  <c r="L136" s="1"/>
  <c r="M207" i="12" s="1"/>
  <c r="K154" i="3"/>
  <c r="I289" i="12"/>
  <c r="K128" i="3"/>
  <c r="J128"/>
  <c r="J124"/>
  <c r="I124"/>
  <c r="J288" i="12" s="1"/>
  <c r="H124" i="3"/>
  <c r="I288" i="12" s="1"/>
  <c r="L124" i="3"/>
  <c r="K124"/>
  <c r="N125"/>
  <c r="N124" s="1"/>
  <c r="M129"/>
  <c r="M128" s="1"/>
  <c r="H137"/>
  <c r="H136" s="1"/>
  <c r="I207" i="12" s="1"/>
  <c r="I137" i="3"/>
  <c r="I136" s="1"/>
  <c r="G137"/>
  <c r="G136" s="1"/>
  <c r="N150"/>
  <c r="M144" i="12"/>
  <c r="F154" i="3"/>
  <c r="G145" i="12"/>
  <c r="H154" i="3"/>
  <c r="I145" i="12"/>
  <c r="J154" i="3"/>
  <c r="K145" i="12"/>
  <c r="L154" i="3"/>
  <c r="M145" i="12"/>
  <c r="L144" i="3"/>
  <c r="M210" i="12"/>
  <c r="G154" i="3"/>
  <c r="H145" i="12"/>
  <c r="I154" i="3"/>
  <c r="J145" i="12"/>
  <c r="M138" i="3"/>
  <c r="M137" s="1"/>
  <c r="M136" s="1"/>
  <c r="D138"/>
  <c r="D137" s="1"/>
  <c r="D136" s="1"/>
  <c r="M125"/>
  <c r="M124" s="1"/>
  <c r="N138"/>
  <c r="G124"/>
  <c r="H288" i="12" s="1"/>
  <c r="N129" i="3"/>
  <c r="L149"/>
  <c r="L148" s="1"/>
  <c r="M142" i="12" s="1"/>
  <c r="D150" i="3"/>
  <c r="P151" s="1"/>
  <c r="F144"/>
  <c r="J144"/>
  <c r="F137"/>
  <c r="F136" s="1"/>
  <c r="G207" i="12" s="1"/>
  <c r="G289"/>
  <c r="D129" i="3"/>
  <c r="D125"/>
  <c r="H144"/>
  <c r="G132"/>
  <c r="H290" i="12"/>
  <c r="I132" i="3"/>
  <c r="J290" i="12"/>
  <c r="G144" i="3"/>
  <c r="P144" s="1"/>
  <c r="I144"/>
  <c r="K144"/>
  <c r="G148"/>
  <c r="H142" i="12" s="1"/>
  <c r="H148" i="3"/>
  <c r="J148"/>
  <c r="F132"/>
  <c r="G290" i="12"/>
  <c r="H132" i="3"/>
  <c r="I290" i="12"/>
  <c r="K148" i="3"/>
  <c r="L142" i="12" s="1"/>
  <c r="I148" i="3"/>
  <c r="G128"/>
  <c r="H289" i="12"/>
  <c r="I128" i="3"/>
  <c r="J289" i="12"/>
  <c r="F149" i="3"/>
  <c r="H128"/>
  <c r="L128"/>
  <c r="F128"/>
  <c r="F124"/>
  <c r="J123" l="1"/>
  <c r="L123"/>
  <c r="H207" i="12"/>
  <c r="P136" i="3"/>
  <c r="E144" i="12"/>
  <c r="L10" i="3"/>
  <c r="J10"/>
  <c r="K10"/>
  <c r="K123"/>
  <c r="H123"/>
  <c r="I287" i="12" s="1"/>
  <c r="I123" i="3"/>
  <c r="J287" i="12" s="1"/>
  <c r="J207"/>
  <c r="M123" i="3"/>
  <c r="J601" i="12"/>
  <c r="J142"/>
  <c r="I601"/>
  <c r="I142"/>
  <c r="E145"/>
  <c r="K601"/>
  <c r="K142"/>
  <c r="G123" i="3"/>
  <c r="E514" i="12"/>
  <c r="E289"/>
  <c r="E290"/>
  <c r="E513"/>
  <c r="E511"/>
  <c r="F148" i="3"/>
  <c r="G142" i="12" s="1"/>
  <c r="F123" i="3"/>
  <c r="G288" i="12"/>
  <c r="E288" s="1"/>
  <c r="N149" i="3"/>
  <c r="N148" s="1"/>
  <c r="D149"/>
  <c r="D148" s="1"/>
  <c r="N137"/>
  <c r="N136" s="1"/>
  <c r="N128"/>
  <c r="N123" s="1"/>
  <c r="D128"/>
  <c r="D124"/>
  <c r="C144" i="12" l="1"/>
  <c r="H287"/>
  <c r="G287"/>
  <c r="E142"/>
  <c r="D141" s="1"/>
  <c r="C513"/>
  <c r="C289"/>
  <c r="D123" i="3"/>
  <c r="D510" i="12"/>
  <c r="J516" i="2"/>
  <c r="K516"/>
  <c r="L516"/>
  <c r="N651"/>
  <c r="N650" s="1"/>
  <c r="D651"/>
  <c r="D650" s="1"/>
  <c r="I651"/>
  <c r="I650" s="1"/>
  <c r="J608" i="12" s="1"/>
  <c r="H651" i="2"/>
  <c r="H650" s="1"/>
  <c r="I608" i="12" s="1"/>
  <c r="G651" i="2"/>
  <c r="G650" s="1"/>
  <c r="H608" i="12" s="1"/>
  <c r="F651" i="2"/>
  <c r="F650" s="1"/>
  <c r="G608" i="12" s="1"/>
  <c r="E287" l="1"/>
  <c r="L111" i="6"/>
  <c r="J488" i="12" l="1"/>
  <c r="S550"/>
  <c r="T550"/>
  <c r="U550"/>
  <c r="V550"/>
  <c r="P105" i="6" l="1"/>
  <c r="P95"/>
  <c r="P94" l="1"/>
  <c r="J512" i="2"/>
  <c r="K512"/>
  <c r="L512"/>
  <c r="F519"/>
  <c r="G519"/>
  <c r="H519"/>
  <c r="I519"/>
  <c r="J519"/>
  <c r="K519"/>
  <c r="L519"/>
  <c r="F525"/>
  <c r="C79" i="1" s="1"/>
  <c r="G525" i="2"/>
  <c r="D79" i="1" s="1"/>
  <c r="H525" i="2"/>
  <c r="E79" i="1" s="1"/>
  <c r="I525" i="2"/>
  <c r="F79" i="1" s="1"/>
  <c r="J525" i="2"/>
  <c r="G79" i="1" s="1"/>
  <c r="K525" i="2"/>
  <c r="H79" i="1" s="1"/>
  <c r="L525" i="2"/>
  <c r="I79" i="1" s="1"/>
  <c r="H528" i="2"/>
  <c r="H527" s="1"/>
  <c r="I528"/>
  <c r="I527" s="1"/>
  <c r="D532"/>
  <c r="D531" s="1"/>
  <c r="G528"/>
  <c r="F532"/>
  <c r="F531" s="1"/>
  <c r="G532"/>
  <c r="G531" s="1"/>
  <c r="H532"/>
  <c r="H531" s="1"/>
  <c r="I532"/>
  <c r="I531" s="1"/>
  <c r="J532"/>
  <c r="J531" s="1"/>
  <c r="J666" s="1"/>
  <c r="K532"/>
  <c r="K531" s="1"/>
  <c r="K666" s="1"/>
  <c r="L532"/>
  <c r="L531" s="1"/>
  <c r="L666" s="1"/>
  <c r="D519"/>
  <c r="H102" i="1" l="1"/>
  <c r="K668" i="2"/>
  <c r="I102" i="1"/>
  <c r="L668" i="2"/>
  <c r="G102" i="1"/>
  <c r="J668" i="2"/>
  <c r="M519"/>
  <c r="N519"/>
  <c r="D525"/>
  <c r="N528"/>
  <c r="F528"/>
  <c r="F306" l="1"/>
  <c r="F311"/>
  <c r="F304"/>
  <c r="I325"/>
  <c r="I51" s="1"/>
  <c r="F325"/>
  <c r="G322"/>
  <c r="F322"/>
  <c r="I319"/>
  <c r="I42" s="1"/>
  <c r="G41"/>
  <c r="F319"/>
  <c r="I316"/>
  <c r="G316"/>
  <c r="F316"/>
  <c r="F51" l="1"/>
  <c r="F49" s="1"/>
  <c r="F42"/>
  <c r="I41"/>
  <c r="G48"/>
  <c r="G44" s="1"/>
  <c r="G43" s="1"/>
  <c r="F40"/>
  <c r="F36" s="1"/>
  <c r="G40"/>
  <c r="G36" s="1"/>
  <c r="G35" s="1"/>
  <c r="I40"/>
  <c r="I36" s="1"/>
  <c r="F48"/>
  <c r="F44" s="1"/>
  <c r="M319"/>
  <c r="M318" s="1"/>
  <c r="M316"/>
  <c r="M314" s="1"/>
  <c r="D304"/>
  <c r="M304"/>
  <c r="M302" s="1"/>
  <c r="D306"/>
  <c r="M306"/>
  <c r="M305" s="1"/>
  <c r="D316"/>
  <c r="N319"/>
  <c r="D322"/>
  <c r="D48" s="1"/>
  <c r="D311"/>
  <c r="D325"/>
  <c r="D319"/>
  <c r="D42" l="1"/>
  <c r="I49"/>
  <c r="I43" s="1"/>
  <c r="I35"/>
  <c r="D40"/>
  <c r="F43"/>
  <c r="N40"/>
  <c r="M313"/>
  <c r="M42"/>
  <c r="F41"/>
  <c r="F35" s="1"/>
  <c r="M301"/>
  <c r="F54" i="4"/>
  <c r="F53" s="1"/>
  <c r="G54"/>
  <c r="G53" s="1"/>
  <c r="H54"/>
  <c r="H53" s="1"/>
  <c r="I54"/>
  <c r="I53" s="1"/>
  <c r="J54"/>
  <c r="J53" s="1"/>
  <c r="K54"/>
  <c r="K53" s="1"/>
  <c r="L54"/>
  <c r="L53" s="1"/>
  <c r="N54" l="1"/>
  <c r="N53" s="1"/>
  <c r="D54"/>
  <c r="D53" s="1"/>
  <c r="M103" i="9" l="1"/>
  <c r="N103"/>
  <c r="N12" s="1"/>
  <c r="N11" s="1"/>
  <c r="D103"/>
  <c r="D12" s="1"/>
  <c r="M102" l="1"/>
  <c r="M12"/>
  <c r="M11" s="1"/>
  <c r="M107"/>
  <c r="M106" s="1"/>
  <c r="D11"/>
  <c r="H10"/>
  <c r="N16"/>
  <c r="N107"/>
  <c r="D107"/>
  <c r="D16" s="1"/>
  <c r="M101" l="1"/>
  <c r="P23"/>
  <c r="F10"/>
  <c r="M16"/>
  <c r="M15" s="1"/>
  <c r="I34" i="10" l="1"/>
  <c r="J34"/>
  <c r="I35"/>
  <c r="J35"/>
  <c r="J32"/>
  <c r="J33"/>
  <c r="B91" i="12" l="1"/>
  <c r="J283"/>
  <c r="K283"/>
  <c r="L283"/>
  <c r="M283"/>
  <c r="J284"/>
  <c r="K284"/>
  <c r="L284"/>
  <c r="M284"/>
  <c r="B281"/>
  <c r="D286" l="1"/>
  <c r="D291"/>
  <c r="G146" i="9"/>
  <c r="D108" i="3" l="1"/>
  <c r="N91"/>
  <c r="F21"/>
  <c r="F18" s="1"/>
  <c r="D91" l="1"/>
  <c r="M91"/>
  <c r="M90" s="1"/>
  <c r="D88"/>
  <c r="P88" s="1"/>
  <c r="M88"/>
  <c r="M87" s="1"/>
  <c r="D96"/>
  <c r="D103"/>
  <c r="M103"/>
  <c r="M102" s="1"/>
  <c r="D100"/>
  <c r="M100"/>
  <c r="M99" s="1"/>
  <c r="D148" i="9"/>
  <c r="D151"/>
  <c r="D150" s="1"/>
  <c r="N137"/>
  <c r="N139"/>
  <c r="D137"/>
  <c r="G137"/>
  <c r="H137"/>
  <c r="F137"/>
  <c r="D139"/>
  <c r="G139"/>
  <c r="H139"/>
  <c r="F139"/>
  <c r="G142"/>
  <c r="H142"/>
  <c r="F142"/>
  <c r="D142"/>
  <c r="D141" s="1"/>
  <c r="D261" s="1"/>
  <c r="N146"/>
  <c r="N148"/>
  <c r="H146"/>
  <c r="I146"/>
  <c r="F146"/>
  <c r="D146"/>
  <c r="G148"/>
  <c r="H148"/>
  <c r="I148"/>
  <c r="F148"/>
  <c r="G151"/>
  <c r="H151"/>
  <c r="I151"/>
  <c r="F151"/>
  <c r="F264" i="12"/>
  <c r="G427" i="2"/>
  <c r="H427"/>
  <c r="H344" s="1"/>
  <c r="H343" s="1"/>
  <c r="J31"/>
  <c r="I31"/>
  <c r="K31"/>
  <c r="L31"/>
  <c r="G22" i="6"/>
  <c r="F22"/>
  <c r="N219"/>
  <c r="G15"/>
  <c r="F15"/>
  <c r="N215"/>
  <c r="I35" i="12"/>
  <c r="G35"/>
  <c r="N128" i="6"/>
  <c r="L123"/>
  <c r="K123"/>
  <c r="K121" s="1"/>
  <c r="J123"/>
  <c r="I123"/>
  <c r="I121" s="1"/>
  <c r="I120" s="1"/>
  <c r="H123"/>
  <c r="G123"/>
  <c r="G121" s="1"/>
  <c r="G120" s="1"/>
  <c r="F123"/>
  <c r="L133"/>
  <c r="L125" s="1"/>
  <c r="K133"/>
  <c r="K125" s="1"/>
  <c r="J133"/>
  <c r="J125" s="1"/>
  <c r="I133"/>
  <c r="I125" s="1"/>
  <c r="H133"/>
  <c r="H125" s="1"/>
  <c r="G133"/>
  <c r="F133"/>
  <c r="F132"/>
  <c r="M132" s="1"/>
  <c r="H116"/>
  <c r="H115" s="1"/>
  <c r="F116"/>
  <c r="F115" s="1"/>
  <c r="L114"/>
  <c r="K114"/>
  <c r="J114"/>
  <c r="I114"/>
  <c r="H114"/>
  <c r="G114"/>
  <c r="G113"/>
  <c r="K111"/>
  <c r="J111"/>
  <c r="I111"/>
  <c r="H111"/>
  <c r="G111"/>
  <c r="L110"/>
  <c r="K110"/>
  <c r="J110"/>
  <c r="I110"/>
  <c r="I106" s="1"/>
  <c r="M109"/>
  <c r="K108"/>
  <c r="L104"/>
  <c r="L102" s="1"/>
  <c r="K104"/>
  <c r="K102" s="1"/>
  <c r="J104"/>
  <c r="I104"/>
  <c r="I102" s="1"/>
  <c r="H104"/>
  <c r="G104"/>
  <c r="G103"/>
  <c r="H96"/>
  <c r="I213" i="12" s="1"/>
  <c r="I98" i="6"/>
  <c r="N37" i="8"/>
  <c r="N20" s="1"/>
  <c r="N16" s="1"/>
  <c r="D72" i="5"/>
  <c r="D75"/>
  <c r="D40"/>
  <c r="D42"/>
  <c r="D41" s="1"/>
  <c r="D47"/>
  <c r="F33" i="3"/>
  <c r="F16" s="1"/>
  <c r="F15" s="1"/>
  <c r="G27"/>
  <c r="H27"/>
  <c r="I27"/>
  <c r="I12" s="1"/>
  <c r="I11" s="1"/>
  <c r="J120" i="9"/>
  <c r="K95" i="12" s="1"/>
  <c r="K120" i="9"/>
  <c r="L95" i="12" s="1"/>
  <c r="L120" i="9"/>
  <c r="M95" i="12" s="1"/>
  <c r="I117" i="9"/>
  <c r="J94" i="12" s="1"/>
  <c r="J117" i="9"/>
  <c r="K117"/>
  <c r="L94" i="12" s="1"/>
  <c r="L117" i="9"/>
  <c r="I115"/>
  <c r="J93" i="12" s="1"/>
  <c r="J115" i="9"/>
  <c r="K93" i="12" s="1"/>
  <c r="K115" i="9"/>
  <c r="L93" i="12" s="1"/>
  <c r="L115" i="9"/>
  <c r="M93" i="12" s="1"/>
  <c r="H115" i="9"/>
  <c r="I93" i="12" s="1"/>
  <c r="F72" i="9"/>
  <c r="G83" i="12" s="1"/>
  <c r="F30" i="9"/>
  <c r="F26" s="1"/>
  <c r="F93"/>
  <c r="F63"/>
  <c r="F65"/>
  <c r="G444" i="12" s="1"/>
  <c r="F115" i="9"/>
  <c r="G93" i="12" s="1"/>
  <c r="F117" i="9"/>
  <c r="G94" i="12" s="1"/>
  <c r="G74" i="9"/>
  <c r="H84" i="12" s="1"/>
  <c r="G72" i="9"/>
  <c r="G30"/>
  <c r="G26" s="1"/>
  <c r="G93"/>
  <c r="G63"/>
  <c r="H443" i="12" s="1"/>
  <c r="G65" i="9"/>
  <c r="G115"/>
  <c r="H93" i="12" s="1"/>
  <c r="G117" i="9"/>
  <c r="H94" i="12" s="1"/>
  <c r="H117" i="9"/>
  <c r="I94" i="12" s="1"/>
  <c r="H74" i="9"/>
  <c r="I84" i="12" s="1"/>
  <c r="H72" i="9"/>
  <c r="I83" i="12" s="1"/>
  <c r="H26" i="9"/>
  <c r="H89"/>
  <c r="I87" i="12" s="1"/>
  <c r="I74" i="9"/>
  <c r="J84" i="12" s="1"/>
  <c r="I72" i="9"/>
  <c r="I89"/>
  <c r="J87" i="12" s="1"/>
  <c r="J74" i="9"/>
  <c r="J71" s="1"/>
  <c r="J89"/>
  <c r="K114"/>
  <c r="K74"/>
  <c r="K71" s="1"/>
  <c r="K89"/>
  <c r="L74"/>
  <c r="L71" s="1"/>
  <c r="L89"/>
  <c r="F80"/>
  <c r="F102"/>
  <c r="G283" i="12" s="1"/>
  <c r="F106" i="9"/>
  <c r="G284" i="12" s="1"/>
  <c r="F124" i="9"/>
  <c r="G338" i="12" s="1"/>
  <c r="F128" i="9"/>
  <c r="G339" i="12" s="1"/>
  <c r="G86" i="9"/>
  <c r="G81"/>
  <c r="G102"/>
  <c r="H283" i="12" s="1"/>
  <c r="G106" i="9"/>
  <c r="H284" i="12" s="1"/>
  <c r="G124" i="9"/>
  <c r="H338" i="12" s="1"/>
  <c r="G128" i="9"/>
  <c r="H339" i="12" s="1"/>
  <c r="H80" i="9"/>
  <c r="H102"/>
  <c r="I283" i="12" s="1"/>
  <c r="H106" i="9"/>
  <c r="I284" i="12" s="1"/>
  <c r="H124" i="9"/>
  <c r="I338" i="12" s="1"/>
  <c r="H128" i="9"/>
  <c r="I339" i="12" s="1"/>
  <c r="I80" i="9"/>
  <c r="I101"/>
  <c r="I123"/>
  <c r="J337" i="12" s="1"/>
  <c r="J80" i="9"/>
  <c r="J101"/>
  <c r="J123"/>
  <c r="K337" i="12" s="1"/>
  <c r="K80" i="9"/>
  <c r="K101"/>
  <c r="K123"/>
  <c r="L337" i="12" s="1"/>
  <c r="L80" i="9"/>
  <c r="L101"/>
  <c r="L123"/>
  <c r="M337" i="12" s="1"/>
  <c r="D30" i="9"/>
  <c r="D26" s="1"/>
  <c r="D90"/>
  <c r="D115"/>
  <c r="D81"/>
  <c r="D102"/>
  <c r="D128"/>
  <c r="D35"/>
  <c r="D32" s="1"/>
  <c r="N67" i="3"/>
  <c r="N66" s="1"/>
  <c r="N64"/>
  <c r="D67"/>
  <c r="D125" i="7"/>
  <c r="K125"/>
  <c r="J125"/>
  <c r="I125"/>
  <c r="H125"/>
  <c r="G125"/>
  <c r="F125"/>
  <c r="D123"/>
  <c r="K123"/>
  <c r="J123"/>
  <c r="I123"/>
  <c r="H123"/>
  <c r="G123"/>
  <c r="F123"/>
  <c r="D120"/>
  <c r="N120"/>
  <c r="K120"/>
  <c r="J120"/>
  <c r="I120"/>
  <c r="H120"/>
  <c r="G120"/>
  <c r="F120"/>
  <c r="N117"/>
  <c r="N116" s="1"/>
  <c r="K117"/>
  <c r="J117"/>
  <c r="I117"/>
  <c r="H117"/>
  <c r="F117"/>
  <c r="G116"/>
  <c r="K45"/>
  <c r="L133" i="9"/>
  <c r="K133"/>
  <c r="J133"/>
  <c r="I133"/>
  <c r="H133"/>
  <c r="I340" i="12" s="1"/>
  <c r="G133" i="9"/>
  <c r="F133"/>
  <c r="G340" i="12" s="1"/>
  <c r="N128" i="9"/>
  <c r="N124"/>
  <c r="F120"/>
  <c r="G95" i="12" s="1"/>
  <c r="G120" i="9"/>
  <c r="H95" i="12" s="1"/>
  <c r="H120" i="9"/>
  <c r="I95" i="12" s="1"/>
  <c r="I120" i="9"/>
  <c r="J95" i="12" s="1"/>
  <c r="F111" i="9"/>
  <c r="G285" i="12" s="1"/>
  <c r="G111" i="9"/>
  <c r="H285" i="12" s="1"/>
  <c r="H111" i="9"/>
  <c r="I285" i="12" s="1"/>
  <c r="I111" i="9"/>
  <c r="J285" i="12" s="1"/>
  <c r="J111" i="9"/>
  <c r="K285" i="12" s="1"/>
  <c r="K111" i="9"/>
  <c r="L285" i="12" s="1"/>
  <c r="L111" i="9"/>
  <c r="M285" i="12" s="1"/>
  <c r="N117" i="9"/>
  <c r="N115"/>
  <c r="N106"/>
  <c r="N102"/>
  <c r="G200" i="6"/>
  <c r="I203"/>
  <c r="H203"/>
  <c r="G204"/>
  <c r="M204" s="1"/>
  <c r="G207"/>
  <c r="I210"/>
  <c r="H210"/>
  <c r="G211"/>
  <c r="H424" i="2"/>
  <c r="M430"/>
  <c r="M425"/>
  <c r="I432"/>
  <c r="I431" s="1"/>
  <c r="I659" s="1"/>
  <c r="F310"/>
  <c r="F308"/>
  <c r="F305"/>
  <c r="F302"/>
  <c r="G321"/>
  <c r="D492" i="12"/>
  <c r="I442"/>
  <c r="J442"/>
  <c r="K442"/>
  <c r="L442"/>
  <c r="M442"/>
  <c r="G443"/>
  <c r="I443"/>
  <c r="J443"/>
  <c r="K443"/>
  <c r="L443"/>
  <c r="M443"/>
  <c r="H444"/>
  <c r="I444"/>
  <c r="J444"/>
  <c r="K444"/>
  <c r="L444"/>
  <c r="M444"/>
  <c r="F68" i="9"/>
  <c r="G445" i="12" s="1"/>
  <c r="G68" i="9"/>
  <c r="H445" i="12" s="1"/>
  <c r="H68" i="9"/>
  <c r="I445" i="12" s="1"/>
  <c r="J445"/>
  <c r="K445"/>
  <c r="L445"/>
  <c r="M445"/>
  <c r="B441"/>
  <c r="I435"/>
  <c r="J435"/>
  <c r="K435"/>
  <c r="L435"/>
  <c r="M435"/>
  <c r="I434"/>
  <c r="J434"/>
  <c r="K434"/>
  <c r="L434"/>
  <c r="M434"/>
  <c r="I433"/>
  <c r="J433"/>
  <c r="K433"/>
  <c r="L433"/>
  <c r="M433"/>
  <c r="I432"/>
  <c r="J432"/>
  <c r="K432"/>
  <c r="L432"/>
  <c r="M432"/>
  <c r="B431"/>
  <c r="I236" i="9"/>
  <c r="J236"/>
  <c r="K236"/>
  <c r="L236"/>
  <c r="E236"/>
  <c r="F236"/>
  <c r="G236"/>
  <c r="H236"/>
  <c r="D236"/>
  <c r="N248"/>
  <c r="N247" s="1"/>
  <c r="L248"/>
  <c r="K248"/>
  <c r="J248"/>
  <c r="I248"/>
  <c r="H248"/>
  <c r="G248"/>
  <c r="F248"/>
  <c r="D248"/>
  <c r="L247"/>
  <c r="K247"/>
  <c r="J247"/>
  <c r="I247"/>
  <c r="H247"/>
  <c r="G247"/>
  <c r="F247"/>
  <c r="D247"/>
  <c r="N63"/>
  <c r="N65"/>
  <c r="D203" i="2"/>
  <c r="D51" s="1"/>
  <c r="G104" i="12"/>
  <c r="H99"/>
  <c r="G99"/>
  <c r="D250" i="2"/>
  <c r="G250"/>
  <c r="H140" i="12" s="1"/>
  <c r="F250" i="2"/>
  <c r="G140" i="12" s="1"/>
  <c r="D248" i="2"/>
  <c r="G248"/>
  <c r="F248"/>
  <c r="N245"/>
  <c r="D245"/>
  <c r="G245"/>
  <c r="H139" i="12" s="1"/>
  <c r="F245" i="2"/>
  <c r="G139" i="12" s="1"/>
  <c r="N244" i="2"/>
  <c r="N242"/>
  <c r="G242"/>
  <c r="H138" i="12" s="1"/>
  <c r="F242" i="2"/>
  <c r="G138" i="12" s="1"/>
  <c r="D238" i="2"/>
  <c r="G238"/>
  <c r="H125" i="12" s="1"/>
  <c r="F238" i="2"/>
  <c r="G125" i="12" s="1"/>
  <c r="F480"/>
  <c r="D236" i="2"/>
  <c r="G236"/>
  <c r="F236"/>
  <c r="N233"/>
  <c r="G233"/>
  <c r="H124" i="12" s="1"/>
  <c r="F233" i="2"/>
  <c r="G124" i="12" s="1"/>
  <c r="F479"/>
  <c r="D233" i="2"/>
  <c r="G230"/>
  <c r="H123" i="12" s="1"/>
  <c r="F230" i="2"/>
  <c r="G123" i="12" s="1"/>
  <c r="D226" i="2"/>
  <c r="G226"/>
  <c r="H435" i="12" s="1"/>
  <c r="F226" i="2"/>
  <c r="G435" i="12" s="1"/>
  <c r="F435"/>
  <c r="G224" i="2"/>
  <c r="F224"/>
  <c r="N221"/>
  <c r="D221"/>
  <c r="G221"/>
  <c r="H434" i="12" s="1"/>
  <c r="F221" i="2"/>
  <c r="G434" i="12" s="1"/>
  <c r="F434"/>
  <c r="N218" i="2"/>
  <c r="G218"/>
  <c r="H433" i="12" s="1"/>
  <c r="F218" i="2"/>
  <c r="G433" i="12" s="1"/>
  <c r="F110"/>
  <c r="G214" i="2"/>
  <c r="H110" i="12" s="1"/>
  <c r="G212" i="2"/>
  <c r="G206"/>
  <c r="F209"/>
  <c r="G209"/>
  <c r="D207"/>
  <c r="D214"/>
  <c r="D209"/>
  <c r="F214"/>
  <c r="G110" i="12" s="1"/>
  <c r="D212" i="2"/>
  <c r="F212"/>
  <c r="N209"/>
  <c r="D70"/>
  <c r="D224"/>
  <c r="D218"/>
  <c r="N133" i="8"/>
  <c r="N132" s="1"/>
  <c r="N131" s="1"/>
  <c r="K106"/>
  <c r="L106"/>
  <c r="D110"/>
  <c r="E120"/>
  <c r="B79" i="1" s="1"/>
  <c r="J79" s="1"/>
  <c r="E119" i="8"/>
  <c r="B81" i="1" s="1"/>
  <c r="F119" i="8"/>
  <c r="G119"/>
  <c r="H119"/>
  <c r="H116" s="1"/>
  <c r="H115" s="1"/>
  <c r="I119"/>
  <c r="J119"/>
  <c r="K119"/>
  <c r="K116" s="1"/>
  <c r="K115" s="1"/>
  <c r="L119"/>
  <c r="E113"/>
  <c r="F113"/>
  <c r="G113"/>
  <c r="D72" i="1" s="1"/>
  <c r="H113" i="8"/>
  <c r="E72" i="1" s="1"/>
  <c r="I113" i="8"/>
  <c r="F72" i="1" s="1"/>
  <c r="J113" i="8"/>
  <c r="K113"/>
  <c r="H72" i="1" s="1"/>
  <c r="H125" s="1"/>
  <c r="H191" s="1"/>
  <c r="L113" i="8"/>
  <c r="I72" i="1" s="1"/>
  <c r="F116" i="8"/>
  <c r="F115" s="1"/>
  <c r="J116"/>
  <c r="J115" s="1"/>
  <c r="D113"/>
  <c r="F127"/>
  <c r="F126" s="1"/>
  <c r="C103" i="1" s="1"/>
  <c r="G127" i="8"/>
  <c r="G126" s="1"/>
  <c r="D103" i="1" s="1"/>
  <c r="H127" i="8"/>
  <c r="H126" s="1"/>
  <c r="E103" i="1" s="1"/>
  <c r="I127" i="8"/>
  <c r="I126" s="1"/>
  <c r="F103" i="1" s="1"/>
  <c r="J127" i="8"/>
  <c r="J126" s="1"/>
  <c r="G103" i="1" s="1"/>
  <c r="K127" i="8"/>
  <c r="K126" s="1"/>
  <c r="H103" i="1" s="1"/>
  <c r="L127" i="8"/>
  <c r="L126" s="1"/>
  <c r="I103" i="1" s="1"/>
  <c r="F123" i="8"/>
  <c r="F122" s="1"/>
  <c r="F107" s="1"/>
  <c r="F105" s="1"/>
  <c r="G123"/>
  <c r="G122" s="1"/>
  <c r="G107" s="1"/>
  <c r="H123"/>
  <c r="H122" s="1"/>
  <c r="H107" s="1"/>
  <c r="H105" s="1"/>
  <c r="I123"/>
  <c r="I122" s="1"/>
  <c r="I107" s="1"/>
  <c r="I105" s="1"/>
  <c r="J123"/>
  <c r="J122" s="1"/>
  <c r="J107" s="1"/>
  <c r="J105" s="1"/>
  <c r="K123"/>
  <c r="K122" s="1"/>
  <c r="K107" s="1"/>
  <c r="L123"/>
  <c r="L122" s="1"/>
  <c r="L107" s="1"/>
  <c r="D119"/>
  <c r="L110"/>
  <c r="L109" s="1"/>
  <c r="L108" s="1"/>
  <c r="H110"/>
  <c r="J110"/>
  <c r="J109" s="1"/>
  <c r="J108" s="1"/>
  <c r="F110"/>
  <c r="E110"/>
  <c r="K110"/>
  <c r="I110"/>
  <c r="I109" s="1"/>
  <c r="I108" s="1"/>
  <c r="G110"/>
  <c r="C72" i="1"/>
  <c r="G72"/>
  <c r="N44" i="4"/>
  <c r="N43" s="1"/>
  <c r="E483" i="12"/>
  <c r="K204"/>
  <c r="L204"/>
  <c r="M204"/>
  <c r="J26" i="3"/>
  <c r="J25" s="1"/>
  <c r="L202" i="12"/>
  <c r="F41" i="3"/>
  <c r="F38" s="1"/>
  <c r="H41"/>
  <c r="J41"/>
  <c r="G71"/>
  <c r="H200" i="12" s="1"/>
  <c r="F66" i="3"/>
  <c r="G63"/>
  <c r="H198" i="12" s="1"/>
  <c r="G66" i="3"/>
  <c r="H199" i="12" s="1"/>
  <c r="B152" i="1"/>
  <c r="B167"/>
  <c r="D234" i="6"/>
  <c r="D258"/>
  <c r="D257" s="1"/>
  <c r="D229"/>
  <c r="D28"/>
  <c r="D67" i="13"/>
  <c r="P31"/>
  <c r="F227" i="12"/>
  <c r="D44" i="4"/>
  <c r="D43" s="1"/>
  <c r="D75" i="3"/>
  <c r="D643" i="2"/>
  <c r="D642" s="1"/>
  <c r="D342"/>
  <c r="D308"/>
  <c r="N49" i="4"/>
  <c r="N48" s="1"/>
  <c r="N28" i="13"/>
  <c r="N81" i="9"/>
  <c r="N260" i="6"/>
  <c r="N258" s="1"/>
  <c r="N257" s="1"/>
  <c r="N73"/>
  <c r="N28"/>
  <c r="N65" i="5"/>
  <c r="F15"/>
  <c r="F14" s="1"/>
  <c r="N12"/>
  <c r="N90" i="3"/>
  <c r="N643" i="2"/>
  <c r="N642" s="1"/>
  <c r="N624"/>
  <c r="N620"/>
  <c r="N619" s="1"/>
  <c r="N618" s="1"/>
  <c r="N613"/>
  <c r="N612"/>
  <c r="N605"/>
  <c r="N580"/>
  <c r="N579" s="1"/>
  <c r="N578" s="1"/>
  <c r="N306"/>
  <c r="N304"/>
  <c r="N331"/>
  <c r="N206"/>
  <c r="N81"/>
  <c r="F28" i="6"/>
  <c r="G273" i="12" s="1"/>
  <c r="G28" i="6"/>
  <c r="H273" i="12" s="1"/>
  <c r="H28" i="6"/>
  <c r="I273" i="12" s="1"/>
  <c r="I28" i="6"/>
  <c r="J273" i="12" s="1"/>
  <c r="J28" i="6"/>
  <c r="K273" i="12" s="1"/>
  <c r="K28" i="6"/>
  <c r="L273" i="12" s="1"/>
  <c r="J594"/>
  <c r="H140" i="6"/>
  <c r="D59" i="3"/>
  <c r="B16" i="12"/>
  <c r="B271"/>
  <c r="F564" i="2"/>
  <c r="F563" s="1"/>
  <c r="N37"/>
  <c r="N396"/>
  <c r="N394"/>
  <c r="F115"/>
  <c r="F114" s="1"/>
  <c r="N149"/>
  <c r="D635"/>
  <c r="D634" s="1"/>
  <c r="D36" i="13"/>
  <c r="M273" i="12"/>
  <c r="J30" i="6"/>
  <c r="K274" i="12" s="1"/>
  <c r="K30" i="6"/>
  <c r="L274" i="12" s="1"/>
  <c r="M274"/>
  <c r="J36" i="6"/>
  <c r="J35" s="1"/>
  <c r="K36"/>
  <c r="K35" s="1"/>
  <c r="I31" i="10" s="1"/>
  <c r="L36" i="6"/>
  <c r="L35" s="1"/>
  <c r="J31" i="10" s="1"/>
  <c r="M272" i="12"/>
  <c r="F177" i="6"/>
  <c r="D177" s="1"/>
  <c r="D145" s="1"/>
  <c r="F184"/>
  <c r="G81" i="1"/>
  <c r="H81"/>
  <c r="F250" i="6"/>
  <c r="F249" s="1"/>
  <c r="F83" i="3"/>
  <c r="F78"/>
  <c r="G24" i="12" s="1"/>
  <c r="F75" i="3"/>
  <c r="H71"/>
  <c r="I71"/>
  <c r="I68" s="1"/>
  <c r="G24" i="10" s="1"/>
  <c r="H66" i="3"/>
  <c r="I199" i="12" s="1"/>
  <c r="I66" i="3"/>
  <c r="J199" i="12" s="1"/>
  <c r="H63" i="3"/>
  <c r="I63"/>
  <c r="J51" i="7"/>
  <c r="K51"/>
  <c r="J49"/>
  <c r="K49"/>
  <c r="J46"/>
  <c r="K46"/>
  <c r="J43"/>
  <c r="G30"/>
  <c r="G29" s="1"/>
  <c r="G234" i="6"/>
  <c r="F234"/>
  <c r="G20" i="12" s="1"/>
  <c r="E20" s="1"/>
  <c r="F232" i="6"/>
  <c r="G232"/>
  <c r="N229"/>
  <c r="G229"/>
  <c r="F229"/>
  <c r="G19" i="12" s="1"/>
  <c r="E19" s="1"/>
  <c r="G227" i="6"/>
  <c r="N227" s="1"/>
  <c r="F227"/>
  <c r="M49" i="8"/>
  <c r="M18" s="1"/>
  <c r="M47"/>
  <c r="M14" s="1"/>
  <c r="B41" i="12"/>
  <c r="G278"/>
  <c r="I278"/>
  <c r="J278"/>
  <c r="G279"/>
  <c r="I279"/>
  <c r="J279"/>
  <c r="B276"/>
  <c r="I88"/>
  <c r="J88"/>
  <c r="I89"/>
  <c r="J89"/>
  <c r="B86"/>
  <c r="L107" i="3"/>
  <c r="K107"/>
  <c r="J107"/>
  <c r="I107"/>
  <c r="J45" i="12" s="1"/>
  <c r="H107" i="3"/>
  <c r="I45" i="12" s="1"/>
  <c r="G107" i="3"/>
  <c r="F107"/>
  <c r="G45" i="12" s="1"/>
  <c r="L105" i="3"/>
  <c r="K105"/>
  <c r="J105"/>
  <c r="I105"/>
  <c r="H105"/>
  <c r="G105"/>
  <c r="F105"/>
  <c r="N102"/>
  <c r="L102"/>
  <c r="K102"/>
  <c r="J102"/>
  <c r="I102"/>
  <c r="J44" i="12" s="1"/>
  <c r="H102" i="3"/>
  <c r="I44" i="12" s="1"/>
  <c r="G102" i="3"/>
  <c r="H44" i="12" s="1"/>
  <c r="F102" i="3"/>
  <c r="G44" i="12" s="1"/>
  <c r="L99" i="3"/>
  <c r="K99"/>
  <c r="J99"/>
  <c r="I99"/>
  <c r="J43" i="12" s="1"/>
  <c r="H99" i="3"/>
  <c r="G99"/>
  <c r="H43" i="12" s="1"/>
  <c r="F99" i="3"/>
  <c r="G43" i="12" s="1"/>
  <c r="F55" i="2"/>
  <c r="F54" s="1"/>
  <c r="F69"/>
  <c r="F68" s="1"/>
  <c r="F81"/>
  <c r="F80" s="1"/>
  <c r="G187" i="12" s="1"/>
  <c r="F93" i="2"/>
  <c r="F92" s="1"/>
  <c r="F105"/>
  <c r="F104" s="1"/>
  <c r="N173"/>
  <c r="N169" s="1"/>
  <c r="N185"/>
  <c r="N182"/>
  <c r="H88" i="12"/>
  <c r="H89"/>
  <c r="G88"/>
  <c r="G89"/>
  <c r="H278"/>
  <c r="G83" i="9"/>
  <c r="H279" i="12" s="1"/>
  <c r="L98" i="9"/>
  <c r="L95" s="1"/>
  <c r="K98"/>
  <c r="K95" s="1"/>
  <c r="J98"/>
  <c r="J95" s="1"/>
  <c r="I98"/>
  <c r="I95" s="1"/>
  <c r="J90" i="12" s="1"/>
  <c r="H98" i="9"/>
  <c r="H95" s="1"/>
  <c r="I90" i="12" s="1"/>
  <c r="G98" i="9"/>
  <c r="H90" i="12" s="1"/>
  <c r="F98" i="9"/>
  <c r="G90" i="12" s="1"/>
  <c r="N93" i="9"/>
  <c r="L86"/>
  <c r="L85" s="1"/>
  <c r="K86"/>
  <c r="K85" s="1"/>
  <c r="J86"/>
  <c r="J85" s="1"/>
  <c r="I86"/>
  <c r="J280" i="12" s="1"/>
  <c r="H86" i="9"/>
  <c r="I280" i="12" s="1"/>
  <c r="F86" i="9"/>
  <c r="G280" i="12" s="1"/>
  <c r="N83" i="9"/>
  <c r="N80" s="1"/>
  <c r="J277" i="12"/>
  <c r="G277"/>
  <c r="N527" i="2"/>
  <c r="F540"/>
  <c r="F539" s="1"/>
  <c r="H324"/>
  <c r="I65" i="12" s="1"/>
  <c r="H321" i="2"/>
  <c r="I321"/>
  <c r="I324"/>
  <c r="J65" i="12" s="1"/>
  <c r="H314" i="2"/>
  <c r="H318"/>
  <c r="I64" i="12" s="1"/>
  <c r="I318" i="2"/>
  <c r="I314"/>
  <c r="N316"/>
  <c r="I642"/>
  <c r="H642"/>
  <c r="G642"/>
  <c r="F642"/>
  <c r="G634"/>
  <c r="H634"/>
  <c r="I634"/>
  <c r="N634"/>
  <c r="F634"/>
  <c r="I548"/>
  <c r="I547" s="1"/>
  <c r="N548"/>
  <c r="N547" s="1"/>
  <c r="N604"/>
  <c r="I59" i="13"/>
  <c r="H59"/>
  <c r="I65"/>
  <c r="H65"/>
  <c r="O550" i="12"/>
  <c r="P550"/>
  <c r="Q550"/>
  <c r="R550"/>
  <c r="B21"/>
  <c r="B26"/>
  <c r="B31"/>
  <c r="B36"/>
  <c r="B173"/>
  <c r="B186"/>
  <c r="B196"/>
  <c r="B201"/>
  <c r="B216"/>
  <c r="B221"/>
  <c r="B226"/>
  <c r="B231"/>
  <c r="B236"/>
  <c r="B241"/>
  <c r="B251"/>
  <c r="B256"/>
  <c r="B261"/>
  <c r="B266"/>
  <c r="B369"/>
  <c r="B56"/>
  <c r="B391"/>
  <c r="B396"/>
  <c r="B61"/>
  <c r="B411"/>
  <c r="B421"/>
  <c r="B426"/>
  <c r="B71"/>
  <c r="B76"/>
  <c r="B81"/>
  <c r="G190"/>
  <c r="G189"/>
  <c r="J427"/>
  <c r="K427"/>
  <c r="L427"/>
  <c r="M427"/>
  <c r="J428"/>
  <c r="K428"/>
  <c r="L428"/>
  <c r="M428"/>
  <c r="J429"/>
  <c r="K429"/>
  <c r="L429"/>
  <c r="M429"/>
  <c r="K430"/>
  <c r="L430"/>
  <c r="M430"/>
  <c r="J422"/>
  <c r="K422"/>
  <c r="L422"/>
  <c r="M422"/>
  <c r="J423"/>
  <c r="K423"/>
  <c r="L423"/>
  <c r="M423"/>
  <c r="J424"/>
  <c r="K424"/>
  <c r="L424"/>
  <c r="M424"/>
  <c r="K425"/>
  <c r="L425"/>
  <c r="M425"/>
  <c r="M415"/>
  <c r="L415"/>
  <c r="K415"/>
  <c r="J415"/>
  <c r="I415"/>
  <c r="M414"/>
  <c r="L414"/>
  <c r="K414"/>
  <c r="K572" s="1"/>
  <c r="J414"/>
  <c r="I414"/>
  <c r="H414"/>
  <c r="M413"/>
  <c r="L413"/>
  <c r="K413"/>
  <c r="K589" s="1"/>
  <c r="J413"/>
  <c r="I413"/>
  <c r="H413"/>
  <c r="M412"/>
  <c r="L412"/>
  <c r="K412"/>
  <c r="J412"/>
  <c r="I412"/>
  <c r="H412"/>
  <c r="I237"/>
  <c r="J237"/>
  <c r="K237"/>
  <c r="L237"/>
  <c r="M237"/>
  <c r="M270"/>
  <c r="L270"/>
  <c r="K270"/>
  <c r="M269"/>
  <c r="L269"/>
  <c r="K269"/>
  <c r="J269"/>
  <c r="M268"/>
  <c r="L268"/>
  <c r="K268"/>
  <c r="J268"/>
  <c r="M267"/>
  <c r="L267"/>
  <c r="K267"/>
  <c r="J267"/>
  <c r="F270"/>
  <c r="F269"/>
  <c r="M265"/>
  <c r="L265"/>
  <c r="M264"/>
  <c r="L264"/>
  <c r="K264"/>
  <c r="M263"/>
  <c r="L263"/>
  <c r="K263"/>
  <c r="M262"/>
  <c r="L262"/>
  <c r="K262"/>
  <c r="M260"/>
  <c r="L260"/>
  <c r="M259"/>
  <c r="L259"/>
  <c r="K259"/>
  <c r="M258"/>
  <c r="L258"/>
  <c r="K258"/>
  <c r="M257"/>
  <c r="L257"/>
  <c r="K257"/>
  <c r="L255"/>
  <c r="K255"/>
  <c r="L254"/>
  <c r="K254"/>
  <c r="J254"/>
  <c r="L253"/>
  <c r="K253"/>
  <c r="J253"/>
  <c r="L252"/>
  <c r="K252"/>
  <c r="J252"/>
  <c r="K83"/>
  <c r="L83"/>
  <c r="M83"/>
  <c r="I77"/>
  <c r="J77"/>
  <c r="K77"/>
  <c r="L77"/>
  <c r="M77"/>
  <c r="I78"/>
  <c r="J78"/>
  <c r="K78"/>
  <c r="L78"/>
  <c r="M78"/>
  <c r="G79"/>
  <c r="H79"/>
  <c r="I79"/>
  <c r="J79"/>
  <c r="K79"/>
  <c r="L79"/>
  <c r="M79"/>
  <c r="J80"/>
  <c r="K80"/>
  <c r="L80"/>
  <c r="M80"/>
  <c r="F79"/>
  <c r="J72"/>
  <c r="K72"/>
  <c r="L72"/>
  <c r="M72"/>
  <c r="J73"/>
  <c r="K73"/>
  <c r="L73"/>
  <c r="M73"/>
  <c r="G74"/>
  <c r="H74"/>
  <c r="I74"/>
  <c r="J74"/>
  <c r="K74"/>
  <c r="L74"/>
  <c r="M74"/>
  <c r="J75"/>
  <c r="K75"/>
  <c r="L75"/>
  <c r="M75"/>
  <c r="F74"/>
  <c r="G244"/>
  <c r="H244"/>
  <c r="I244"/>
  <c r="J244"/>
  <c r="K244"/>
  <c r="L244"/>
  <c r="M244"/>
  <c r="H238"/>
  <c r="I238"/>
  <c r="J238"/>
  <c r="K238"/>
  <c r="L238"/>
  <c r="M238"/>
  <c r="I239"/>
  <c r="J239"/>
  <c r="K239"/>
  <c r="L239"/>
  <c r="M239"/>
  <c r="I240"/>
  <c r="J240"/>
  <c r="K240"/>
  <c r="L240"/>
  <c r="M240"/>
  <c r="J35"/>
  <c r="L35"/>
  <c r="G29"/>
  <c r="H29"/>
  <c r="K232"/>
  <c r="L232"/>
  <c r="M232"/>
  <c r="K233"/>
  <c r="L233"/>
  <c r="M233"/>
  <c r="K234"/>
  <c r="L234"/>
  <c r="M234"/>
  <c r="K235"/>
  <c r="L235"/>
  <c r="M235"/>
  <c r="F71" i="5"/>
  <c r="F70" s="1"/>
  <c r="G227" i="12" s="1"/>
  <c r="H227"/>
  <c r="I227"/>
  <c r="J227"/>
  <c r="K227"/>
  <c r="L227"/>
  <c r="M227"/>
  <c r="G229"/>
  <c r="H229"/>
  <c r="I229"/>
  <c r="J229"/>
  <c r="K229"/>
  <c r="L229"/>
  <c r="M229"/>
  <c r="F74" i="5"/>
  <c r="H230" i="12"/>
  <c r="I230"/>
  <c r="J230"/>
  <c r="K230"/>
  <c r="L230"/>
  <c r="M230"/>
  <c r="F230"/>
  <c r="F229"/>
  <c r="G224"/>
  <c r="H224"/>
  <c r="I224"/>
  <c r="J224"/>
  <c r="K224"/>
  <c r="L224"/>
  <c r="G225"/>
  <c r="H225"/>
  <c r="I225"/>
  <c r="J225"/>
  <c r="K225"/>
  <c r="L225"/>
  <c r="G219"/>
  <c r="H219"/>
  <c r="I219"/>
  <c r="J219"/>
  <c r="K219"/>
  <c r="L219"/>
  <c r="G220"/>
  <c r="H220"/>
  <c r="I220"/>
  <c r="J220"/>
  <c r="K220"/>
  <c r="L220"/>
  <c r="F220"/>
  <c r="F219"/>
  <c r="F41" i="5"/>
  <c r="F39"/>
  <c r="G371" i="12" s="1"/>
  <c r="G372"/>
  <c r="H372"/>
  <c r="I372"/>
  <c r="J372"/>
  <c r="G373"/>
  <c r="H373"/>
  <c r="I373"/>
  <c r="J373"/>
  <c r="F373"/>
  <c r="F372"/>
  <c r="K197"/>
  <c r="L197"/>
  <c r="M197"/>
  <c r="K198"/>
  <c r="L198"/>
  <c r="M198"/>
  <c r="K199"/>
  <c r="L199"/>
  <c r="M199"/>
  <c r="K200"/>
  <c r="L200"/>
  <c r="M200"/>
  <c r="M202"/>
  <c r="L203"/>
  <c r="M203"/>
  <c r="L205"/>
  <c r="M205"/>
  <c r="H22"/>
  <c r="I22"/>
  <c r="J22"/>
  <c r="G23"/>
  <c r="H23"/>
  <c r="I23"/>
  <c r="J23"/>
  <c r="H24"/>
  <c r="I24"/>
  <c r="J24"/>
  <c r="H25"/>
  <c r="I25"/>
  <c r="J25"/>
  <c r="J198"/>
  <c r="I63"/>
  <c r="J64"/>
  <c r="I397"/>
  <c r="J397"/>
  <c r="I398"/>
  <c r="J398"/>
  <c r="G399"/>
  <c r="H399"/>
  <c r="I399"/>
  <c r="J399"/>
  <c r="H400"/>
  <c r="I400"/>
  <c r="J400"/>
  <c r="I395"/>
  <c r="J395"/>
  <c r="I394"/>
  <c r="J394"/>
  <c r="I393"/>
  <c r="I589" s="1"/>
  <c r="J393"/>
  <c r="I392"/>
  <c r="J392"/>
  <c r="H52"/>
  <c r="I52"/>
  <c r="H53"/>
  <c r="I53"/>
  <c r="G54"/>
  <c r="H54"/>
  <c r="I54"/>
  <c r="H55"/>
  <c r="I55"/>
  <c r="H57"/>
  <c r="I57"/>
  <c r="H58"/>
  <c r="I58"/>
  <c r="H59"/>
  <c r="I59"/>
  <c r="H60"/>
  <c r="I60"/>
  <c r="F60"/>
  <c r="K203"/>
  <c r="C71" i="1"/>
  <c r="K23" i="13"/>
  <c r="L23"/>
  <c r="L21" s="1"/>
  <c r="J17"/>
  <c r="J15" s="1"/>
  <c r="K17"/>
  <c r="K15" s="1"/>
  <c r="L17"/>
  <c r="L15" s="1"/>
  <c r="F13"/>
  <c r="G13"/>
  <c r="H13"/>
  <c r="I13"/>
  <c r="J13"/>
  <c r="K13"/>
  <c r="L13"/>
  <c r="J14"/>
  <c r="K14"/>
  <c r="L14"/>
  <c r="F40"/>
  <c r="G260" i="12" s="1"/>
  <c r="G40" i="13"/>
  <c r="H260" i="12" s="1"/>
  <c r="H40" i="13"/>
  <c r="I260" i="12" s="1"/>
  <c r="I40" i="13"/>
  <c r="J260" i="12" s="1"/>
  <c r="J40" i="13"/>
  <c r="K260" i="12" s="1"/>
  <c r="F35" i="13"/>
  <c r="G258" i="12" s="1"/>
  <c r="G35" i="13"/>
  <c r="H258" i="12" s="1"/>
  <c r="H35" i="13"/>
  <c r="I258" i="12" s="1"/>
  <c r="I35" i="13"/>
  <c r="J258" i="12" s="1"/>
  <c r="F37" i="13"/>
  <c r="G259" i="12" s="1"/>
  <c r="G37" i="13"/>
  <c r="H259" i="12" s="1"/>
  <c r="H37" i="13"/>
  <c r="I259" i="12" s="1"/>
  <c r="I37" i="13"/>
  <c r="J259" i="12" s="1"/>
  <c r="G31" i="13"/>
  <c r="H255" i="12" s="1"/>
  <c r="H31" i="13"/>
  <c r="I255" i="12" s="1"/>
  <c r="I31" i="13"/>
  <c r="J255" i="12" s="1"/>
  <c r="F31" i="13"/>
  <c r="G255" i="12" s="1"/>
  <c r="F28" i="13"/>
  <c r="G254" i="12" s="1"/>
  <c r="G28" i="13"/>
  <c r="H254" i="12" s="1"/>
  <c r="H28" i="13"/>
  <c r="I254" i="12" s="1"/>
  <c r="F26" i="13"/>
  <c r="G253" i="12" s="1"/>
  <c r="G26" i="13"/>
  <c r="H253" i="12" s="1"/>
  <c r="H26" i="13"/>
  <c r="I253" i="12" s="1"/>
  <c r="H47" i="9"/>
  <c r="G47"/>
  <c r="G78" i="12"/>
  <c r="H73"/>
  <c r="H27" i="9"/>
  <c r="I73" i="12" s="1"/>
  <c r="I34" i="13"/>
  <c r="J257" i="12" s="1"/>
  <c r="F30" i="13"/>
  <c r="H34"/>
  <c r="I257" i="12" s="1"/>
  <c r="J39" i="13"/>
  <c r="F39"/>
  <c r="I39"/>
  <c r="F78" i="12"/>
  <c r="L84"/>
  <c r="M84"/>
  <c r="H83"/>
  <c r="J83"/>
  <c r="N74" i="9"/>
  <c r="K82" i="12"/>
  <c r="M82"/>
  <c r="F130" i="2"/>
  <c r="G58" i="12" s="1"/>
  <c r="D54" i="3"/>
  <c r="D53"/>
  <c r="D48"/>
  <c r="G52"/>
  <c r="G17" s="1"/>
  <c r="H52"/>
  <c r="H17" s="1"/>
  <c r="D49"/>
  <c r="F47"/>
  <c r="G47"/>
  <c r="G12" s="1"/>
  <c r="G11" s="1"/>
  <c r="H47"/>
  <c r="H12" s="1"/>
  <c r="H11" s="1"/>
  <c r="G58"/>
  <c r="H310" i="12" s="1"/>
  <c r="H58" i="3"/>
  <c r="I310" i="12" s="1"/>
  <c r="F56" i="3"/>
  <c r="G56"/>
  <c r="H56"/>
  <c r="G36" i="8"/>
  <c r="H36"/>
  <c r="G34"/>
  <c r="H34"/>
  <c r="H41"/>
  <c r="H39"/>
  <c r="H38" s="1"/>
  <c r="D40"/>
  <c r="D25" s="1"/>
  <c r="F244" i="9"/>
  <c r="F243" s="1"/>
  <c r="F232" s="1"/>
  <c r="G244"/>
  <c r="G243" s="1"/>
  <c r="H244"/>
  <c r="H243" s="1"/>
  <c r="H232" s="1"/>
  <c r="H231" s="1"/>
  <c r="F422" i="2"/>
  <c r="H26" i="3"/>
  <c r="I203" i="12" s="1"/>
  <c r="J522" i="2"/>
  <c r="K522"/>
  <c r="L522"/>
  <c r="I594"/>
  <c r="I593" s="1"/>
  <c r="I666" s="1"/>
  <c r="I516"/>
  <c r="I515" s="1"/>
  <c r="I514" s="1"/>
  <c r="H586"/>
  <c r="H585" s="1"/>
  <c r="H548"/>
  <c r="H547" s="1"/>
  <c r="D632"/>
  <c r="D631" s="1"/>
  <c r="D630" s="1"/>
  <c r="F631"/>
  <c r="F630" s="1"/>
  <c r="N623"/>
  <c r="N622" s="1"/>
  <c r="L348"/>
  <c r="F342"/>
  <c r="F25" s="1"/>
  <c r="C37" i="1" s="1"/>
  <c r="G342" i="2"/>
  <c r="H342"/>
  <c r="I342"/>
  <c r="J342"/>
  <c r="J25" s="1"/>
  <c r="G37" i="1" s="1"/>
  <c r="K342" i="2"/>
  <c r="L342"/>
  <c r="K341"/>
  <c r="L341"/>
  <c r="G202"/>
  <c r="H105" i="12" s="1"/>
  <c r="F202" i="2"/>
  <c r="G105" i="12" s="1"/>
  <c r="D201" i="2"/>
  <c r="D200" s="1"/>
  <c r="N197"/>
  <c r="G197"/>
  <c r="F197"/>
  <c r="D196"/>
  <c r="D194" s="1"/>
  <c r="N194"/>
  <c r="F103" i="12"/>
  <c r="G194" i="2"/>
  <c r="F194"/>
  <c r="G103" i="12" s="1"/>
  <c r="G190" i="2"/>
  <c r="G187" s="1"/>
  <c r="F190"/>
  <c r="G395" i="12" s="1"/>
  <c r="D189" i="2"/>
  <c r="D188" s="1"/>
  <c r="D185"/>
  <c r="G185"/>
  <c r="F185"/>
  <c r="G394" i="12" s="1"/>
  <c r="D184" i="2"/>
  <c r="G182"/>
  <c r="H393" i="12" s="1"/>
  <c r="F182" i="2"/>
  <c r="G178"/>
  <c r="H135" i="12" s="1"/>
  <c r="F178" i="2"/>
  <c r="G135" i="12" s="1"/>
  <c r="D177" i="2"/>
  <c r="G173"/>
  <c r="H134" i="12" s="1"/>
  <c r="F173" i="2"/>
  <c r="G134" i="12" s="1"/>
  <c r="D172" i="2"/>
  <c r="G170"/>
  <c r="F170"/>
  <c r="G133" i="12" s="1"/>
  <c r="G166" i="2"/>
  <c r="H100" i="12" s="1"/>
  <c r="G161" i="2"/>
  <c r="G158"/>
  <c r="H98" i="12" s="1"/>
  <c r="F166" i="2"/>
  <c r="G100" i="12" s="1"/>
  <c r="D165" i="2"/>
  <c r="D164" s="1"/>
  <c r="N161"/>
  <c r="F161"/>
  <c r="D160"/>
  <c r="N158"/>
  <c r="F158"/>
  <c r="G98" i="12" s="1"/>
  <c r="I417" i="2"/>
  <c r="J430" i="12" s="1"/>
  <c r="H417" i="2"/>
  <c r="G417"/>
  <c r="F417"/>
  <c r="G430" i="12" s="1"/>
  <c r="I416" i="2"/>
  <c r="N414"/>
  <c r="H414"/>
  <c r="G414"/>
  <c r="H429" i="12" s="1"/>
  <c r="F414" i="2"/>
  <c r="N412"/>
  <c r="N411" s="1"/>
  <c r="H412"/>
  <c r="G412"/>
  <c r="F412"/>
  <c r="G428" i="12" s="1"/>
  <c r="I408" i="2"/>
  <c r="G408"/>
  <c r="H425" i="12" s="1"/>
  <c r="H408" i="2"/>
  <c r="I425" i="12" s="1"/>
  <c r="G405" i="2"/>
  <c r="H424" i="12" s="1"/>
  <c r="H405" i="2"/>
  <c r="I424" i="12" s="1"/>
  <c r="G403" i="2"/>
  <c r="H403"/>
  <c r="F408"/>
  <c r="G425" i="12" s="1"/>
  <c r="N405" i="2"/>
  <c r="F405"/>
  <c r="G424" i="12" s="1"/>
  <c r="N403" i="2"/>
  <c r="F403"/>
  <c r="G423" i="12" s="1"/>
  <c r="G399" i="2"/>
  <c r="F399"/>
  <c r="D396"/>
  <c r="F396"/>
  <c r="F394"/>
  <c r="G390"/>
  <c r="G389" s="1"/>
  <c r="H415" i="12" s="1"/>
  <c r="F390" i="2"/>
  <c r="F389" s="1"/>
  <c r="G415" i="12" s="1"/>
  <c r="N387" i="2"/>
  <c r="F387"/>
  <c r="G414" i="12" s="1"/>
  <c r="N385" i="2"/>
  <c r="F385"/>
  <c r="G413" i="12" s="1"/>
  <c r="N631" i="2"/>
  <c r="N630" s="1"/>
  <c r="F175"/>
  <c r="I428" i="12"/>
  <c r="F394"/>
  <c r="G631" i="2"/>
  <c r="G630" s="1"/>
  <c r="F415" i="12"/>
  <c r="G373" i="2"/>
  <c r="G381"/>
  <c r="N376"/>
  <c r="N373"/>
  <c r="G369"/>
  <c r="F366"/>
  <c r="G159" i="12" s="1"/>
  <c r="E159" s="1"/>
  <c r="F364" i="2"/>
  <c r="G158" i="12" s="1"/>
  <c r="E158" s="1"/>
  <c r="D379" i="2"/>
  <c r="D348"/>
  <c r="D347" s="1"/>
  <c r="I54" i="8"/>
  <c r="J245" i="12" s="1"/>
  <c r="J54" i="8"/>
  <c r="K245" i="12" s="1"/>
  <c r="K54" i="8"/>
  <c r="L245" i="12" s="1"/>
  <c r="L54" i="8"/>
  <c r="M245" i="12" s="1"/>
  <c r="I51" i="8"/>
  <c r="I50" s="1"/>
  <c r="I144" s="1"/>
  <c r="J51"/>
  <c r="J50" s="1"/>
  <c r="J144" s="1"/>
  <c r="K51"/>
  <c r="L51"/>
  <c r="L50" s="1"/>
  <c r="L144" s="1"/>
  <c r="I48"/>
  <c r="J48"/>
  <c r="K48"/>
  <c r="L48"/>
  <c r="I45"/>
  <c r="I44" s="1"/>
  <c r="I9" s="1"/>
  <c r="J45"/>
  <c r="K243" i="12" s="1"/>
  <c r="K45" i="8"/>
  <c r="K44" s="1"/>
  <c r="K9" s="1"/>
  <c r="L45"/>
  <c r="M243" i="12" s="1"/>
  <c r="L243"/>
  <c r="J44" i="8"/>
  <c r="J9" s="1"/>
  <c r="D207" i="6"/>
  <c r="D206" s="1"/>
  <c r="F19" i="5"/>
  <c r="F17" s="1"/>
  <c r="G19"/>
  <c r="G17" s="1"/>
  <c r="H19"/>
  <c r="H17" s="1"/>
  <c r="I19"/>
  <c r="I17" s="1"/>
  <c r="J19"/>
  <c r="J17" s="1"/>
  <c r="K19"/>
  <c r="K17" s="1"/>
  <c r="L19"/>
  <c r="L17" s="1"/>
  <c r="F25"/>
  <c r="F23" s="1"/>
  <c r="F20" s="1"/>
  <c r="G25"/>
  <c r="G23" s="1"/>
  <c r="G20" s="1"/>
  <c r="H25"/>
  <c r="H23" s="1"/>
  <c r="H20" s="1"/>
  <c r="I25"/>
  <c r="I23" s="1"/>
  <c r="I20" s="1"/>
  <c r="J25"/>
  <c r="J23" s="1"/>
  <c r="J20" s="1"/>
  <c r="K25"/>
  <c r="K23" s="1"/>
  <c r="K20" s="1"/>
  <c r="L25"/>
  <c r="L23" s="1"/>
  <c r="L20" s="1"/>
  <c r="L12" i="13"/>
  <c r="L20"/>
  <c r="L19" s="1"/>
  <c r="H19"/>
  <c r="J19"/>
  <c r="K19"/>
  <c r="J9"/>
  <c r="K9"/>
  <c r="K8" s="1"/>
  <c r="L9"/>
  <c r="J67"/>
  <c r="J69"/>
  <c r="F67"/>
  <c r="G67"/>
  <c r="H67"/>
  <c r="I67"/>
  <c r="F69"/>
  <c r="G265" i="12" s="1"/>
  <c r="G69" i="13"/>
  <c r="H265" i="12" s="1"/>
  <c r="H69" i="13"/>
  <c r="I265" i="12" s="1"/>
  <c r="I69" i="13"/>
  <c r="J265" i="12" s="1"/>
  <c r="I19" i="13"/>
  <c r="G19"/>
  <c r="F140" i="6"/>
  <c r="F297"/>
  <c r="I191"/>
  <c r="I190" s="1"/>
  <c r="I189" s="1"/>
  <c r="H191"/>
  <c r="H144" s="1"/>
  <c r="H299" s="1"/>
  <c r="G191"/>
  <c r="G190" s="1"/>
  <c r="G189" s="1"/>
  <c r="I195"/>
  <c r="I297" s="1"/>
  <c r="H195"/>
  <c r="H297" s="1"/>
  <c r="G195"/>
  <c r="D71" i="5"/>
  <c r="D70" s="1"/>
  <c r="D74"/>
  <c r="D73" s="1"/>
  <c r="N71"/>
  <c r="N70" s="1"/>
  <c r="G422" i="2"/>
  <c r="G214" i="6"/>
  <c r="N318" i="2"/>
  <c r="N314"/>
  <c r="N305"/>
  <c r="N302"/>
  <c r="E298" i="6"/>
  <c r="E301" s="1"/>
  <c r="K297"/>
  <c r="K296"/>
  <c r="J297"/>
  <c r="J296"/>
  <c r="H296"/>
  <c r="G296"/>
  <c r="F296"/>
  <c r="G223"/>
  <c r="H240" i="12" s="1"/>
  <c r="F221" i="6"/>
  <c r="G218"/>
  <c r="F218"/>
  <c r="F239" i="12"/>
  <c r="F240"/>
  <c r="G432" i="2"/>
  <c r="G431" s="1"/>
  <c r="G659" s="1"/>
  <c r="H432"/>
  <c r="I270" i="12" s="1"/>
  <c r="F432" i="2"/>
  <c r="F431" s="1"/>
  <c r="F659" s="1"/>
  <c r="F324"/>
  <c r="G65" i="12" s="1"/>
  <c r="G324" i="2"/>
  <c r="H65" i="12" s="1"/>
  <c r="F318" i="2"/>
  <c r="G318"/>
  <c r="H64" i="12" s="1"/>
  <c r="F321" i="2"/>
  <c r="F320" s="1"/>
  <c r="F314"/>
  <c r="G63" i="12" s="1"/>
  <c r="G314" i="2"/>
  <c r="F489" i="12"/>
  <c r="E489" s="1"/>
  <c r="D303" i="2"/>
  <c r="G293"/>
  <c r="G290"/>
  <c r="H398" i="12" s="1"/>
  <c r="H35"/>
  <c r="G566"/>
  <c r="G564" s="1"/>
  <c r="G567" s="1"/>
  <c r="G562"/>
  <c r="G560" s="1"/>
  <c r="F244"/>
  <c r="D180" i="6"/>
  <c r="G198"/>
  <c r="H198"/>
  <c r="F198"/>
  <c r="I198"/>
  <c r="J198"/>
  <c r="K198"/>
  <c r="L198"/>
  <c r="D200"/>
  <c r="F206"/>
  <c r="G206"/>
  <c r="H206"/>
  <c r="I206"/>
  <c r="J206"/>
  <c r="K206"/>
  <c r="L206"/>
  <c r="G140"/>
  <c r="I140"/>
  <c r="J140"/>
  <c r="K140"/>
  <c r="K14" s="1"/>
  <c r="L140"/>
  <c r="L14" s="1"/>
  <c r="F141"/>
  <c r="G141"/>
  <c r="H141"/>
  <c r="H16" s="1"/>
  <c r="I141"/>
  <c r="I16" s="1"/>
  <c r="J141"/>
  <c r="J16" s="1"/>
  <c r="K141"/>
  <c r="K16" s="1"/>
  <c r="L141"/>
  <c r="L16" s="1"/>
  <c r="F144"/>
  <c r="J144"/>
  <c r="J299" s="1"/>
  <c r="K144"/>
  <c r="K299" s="1"/>
  <c r="L144"/>
  <c r="G145"/>
  <c r="H145"/>
  <c r="I145"/>
  <c r="J145"/>
  <c r="K145"/>
  <c r="L145"/>
  <c r="F146"/>
  <c r="H146"/>
  <c r="I146"/>
  <c r="J146"/>
  <c r="K146"/>
  <c r="L146"/>
  <c r="F149"/>
  <c r="G149"/>
  <c r="G23" s="1"/>
  <c r="H149"/>
  <c r="H148" s="1"/>
  <c r="I149"/>
  <c r="I23" s="1"/>
  <c r="J149"/>
  <c r="K149"/>
  <c r="K23" s="1"/>
  <c r="L149"/>
  <c r="L148" s="1"/>
  <c r="F152"/>
  <c r="J152"/>
  <c r="K152"/>
  <c r="L152"/>
  <c r="F153"/>
  <c r="G153"/>
  <c r="H153"/>
  <c r="I153"/>
  <c r="J153"/>
  <c r="K153"/>
  <c r="L153"/>
  <c r="F154"/>
  <c r="H154"/>
  <c r="I154"/>
  <c r="J154"/>
  <c r="K154"/>
  <c r="L154"/>
  <c r="F171"/>
  <c r="G171"/>
  <c r="H171"/>
  <c r="I171"/>
  <c r="J171"/>
  <c r="K171"/>
  <c r="L171"/>
  <c r="G175"/>
  <c r="G174" s="1"/>
  <c r="H175"/>
  <c r="I175"/>
  <c r="I174" s="1"/>
  <c r="J175"/>
  <c r="J174" s="1"/>
  <c r="K175"/>
  <c r="K174" s="1"/>
  <c r="L175"/>
  <c r="L174" s="1"/>
  <c r="D173"/>
  <c r="D172"/>
  <c r="F179"/>
  <c r="G179"/>
  <c r="H179"/>
  <c r="I179"/>
  <c r="J179"/>
  <c r="K179"/>
  <c r="L179"/>
  <c r="F182"/>
  <c r="F181" s="1"/>
  <c r="G182"/>
  <c r="G181" s="1"/>
  <c r="H182"/>
  <c r="H181" s="1"/>
  <c r="I182"/>
  <c r="J182"/>
  <c r="J181" s="1"/>
  <c r="K182"/>
  <c r="L182"/>
  <c r="L181" s="1"/>
  <c r="D184"/>
  <c r="D153" s="1"/>
  <c r="F187"/>
  <c r="G187"/>
  <c r="H187"/>
  <c r="I187"/>
  <c r="J187"/>
  <c r="K187"/>
  <c r="L187"/>
  <c r="D188"/>
  <c r="M188" s="1"/>
  <c r="N188"/>
  <c r="F190"/>
  <c r="F189" s="1"/>
  <c r="J190"/>
  <c r="J189" s="1"/>
  <c r="K190"/>
  <c r="K189" s="1"/>
  <c r="L190"/>
  <c r="L189" s="1"/>
  <c r="F194"/>
  <c r="F193" s="1"/>
  <c r="F192" s="1"/>
  <c r="J194"/>
  <c r="J193" s="1"/>
  <c r="J192" s="1"/>
  <c r="K194"/>
  <c r="K193" s="1"/>
  <c r="K192" s="1"/>
  <c r="L194"/>
  <c r="L193" s="1"/>
  <c r="L192" s="1"/>
  <c r="D199"/>
  <c r="F202"/>
  <c r="H202"/>
  <c r="H201" s="1"/>
  <c r="J202"/>
  <c r="J201" s="1"/>
  <c r="J197" s="1"/>
  <c r="K202"/>
  <c r="K201" s="1"/>
  <c r="L202"/>
  <c r="L201" s="1"/>
  <c r="L197" s="1"/>
  <c r="F209"/>
  <c r="F208" s="1"/>
  <c r="F205" s="1"/>
  <c r="H209"/>
  <c r="H208" s="1"/>
  <c r="H205" s="1"/>
  <c r="J209"/>
  <c r="J208" s="1"/>
  <c r="K209"/>
  <c r="K208" s="1"/>
  <c r="L209"/>
  <c r="L208" s="1"/>
  <c r="J77" i="9"/>
  <c r="K85" i="12" s="1"/>
  <c r="N64" i="5"/>
  <c r="N63" s="1"/>
  <c r="L83" i="13"/>
  <c r="K83"/>
  <c r="J83"/>
  <c r="H95"/>
  <c r="H94" s="1"/>
  <c r="H84" s="1"/>
  <c r="H83" s="1"/>
  <c r="G95"/>
  <c r="G94" s="1"/>
  <c r="G84" s="1"/>
  <c r="F95"/>
  <c r="F94" s="1"/>
  <c r="F84" s="1"/>
  <c r="N95"/>
  <c r="N94" s="1"/>
  <c r="Q97" s="1"/>
  <c r="I92"/>
  <c r="I91" s="1"/>
  <c r="I90" s="1"/>
  <c r="H92"/>
  <c r="H91" s="1"/>
  <c r="H90" s="1"/>
  <c r="G92"/>
  <c r="G91" s="1"/>
  <c r="G90" s="1"/>
  <c r="F92"/>
  <c r="F91" s="1"/>
  <c r="F90" s="1"/>
  <c r="D92"/>
  <c r="D91" s="1"/>
  <c r="D90" s="1"/>
  <c r="I89"/>
  <c r="H89"/>
  <c r="G89"/>
  <c r="F89"/>
  <c r="D89"/>
  <c r="I83"/>
  <c r="D95"/>
  <c r="D94" s="1"/>
  <c r="D84" s="1"/>
  <c r="D83" s="1"/>
  <c r="G39" i="5"/>
  <c r="H371" i="12" s="1"/>
  <c r="H585" s="1"/>
  <c r="H39" i="5"/>
  <c r="I371" i="12" s="1"/>
  <c r="G41" i="5"/>
  <c r="H41"/>
  <c r="H38" s="1"/>
  <c r="F44"/>
  <c r="G44"/>
  <c r="L508" i="2"/>
  <c r="L507" s="1"/>
  <c r="K508"/>
  <c r="K507" s="1"/>
  <c r="J508"/>
  <c r="J507" s="1"/>
  <c r="L505"/>
  <c r="K505"/>
  <c r="J505"/>
  <c r="L503"/>
  <c r="K503"/>
  <c r="J503"/>
  <c r="J515"/>
  <c r="J514" s="1"/>
  <c r="L515"/>
  <c r="L514" s="1"/>
  <c r="K515"/>
  <c r="K514" s="1"/>
  <c r="L254" i="6"/>
  <c r="L253" s="1"/>
  <c r="K254"/>
  <c r="K253" s="1"/>
  <c r="J254"/>
  <c r="J253" s="1"/>
  <c r="L262"/>
  <c r="L261" s="1"/>
  <c r="L241" i="9"/>
  <c r="K262" i="6"/>
  <c r="K261" s="1"/>
  <c r="J262"/>
  <c r="J261" s="1"/>
  <c r="J241" i="9"/>
  <c r="L258" i="6"/>
  <c r="L257" s="1"/>
  <c r="K258"/>
  <c r="J258"/>
  <c r="J257" s="1"/>
  <c r="K257"/>
  <c r="J49" i="4"/>
  <c r="J48" s="1"/>
  <c r="K49"/>
  <c r="K48" s="1"/>
  <c r="L49"/>
  <c r="L48" s="1"/>
  <c r="I49"/>
  <c r="I48" s="1"/>
  <c r="H49"/>
  <c r="H48" s="1"/>
  <c r="G49"/>
  <c r="G48" s="1"/>
  <c r="F49"/>
  <c r="F48" s="1"/>
  <c r="L39"/>
  <c r="L38" s="1"/>
  <c r="K39"/>
  <c r="K38" s="1"/>
  <c r="J39"/>
  <c r="J38" s="1"/>
  <c r="L31"/>
  <c r="L30" s="1"/>
  <c r="K31"/>
  <c r="K30" s="1"/>
  <c r="J31"/>
  <c r="J30" s="1"/>
  <c r="P555" i="2"/>
  <c r="J511"/>
  <c r="K511"/>
  <c r="D560"/>
  <c r="D559" s="1"/>
  <c r="L511"/>
  <c r="J39" i="5"/>
  <c r="K371" i="12" s="1"/>
  <c r="K39" i="5"/>
  <c r="L371" i="12" s="1"/>
  <c r="L39" i="5"/>
  <c r="J41"/>
  <c r="K41"/>
  <c r="L41"/>
  <c r="J46"/>
  <c r="J43" s="1"/>
  <c r="J136" s="1"/>
  <c r="K46"/>
  <c r="K43" s="1"/>
  <c r="K136" s="1"/>
  <c r="L46"/>
  <c r="L43" s="1"/>
  <c r="L136" s="1"/>
  <c r="J50"/>
  <c r="K50"/>
  <c r="L50"/>
  <c r="J53"/>
  <c r="J52" s="1"/>
  <c r="K53"/>
  <c r="K52" s="1"/>
  <c r="I41" i="10" s="1"/>
  <c r="L53" i="5"/>
  <c r="L52" s="1"/>
  <c r="J57"/>
  <c r="J56" s="1"/>
  <c r="K57"/>
  <c r="K56" s="1"/>
  <c r="L57"/>
  <c r="L56" s="1"/>
  <c r="J60"/>
  <c r="K60"/>
  <c r="L60"/>
  <c r="J95"/>
  <c r="J93" s="1"/>
  <c r="K95"/>
  <c r="K93" s="1"/>
  <c r="L95"/>
  <c r="L93" s="1"/>
  <c r="J101"/>
  <c r="K101"/>
  <c r="L101"/>
  <c r="J97"/>
  <c r="K97"/>
  <c r="L97"/>
  <c r="J107"/>
  <c r="J103" s="1"/>
  <c r="K107"/>
  <c r="K103" s="1"/>
  <c r="L107"/>
  <c r="L103" s="1"/>
  <c r="J119"/>
  <c r="K119"/>
  <c r="L119"/>
  <c r="J125"/>
  <c r="K125"/>
  <c r="L125"/>
  <c r="J132"/>
  <c r="J131" s="1"/>
  <c r="K132"/>
  <c r="K131" s="1"/>
  <c r="L132"/>
  <c r="L131" s="1"/>
  <c r="J64"/>
  <c r="K64"/>
  <c r="L64"/>
  <c r="J67"/>
  <c r="J66" s="1"/>
  <c r="K67"/>
  <c r="K66" s="1"/>
  <c r="L67"/>
  <c r="L66" s="1"/>
  <c r="I67"/>
  <c r="H67"/>
  <c r="G67"/>
  <c r="G66" s="1"/>
  <c r="F67"/>
  <c r="I66"/>
  <c r="H66"/>
  <c r="I64"/>
  <c r="H64"/>
  <c r="G64"/>
  <c r="F64"/>
  <c r="F63" s="1"/>
  <c r="G222" i="12" s="1"/>
  <c r="F222"/>
  <c r="F95" i="5"/>
  <c r="F93" s="1"/>
  <c r="G95"/>
  <c r="H95"/>
  <c r="H93" s="1"/>
  <c r="I95"/>
  <c r="I93" s="1"/>
  <c r="F224" i="12"/>
  <c r="F225"/>
  <c r="N72" i="9"/>
  <c r="I241"/>
  <c r="I240" s="1"/>
  <c r="I239" s="1"/>
  <c r="K241"/>
  <c r="K240" s="1"/>
  <c r="K239" s="1"/>
  <c r="H241"/>
  <c r="H240" s="1"/>
  <c r="H239" s="1"/>
  <c r="J243"/>
  <c r="J232" s="1"/>
  <c r="K243"/>
  <c r="K233" s="1"/>
  <c r="L243"/>
  <c r="L232" s="1"/>
  <c r="K77"/>
  <c r="L77"/>
  <c r="M85" i="12" s="1"/>
  <c r="F200"/>
  <c r="G69" i="3"/>
  <c r="F69"/>
  <c r="D69"/>
  <c r="G199" i="12"/>
  <c r="D81" i="3"/>
  <c r="D78"/>
  <c r="N78"/>
  <c r="N75"/>
  <c r="F24" i="12"/>
  <c r="F198"/>
  <c r="F22"/>
  <c r="K346" i="2"/>
  <c r="I29" i="10" s="1"/>
  <c r="G180" i="1"/>
  <c r="H180"/>
  <c r="I180"/>
  <c r="G164"/>
  <c r="H164"/>
  <c r="I164"/>
  <c r="G167"/>
  <c r="H167"/>
  <c r="I167"/>
  <c r="G152"/>
  <c r="H152"/>
  <c r="I152"/>
  <c r="D71"/>
  <c r="E71"/>
  <c r="F71"/>
  <c r="G71"/>
  <c r="H71"/>
  <c r="I71"/>
  <c r="C81"/>
  <c r="E81"/>
  <c r="C152"/>
  <c r="D152"/>
  <c r="E152"/>
  <c r="F152"/>
  <c r="B164"/>
  <c r="B165" s="1"/>
  <c r="C164"/>
  <c r="D164"/>
  <c r="E164"/>
  <c r="F164"/>
  <c r="J164"/>
  <c r="C167"/>
  <c r="D167"/>
  <c r="E167"/>
  <c r="F167"/>
  <c r="B180"/>
  <c r="C180"/>
  <c r="D180"/>
  <c r="E180"/>
  <c r="F180"/>
  <c r="J180"/>
  <c r="J152"/>
  <c r="J167"/>
  <c r="L550" i="12"/>
  <c r="K550"/>
  <c r="M550"/>
  <c r="L135" i="6"/>
  <c r="L134" s="1"/>
  <c r="K135"/>
  <c r="K134" s="1"/>
  <c r="J135"/>
  <c r="J134" s="1"/>
  <c r="K120"/>
  <c r="M213" i="12"/>
  <c r="L116" i="6"/>
  <c r="L115" s="1"/>
  <c r="K116"/>
  <c r="K115" s="1"/>
  <c r="J8" i="13"/>
  <c r="J21"/>
  <c r="J18" s="1"/>
  <c r="K21"/>
  <c r="K18" s="1"/>
  <c r="K107" s="1"/>
  <c r="K88" s="1"/>
  <c r="K87" s="1"/>
  <c r="K86" s="1"/>
  <c r="L8"/>
  <c r="J237" i="9"/>
  <c r="G66" i="1" s="1"/>
  <c r="K237" i="9"/>
  <c r="H66" i="1" s="1"/>
  <c r="L237" i="9"/>
  <c r="I66" i="1" s="1"/>
  <c r="J238" i="9"/>
  <c r="J235" s="1"/>
  <c r="J234" s="1"/>
  <c r="K238"/>
  <c r="K235" s="1"/>
  <c r="K234" s="1"/>
  <c r="L238"/>
  <c r="L235" s="1"/>
  <c r="L234" s="1"/>
  <c r="J15" i="7"/>
  <c r="J10" s="1"/>
  <c r="K15"/>
  <c r="L15"/>
  <c r="L10" s="1"/>
  <c r="J21"/>
  <c r="J17" s="1"/>
  <c r="K21"/>
  <c r="K17" s="1"/>
  <c r="L21"/>
  <c r="L17" s="1"/>
  <c r="L10" i="4"/>
  <c r="G123" i="1"/>
  <c r="G185" s="1"/>
  <c r="I123"/>
  <c r="I185" s="1"/>
  <c r="G70"/>
  <c r="H70"/>
  <c r="I70"/>
  <c r="G69"/>
  <c r="H69"/>
  <c r="I69"/>
  <c r="G74"/>
  <c r="G73" s="1"/>
  <c r="I74"/>
  <c r="I73" s="1"/>
  <c r="G77"/>
  <c r="H77"/>
  <c r="I77"/>
  <c r="G78"/>
  <c r="H78"/>
  <c r="I78"/>
  <c r="G83"/>
  <c r="G82" s="1"/>
  <c r="H83"/>
  <c r="H82" s="1"/>
  <c r="I83"/>
  <c r="I82" s="1"/>
  <c r="J44" i="4"/>
  <c r="J43" s="1"/>
  <c r="K44"/>
  <c r="K43" s="1"/>
  <c r="L44"/>
  <c r="L43" s="1"/>
  <c r="J15" i="5"/>
  <c r="J14" s="1"/>
  <c r="K15"/>
  <c r="K14" s="1"/>
  <c r="L15"/>
  <c r="L14" s="1"/>
  <c r="F35" i="12"/>
  <c r="H74" i="1"/>
  <c r="H73" s="1"/>
  <c r="J10" i="4"/>
  <c r="K10"/>
  <c r="J95" i="3"/>
  <c r="K95"/>
  <c r="L95"/>
  <c r="M215" i="12" s="1"/>
  <c r="J93" i="3"/>
  <c r="K93"/>
  <c r="L93"/>
  <c r="J90"/>
  <c r="K90"/>
  <c r="L90"/>
  <c r="J87"/>
  <c r="K87"/>
  <c r="L87"/>
  <c r="I27" i="1"/>
  <c r="I30"/>
  <c r="I130" s="1"/>
  <c r="I192" s="1"/>
  <c r="I36"/>
  <c r="I35"/>
  <c r="I136" s="1"/>
  <c r="I198" s="1"/>
  <c r="I44"/>
  <c r="I142" s="1"/>
  <c r="I204" s="1"/>
  <c r="G27"/>
  <c r="H27"/>
  <c r="G30"/>
  <c r="G130" s="1"/>
  <c r="G192" s="1"/>
  <c r="H30"/>
  <c r="H130" s="1"/>
  <c r="H192" s="1"/>
  <c r="G36"/>
  <c r="H36"/>
  <c r="G136"/>
  <c r="G198" s="1"/>
  <c r="H35"/>
  <c r="G44"/>
  <c r="G142" s="1"/>
  <c r="G204" s="1"/>
  <c r="H44"/>
  <c r="H142" s="1"/>
  <c r="H204" s="1"/>
  <c r="B36"/>
  <c r="B27"/>
  <c r="K340" i="2"/>
  <c r="L346"/>
  <c r="J29" i="10" s="1"/>
  <c r="J452" i="2"/>
  <c r="K452"/>
  <c r="L452"/>
  <c r="J453"/>
  <c r="J14" s="1"/>
  <c r="K453"/>
  <c r="K14" s="1"/>
  <c r="L453"/>
  <c r="J454"/>
  <c r="K454"/>
  <c r="K16" s="1"/>
  <c r="L454"/>
  <c r="J456"/>
  <c r="K456"/>
  <c r="L456"/>
  <c r="J457"/>
  <c r="J21" s="1"/>
  <c r="G28" i="1" s="1"/>
  <c r="G131" s="1"/>
  <c r="G193" s="1"/>
  <c r="K457" i="2"/>
  <c r="K21" s="1"/>
  <c r="H28" i="1" s="1"/>
  <c r="H131" s="1"/>
  <c r="H193" s="1"/>
  <c r="L457" i="2"/>
  <c r="L21" s="1"/>
  <c r="J460"/>
  <c r="J24" s="1"/>
  <c r="G34" i="1" s="1"/>
  <c r="K460" i="2"/>
  <c r="K24" s="1"/>
  <c r="H34" i="1" s="1"/>
  <c r="L460" i="2"/>
  <c r="J461"/>
  <c r="K461"/>
  <c r="L461"/>
  <c r="L26" s="1"/>
  <c r="J463"/>
  <c r="K463"/>
  <c r="L463"/>
  <c r="J464"/>
  <c r="J33" s="1"/>
  <c r="G43" i="1" s="1"/>
  <c r="G146" s="1"/>
  <c r="G208" s="1"/>
  <c r="K464" i="2"/>
  <c r="K33" s="1"/>
  <c r="H43" i="1" s="1"/>
  <c r="H146" s="1"/>
  <c r="H208" s="1"/>
  <c r="L464" i="2"/>
  <c r="L33" s="1"/>
  <c r="I43" i="1" s="1"/>
  <c r="I146" s="1"/>
  <c r="I208" s="1"/>
  <c r="J495" i="2"/>
  <c r="J494" s="1"/>
  <c r="K495"/>
  <c r="K494" s="1"/>
  <c r="L495"/>
  <c r="J497"/>
  <c r="K497"/>
  <c r="L497"/>
  <c r="J500"/>
  <c r="J499" s="1"/>
  <c r="J498" s="1"/>
  <c r="K500"/>
  <c r="K499" s="1"/>
  <c r="K498" s="1"/>
  <c r="L500"/>
  <c r="L499" s="1"/>
  <c r="L498" s="1"/>
  <c r="L17"/>
  <c r="I24" i="1" s="1"/>
  <c r="I129" s="1"/>
  <c r="I190" s="1"/>
  <c r="L27" i="2"/>
  <c r="I39" i="1" s="1"/>
  <c r="I143" s="1"/>
  <c r="I205" s="1"/>
  <c r="L30" i="2"/>
  <c r="J17"/>
  <c r="G24" i="1" s="1"/>
  <c r="G129" s="1"/>
  <c r="G190" s="1"/>
  <c r="K17" i="2"/>
  <c r="H24" i="1" s="1"/>
  <c r="H129" s="1"/>
  <c r="H190" s="1"/>
  <c r="K25" i="2"/>
  <c r="H37" i="1" s="1"/>
  <c r="J27" i="2"/>
  <c r="G39" i="1" s="1"/>
  <c r="G143" s="1"/>
  <c r="G205" s="1"/>
  <c r="J28" i="2"/>
  <c r="G40" i="1" s="1"/>
  <c r="G144" s="1"/>
  <c r="G206" s="1"/>
  <c r="K28" i="2"/>
  <c r="H40" i="1" s="1"/>
  <c r="H144" s="1"/>
  <c r="H206" s="1"/>
  <c r="J30" i="2"/>
  <c r="L28"/>
  <c r="I40" i="1" s="1"/>
  <c r="I144" s="1"/>
  <c r="I206" s="1"/>
  <c r="D497" i="2"/>
  <c r="D496" s="1"/>
  <c r="D453"/>
  <c r="F58" i="12"/>
  <c r="J346" i="2"/>
  <c r="H29" i="10" s="1"/>
  <c r="K15" i="2"/>
  <c r="H21" i="1" s="1"/>
  <c r="G93" i="3"/>
  <c r="H93"/>
  <c r="I93"/>
  <c r="G95"/>
  <c r="H95"/>
  <c r="I95"/>
  <c r="G90"/>
  <c r="H90"/>
  <c r="I90"/>
  <c r="G87"/>
  <c r="H87"/>
  <c r="I87"/>
  <c r="N120" i="6"/>
  <c r="N102"/>
  <c r="I575" i="12"/>
  <c r="J562"/>
  <c r="J560" s="1"/>
  <c r="J566"/>
  <c r="J564" s="1"/>
  <c r="J567" s="1"/>
  <c r="H566"/>
  <c r="H564" s="1"/>
  <c r="H567" s="1"/>
  <c r="I566"/>
  <c r="I564" s="1"/>
  <c r="I135" i="6"/>
  <c r="I134" s="1"/>
  <c r="H135"/>
  <c r="H134" s="1"/>
  <c r="G135"/>
  <c r="G134" s="1"/>
  <c r="P137" s="1"/>
  <c r="F135"/>
  <c r="F134" s="1"/>
  <c r="I116"/>
  <c r="I115" s="1"/>
  <c r="G116"/>
  <c r="G115" s="1"/>
  <c r="G10" i="4"/>
  <c r="N44" i="13"/>
  <c r="N47"/>
  <c r="N46" s="1"/>
  <c r="N26"/>
  <c r="N125" i="8"/>
  <c r="N123" s="1"/>
  <c r="N122" s="1"/>
  <c r="N114"/>
  <c r="N46" i="7"/>
  <c r="N58"/>
  <c r="N70"/>
  <c r="N82"/>
  <c r="N108"/>
  <c r="N105"/>
  <c r="N104" s="1"/>
  <c r="N81"/>
  <c r="N79" s="1"/>
  <c r="N78" s="1"/>
  <c r="N68"/>
  <c r="N67" s="1"/>
  <c r="N66" s="1"/>
  <c r="N15"/>
  <c r="N86" i="6"/>
  <c r="N84"/>
  <c r="N64"/>
  <c r="N473" i="2"/>
  <c r="N627"/>
  <c r="N626" s="1"/>
  <c r="N573"/>
  <c r="N572"/>
  <c r="N571" s="1"/>
  <c r="N570" s="1"/>
  <c r="N564"/>
  <c r="N563" s="1"/>
  <c r="N558"/>
  <c r="N557"/>
  <c r="N552"/>
  <c r="N551" s="1"/>
  <c r="N540"/>
  <c r="N539" s="1"/>
  <c r="N506"/>
  <c r="N505" s="1"/>
  <c r="N504"/>
  <c r="N503" s="1"/>
  <c r="N488"/>
  <c r="N487" s="1"/>
  <c r="N486"/>
  <c r="N485" s="1"/>
  <c r="N472"/>
  <c r="N468"/>
  <c r="N470"/>
  <c r="N469"/>
  <c r="N366"/>
  <c r="N293"/>
  <c r="N290"/>
  <c r="N134"/>
  <c r="N130"/>
  <c r="N119"/>
  <c r="N115"/>
  <c r="N107"/>
  <c r="N105"/>
  <c r="N96"/>
  <c r="N84"/>
  <c r="N72"/>
  <c r="N58"/>
  <c r="L136" i="1"/>
  <c r="L137"/>
  <c r="L138"/>
  <c r="L139"/>
  <c r="L140"/>
  <c r="L141"/>
  <c r="L142"/>
  <c r="L143"/>
  <c r="L144"/>
  <c r="L145"/>
  <c r="L146"/>
  <c r="L147"/>
  <c r="N75" i="6"/>
  <c r="N72" s="1"/>
  <c r="L164" i="1"/>
  <c r="N69" i="2"/>
  <c r="N68" s="1"/>
  <c r="N93"/>
  <c r="N30" i="6"/>
  <c r="N55" i="2"/>
  <c r="L152" i="1"/>
  <c r="N252" i="9"/>
  <c r="N251" s="1"/>
  <c r="N30"/>
  <c r="N26" s="1"/>
  <c r="N132" i="5"/>
  <c r="N131" s="1"/>
  <c r="N57"/>
  <c r="N56" s="1"/>
  <c r="N51"/>
  <c r="N50" s="1"/>
  <c r="N49" s="1"/>
  <c r="N41"/>
  <c r="N122"/>
  <c r="N119"/>
  <c r="N118" s="1"/>
  <c r="N112"/>
  <c r="N111" s="1"/>
  <c r="N110" s="1"/>
  <c r="N94"/>
  <c r="N39"/>
  <c r="N37" i="3"/>
  <c r="N31"/>
  <c r="C70" i="1"/>
  <c r="N244" i="9"/>
  <c r="N243" s="1"/>
  <c r="N25" i="7"/>
  <c r="N24" s="1"/>
  <c r="G39" i="8"/>
  <c r="G38" s="1"/>
  <c r="H550" i="12"/>
  <c r="F10" i="4"/>
  <c r="I550" i="12"/>
  <c r="J550"/>
  <c r="I77" i="9"/>
  <c r="J85" i="12" s="1"/>
  <c r="H77" i="9"/>
  <c r="G77"/>
  <c r="H85" i="12" s="1"/>
  <c r="F77" i="9"/>
  <c r="G85" i="12" s="1"/>
  <c r="I76" i="9"/>
  <c r="F76"/>
  <c r="F369" i="2"/>
  <c r="G160" i="12" s="1"/>
  <c r="D454" i="2"/>
  <c r="D16" s="1"/>
  <c r="F36" i="1"/>
  <c r="F44"/>
  <c r="F142" s="1"/>
  <c r="F204" s="1"/>
  <c r="E44"/>
  <c r="E142" s="1"/>
  <c r="E204" s="1"/>
  <c r="D44"/>
  <c r="D142" s="1"/>
  <c r="D204" s="1"/>
  <c r="C44"/>
  <c r="C142" s="1"/>
  <c r="C204" s="1"/>
  <c r="E36"/>
  <c r="D36"/>
  <c r="C36"/>
  <c r="F30"/>
  <c r="F130" s="1"/>
  <c r="F192" s="1"/>
  <c r="E30"/>
  <c r="E130" s="1"/>
  <c r="E192" s="1"/>
  <c r="D30"/>
  <c r="C30"/>
  <c r="F293" i="2"/>
  <c r="F298"/>
  <c r="G400" i="12" s="1"/>
  <c r="F290" i="2"/>
  <c r="G398" i="12" s="1"/>
  <c r="H45" i="8"/>
  <c r="I243" i="12" s="1"/>
  <c r="H48" i="8"/>
  <c r="H51"/>
  <c r="H54"/>
  <c r="I245" i="12" s="1"/>
  <c r="N46" i="8"/>
  <c r="N13" s="1"/>
  <c r="N12" s="1"/>
  <c r="F46"/>
  <c r="F13" s="1"/>
  <c r="N48"/>
  <c r="F154" i="2"/>
  <c r="F149"/>
  <c r="F146"/>
  <c r="D153"/>
  <c r="D148"/>
  <c r="F134"/>
  <c r="G59" i="12" s="1"/>
  <c r="F138" i="2"/>
  <c r="F141"/>
  <c r="G60" i="12" s="1"/>
  <c r="D142" i="2"/>
  <c r="D50" s="1"/>
  <c r="D49" s="1"/>
  <c r="D139"/>
  <c r="D46" s="1"/>
  <c r="F122"/>
  <c r="F125"/>
  <c r="F53" i="12"/>
  <c r="D118" i="2"/>
  <c r="D117"/>
  <c r="D39" s="1"/>
  <c r="D60" i="5"/>
  <c r="D59" s="1"/>
  <c r="I60"/>
  <c r="I59" s="1"/>
  <c r="H60"/>
  <c r="H59" s="1"/>
  <c r="G60"/>
  <c r="G59" s="1"/>
  <c r="F60"/>
  <c r="F59" s="1"/>
  <c r="D57"/>
  <c r="D56" s="1"/>
  <c r="I57"/>
  <c r="H57"/>
  <c r="G57"/>
  <c r="F57"/>
  <c r="F56" s="1"/>
  <c r="G217" i="12" s="1"/>
  <c r="E237" i="9"/>
  <c r="F237"/>
  <c r="G237"/>
  <c r="H237"/>
  <c r="E66" i="1" s="1"/>
  <c r="I237" i="9"/>
  <c r="F66" i="1" s="1"/>
  <c r="I243" i="9"/>
  <c r="I252"/>
  <c r="I251" s="1"/>
  <c r="H252"/>
  <c r="H251" s="1"/>
  <c r="G252"/>
  <c r="G251" s="1"/>
  <c r="I255"/>
  <c r="I254" s="1"/>
  <c r="H255"/>
  <c r="H254" s="1"/>
  <c r="G255"/>
  <c r="D39" i="3"/>
  <c r="D460" i="2"/>
  <c r="D24" s="1"/>
  <c r="F594"/>
  <c r="F593" s="1"/>
  <c r="F666" s="1"/>
  <c r="G594"/>
  <c r="G593" s="1"/>
  <c r="G666" s="1"/>
  <c r="I63" i="7"/>
  <c r="I61"/>
  <c r="I58"/>
  <c r="I55"/>
  <c r="H63"/>
  <c r="H61"/>
  <c r="H58"/>
  <c r="H55"/>
  <c r="I75"/>
  <c r="I73"/>
  <c r="I70"/>
  <c r="I67"/>
  <c r="H75"/>
  <c r="H73"/>
  <c r="H70"/>
  <c r="H67"/>
  <c r="I113"/>
  <c r="I111"/>
  <c r="I108"/>
  <c r="I105"/>
  <c r="H113"/>
  <c r="H111"/>
  <c r="H108"/>
  <c r="H105"/>
  <c r="I87"/>
  <c r="I85"/>
  <c r="I82"/>
  <c r="I79"/>
  <c r="H87"/>
  <c r="H85"/>
  <c r="H82"/>
  <c r="H79"/>
  <c r="I46"/>
  <c r="I43"/>
  <c r="H46"/>
  <c r="H43"/>
  <c r="I51"/>
  <c r="I49"/>
  <c r="H51"/>
  <c r="H49"/>
  <c r="H25"/>
  <c r="H24" s="1"/>
  <c r="I25"/>
  <c r="I24" s="1"/>
  <c r="C67" i="1"/>
  <c r="F15" i="7"/>
  <c r="G15"/>
  <c r="G10" s="1"/>
  <c r="H15"/>
  <c r="I15"/>
  <c r="D80" i="1"/>
  <c r="D140" s="1"/>
  <c r="D202" s="1"/>
  <c r="F21" i="7"/>
  <c r="G21"/>
  <c r="G17" s="1"/>
  <c r="H21"/>
  <c r="H17" s="1"/>
  <c r="I21"/>
  <c r="I17" s="1"/>
  <c r="E27" i="1"/>
  <c r="F27"/>
  <c r="E198"/>
  <c r="F136"/>
  <c r="F198" s="1"/>
  <c r="F74"/>
  <c r="F73" s="1"/>
  <c r="C74"/>
  <c r="I10" i="7"/>
  <c r="G21" i="13"/>
  <c r="G18" s="1"/>
  <c r="I21"/>
  <c r="I18" s="1"/>
  <c r="F21"/>
  <c r="H21"/>
  <c r="H18" s="1"/>
  <c r="F243" i="12"/>
  <c r="F245"/>
  <c r="E100" i="5"/>
  <c r="D15"/>
  <c r="D14" s="1"/>
  <c r="E28"/>
  <c r="N29"/>
  <c r="N28" s="1"/>
  <c r="N31"/>
  <c r="N30" s="1"/>
  <c r="H15"/>
  <c r="H14" s="1"/>
  <c r="I15"/>
  <c r="I14" s="1"/>
  <c r="I35"/>
  <c r="H35"/>
  <c r="I33"/>
  <c r="I32" s="1"/>
  <c r="H33"/>
  <c r="I30"/>
  <c r="H30"/>
  <c r="I28"/>
  <c r="H28"/>
  <c r="I39"/>
  <c r="J371" i="12" s="1"/>
  <c r="I41" i="5"/>
  <c r="H46"/>
  <c r="H43" s="1"/>
  <c r="I46"/>
  <c r="I43" s="1"/>
  <c r="H50"/>
  <c r="I50"/>
  <c r="H53"/>
  <c r="H52" s="1"/>
  <c r="I53"/>
  <c r="I52" s="1"/>
  <c r="H99"/>
  <c r="I99"/>
  <c r="H101"/>
  <c r="I101"/>
  <c r="H107"/>
  <c r="I107"/>
  <c r="H104"/>
  <c r="H103" s="1"/>
  <c r="I104"/>
  <c r="I125"/>
  <c r="H125"/>
  <c r="I119"/>
  <c r="H119"/>
  <c r="I132"/>
  <c r="I131" s="1"/>
  <c r="H132"/>
  <c r="H131" s="1"/>
  <c r="I238" i="9"/>
  <c r="I235" s="1"/>
  <c r="I234" s="1"/>
  <c r="H238"/>
  <c r="G238"/>
  <c r="H35"/>
  <c r="G35"/>
  <c r="F35"/>
  <c r="F32" s="1"/>
  <c r="F242" i="12"/>
  <c r="E35" i="5"/>
  <c r="E32" s="1"/>
  <c r="C41" i="10" s="1"/>
  <c r="E30" i="5"/>
  <c r="E27" s="1"/>
  <c r="F39" i="4"/>
  <c r="G39"/>
  <c r="H39"/>
  <c r="I39"/>
  <c r="F38"/>
  <c r="G38"/>
  <c r="H38"/>
  <c r="I38"/>
  <c r="F31"/>
  <c r="G31"/>
  <c r="H31"/>
  <c r="I31"/>
  <c r="F30"/>
  <c r="G30"/>
  <c r="H30"/>
  <c r="I30"/>
  <c r="H44"/>
  <c r="H43" s="1"/>
  <c r="I44"/>
  <c r="I43" s="1"/>
  <c r="E83" i="1"/>
  <c r="E82" s="1"/>
  <c r="F83"/>
  <c r="F82" s="1"/>
  <c r="C78"/>
  <c r="C77"/>
  <c r="D77"/>
  <c r="E77"/>
  <c r="F77"/>
  <c r="C69"/>
  <c r="D69"/>
  <c r="E69"/>
  <c r="D70"/>
  <c r="E70"/>
  <c r="F70"/>
  <c r="I10" i="4"/>
  <c r="N50" i="3"/>
  <c r="H627" i="2"/>
  <c r="H626" s="1"/>
  <c r="I627"/>
  <c r="I626" s="1"/>
  <c r="I340"/>
  <c r="I346"/>
  <c r="I590"/>
  <c r="I589" s="1"/>
  <c r="H590"/>
  <c r="H589" s="1"/>
  <c r="I552"/>
  <c r="I551" s="1"/>
  <c r="H552"/>
  <c r="H551" s="1"/>
  <c r="F69" i="1"/>
  <c r="I505" i="2"/>
  <c r="I503"/>
  <c r="H505"/>
  <c r="H503"/>
  <c r="I508"/>
  <c r="I507" s="1"/>
  <c r="H508"/>
  <c r="H507" s="1"/>
  <c r="I500"/>
  <c r="I499" s="1"/>
  <c r="I498" s="1"/>
  <c r="I497"/>
  <c r="I496" s="1"/>
  <c r="I495"/>
  <c r="I494" s="1"/>
  <c r="H500"/>
  <c r="H499" s="1"/>
  <c r="H498" s="1"/>
  <c r="H497"/>
  <c r="H495"/>
  <c r="H494" s="1"/>
  <c r="G500"/>
  <c r="G499" s="1"/>
  <c r="G498" s="1"/>
  <c r="G497"/>
  <c r="G496" s="1"/>
  <c r="G495"/>
  <c r="G494" s="1"/>
  <c r="I479"/>
  <c r="I475"/>
  <c r="I471"/>
  <c r="I467"/>
  <c r="H479"/>
  <c r="H475"/>
  <c r="H471"/>
  <c r="H467"/>
  <c r="G479"/>
  <c r="G475"/>
  <c r="G471"/>
  <c r="G467"/>
  <c r="F479"/>
  <c r="F475"/>
  <c r="F471"/>
  <c r="F467"/>
  <c r="I457"/>
  <c r="I21" s="1"/>
  <c r="F28" i="1" s="1"/>
  <c r="F131" s="1"/>
  <c r="F193" s="1"/>
  <c r="I456" i="2"/>
  <c r="I454"/>
  <c r="I16" s="1"/>
  <c r="I453"/>
  <c r="I14" s="1"/>
  <c r="I452"/>
  <c r="I13" s="1"/>
  <c r="H457"/>
  <c r="H21" s="1"/>
  <c r="E28" i="1" s="1"/>
  <c r="E131" s="1"/>
  <c r="E193" s="1"/>
  <c r="H456" i="2"/>
  <c r="H454"/>
  <c r="H453"/>
  <c r="H14" s="1"/>
  <c r="H452"/>
  <c r="I464"/>
  <c r="I463"/>
  <c r="I461"/>
  <c r="I26" s="1"/>
  <c r="I460"/>
  <c r="I24" s="1"/>
  <c r="F34" i="1" s="1"/>
  <c r="H464" i="2"/>
  <c r="H463"/>
  <c r="H461"/>
  <c r="H460"/>
  <c r="H24" s="1"/>
  <c r="E34" i="1" s="1"/>
  <c r="H17" i="2"/>
  <c r="E24" i="1" s="1"/>
  <c r="E129" s="1"/>
  <c r="E190" s="1"/>
  <c r="I17" i="2"/>
  <c r="F24" i="1" s="1"/>
  <c r="F129" s="1"/>
  <c r="F190" s="1"/>
  <c r="I25" i="2"/>
  <c r="F37" i="1" s="1"/>
  <c r="H27" i="2"/>
  <c r="E39" i="1" s="1"/>
  <c r="E143" s="1"/>
  <c r="E205" s="1"/>
  <c r="I27" i="2"/>
  <c r="F39" i="1" s="1"/>
  <c r="F143" s="1"/>
  <c r="F205" s="1"/>
  <c r="H28" i="2"/>
  <c r="E40" i="1" s="1"/>
  <c r="E144" s="1"/>
  <c r="E206" s="1"/>
  <c r="I28" i="2"/>
  <c r="F40" i="1" s="1"/>
  <c r="F144" s="1"/>
  <c r="F206" s="1"/>
  <c r="H30" i="2"/>
  <c r="I30"/>
  <c r="D475"/>
  <c r="E460"/>
  <c r="E24" s="1"/>
  <c r="I15"/>
  <c r="F21" i="1" s="1"/>
  <c r="E78"/>
  <c r="F78"/>
  <c r="H496" i="2"/>
  <c r="E453"/>
  <c r="E497"/>
  <c r="E505"/>
  <c r="F235" i="12"/>
  <c r="F234"/>
  <c r="F247" i="6"/>
  <c r="F246" s="1"/>
  <c r="F245" s="1"/>
  <c r="G247"/>
  <c r="G246" s="1"/>
  <c r="G245" s="1"/>
  <c r="H247"/>
  <c r="H246" s="1"/>
  <c r="H245" s="1"/>
  <c r="I247"/>
  <c r="I246" s="1"/>
  <c r="I245" s="1"/>
  <c r="I262"/>
  <c r="I261" s="1"/>
  <c r="H262"/>
  <c r="H261" s="1"/>
  <c r="G262"/>
  <c r="G261" s="1"/>
  <c r="F262"/>
  <c r="F261" s="1"/>
  <c r="I258"/>
  <c r="I257" s="1"/>
  <c r="H258"/>
  <c r="H257" s="1"/>
  <c r="G258"/>
  <c r="G257" s="1"/>
  <c r="F258"/>
  <c r="F257" s="1"/>
  <c r="F244"/>
  <c r="G244"/>
  <c r="H244"/>
  <c r="I244"/>
  <c r="I243"/>
  <c r="H242"/>
  <c r="H241" s="1"/>
  <c r="H240"/>
  <c r="I240"/>
  <c r="H91"/>
  <c r="I91"/>
  <c r="H89"/>
  <c r="H88" s="1"/>
  <c r="I89"/>
  <c r="I88" s="1"/>
  <c r="H86"/>
  <c r="I86"/>
  <c r="H84"/>
  <c r="I84"/>
  <c r="I80"/>
  <c r="J235" i="12" s="1"/>
  <c r="H80" i="6"/>
  <c r="I235" i="12" s="1"/>
  <c r="I78" i="6"/>
  <c r="H78"/>
  <c r="I75"/>
  <c r="J234" i="12" s="1"/>
  <c r="H75" i="6"/>
  <c r="I234" i="12" s="1"/>
  <c r="I73" i="6"/>
  <c r="J233" i="12" s="1"/>
  <c r="H73" i="6"/>
  <c r="I233" i="12" s="1"/>
  <c r="I72" i="6"/>
  <c r="H72"/>
  <c r="I61"/>
  <c r="J113" i="12" s="1"/>
  <c r="I69" i="6"/>
  <c r="J115" i="12" s="1"/>
  <c r="H69" i="6"/>
  <c r="I115" i="12" s="1"/>
  <c r="G69" i="6"/>
  <c r="H115" i="12" s="1"/>
  <c r="F69" i="6"/>
  <c r="G115" i="12" s="1"/>
  <c r="I67" i="6"/>
  <c r="H67"/>
  <c r="G67"/>
  <c r="F67"/>
  <c r="I66"/>
  <c r="H66"/>
  <c r="G66"/>
  <c r="P66" s="1"/>
  <c r="F66"/>
  <c r="I64"/>
  <c r="J114" i="12" s="1"/>
  <c r="H64" i="6"/>
  <c r="I114" i="12" s="1"/>
  <c r="G64" i="6"/>
  <c r="H114" i="12" s="1"/>
  <c r="F64" i="6"/>
  <c r="G114" i="12" s="1"/>
  <c r="H61" i="6"/>
  <c r="I113" i="12" s="1"/>
  <c r="G61" i="6"/>
  <c r="H113" i="12" s="1"/>
  <c r="I36" i="6"/>
  <c r="I35" s="1"/>
  <c r="H36"/>
  <c r="H35" s="1"/>
  <c r="G36"/>
  <c r="G35" s="1"/>
  <c r="P35" s="1"/>
  <c r="F36"/>
  <c r="F35" s="1"/>
  <c r="I30"/>
  <c r="J274" i="12" s="1"/>
  <c r="H30" i="6"/>
  <c r="I274" i="12" s="1"/>
  <c r="G30" i="6"/>
  <c r="H274" i="12" s="1"/>
  <c r="F30" i="6"/>
  <c r="G274" i="12" s="1"/>
  <c r="I27" i="6"/>
  <c r="I254"/>
  <c r="I253" s="1"/>
  <c r="I239" s="1"/>
  <c r="H254"/>
  <c r="H253" s="1"/>
  <c r="H239" s="1"/>
  <c r="G243"/>
  <c r="M255"/>
  <c r="M254" s="1"/>
  <c r="M253" s="1"/>
  <c r="G30" i="12"/>
  <c r="F47" i="9"/>
  <c r="G91" i="6"/>
  <c r="H30" i="12" s="1"/>
  <c r="G86" i="6"/>
  <c r="G89"/>
  <c r="G84"/>
  <c r="D80"/>
  <c r="F80"/>
  <c r="G235" i="12" s="1"/>
  <c r="G80" i="6"/>
  <c r="H235" i="12" s="1"/>
  <c r="F78" i="6"/>
  <c r="G78"/>
  <c r="G77" s="1"/>
  <c r="P77" s="1"/>
  <c r="D75"/>
  <c r="F75"/>
  <c r="G234" i="12" s="1"/>
  <c r="G75" i="6"/>
  <c r="H234" i="12" s="1"/>
  <c r="F73" i="6"/>
  <c r="G73"/>
  <c r="H233" i="12" s="1"/>
  <c r="G28"/>
  <c r="G27"/>
  <c r="F177"/>
  <c r="G67" i="7"/>
  <c r="F67"/>
  <c r="F259" i="12"/>
  <c r="F44" i="4"/>
  <c r="F43" s="1"/>
  <c r="G44"/>
  <c r="G43" s="1"/>
  <c r="F258" i="12"/>
  <c r="F260"/>
  <c r="D10" i="13"/>
  <c r="D40"/>
  <c r="D39" s="1"/>
  <c r="D35"/>
  <c r="D28"/>
  <c r="D31"/>
  <c r="D30" s="1"/>
  <c r="F238" i="9"/>
  <c r="D127" i="8"/>
  <c r="D126" s="1"/>
  <c r="E114"/>
  <c r="M114" s="1"/>
  <c r="H245" i="12"/>
  <c r="F54" i="8"/>
  <c r="F51"/>
  <c r="F48"/>
  <c r="H243" i="12"/>
  <c r="F45" i="8"/>
  <c r="G243" i="12" s="1"/>
  <c r="F41" i="8"/>
  <c r="G177" i="12" s="1"/>
  <c r="F39" i="8"/>
  <c r="F38" s="1"/>
  <c r="F34"/>
  <c r="G175" i="12" s="1"/>
  <c r="B30" i="1"/>
  <c r="D136"/>
  <c r="D198" s="1"/>
  <c r="C136"/>
  <c r="C198" s="1"/>
  <c r="D27"/>
  <c r="C27"/>
  <c r="G113" i="7"/>
  <c r="F113"/>
  <c r="G111"/>
  <c r="G110" s="1"/>
  <c r="F111"/>
  <c r="G108"/>
  <c r="F108"/>
  <c r="G105"/>
  <c r="G104" s="1"/>
  <c r="F104"/>
  <c r="G87"/>
  <c r="F87"/>
  <c r="G85"/>
  <c r="G84" s="1"/>
  <c r="F85"/>
  <c r="F84" s="1"/>
  <c r="G82"/>
  <c r="F82"/>
  <c r="G79"/>
  <c r="F79"/>
  <c r="G75"/>
  <c r="F75"/>
  <c r="G73"/>
  <c r="G72" s="1"/>
  <c r="F73"/>
  <c r="G70"/>
  <c r="F70"/>
  <c r="G63"/>
  <c r="F63"/>
  <c r="G61"/>
  <c r="F61"/>
  <c r="G58"/>
  <c r="F58"/>
  <c r="G55"/>
  <c r="F55"/>
  <c r="G51"/>
  <c r="F51"/>
  <c r="G49"/>
  <c r="F49"/>
  <c r="G46"/>
  <c r="F46"/>
  <c r="G43"/>
  <c r="F43"/>
  <c r="G25"/>
  <c r="G24" s="1"/>
  <c r="F25"/>
  <c r="F24" s="1"/>
  <c r="G254" i="6"/>
  <c r="G253" s="1"/>
  <c r="G239" s="1"/>
  <c r="G238" s="1"/>
  <c r="F254"/>
  <c r="F253" s="1"/>
  <c r="F239" s="1"/>
  <c r="N250"/>
  <c r="N249" s="1"/>
  <c r="G240"/>
  <c r="F240"/>
  <c r="G132" i="5"/>
  <c r="G131" s="1"/>
  <c r="F132"/>
  <c r="F131" s="1"/>
  <c r="D105"/>
  <c r="G125"/>
  <c r="F125"/>
  <c r="G119"/>
  <c r="F119"/>
  <c r="G111"/>
  <c r="G110" s="1"/>
  <c r="F111"/>
  <c r="F110" s="1"/>
  <c r="F108"/>
  <c r="C83" i="1" s="1"/>
  <c r="C82" s="1"/>
  <c r="G107" i="5"/>
  <c r="F106"/>
  <c r="C80" i="1" s="1"/>
  <c r="C140" s="1"/>
  <c r="C202" s="1"/>
  <c r="F105" i="5"/>
  <c r="G104"/>
  <c r="G101"/>
  <c r="F101"/>
  <c r="F100"/>
  <c r="N100" s="1"/>
  <c r="G99"/>
  <c r="F99"/>
  <c r="C68" i="1" s="1"/>
  <c r="F98" i="5"/>
  <c r="G53"/>
  <c r="G52" s="1"/>
  <c r="F53"/>
  <c r="F52" s="1"/>
  <c r="G50"/>
  <c r="F50"/>
  <c r="F49" s="1"/>
  <c r="G46"/>
  <c r="G43" s="1"/>
  <c r="F46"/>
  <c r="F43" s="1"/>
  <c r="G35"/>
  <c r="F35"/>
  <c r="G33"/>
  <c r="F33"/>
  <c r="G30"/>
  <c r="F30"/>
  <c r="G28"/>
  <c r="F28"/>
  <c r="D36" i="4"/>
  <c r="F95" i="3"/>
  <c r="G215" i="12" s="1"/>
  <c r="F93" i="3"/>
  <c r="F90"/>
  <c r="F87"/>
  <c r="G627" i="2"/>
  <c r="G626" s="1"/>
  <c r="F627"/>
  <c r="F626" s="1"/>
  <c r="D590"/>
  <c r="D589" s="1"/>
  <c r="G590"/>
  <c r="G589" s="1"/>
  <c r="F590"/>
  <c r="F589" s="1"/>
  <c r="G586"/>
  <c r="G585" s="1"/>
  <c r="F586"/>
  <c r="F585" s="1"/>
  <c r="D575"/>
  <c r="D574" s="1"/>
  <c r="G552"/>
  <c r="G551" s="1"/>
  <c r="F552"/>
  <c r="F551" s="1"/>
  <c r="G548"/>
  <c r="G547" s="1"/>
  <c r="F548"/>
  <c r="F547" s="1"/>
  <c r="G527"/>
  <c r="F527"/>
  <c r="D78" i="1"/>
  <c r="G508" i="2"/>
  <c r="G507" s="1"/>
  <c r="F508"/>
  <c r="F507" s="1"/>
  <c r="G505"/>
  <c r="F505"/>
  <c r="G503"/>
  <c r="F503"/>
  <c r="F500"/>
  <c r="F499" s="1"/>
  <c r="F498" s="1"/>
  <c r="F497"/>
  <c r="F496" s="1"/>
  <c r="F495"/>
  <c r="F494" s="1"/>
  <c r="G464"/>
  <c r="G33" s="1"/>
  <c r="D43" i="1" s="1"/>
  <c r="F464" i="2"/>
  <c r="F33" s="1"/>
  <c r="C43" i="1" s="1"/>
  <c r="C146" s="1"/>
  <c r="C208" s="1"/>
  <c r="G463" i="2"/>
  <c r="F463"/>
  <c r="G461"/>
  <c r="G26" s="1"/>
  <c r="F461"/>
  <c r="G460"/>
  <c r="G24" s="1"/>
  <c r="F460"/>
  <c r="F24" s="1"/>
  <c r="G457"/>
  <c r="G21" s="1"/>
  <c r="D28" i="1" s="1"/>
  <c r="D131" s="1"/>
  <c r="D193" s="1"/>
  <c r="F457" i="2"/>
  <c r="F21" s="1"/>
  <c r="G456"/>
  <c r="F456"/>
  <c r="G454"/>
  <c r="G16" s="1"/>
  <c r="F454"/>
  <c r="G453"/>
  <c r="G14" s="1"/>
  <c r="F453"/>
  <c r="F14" s="1"/>
  <c r="G452"/>
  <c r="F452"/>
  <c r="D296"/>
  <c r="D293"/>
  <c r="D58"/>
  <c r="G30"/>
  <c r="F30"/>
  <c r="G28"/>
  <c r="D40" i="1" s="1"/>
  <c r="D144" s="1"/>
  <c r="D206" s="1"/>
  <c r="F28" i="2"/>
  <c r="C40" i="1" s="1"/>
  <c r="C144" s="1"/>
  <c r="C206" s="1"/>
  <c r="G27" i="2"/>
  <c r="D39" i="1" s="1"/>
  <c r="D143" s="1"/>
  <c r="D205" s="1"/>
  <c r="F27" i="2"/>
  <c r="C39" i="1" s="1"/>
  <c r="C143" s="1"/>
  <c r="C205" s="1"/>
  <c r="G25" i="2"/>
  <c r="D318"/>
  <c r="D552"/>
  <c r="D551" s="1"/>
  <c r="D77"/>
  <c r="D298"/>
  <c r="D89"/>
  <c r="N80"/>
  <c r="F255" i="12"/>
  <c r="G15" i="2"/>
  <c r="D21" i="1" s="1"/>
  <c r="D461" i="2"/>
  <c r="F72" i="7"/>
  <c r="E95" i="5"/>
  <c r="E102"/>
  <c r="D102"/>
  <c r="D101" s="1"/>
  <c r="E132"/>
  <c r="E131" s="1"/>
  <c r="F371" i="12"/>
  <c r="E122" i="5"/>
  <c r="E106"/>
  <c r="E99"/>
  <c r="B68" i="1" s="1"/>
  <c r="E128" i="5"/>
  <c r="E108"/>
  <c r="D141" i="2"/>
  <c r="F254" i="12"/>
  <c r="F253"/>
  <c r="F176"/>
  <c r="D39" i="8"/>
  <c r="E139"/>
  <c r="D120"/>
  <c r="D116" s="1"/>
  <c r="D115" s="1"/>
  <c r="D27" i="4"/>
  <c r="D26"/>
  <c r="E244" i="6"/>
  <c r="E262"/>
  <c r="E261" s="1"/>
  <c r="E247"/>
  <c r="E246" s="1"/>
  <c r="E245" s="1"/>
  <c r="D50" i="3"/>
  <c r="D13" s="1"/>
  <c r="D57"/>
  <c r="D20" s="1"/>
  <c r="D600" i="2"/>
  <c r="E77"/>
  <c r="P570"/>
  <c r="D14"/>
  <c r="P484"/>
  <c r="D244" i="6"/>
  <c r="G78" i="7"/>
  <c r="H242" i="12"/>
  <c r="D505" i="2"/>
  <c r="D99" i="5"/>
  <c r="D123" i="8"/>
  <c r="D122" s="1"/>
  <c r="D107" s="1"/>
  <c r="D105" s="1"/>
  <c r="D114"/>
  <c r="E171" i="12"/>
  <c r="F399"/>
  <c r="F174"/>
  <c r="F175"/>
  <c r="D130" i="2"/>
  <c r="P466"/>
  <c r="B198" i="1"/>
  <c r="D323" i="2"/>
  <c r="E475"/>
  <c r="E474" s="1"/>
  <c r="E461"/>
  <c r="F400" i="12"/>
  <c r="D328" i="2"/>
  <c r="E487"/>
  <c r="P509"/>
  <c r="E500"/>
  <c r="E508"/>
  <c r="E507" s="1"/>
  <c r="D353"/>
  <c r="D95" i="5"/>
  <c r="D93" s="1"/>
  <c r="D49" i="7"/>
  <c r="B67" i="1"/>
  <c r="D93" i="3"/>
  <c r="B44" i="1"/>
  <c r="E105" i="5"/>
  <c r="E107"/>
  <c r="E125"/>
  <c r="E101"/>
  <c r="E119"/>
  <c r="E98"/>
  <c r="E97" s="1"/>
  <c r="F252" i="12"/>
  <c r="E170"/>
  <c r="E172"/>
  <c r="D60" i="3"/>
  <c r="E489" i="2"/>
  <c r="D490"/>
  <c r="D489" s="1"/>
  <c r="E87"/>
  <c r="F64" i="12"/>
  <c r="D317" i="2"/>
  <c r="D110"/>
  <c r="D109" s="1"/>
  <c r="E96"/>
  <c r="E89"/>
  <c r="F190" i="12" s="1"/>
  <c r="D324" i="2"/>
  <c r="D336"/>
  <c r="E463"/>
  <c r="E471"/>
  <c r="E456"/>
  <c r="E454"/>
  <c r="E485"/>
  <c r="D247" i="6"/>
  <c r="D246" s="1"/>
  <c r="D245" s="1"/>
  <c r="D262"/>
  <c r="D261" s="1"/>
  <c r="D139" i="8"/>
  <c r="D108" i="5"/>
  <c r="D107" s="1"/>
  <c r="D39"/>
  <c r="D100"/>
  <c r="F370" i="12"/>
  <c r="F488"/>
  <c r="E488" s="1"/>
  <c r="D358" i="2"/>
  <c r="D357" s="1"/>
  <c r="D485"/>
  <c r="D500"/>
  <c r="D499" s="1"/>
  <c r="D498" s="1"/>
  <c r="D21" i="4"/>
  <c r="H10"/>
  <c r="D28" i="2"/>
  <c r="D87"/>
  <c r="D355"/>
  <c r="D544"/>
  <c r="D543" s="1"/>
  <c r="D667" s="1"/>
  <c r="O15" i="1"/>
  <c r="P523" i="2"/>
  <c r="H215" i="12"/>
  <c r="D30" i="6"/>
  <c r="I242"/>
  <c r="I241" s="1"/>
  <c r="F28" i="12"/>
  <c r="D84" i="6"/>
  <c r="D89"/>
  <c r="J589" i="12" l="1"/>
  <c r="J572"/>
  <c r="H589"/>
  <c r="M572"/>
  <c r="L572"/>
  <c r="G426" i="2"/>
  <c r="H269" i="12" s="1"/>
  <c r="G344" i="2"/>
  <c r="G343" s="1"/>
  <c r="G462"/>
  <c r="K43" i="7"/>
  <c r="K13"/>
  <c r="G402" i="2"/>
  <c r="H603" i="12" s="1"/>
  <c r="F42" i="7"/>
  <c r="F54"/>
  <c r="D25" i="5"/>
  <c r="D23" s="1"/>
  <c r="D20" s="1"/>
  <c r="L106" i="6"/>
  <c r="M566" i="12"/>
  <c r="M562"/>
  <c r="L566"/>
  <c r="L562"/>
  <c r="F60" i="7"/>
  <c r="K205" i="6"/>
  <c r="D424" i="2"/>
  <c r="N424"/>
  <c r="D27" i="6"/>
  <c r="D46" i="5"/>
  <c r="D43" s="1"/>
  <c r="F15" i="2"/>
  <c r="C21" i="1" s="1"/>
  <c r="C126" s="1"/>
  <c r="C187" s="1"/>
  <c r="D34"/>
  <c r="I232" i="9"/>
  <c r="G68" i="3"/>
  <c r="E24" i="10" s="1"/>
  <c r="J76" i="9"/>
  <c r="D37" i="2"/>
  <c r="H422"/>
  <c r="H341" s="1"/>
  <c r="H13" s="1"/>
  <c r="K84" i="12"/>
  <c r="H39" i="13"/>
  <c r="H30"/>
  <c r="J200" i="12"/>
  <c r="K9" i="9"/>
  <c r="K268" i="6"/>
  <c r="Q106"/>
  <c r="H136" i="5"/>
  <c r="D136"/>
  <c r="G136"/>
  <c r="G138" s="1"/>
  <c r="G139" s="1"/>
  <c r="I136"/>
  <c r="D19"/>
  <c r="D17" s="1"/>
  <c r="D13" s="1"/>
  <c r="I103"/>
  <c r="H41" i="10"/>
  <c r="G103" i="5"/>
  <c r="G63"/>
  <c r="H222" i="12" s="1"/>
  <c r="J63" i="5"/>
  <c r="K222" i="12" s="1"/>
  <c r="L96" i="5"/>
  <c r="G32"/>
  <c r="I27"/>
  <c r="H32"/>
  <c r="F41" i="10" s="1"/>
  <c r="C40"/>
  <c r="E11" i="5"/>
  <c r="F27"/>
  <c r="F107"/>
  <c r="H27"/>
  <c r="D38"/>
  <c r="D11" s="1"/>
  <c r="G38"/>
  <c r="G157" i="2"/>
  <c r="H97" i="12" s="1"/>
  <c r="D165" i="1"/>
  <c r="K50" i="8"/>
  <c r="K144" s="1"/>
  <c r="G86" i="3"/>
  <c r="D37" i="1"/>
  <c r="D138" s="1"/>
  <c r="D200" s="1"/>
  <c r="Q25" i="2"/>
  <c r="G378"/>
  <c r="H165" i="12"/>
  <c r="E165" s="1"/>
  <c r="C164" s="1"/>
  <c r="H309"/>
  <c r="K499"/>
  <c r="K554" s="1"/>
  <c r="K340"/>
  <c r="M499"/>
  <c r="M554" s="1"/>
  <c r="M340"/>
  <c r="E339"/>
  <c r="G368" i="2"/>
  <c r="H160" i="12"/>
  <c r="E160" s="1"/>
  <c r="C159" s="1"/>
  <c r="G372" i="2"/>
  <c r="H162" i="12" s="1"/>
  <c r="H163"/>
  <c r="E163" s="1"/>
  <c r="I309"/>
  <c r="H340"/>
  <c r="J499"/>
  <c r="J554" s="1"/>
  <c r="J552" s="1"/>
  <c r="J340"/>
  <c r="L340"/>
  <c r="E338"/>
  <c r="J585"/>
  <c r="K585"/>
  <c r="I92" i="3"/>
  <c r="C165" i="1"/>
  <c r="I63" i="5"/>
  <c r="J222" i="12" s="1"/>
  <c r="G52"/>
  <c r="F66" i="7"/>
  <c r="D152" i="2"/>
  <c r="D45"/>
  <c r="I66" i="13"/>
  <c r="G31" i="10" s="1"/>
  <c r="F66" i="13"/>
  <c r="P13" i="3"/>
  <c r="J86"/>
  <c r="I86"/>
  <c r="G92"/>
  <c r="P92" s="1"/>
  <c r="F92"/>
  <c r="I62"/>
  <c r="M98"/>
  <c r="M9" s="1"/>
  <c r="L340" i="2"/>
  <c r="L339" s="1"/>
  <c r="J28" i="10" s="1"/>
  <c r="L13" i="2"/>
  <c r="F104" i="5"/>
  <c r="F103" s="1"/>
  <c r="I77" i="6"/>
  <c r="G20" i="10" s="1"/>
  <c r="H83" i="6"/>
  <c r="F19" i="10" s="1"/>
  <c r="H49" i="5"/>
  <c r="J41" i="10"/>
  <c r="E96" i="5"/>
  <c r="G27"/>
  <c r="F32"/>
  <c r="D41" i="10" s="1"/>
  <c r="G54" i="7"/>
  <c r="G83" i="6"/>
  <c r="H27" i="12" s="1"/>
  <c r="H77" i="6"/>
  <c r="F20" i="10" s="1"/>
  <c r="I83" i="6"/>
  <c r="G19" i="10" s="1"/>
  <c r="I49" i="5"/>
  <c r="J13" i="2"/>
  <c r="L63" i="5"/>
  <c r="J38"/>
  <c r="K13" i="2"/>
  <c r="H33" i="8"/>
  <c r="I114" i="9"/>
  <c r="G36" i="10" s="1"/>
  <c r="H92" i="3"/>
  <c r="K96" i="5"/>
  <c r="L8" i="9"/>
  <c r="J8"/>
  <c r="F48" i="7"/>
  <c r="G56" i="5"/>
  <c r="H217" i="12" s="1"/>
  <c r="I56" i="5"/>
  <c r="J217" i="12" s="1"/>
  <c r="K8" i="9"/>
  <c r="I8"/>
  <c r="F407" i="2"/>
  <c r="G407"/>
  <c r="F163"/>
  <c r="H431"/>
  <c r="H659" s="1"/>
  <c r="F502"/>
  <c r="G199"/>
  <c r="N611"/>
  <c r="N610" s="1"/>
  <c r="K339"/>
  <c r="I28" i="10" s="1"/>
  <c r="F455" i="2"/>
  <c r="G502"/>
  <c r="N372"/>
  <c r="F451"/>
  <c r="N603"/>
  <c r="N602" s="1"/>
  <c r="N402"/>
  <c r="H402"/>
  <c r="I603" i="12" s="1"/>
  <c r="G49" i="5"/>
  <c r="E118"/>
  <c r="F462" i="2"/>
  <c r="G60" i="7"/>
  <c r="F43" i="10"/>
  <c r="I48" i="7"/>
  <c r="I42"/>
  <c r="H84"/>
  <c r="I78"/>
  <c r="I84"/>
  <c r="H104"/>
  <c r="I104"/>
  <c r="I110"/>
  <c r="H66"/>
  <c r="H72"/>
  <c r="I66"/>
  <c r="H54"/>
  <c r="I54"/>
  <c r="I60"/>
  <c r="H56" i="5"/>
  <c r="I217" i="12" s="1"/>
  <c r="N471" i="2"/>
  <c r="G148" i="6"/>
  <c r="L205"/>
  <c r="J205"/>
  <c r="H152"/>
  <c r="I585" i="12"/>
  <c r="G39" i="13"/>
  <c r="G188" i="12"/>
  <c r="I56" i="13"/>
  <c r="I14" s="1"/>
  <c r="G320" i="2"/>
  <c r="I72" i="12"/>
  <c r="L76" i="9"/>
  <c r="G109" i="8"/>
  <c r="G108" s="1"/>
  <c r="I26" i="3"/>
  <c r="J203" i="12" s="1"/>
  <c r="F86" i="3"/>
  <c r="L86"/>
  <c r="L92"/>
  <c r="L98"/>
  <c r="L9" s="1"/>
  <c r="M86"/>
  <c r="F72" i="6"/>
  <c r="G93" i="5"/>
  <c r="N95"/>
  <c r="N93" s="1"/>
  <c r="I430" i="12"/>
  <c r="I385" s="1"/>
  <c r="I558" s="1"/>
  <c r="I556" s="1"/>
  <c r="H416" i="2"/>
  <c r="H103" i="12"/>
  <c r="E103" s="1"/>
  <c r="G193" i="2"/>
  <c r="H102" i="12" s="1"/>
  <c r="L25" i="2"/>
  <c r="I37" i="1" s="1"/>
  <c r="I138" s="1"/>
  <c r="I200" s="1"/>
  <c r="L15" i="2"/>
  <c r="I21" i="1" s="1"/>
  <c r="H25" i="2"/>
  <c r="E37" i="1" s="1"/>
  <c r="E138" s="1"/>
  <c r="E200" s="1"/>
  <c r="H15" i="2"/>
  <c r="E21" i="1" s="1"/>
  <c r="E126" s="1"/>
  <c r="E187" s="1"/>
  <c r="G230" i="12"/>
  <c r="E230" s="1"/>
  <c r="F73" i="5"/>
  <c r="F136" s="1"/>
  <c r="I116" i="8"/>
  <c r="I115" s="1"/>
  <c r="F81" i="1"/>
  <c r="F141" s="1"/>
  <c r="F203" s="1"/>
  <c r="G116" i="8"/>
  <c r="G115" s="1"/>
  <c r="D81" i="1"/>
  <c r="D141" s="1"/>
  <c r="D203" s="1"/>
  <c r="M110" i="6"/>
  <c r="D459" i="2"/>
  <c r="E124" i="5"/>
  <c r="D138" i="2"/>
  <c r="F110" i="7"/>
  <c r="G245" i="12"/>
  <c r="E245" s="1"/>
  <c r="F50" i="8"/>
  <c r="F144" s="1"/>
  <c r="N99" i="5"/>
  <c r="N97" s="1"/>
  <c r="N96" s="1"/>
  <c r="K38"/>
  <c r="I139" i="6"/>
  <c r="J38" i="12" s="1"/>
  <c r="D195" i="6"/>
  <c r="H194"/>
  <c r="H193" s="1"/>
  <c r="H192" s="1"/>
  <c r="K265" i="12"/>
  <c r="J66" i="13"/>
  <c r="H395" i="12"/>
  <c r="G33" i="8"/>
  <c r="G10" s="1"/>
  <c r="G23" i="1"/>
  <c r="K23" s="1"/>
  <c r="J12" i="13"/>
  <c r="J11" s="1"/>
  <c r="L116" i="8"/>
  <c r="L115" s="1"/>
  <c r="I81" i="1"/>
  <c r="I141" s="1"/>
  <c r="I203" s="1"/>
  <c r="G13" i="5"/>
  <c r="E41" i="10"/>
  <c r="F97" i="5"/>
  <c r="F96" s="1"/>
  <c r="F66"/>
  <c r="N240" i="6"/>
  <c r="E43" i="10"/>
  <c r="G43"/>
  <c r="H235" i="9"/>
  <c r="H234" s="1"/>
  <c r="I38" i="5"/>
  <c r="K232" i="9"/>
  <c r="H60" i="1" s="1"/>
  <c r="K63" i="5"/>
  <c r="L222" i="12" s="1"/>
  <c r="G232" i="9"/>
  <c r="G231" s="1"/>
  <c r="E539" i="12"/>
  <c r="F109" i="8"/>
  <c r="F108" s="1"/>
  <c r="H109"/>
  <c r="H108" s="1"/>
  <c r="G80" i="12"/>
  <c r="F44" i="9"/>
  <c r="I13" i="5"/>
  <c r="I80" i="12"/>
  <c r="H44" i="9"/>
  <c r="E104" i="5"/>
  <c r="F459" i="2"/>
  <c r="G42" i="7"/>
  <c r="H80" i="12"/>
  <c r="G44" i="9"/>
  <c r="K12" i="13"/>
  <c r="K11" s="1"/>
  <c r="I62"/>
  <c r="I17" s="1"/>
  <c r="F104" i="3"/>
  <c r="H104"/>
  <c r="H284" s="1"/>
  <c r="J104"/>
  <c r="J284" s="1"/>
  <c r="J42" i="7"/>
  <c r="E165" i="1"/>
  <c r="I75" i="12"/>
  <c r="H32" i="9"/>
  <c r="H75" i="12"/>
  <c r="G32" i="9"/>
  <c r="H48" i="7"/>
  <c r="G48"/>
  <c r="H42"/>
  <c r="G163" i="2"/>
  <c r="E140" i="12"/>
  <c r="G66" i="7"/>
  <c r="L165" i="1"/>
  <c r="M111" i="6"/>
  <c r="M114"/>
  <c r="M133"/>
  <c r="J96" i="5"/>
  <c r="K42" i="7"/>
  <c r="E93" i="5"/>
  <c r="M95"/>
  <c r="M93" s="1"/>
  <c r="H28" i="12"/>
  <c r="E28" s="1"/>
  <c r="I97" i="5"/>
  <c r="I96" s="1"/>
  <c r="F68" i="1"/>
  <c r="F123" s="1"/>
  <c r="F185" s="1"/>
  <c r="M100" i="5"/>
  <c r="L38"/>
  <c r="M371" i="12"/>
  <c r="M585" s="1"/>
  <c r="K71" i="1"/>
  <c r="J581" i="12"/>
  <c r="L585"/>
  <c r="L581"/>
  <c r="L589"/>
  <c r="D65" i="13"/>
  <c r="N65"/>
  <c r="M65"/>
  <c r="F145" i="6"/>
  <c r="M177"/>
  <c r="M175" s="1"/>
  <c r="M174" s="1"/>
  <c r="M170" s="1"/>
  <c r="E138" i="12"/>
  <c r="E139"/>
  <c r="F247" i="2"/>
  <c r="F56" i="13"/>
  <c r="F55" s="1"/>
  <c r="M58"/>
  <c r="H61" i="1"/>
  <c r="M45" i="7"/>
  <c r="M9" s="1"/>
  <c r="M7" s="1"/>
  <c r="I277" i="12"/>
  <c r="K606"/>
  <c r="N11" i="8"/>
  <c r="H575" i="12"/>
  <c r="H580" s="1"/>
  <c r="M100" i="6"/>
  <c r="J106"/>
  <c r="J105" s="1"/>
  <c r="K214" i="12" s="1"/>
  <c r="K195" s="1"/>
  <c r="M108" i="6"/>
  <c r="J116"/>
  <c r="J115" s="1"/>
  <c r="M128"/>
  <c r="N58" i="13"/>
  <c r="G97" i="5"/>
  <c r="G96" s="1"/>
  <c r="D68" i="1"/>
  <c r="D123" s="1"/>
  <c r="D185" s="1"/>
  <c r="H97" i="5"/>
  <c r="H96" s="1"/>
  <c r="E68" i="1"/>
  <c r="E123" s="1"/>
  <c r="E185" s="1"/>
  <c r="M99" i="5"/>
  <c r="D38" i="2"/>
  <c r="L455"/>
  <c r="N13" i="13"/>
  <c r="K581" i="12"/>
  <c r="M581"/>
  <c r="M589"/>
  <c r="G62" i="13"/>
  <c r="G61" s="1"/>
  <c r="H264" i="12" s="1"/>
  <c r="N64" i="13"/>
  <c r="N59"/>
  <c r="M59"/>
  <c r="L104" i="3"/>
  <c r="L284" s="1"/>
  <c r="G105" i="8"/>
  <c r="N107"/>
  <c r="N105" s="1"/>
  <c r="N113"/>
  <c r="M113"/>
  <c r="M109" s="1"/>
  <c r="M108" s="1"/>
  <c r="M203" i="6"/>
  <c r="N200"/>
  <c r="M200"/>
  <c r="F62" i="13"/>
  <c r="D64"/>
  <c r="M64"/>
  <c r="I499" i="12"/>
  <c r="I554" s="1"/>
  <c r="I552" s="1"/>
  <c r="G182" i="7"/>
  <c r="L606" i="12"/>
  <c r="L600" s="1"/>
  <c r="N98" i="6"/>
  <c r="M98"/>
  <c r="K106"/>
  <c r="K287" s="1"/>
  <c r="N113"/>
  <c r="M113"/>
  <c r="M240"/>
  <c r="G585" i="12"/>
  <c r="E372"/>
  <c r="G72" i="6"/>
  <c r="D198"/>
  <c r="F60"/>
  <c r="G112" i="12" s="1"/>
  <c r="L23" i="6"/>
  <c r="L21" s="1"/>
  <c r="K143"/>
  <c r="K197"/>
  <c r="H197"/>
  <c r="G18" i="12"/>
  <c r="E18" s="1"/>
  <c r="M227" i="6"/>
  <c r="M226" s="1"/>
  <c r="N289" i="2"/>
  <c r="H13" i="5"/>
  <c r="L217" i="12"/>
  <c r="K217"/>
  <c r="N495" i="2"/>
  <c r="N494" s="1"/>
  <c r="N452"/>
  <c r="N456"/>
  <c r="I459"/>
  <c r="H455"/>
  <c r="J370" i="12"/>
  <c r="I370"/>
  <c r="H370"/>
  <c r="H51" i="3"/>
  <c r="I567" i="12" s="1"/>
  <c r="N17" i="3"/>
  <c r="J571" i="12"/>
  <c r="G385"/>
  <c r="G558" s="1"/>
  <c r="G556" s="1"/>
  <c r="J92" i="3"/>
  <c r="I104"/>
  <c r="I284" s="1"/>
  <c r="K86"/>
  <c r="G455" i="2"/>
  <c r="M15" i="6"/>
  <c r="P15" s="1"/>
  <c r="D52" i="3"/>
  <c r="D17" s="1"/>
  <c r="G46"/>
  <c r="H308" i="12" s="1"/>
  <c r="N89" i="13"/>
  <c r="M89"/>
  <c r="M52" i="3"/>
  <c r="M51" s="1"/>
  <c r="M198" i="6"/>
  <c r="M140"/>
  <c r="C102" i="1"/>
  <c r="F668" i="2"/>
  <c r="D102" i="1"/>
  <c r="D101" s="1"/>
  <c r="G668" i="2"/>
  <c r="F102" i="1"/>
  <c r="F101" s="1"/>
  <c r="I668" i="2"/>
  <c r="G183" i="7"/>
  <c r="H50" i="8"/>
  <c r="H144" s="1"/>
  <c r="G14" i="10"/>
  <c r="I146" i="8"/>
  <c r="F18" i="10"/>
  <c r="F22" i="8"/>
  <c r="J103" i="1"/>
  <c r="F12" i="8"/>
  <c r="J14" i="10"/>
  <c r="L146" i="8"/>
  <c r="H14" i="10"/>
  <c r="J146" i="8"/>
  <c r="D42"/>
  <c r="G31"/>
  <c r="G28" s="1"/>
  <c r="G21" s="1"/>
  <c r="F16"/>
  <c r="F28"/>
  <c r="M422" i="2"/>
  <c r="M421" s="1"/>
  <c r="L268" i="6"/>
  <c r="H474" i="2"/>
  <c r="J462"/>
  <c r="G146" i="8"/>
  <c r="E18" i="10"/>
  <c r="D18"/>
  <c r="F17"/>
  <c r="E17"/>
  <c r="O17" s="1"/>
  <c r="D45" i="7"/>
  <c r="K7"/>
  <c r="N45"/>
  <c r="N43" s="1"/>
  <c r="N42" s="1"/>
  <c r="H426" i="2"/>
  <c r="I269" i="12" s="1"/>
  <c r="E459" i="2"/>
  <c r="E454" i="12" s="1"/>
  <c r="G451" i="2"/>
  <c r="N457"/>
  <c r="F474"/>
  <c r="K455"/>
  <c r="K462"/>
  <c r="J459"/>
  <c r="E250" i="12"/>
  <c r="E249"/>
  <c r="E248"/>
  <c r="G34" i="13"/>
  <c r="H257" i="12" s="1"/>
  <c r="I30" i="13"/>
  <c r="K7" i="9"/>
  <c r="D176" i="2"/>
  <c r="K70" i="1"/>
  <c r="E134" i="12"/>
  <c r="E190"/>
  <c r="E400"/>
  <c r="E399"/>
  <c r="E24"/>
  <c r="G83" i="13"/>
  <c r="N84"/>
  <c r="N83" s="1"/>
  <c r="M84"/>
  <c r="M83" s="1"/>
  <c r="H239" i="12"/>
  <c r="G239"/>
  <c r="E130"/>
  <c r="E125" i="1"/>
  <c r="E191" s="1"/>
  <c r="G141"/>
  <c r="G203" s="1"/>
  <c r="K30"/>
  <c r="K130" s="1"/>
  <c r="K20"/>
  <c r="K72"/>
  <c r="K242" i="12"/>
  <c r="H13" i="10"/>
  <c r="J8" i="8"/>
  <c r="I13" i="10"/>
  <c r="K8" i="8"/>
  <c r="G13" i="10"/>
  <c r="I8" i="8"/>
  <c r="G41" i="10"/>
  <c r="K69" i="1"/>
  <c r="M244" i="6"/>
  <c r="N239"/>
  <c r="F13" i="5"/>
  <c r="L138"/>
  <c r="L139" s="1"/>
  <c r="J138"/>
  <c r="K138"/>
  <c r="K139" s="1"/>
  <c r="J13"/>
  <c r="M15"/>
  <c r="M14" s="1"/>
  <c r="N27"/>
  <c r="N19"/>
  <c r="N17" s="1"/>
  <c r="N15"/>
  <c r="N14" s="1"/>
  <c r="M19"/>
  <c r="M17" s="1"/>
  <c r="M13" i="13"/>
  <c r="L18"/>
  <c r="L107" s="1"/>
  <c r="L88" s="1"/>
  <c r="L87" s="1"/>
  <c r="L86" s="1"/>
  <c r="F25"/>
  <c r="G252" i="12" s="1"/>
  <c r="G235" i="9"/>
  <c r="G234" s="1"/>
  <c r="N238"/>
  <c r="C66" i="1"/>
  <c r="M237" i="9"/>
  <c r="N232"/>
  <c r="N236"/>
  <c r="F235"/>
  <c r="F234" s="1"/>
  <c r="M238"/>
  <c r="D66" i="1"/>
  <c r="L66" s="1"/>
  <c r="N237" i="9"/>
  <c r="M232"/>
  <c r="M236"/>
  <c r="K27" i="1"/>
  <c r="F44" i="8"/>
  <c r="F9" s="1"/>
  <c r="M107"/>
  <c r="D37"/>
  <c r="D20" s="1"/>
  <c r="M37"/>
  <c r="M20" s="1"/>
  <c r="M16" s="1"/>
  <c r="D49"/>
  <c r="D18" s="1"/>
  <c r="B72" i="1"/>
  <c r="N72" s="1"/>
  <c r="E116" i="8"/>
  <c r="E115" s="1"/>
  <c r="F36"/>
  <c r="G176" i="12" s="1"/>
  <c r="E176" s="1"/>
  <c r="F22" i="1"/>
  <c r="F127" s="1"/>
  <c r="F188" s="1"/>
  <c r="M46" i="8"/>
  <c r="M13" s="1"/>
  <c r="M12" s="1"/>
  <c r="C141" i="1"/>
  <c r="C203" s="1"/>
  <c r="E141"/>
  <c r="E203" s="1"/>
  <c r="F125"/>
  <c r="F191" s="1"/>
  <c r="G41" i="8"/>
  <c r="E177" i="12" s="1"/>
  <c r="G125" i="1"/>
  <c r="G191" s="1"/>
  <c r="M34" i="8"/>
  <c r="D47"/>
  <c r="D14" s="1"/>
  <c r="K109"/>
  <c r="K108" s="1"/>
  <c r="N109"/>
  <c r="N108" s="1"/>
  <c r="M106"/>
  <c r="F16" i="6"/>
  <c r="M141"/>
  <c r="M145"/>
  <c r="F201"/>
  <c r="F14"/>
  <c r="M139"/>
  <c r="L69" i="1"/>
  <c r="D83"/>
  <c r="D82" s="1"/>
  <c r="E74"/>
  <c r="E73" s="1"/>
  <c r="M47" i="3"/>
  <c r="M46" s="1"/>
  <c r="M17"/>
  <c r="G53" i="12"/>
  <c r="E53" s="1"/>
  <c r="N114" i="2"/>
  <c r="D137"/>
  <c r="I502"/>
  <c r="I9" s="1"/>
  <c r="E14"/>
  <c r="M14" s="1"/>
  <c r="M453"/>
  <c r="M40"/>
  <c r="M424"/>
  <c r="E452" i="12"/>
  <c r="M456" i="2"/>
  <c r="M454"/>
  <c r="G459"/>
  <c r="G458" s="1"/>
  <c r="N497"/>
  <c r="N496" s="1"/>
  <c r="M497"/>
  <c r="M496" s="1"/>
  <c r="I339"/>
  <c r="G28" i="10" s="1"/>
  <c r="M342" i="2"/>
  <c r="M429"/>
  <c r="F17"/>
  <c r="M39"/>
  <c r="M38"/>
  <c r="E129" i="12"/>
  <c r="E128"/>
  <c r="L71" i="1"/>
  <c r="L72"/>
  <c r="E229" i="12"/>
  <c r="F38" i="5"/>
  <c r="D56" i="3"/>
  <c r="D19"/>
  <c r="G313" i="2"/>
  <c r="E415" i="12"/>
  <c r="H423"/>
  <c r="H502" i="2"/>
  <c r="E135" i="12"/>
  <c r="N38" i="2"/>
  <c r="D126" i="1"/>
  <c r="D187" s="1"/>
  <c r="G17" i="2"/>
  <c r="N17" s="1"/>
  <c r="N39"/>
  <c r="L70" i="1"/>
  <c r="G169" i="2"/>
  <c r="H133" i="12"/>
  <c r="E133" s="1"/>
  <c r="N342" i="2"/>
  <c r="J15"/>
  <c r="N42"/>
  <c r="L29"/>
  <c r="D433"/>
  <c r="D350" s="1"/>
  <c r="D349" s="1"/>
  <c r="G19"/>
  <c r="N427"/>
  <c r="E373" i="12"/>
  <c r="E219"/>
  <c r="D171" i="6"/>
  <c r="J139"/>
  <c r="K38" i="12" s="1"/>
  <c r="G139" i="6"/>
  <c r="H38" i="12" s="1"/>
  <c r="K148" i="6"/>
  <c r="G231"/>
  <c r="N110"/>
  <c r="N111"/>
  <c r="N114"/>
  <c r="N133"/>
  <c r="D123"/>
  <c r="D215"/>
  <c r="K186"/>
  <c r="G242"/>
  <c r="G241" s="1"/>
  <c r="N243"/>
  <c r="D204"/>
  <c r="N204"/>
  <c r="G96"/>
  <c r="N100"/>
  <c r="N203"/>
  <c r="D203"/>
  <c r="D104"/>
  <c r="N108"/>
  <c r="D109"/>
  <c r="N109"/>
  <c r="N145"/>
  <c r="N141"/>
  <c r="G16"/>
  <c r="N16" s="1"/>
  <c r="H14"/>
  <c r="N25" i="13"/>
  <c r="E254" i="12"/>
  <c r="E255"/>
  <c r="E258"/>
  <c r="E274"/>
  <c r="E113"/>
  <c r="E114"/>
  <c r="E58"/>
  <c r="E224"/>
  <c r="E49"/>
  <c r="E88"/>
  <c r="E480"/>
  <c r="E115"/>
  <c r="I17" i="6"/>
  <c r="K17"/>
  <c r="H25" i="1" s="1"/>
  <c r="N17" i="6"/>
  <c r="N140"/>
  <c r="N139" s="1"/>
  <c r="G102"/>
  <c r="G17" s="1"/>
  <c r="D103"/>
  <c r="H102"/>
  <c r="H95" s="1"/>
  <c r="J102"/>
  <c r="D110"/>
  <c r="G106"/>
  <c r="D111"/>
  <c r="D113"/>
  <c r="F121"/>
  <c r="F17" s="1"/>
  <c r="D122"/>
  <c r="D132"/>
  <c r="H121"/>
  <c r="J121"/>
  <c r="L121"/>
  <c r="G125"/>
  <c r="N125" s="1"/>
  <c r="F231"/>
  <c r="D98"/>
  <c r="I96"/>
  <c r="I95" s="1"/>
  <c r="J96"/>
  <c r="J14" s="1"/>
  <c r="H106"/>
  <c r="D108"/>
  <c r="D114"/>
  <c r="D133"/>
  <c r="D128"/>
  <c r="F125"/>
  <c r="F124" s="1"/>
  <c r="G32" i="12" s="1"/>
  <c r="M35"/>
  <c r="N15" i="6"/>
  <c r="N216"/>
  <c r="N214" s="1"/>
  <c r="N38" i="5"/>
  <c r="N47" i="3"/>
  <c r="N46" s="1"/>
  <c r="N52"/>
  <c r="N51" s="1"/>
  <c r="G26"/>
  <c r="H203" i="12" s="1"/>
  <c r="N27" i="3"/>
  <c r="H55"/>
  <c r="D125" i="1"/>
  <c r="D191" s="1"/>
  <c r="L20"/>
  <c r="D130"/>
  <c r="D192" s="1"/>
  <c r="L30"/>
  <c r="L130" s="1"/>
  <c r="E435" i="12"/>
  <c r="E123"/>
  <c r="E124"/>
  <c r="E253"/>
  <c r="E260"/>
  <c r="E259"/>
  <c r="E67"/>
  <c r="E68"/>
  <c r="E69"/>
  <c r="E147"/>
  <c r="E149"/>
  <c r="C149" s="1"/>
  <c r="E48"/>
  <c r="E50"/>
  <c r="E225"/>
  <c r="E244"/>
  <c r="E419"/>
  <c r="E220"/>
  <c r="E89"/>
  <c r="E44"/>
  <c r="E479"/>
  <c r="E99"/>
  <c r="E508"/>
  <c r="E507"/>
  <c r="E79"/>
  <c r="E74"/>
  <c r="E110"/>
  <c r="C109" s="1"/>
  <c r="E439"/>
  <c r="E440"/>
  <c r="C171"/>
  <c r="E234"/>
  <c r="E60"/>
  <c r="E90"/>
  <c r="E279"/>
  <c r="E273"/>
  <c r="E227"/>
  <c r="E503"/>
  <c r="E284"/>
  <c r="E509"/>
  <c r="E235"/>
  <c r="E98"/>
  <c r="E100"/>
  <c r="E278"/>
  <c r="E434"/>
  <c r="E125"/>
  <c r="E285"/>
  <c r="E95"/>
  <c r="E502"/>
  <c r="E283"/>
  <c r="E93"/>
  <c r="D31" i="10"/>
  <c r="F34" i="13"/>
  <c r="G257" i="12" s="1"/>
  <c r="G25" i="13"/>
  <c r="H252" i="12" s="1"/>
  <c r="G30" i="13"/>
  <c r="H25"/>
  <c r="I252" i="12" s="1"/>
  <c r="F129" i="2"/>
  <c r="G57" i="12" s="1"/>
  <c r="D141" i="6"/>
  <c r="K116" i="7"/>
  <c r="D38" i="13"/>
  <c r="D59"/>
  <c r="D58"/>
  <c r="H66"/>
  <c r="F31" i="10" s="1"/>
  <c r="H31"/>
  <c r="L11" i="13"/>
  <c r="I36" i="10"/>
  <c r="E147" i="8"/>
  <c r="L44"/>
  <c r="L9" s="1"/>
  <c r="D109"/>
  <c r="D108" s="1"/>
  <c r="J36" i="1"/>
  <c r="N34" i="8"/>
  <c r="J30" i="1"/>
  <c r="J130" s="1"/>
  <c r="J192" s="1"/>
  <c r="J44"/>
  <c r="J142" s="1"/>
  <c r="J204" s="1"/>
  <c r="H44" i="8"/>
  <c r="H9" s="1"/>
  <c r="D46"/>
  <c r="D13" s="1"/>
  <c r="D35"/>
  <c r="D15" s="1"/>
  <c r="L27" i="1"/>
  <c r="B66"/>
  <c r="E109" i="8"/>
  <c r="E108" s="1"/>
  <c r="K105"/>
  <c r="J27" i="1"/>
  <c r="L242" i="12"/>
  <c r="J242"/>
  <c r="L105" i="8"/>
  <c r="J147"/>
  <c r="I101" i="1"/>
  <c r="J243" i="12"/>
  <c r="E243" s="1"/>
  <c r="I61" i="1"/>
  <c r="G61"/>
  <c r="I116" i="7"/>
  <c r="F122"/>
  <c r="H122"/>
  <c r="J122"/>
  <c r="H110"/>
  <c r="I72"/>
  <c r="N254" i="6"/>
  <c r="N253" s="1"/>
  <c r="D255"/>
  <c r="F226"/>
  <c r="G17" i="12" s="1"/>
  <c r="E17" s="1"/>
  <c r="D16" s="1"/>
  <c r="D217" i="6"/>
  <c r="G226"/>
  <c r="F175"/>
  <c r="F174" s="1"/>
  <c r="D100"/>
  <c r="K35" i="12"/>
  <c r="D216" i="6"/>
  <c r="N218"/>
  <c r="D219"/>
  <c r="D218" s="1"/>
  <c r="C34" i="1"/>
  <c r="D222" i="6"/>
  <c r="D22" s="1"/>
  <c r="F223"/>
  <c r="D224"/>
  <c r="K13" i="5"/>
  <c r="J139"/>
  <c r="K49"/>
  <c r="G370" i="12"/>
  <c r="L49" i="5"/>
  <c r="J49"/>
  <c r="H138"/>
  <c r="H139" s="1"/>
  <c r="I138"/>
  <c r="I139" s="1"/>
  <c r="I43" i="10"/>
  <c r="L13" i="5"/>
  <c r="H63"/>
  <c r="I222" i="12" s="1"/>
  <c r="E10" i="5"/>
  <c r="J43" i="10"/>
  <c r="H43"/>
  <c r="D74" i="1"/>
  <c r="D73" s="1"/>
  <c r="N31" i="4"/>
  <c r="N30" s="1"/>
  <c r="C73" i="1"/>
  <c r="N71"/>
  <c r="J71"/>
  <c r="D64" i="3"/>
  <c r="D63" s="1"/>
  <c r="F71"/>
  <c r="G200" i="12" s="1"/>
  <c r="D72" i="3"/>
  <c r="D23" s="1"/>
  <c r="D42"/>
  <c r="D47"/>
  <c r="H86"/>
  <c r="K92"/>
  <c r="G55"/>
  <c r="N54" i="2"/>
  <c r="E410" i="12"/>
  <c r="F493" i="2"/>
  <c r="D42" i="10" s="1"/>
  <c r="F416" i="2"/>
  <c r="N467"/>
  <c r="G211"/>
  <c r="N157"/>
  <c r="E484"/>
  <c r="E86"/>
  <c r="G175"/>
  <c r="D508"/>
  <c r="D507" s="1"/>
  <c r="F450"/>
  <c r="E16"/>
  <c r="B50" i="1" s="1"/>
  <c r="E496" i="2"/>
  <c r="E19"/>
  <c r="F346"/>
  <c r="D29" i="10" s="1"/>
  <c r="E499" i="2"/>
  <c r="E498" s="1"/>
  <c r="C43" i="10" s="1"/>
  <c r="E31" i="2"/>
  <c r="E457" i="12"/>
  <c r="E26" i="2"/>
  <c r="E17"/>
  <c r="C123" i="1"/>
  <c r="C185" s="1"/>
  <c r="D587" i="2"/>
  <c r="N20" i="1"/>
  <c r="C130"/>
  <c r="C192" s="1"/>
  <c r="N30"/>
  <c r="J20"/>
  <c r="N27"/>
  <c r="H136"/>
  <c r="H198" s="1"/>
  <c r="J35"/>
  <c r="J136" s="1"/>
  <c r="J198" s="1"/>
  <c r="F143" i="6"/>
  <c r="F299"/>
  <c r="D140"/>
  <c r="E103" i="5"/>
  <c r="D98"/>
  <c r="D97" s="1"/>
  <c r="D96" s="1"/>
  <c r="D106"/>
  <c r="D104" s="1"/>
  <c r="D103" s="1"/>
  <c r="F257" i="12"/>
  <c r="F217"/>
  <c r="E138" i="5"/>
  <c r="E139" s="1"/>
  <c r="D138"/>
  <c r="D139" s="1"/>
  <c r="D10"/>
  <c r="J67" i="1"/>
  <c r="H101"/>
  <c r="N99" i="3"/>
  <c r="N98" s="1"/>
  <c r="N87"/>
  <c r="N86" s="1"/>
  <c r="I105" i="6"/>
  <c r="J214" i="12" s="1"/>
  <c r="F17" i="7"/>
  <c r="F10"/>
  <c r="H116"/>
  <c r="J116"/>
  <c r="F78"/>
  <c r="H78"/>
  <c r="H60"/>
  <c r="G122"/>
  <c r="I122"/>
  <c r="K122"/>
  <c r="D122"/>
  <c r="D46"/>
  <c r="D27"/>
  <c r="N55"/>
  <c r="N54" s="1"/>
  <c r="K48"/>
  <c r="F116"/>
  <c r="D117"/>
  <c r="D116" s="1"/>
  <c r="H10"/>
  <c r="J48"/>
  <c r="H459" i="2"/>
  <c r="F65" i="12"/>
  <c r="E65" s="1"/>
  <c r="F378" i="2"/>
  <c r="N453"/>
  <c r="F145"/>
  <c r="N92"/>
  <c r="J455"/>
  <c r="F38" i="1"/>
  <c r="F139" s="1"/>
  <c r="F201" s="1"/>
  <c r="D38"/>
  <c r="D376" i="12"/>
  <c r="I268" i="6"/>
  <c r="F148"/>
  <c r="F23"/>
  <c r="D116"/>
  <c r="D115" s="1"/>
  <c r="I38" i="1"/>
  <c r="I139" s="1"/>
  <c r="I201" s="1"/>
  <c r="G221" i="6"/>
  <c r="G220" s="1"/>
  <c r="D599" i="2"/>
  <c r="D598" s="1"/>
  <c r="J270" i="12"/>
  <c r="D74" i="9"/>
  <c r="I233"/>
  <c r="G95"/>
  <c r="F95"/>
  <c r="H141" i="1"/>
  <c r="H203" s="1"/>
  <c r="D16" i="6"/>
  <c r="J232" i="12"/>
  <c r="I232"/>
  <c r="E238" i="9"/>
  <c r="E235" s="1"/>
  <c r="E234" s="1"/>
  <c r="N71"/>
  <c r="D47"/>
  <c r="D44" s="1"/>
  <c r="G75" i="12"/>
  <c r="I60" i="1"/>
  <c r="G60"/>
  <c r="F231" i="9"/>
  <c r="D68"/>
  <c r="D67" s="1"/>
  <c r="D106"/>
  <c r="D101" s="1"/>
  <c r="D83"/>
  <c r="D80" s="1"/>
  <c r="F74"/>
  <c r="M94" i="12"/>
  <c r="L114" i="9"/>
  <c r="J36" i="10" s="1"/>
  <c r="K94" i="12"/>
  <c r="J114" i="9"/>
  <c r="H36" i="10" s="1"/>
  <c r="L233" i="9"/>
  <c r="L231" s="1"/>
  <c r="J233"/>
  <c r="J240"/>
  <c r="J239" s="1"/>
  <c r="L240"/>
  <c r="L239" s="1"/>
  <c r="F132"/>
  <c r="F42"/>
  <c r="F38" s="1"/>
  <c r="G77" i="12" s="1"/>
  <c r="N42" i="9"/>
  <c r="D117"/>
  <c r="D114" s="1"/>
  <c r="F444" i="12"/>
  <c r="E444" s="1"/>
  <c r="D65" i="9"/>
  <c r="D42"/>
  <c r="D38" s="1"/>
  <c r="F83" i="12"/>
  <c r="E83" s="1"/>
  <c r="D145" i="9"/>
  <c r="F62"/>
  <c r="G605" i="12" s="1"/>
  <c r="G67" i="9"/>
  <c r="D244"/>
  <c r="D243" s="1"/>
  <c r="D232" s="1"/>
  <c r="D231" s="1"/>
  <c r="E232"/>
  <c r="E231" s="1"/>
  <c r="N114"/>
  <c r="H101"/>
  <c r="I282" i="12" s="1"/>
  <c r="F123" i="9"/>
  <c r="H71"/>
  <c r="I82" i="12" s="1"/>
  <c r="G62" i="9"/>
  <c r="G42"/>
  <c r="H78" i="12"/>
  <c r="E78" s="1"/>
  <c r="N136" i="9"/>
  <c r="G442" i="12"/>
  <c r="F82"/>
  <c r="F84"/>
  <c r="L82"/>
  <c r="F77"/>
  <c r="H141" i="9"/>
  <c r="N62"/>
  <c r="I71"/>
  <c r="I9" s="1"/>
  <c r="G71"/>
  <c r="F75" i="12"/>
  <c r="J132" i="9"/>
  <c r="I85"/>
  <c r="H132"/>
  <c r="L132"/>
  <c r="H85"/>
  <c r="G76"/>
  <c r="F85"/>
  <c r="F67"/>
  <c r="H67"/>
  <c r="G132"/>
  <c r="I132"/>
  <c r="K132"/>
  <c r="D238"/>
  <c r="D235" s="1"/>
  <c r="D234" s="1"/>
  <c r="D136"/>
  <c r="M282" i="12"/>
  <c r="L282"/>
  <c r="K282"/>
  <c r="J282"/>
  <c r="G89" i="9"/>
  <c r="H87" i="12" s="1"/>
  <c r="F114" i="9"/>
  <c r="G92" i="12" s="1"/>
  <c r="F89" i="9"/>
  <c r="G87" i="12" s="1"/>
  <c r="F150" i="9"/>
  <c r="H150"/>
  <c r="I145"/>
  <c r="G145"/>
  <c r="F136"/>
  <c r="G136"/>
  <c r="I150"/>
  <c r="G150"/>
  <c r="F145"/>
  <c r="H145"/>
  <c r="N145"/>
  <c r="F141"/>
  <c r="G141"/>
  <c r="H136"/>
  <c r="G513" i="2"/>
  <c r="D61" i="1" s="1"/>
  <c r="F466" i="2"/>
  <c r="G466"/>
  <c r="G289"/>
  <c r="H397" i="12" s="1"/>
  <c r="F229" i="2"/>
  <c r="D202"/>
  <c r="D199" s="1"/>
  <c r="N556"/>
  <c r="N555" s="1"/>
  <c r="L502"/>
  <c r="L9" s="1"/>
  <c r="L8" s="1"/>
  <c r="G474"/>
  <c r="N513"/>
  <c r="N364"/>
  <c r="N363" s="1"/>
  <c r="F341"/>
  <c r="F13" s="1"/>
  <c r="N454"/>
  <c r="N313"/>
  <c r="G341"/>
  <c r="H513"/>
  <c r="E61" i="1" s="1"/>
  <c r="I513" i="2"/>
  <c r="F513"/>
  <c r="C61" i="1" s="1"/>
  <c r="G346" i="2"/>
  <c r="E29" i="10" s="1"/>
  <c r="H346" i="2"/>
  <c r="F29" i="10" s="1"/>
  <c r="I451" i="2"/>
  <c r="F33" i="10"/>
  <c r="G29"/>
  <c r="G33"/>
  <c r="H19" i="1"/>
  <c r="H124" s="1"/>
  <c r="H186" s="1"/>
  <c r="F19"/>
  <c r="F124" s="1"/>
  <c r="F186" s="1"/>
  <c r="D33" i="10"/>
  <c r="E33"/>
  <c r="G19" i="1"/>
  <c r="G124" s="1"/>
  <c r="G186" s="1"/>
  <c r="B74"/>
  <c r="B70"/>
  <c r="N70" s="1"/>
  <c r="D69" i="13"/>
  <c r="D23"/>
  <c r="D21" s="1"/>
  <c r="D13"/>
  <c r="D26"/>
  <c r="D25" s="1"/>
  <c r="D66"/>
  <c r="G66"/>
  <c r="E31" i="10" s="1"/>
  <c r="H62" i="13"/>
  <c r="H17" s="1"/>
  <c r="H15" s="1"/>
  <c r="G56"/>
  <c r="G55" s="1"/>
  <c r="F263" i="12"/>
  <c r="N43" i="13"/>
  <c r="I65" i="1"/>
  <c r="I55" i="13"/>
  <c r="I12"/>
  <c r="H65" i="1"/>
  <c r="F83" i="13"/>
  <c r="I15"/>
  <c r="F61"/>
  <c r="G264" i="12" s="1"/>
  <c r="F104" i="13"/>
  <c r="F106" s="1"/>
  <c r="H104"/>
  <c r="H106" s="1"/>
  <c r="H107" s="1"/>
  <c r="H88" s="1"/>
  <c r="H87" s="1"/>
  <c r="H86" s="1"/>
  <c r="J104"/>
  <c r="J106" s="1"/>
  <c r="J107" s="1"/>
  <c r="J88" s="1"/>
  <c r="N37"/>
  <c r="D37"/>
  <c r="D34" s="1"/>
  <c r="F265" i="12"/>
  <c r="H56" i="13"/>
  <c r="H14" s="1"/>
  <c r="E19" i="1" s="1"/>
  <c r="N35" i="13"/>
  <c r="P41"/>
  <c r="G213" i="6"/>
  <c r="D227"/>
  <c r="D226" s="1"/>
  <c r="J178"/>
  <c r="J148"/>
  <c r="J23"/>
  <c r="G209"/>
  <c r="G154"/>
  <c r="D211"/>
  <c r="D154" s="1"/>
  <c r="I296"/>
  <c r="I298" s="1"/>
  <c r="I209"/>
  <c r="I208" s="1"/>
  <c r="I205" s="1"/>
  <c r="G146"/>
  <c r="N146" s="1"/>
  <c r="G202"/>
  <c r="I144"/>
  <c r="I299" s="1"/>
  <c r="I202"/>
  <c r="I201" s="1"/>
  <c r="D183"/>
  <c r="E240"/>
  <c r="E288"/>
  <c r="F34" i="12"/>
  <c r="F32"/>
  <c r="N244" i="6"/>
  <c r="F21"/>
  <c r="H23"/>
  <c r="D210"/>
  <c r="D152" s="1"/>
  <c r="D176"/>
  <c r="D144" s="1"/>
  <c r="D297"/>
  <c r="G297"/>
  <c r="G298" s="1"/>
  <c r="G152"/>
  <c r="G194"/>
  <c r="G193" s="1"/>
  <c r="I152"/>
  <c r="I194"/>
  <c r="I193" s="1"/>
  <c r="I192" s="1"/>
  <c r="D191"/>
  <c r="M191" s="1"/>
  <c r="N191"/>
  <c r="H190"/>
  <c r="H189" s="1"/>
  <c r="H186" s="1"/>
  <c r="G144"/>
  <c r="F139"/>
  <c r="G38" i="12" s="1"/>
  <c r="K562"/>
  <c r="K560" s="1"/>
  <c r="G238"/>
  <c r="F214" i="6"/>
  <c r="F213" s="1"/>
  <c r="H60"/>
  <c r="I112" i="12" s="1"/>
  <c r="G60" i="6"/>
  <c r="H112" i="12" s="1"/>
  <c r="I60" i="6"/>
  <c r="J112" i="12" s="1"/>
  <c r="N27" i="6"/>
  <c r="I562" i="12"/>
  <c r="I560" s="1"/>
  <c r="F186" i="6"/>
  <c r="G186"/>
  <c r="F178"/>
  <c r="D179"/>
  <c r="D135"/>
  <c r="D134" s="1"/>
  <c r="D276" s="1"/>
  <c r="F237" i="12"/>
  <c r="D223" i="6"/>
  <c r="F238" i="12"/>
  <c r="K566"/>
  <c r="N198" i="6"/>
  <c r="F298"/>
  <c r="N226"/>
  <c r="D232"/>
  <c r="D231" s="1"/>
  <c r="D524" i="2"/>
  <c r="H466"/>
  <c r="I512"/>
  <c r="F60" i="1" s="1"/>
  <c r="F104" i="12"/>
  <c r="E104" s="1"/>
  <c r="F521" i="2"/>
  <c r="F520" s="1"/>
  <c r="I521"/>
  <c r="I520" s="1"/>
  <c r="I669" s="1"/>
  <c r="H80" i="1"/>
  <c r="H140" s="1"/>
  <c r="H202" s="1"/>
  <c r="K521" i="2"/>
  <c r="K520" s="1"/>
  <c r="K669" s="1"/>
  <c r="H516"/>
  <c r="B78" i="1"/>
  <c r="J78" s="1"/>
  <c r="H512" i="2"/>
  <c r="E60" i="1" s="1"/>
  <c r="N104" i="2"/>
  <c r="F105" i="12"/>
  <c r="E105" s="1"/>
  <c r="G521" i="2"/>
  <c r="G520" s="1"/>
  <c r="H521"/>
  <c r="H520" s="1"/>
  <c r="I80" i="1"/>
  <c r="I140" s="1"/>
  <c r="I202" s="1"/>
  <c r="L521" i="2"/>
  <c r="L520" s="1"/>
  <c r="L669" s="1"/>
  <c r="G80" i="1"/>
  <c r="G140" s="1"/>
  <c r="G202" s="1"/>
  <c r="J521" i="2"/>
  <c r="J520" s="1"/>
  <c r="J669" s="1"/>
  <c r="G516"/>
  <c r="F206"/>
  <c r="F205" s="1"/>
  <c r="G107" i="12" s="1"/>
  <c r="G108"/>
  <c r="F516" i="2"/>
  <c r="B142" i="1"/>
  <c r="B204" s="1"/>
  <c r="G398" i="2"/>
  <c r="I466"/>
  <c r="I474"/>
  <c r="H174" i="6"/>
  <c r="H170" s="1"/>
  <c r="I148"/>
  <c r="H139"/>
  <c r="I38" i="12" s="1"/>
  <c r="I186" i="6"/>
  <c r="D182"/>
  <c r="G178"/>
  <c r="K170"/>
  <c r="I170"/>
  <c r="G170"/>
  <c r="K142"/>
  <c r="L39" i="12" s="1"/>
  <c r="J298" i="6"/>
  <c r="G233" i="12"/>
  <c r="G275"/>
  <c r="H275"/>
  <c r="I275"/>
  <c r="J275"/>
  <c r="N61" i="6"/>
  <c r="N60" s="1"/>
  <c r="D60"/>
  <c r="D66"/>
  <c r="L143"/>
  <c r="L19" s="1"/>
  <c r="K298"/>
  <c r="L275" i="12"/>
  <c r="M275"/>
  <c r="K275"/>
  <c r="L186" i="6"/>
  <c r="J186"/>
  <c r="L178"/>
  <c r="J143"/>
  <c r="F38" i="12"/>
  <c r="L139" i="6"/>
  <c r="M38" i="12" s="1"/>
  <c r="H298" i="6"/>
  <c r="H143"/>
  <c r="H178"/>
  <c r="D149"/>
  <c r="E299"/>
  <c r="K139"/>
  <c r="L38" i="12" s="1"/>
  <c r="H151" i="6"/>
  <c r="H25" s="1"/>
  <c r="H24" s="1"/>
  <c r="N187"/>
  <c r="D187"/>
  <c r="M187" s="1"/>
  <c r="K181"/>
  <c r="K178" s="1"/>
  <c r="K151"/>
  <c r="K25" s="1"/>
  <c r="I181"/>
  <c r="I178" s="1"/>
  <c r="N170"/>
  <c r="L151"/>
  <c r="L25" s="1"/>
  <c r="F151"/>
  <c r="F25" s="1"/>
  <c r="I197"/>
  <c r="L170"/>
  <c r="J170"/>
  <c r="F170"/>
  <c r="G205" i="12"/>
  <c r="M384"/>
  <c r="M385"/>
  <c r="M558" s="1"/>
  <c r="K385"/>
  <c r="K558" s="1"/>
  <c r="K384"/>
  <c r="L385"/>
  <c r="L558" s="1"/>
  <c r="L384"/>
  <c r="K215"/>
  <c r="I215"/>
  <c r="H123" i="9"/>
  <c r="I337" i="12" s="1"/>
  <c r="N123" i="9"/>
  <c r="D124"/>
  <c r="D123" s="1"/>
  <c r="G123"/>
  <c r="H337" i="12" s="1"/>
  <c r="J82"/>
  <c r="D104" i="13"/>
  <c r="D106" s="1"/>
  <c r="F95" i="6"/>
  <c r="D90" i="3"/>
  <c r="P90" s="1"/>
  <c r="F46"/>
  <c r="G308" i="12" s="1"/>
  <c r="H45"/>
  <c r="E45" s="1"/>
  <c r="G104" i="3"/>
  <c r="G284" s="1"/>
  <c r="H62"/>
  <c r="F23" i="10" s="1"/>
  <c r="I198" i="12"/>
  <c r="H68" i="3"/>
  <c r="F24" i="10" s="1"/>
  <c r="I200" i="12"/>
  <c r="H38" i="3"/>
  <c r="I205" i="12"/>
  <c r="N63" i="3"/>
  <c r="N62" s="1"/>
  <c r="F63"/>
  <c r="G198" i="12" s="1"/>
  <c r="G41" i="3"/>
  <c r="I41"/>
  <c r="G51"/>
  <c r="F80"/>
  <c r="F284" s="1"/>
  <c r="G25" i="12"/>
  <c r="F58" i="3"/>
  <c r="G310" i="12" s="1"/>
  <c r="E310" s="1"/>
  <c r="D74" i="3"/>
  <c r="D83"/>
  <c r="D80" s="1"/>
  <c r="F25" i="12"/>
  <c r="J38" i="3"/>
  <c r="J283" s="1"/>
  <c r="K205" i="12"/>
  <c r="D35" i="10"/>
  <c r="F27" i="3"/>
  <c r="M27" s="1"/>
  <c r="D71"/>
  <c r="D68" s="1"/>
  <c r="F74"/>
  <c r="D482" i="12"/>
  <c r="D361"/>
  <c r="G27" i="6"/>
  <c r="K27"/>
  <c r="I30" i="10" s="1"/>
  <c r="G192" i="6"/>
  <c r="J151"/>
  <c r="J25" s="1"/>
  <c r="N74" i="3"/>
  <c r="N89" i="9"/>
  <c r="D93"/>
  <c r="N129" i="2"/>
  <c r="N83" i="6"/>
  <c r="F77"/>
  <c r="J27"/>
  <c r="H30" i="10" s="1"/>
  <c r="D250" i="6"/>
  <c r="D249" s="1"/>
  <c r="D240" s="1"/>
  <c r="F243"/>
  <c r="J272" i="12"/>
  <c r="F27" i="6"/>
  <c r="H27"/>
  <c r="J34" i="12"/>
  <c r="I288" i="6"/>
  <c r="I124"/>
  <c r="J32" i="12" s="1"/>
  <c r="K124" i="6"/>
  <c r="L32" i="12" s="1"/>
  <c r="L34"/>
  <c r="K288" i="6"/>
  <c r="H288"/>
  <c r="H124"/>
  <c r="I32" i="12" s="1"/>
  <c r="I34"/>
  <c r="K34"/>
  <c r="J124" i="6"/>
  <c r="J288"/>
  <c r="M34" i="12"/>
  <c r="L124" i="6"/>
  <c r="M32" i="12" s="1"/>
  <c r="L288" i="6"/>
  <c r="F61" i="1"/>
  <c r="I238" i="6"/>
  <c r="H238"/>
  <c r="N238"/>
  <c r="H98" i="3"/>
  <c r="H9" s="1"/>
  <c r="J98"/>
  <c r="J9" s="1"/>
  <c r="F203" i="12"/>
  <c r="H46" i="3"/>
  <c r="I308" i="12" s="1"/>
  <c r="F23"/>
  <c r="E23" s="1"/>
  <c r="K98" i="3"/>
  <c r="K9" s="1"/>
  <c r="G62"/>
  <c r="E23" i="10" s="1"/>
  <c r="H34"/>
  <c r="D105" i="3"/>
  <c r="G33"/>
  <c r="G16" s="1"/>
  <c r="G15" s="1"/>
  <c r="I33"/>
  <c r="I16" s="1"/>
  <c r="I15" s="1"/>
  <c r="K104"/>
  <c r="K284" s="1"/>
  <c r="H33"/>
  <c r="H16" s="1"/>
  <c r="H15" s="1"/>
  <c r="D87"/>
  <c r="L215" i="12"/>
  <c r="D102" i="3"/>
  <c r="F32"/>
  <c r="G204" i="12" s="1"/>
  <c r="D99" i="3"/>
  <c r="D107"/>
  <c r="I43" i="12"/>
  <c r="E43" s="1"/>
  <c r="G98" i="3"/>
  <c r="G9" s="1"/>
  <c r="I98"/>
  <c r="I9" s="1"/>
  <c r="F165" i="1"/>
  <c r="I125"/>
  <c r="I191" s="1"/>
  <c r="L287" i="6"/>
  <c r="L105"/>
  <c r="M214" i="12" s="1"/>
  <c r="M195" s="1"/>
  <c r="M565" s="1"/>
  <c r="G213"/>
  <c r="L213"/>
  <c r="L95" i="6"/>
  <c r="F105"/>
  <c r="G214" i="12" s="1"/>
  <c r="K105" i="6"/>
  <c r="L214" i="12" s="1"/>
  <c r="L195" s="1"/>
  <c r="I45" i="1"/>
  <c r="I145" s="1"/>
  <c r="I207" s="1"/>
  <c r="H45"/>
  <c r="H145" s="1"/>
  <c r="H207" s="1"/>
  <c r="F45"/>
  <c r="F145" s="1"/>
  <c r="F207" s="1"/>
  <c r="B141"/>
  <c r="B203" s="1"/>
  <c r="B130"/>
  <c r="B192" s="1"/>
  <c r="C125"/>
  <c r="C191" s="1"/>
  <c r="J165"/>
  <c r="D64" i="2"/>
  <c r="E64"/>
  <c r="E62"/>
  <c r="J458"/>
  <c r="L462"/>
  <c r="K502"/>
  <c r="K9" s="1"/>
  <c r="K8" s="1"/>
  <c r="N327"/>
  <c r="D381"/>
  <c r="D378" s="1"/>
  <c r="N384"/>
  <c r="N193"/>
  <c r="D352"/>
  <c r="D310"/>
  <c r="D307" s="1"/>
  <c r="D464"/>
  <c r="D33" s="1"/>
  <c r="E464"/>
  <c r="E33" s="1"/>
  <c r="H33"/>
  <c r="E43" i="1" s="1"/>
  <c r="E146" s="1"/>
  <c r="E208" s="1"/>
  <c r="H462" i="2"/>
  <c r="H458" s="1"/>
  <c r="I33"/>
  <c r="F43" i="1" s="1"/>
  <c r="F146" s="1"/>
  <c r="F208" s="1"/>
  <c r="I462" i="2"/>
  <c r="I458" s="1"/>
  <c r="N502"/>
  <c r="L19"/>
  <c r="I29" i="1" s="1"/>
  <c r="I128" s="1"/>
  <c r="I189" s="1"/>
  <c r="L496" i="2"/>
  <c r="J19"/>
  <c r="J496"/>
  <c r="J493" s="1"/>
  <c r="H42" i="10" s="1"/>
  <c r="D556" i="2"/>
  <c r="D555" s="1"/>
  <c r="H407"/>
  <c r="I423" i="12"/>
  <c r="F181" i="2"/>
  <c r="G393" i="12"/>
  <c r="F393"/>
  <c r="F392"/>
  <c r="H394"/>
  <c r="H572" s="1"/>
  <c r="G181" i="2"/>
  <c r="D479"/>
  <c r="D474" s="1"/>
  <c r="F52" i="12"/>
  <c r="H451" i="2"/>
  <c r="I455"/>
  <c r="F368"/>
  <c r="L148" i="1"/>
  <c r="K30" i="2"/>
  <c r="K29" s="1"/>
  <c r="K27"/>
  <c r="H39" i="1" s="1"/>
  <c r="H143" s="1"/>
  <c r="H205" s="1"/>
  <c r="K19" i="2"/>
  <c r="H29" i="1" s="1"/>
  <c r="H128" s="1"/>
  <c r="H189" s="1"/>
  <c r="K496" i="2"/>
  <c r="K493" s="1"/>
  <c r="I42" i="10" s="1"/>
  <c r="L494" i="2"/>
  <c r="I18" i="1"/>
  <c r="K26" i="2"/>
  <c r="K459"/>
  <c r="K458" s="1"/>
  <c r="L24"/>
  <c r="I34" i="1" s="1"/>
  <c r="L459" i="2"/>
  <c r="L14"/>
  <c r="I19" i="1" s="1"/>
  <c r="L451" i="2"/>
  <c r="D334"/>
  <c r="D333" s="1"/>
  <c r="D403"/>
  <c r="J425" i="12"/>
  <c r="I407" i="2"/>
  <c r="H428" i="12"/>
  <c r="G411" i="2"/>
  <c r="G429" i="12"/>
  <c r="G572" s="1"/>
  <c r="F411" i="2"/>
  <c r="G604" i="12" s="1"/>
  <c r="I429"/>
  <c r="I572" s="1"/>
  <c r="H411" i="2"/>
  <c r="I604" i="12" s="1"/>
  <c r="H430"/>
  <c r="G416" i="2"/>
  <c r="F169"/>
  <c r="D170"/>
  <c r="D72"/>
  <c r="J451"/>
  <c r="G64" i="12"/>
  <c r="E64" s="1"/>
  <c r="F313" i="2"/>
  <c r="G62" i="12" s="1"/>
  <c r="F193" i="2"/>
  <c r="G102" i="12" s="1"/>
  <c r="N586" i="2"/>
  <c r="N585" s="1"/>
  <c r="J502"/>
  <c r="N484"/>
  <c r="F490" i="12"/>
  <c r="E490" s="1"/>
  <c r="H63"/>
  <c r="F363" i="2"/>
  <c r="G157" i="12" s="1"/>
  <c r="E157" s="1"/>
  <c r="D156" s="1"/>
  <c r="F372" i="2"/>
  <c r="G162" i="12" s="1"/>
  <c r="G235" i="2"/>
  <c r="F423" i="12"/>
  <c r="D161" i="2"/>
  <c r="F157"/>
  <c r="G97" i="12" s="1"/>
  <c r="F199" i="2"/>
  <c r="F108" i="12"/>
  <c r="N181" i="2"/>
  <c r="N393"/>
  <c r="D211"/>
  <c r="F211"/>
  <c r="F217"/>
  <c r="G432" i="12" s="1"/>
  <c r="F223" i="2"/>
  <c r="G241"/>
  <c r="H137" i="12" s="1"/>
  <c r="F235" i="2"/>
  <c r="F54" i="12"/>
  <c r="E54" s="1"/>
  <c r="D154" i="2"/>
  <c r="E438" i="12"/>
  <c r="E503" i="2"/>
  <c r="E502" s="1"/>
  <c r="E495"/>
  <c r="D166"/>
  <c r="D163" s="1"/>
  <c r="D178"/>
  <c r="D175" s="1"/>
  <c r="F121"/>
  <c r="G55" i="12" s="1"/>
  <c r="E55" s="1"/>
  <c r="D390" i="2"/>
  <c r="D389" s="1"/>
  <c r="N590"/>
  <c r="N589" s="1"/>
  <c r="H320"/>
  <c r="D182"/>
  <c r="D181" s="1"/>
  <c r="D235"/>
  <c r="E58"/>
  <c r="D69"/>
  <c r="E69"/>
  <c r="D99"/>
  <c r="E99"/>
  <c r="D122"/>
  <c r="D149"/>
  <c r="D146"/>
  <c r="F151"/>
  <c r="F137"/>
  <c r="F295"/>
  <c r="D571"/>
  <c r="D570" s="1"/>
  <c r="G493"/>
  <c r="E42" i="10" s="1"/>
  <c r="O42" s="1"/>
  <c r="N146" i="2"/>
  <c r="N145" s="1"/>
  <c r="F384"/>
  <c r="G412" i="12" s="1"/>
  <c r="F393" i="2"/>
  <c r="F398"/>
  <c r="F402"/>
  <c r="G603" i="12" s="1"/>
  <c r="F187" i="2"/>
  <c r="G223"/>
  <c r="G229"/>
  <c r="P502"/>
  <c r="D125"/>
  <c r="D463"/>
  <c r="D462" s="1"/>
  <c r="D458" s="1"/>
  <c r="D107"/>
  <c r="D86"/>
  <c r="D30"/>
  <c r="I28" i="1"/>
  <c r="I131" s="1"/>
  <c r="I193" s="1"/>
  <c r="F512" i="2"/>
  <c r="H493"/>
  <c r="F42" i="10" s="1"/>
  <c r="D399" i="2"/>
  <c r="D398" s="1"/>
  <c r="D190"/>
  <c r="D187" s="1"/>
  <c r="D197"/>
  <c r="D193" s="1"/>
  <c r="F478" i="12"/>
  <c r="E478" s="1"/>
  <c r="F477"/>
  <c r="E477" s="1"/>
  <c r="D295" i="2"/>
  <c r="G512"/>
  <c r="F289"/>
  <c r="G397" i="12" s="1"/>
  <c r="D115" i="2"/>
  <c r="M41"/>
  <c r="N217"/>
  <c r="D223"/>
  <c r="D230"/>
  <c r="D229" s="1"/>
  <c r="N241"/>
  <c r="N205"/>
  <c r="G205"/>
  <c r="H107" i="12" s="1"/>
  <c r="G217" i="2"/>
  <c r="D242"/>
  <c r="D241" s="1"/>
  <c r="F307"/>
  <c r="F126" i="1"/>
  <c r="F187" s="1"/>
  <c r="B40"/>
  <c r="D487" i="2"/>
  <c r="D484" s="1"/>
  <c r="D456"/>
  <c r="G23"/>
  <c r="D146" i="1"/>
  <c r="D208" s="1"/>
  <c r="D96" i="2"/>
  <c r="C28" i="1"/>
  <c r="N21" i="2"/>
  <c r="D290"/>
  <c r="D289" s="1"/>
  <c r="D366"/>
  <c r="D369"/>
  <c r="D368" s="1"/>
  <c r="D627"/>
  <c r="D626" s="1"/>
  <c r="I493"/>
  <c r="H511"/>
  <c r="E457"/>
  <c r="M457" s="1"/>
  <c r="D105"/>
  <c r="D528"/>
  <c r="D527" s="1"/>
  <c r="D417"/>
  <c r="D416" s="1"/>
  <c r="J450"/>
  <c r="H26"/>
  <c r="H23" s="1"/>
  <c r="D387"/>
  <c r="D405"/>
  <c r="D158"/>
  <c r="F80" i="1"/>
  <c r="F140" s="1"/>
  <c r="F202" s="1"/>
  <c r="D247" i="2"/>
  <c r="E80" i="1"/>
  <c r="E140" s="1"/>
  <c r="E202" s="1"/>
  <c r="D206" i="2"/>
  <c r="D205" s="1"/>
  <c r="F433" i="12"/>
  <c r="E433" s="1"/>
  <c r="F432"/>
  <c r="H594" i="2"/>
  <c r="H593" s="1"/>
  <c r="H666" s="1"/>
  <c r="H313"/>
  <c r="D302"/>
  <c r="N229"/>
  <c r="F241"/>
  <c r="G137" i="12" s="1"/>
  <c r="I19" i="2"/>
  <c r="D217"/>
  <c r="G247"/>
  <c r="I12"/>
  <c r="H19"/>
  <c r="H18" s="1"/>
  <c r="G45" i="1"/>
  <c r="G145" s="1"/>
  <c r="G207" s="1"/>
  <c r="F138"/>
  <c r="F200" s="1"/>
  <c r="C138"/>
  <c r="C200" s="1"/>
  <c r="I23" i="2"/>
  <c r="K451"/>
  <c r="K450" s="1"/>
  <c r="H270" i="12"/>
  <c r="G270"/>
  <c r="H16" i="2"/>
  <c r="D305"/>
  <c r="F301"/>
  <c r="L16"/>
  <c r="J16"/>
  <c r="J26"/>
  <c r="F26"/>
  <c r="N301"/>
  <c r="I320"/>
  <c r="D314"/>
  <c r="D313" s="1"/>
  <c r="F63" i="12"/>
  <c r="F16" i="2"/>
  <c r="C22" i="1" s="1"/>
  <c r="D321" i="2"/>
  <c r="D320" s="1"/>
  <c r="I313"/>
  <c r="I10" s="1"/>
  <c r="J63" i="12"/>
  <c r="H138" i="1"/>
  <c r="H200" s="1"/>
  <c r="I126"/>
  <c r="I187" s="1"/>
  <c r="G138"/>
  <c r="G200" s="1"/>
  <c r="H126"/>
  <c r="H187" s="1"/>
  <c r="D49" i="4"/>
  <c r="D48" s="1"/>
  <c r="N14"/>
  <c r="N13" s="1"/>
  <c r="F51" i="3"/>
  <c r="N101" i="9"/>
  <c r="G101"/>
  <c r="F101"/>
  <c r="F8" s="1"/>
  <c r="H114"/>
  <c r="G114"/>
  <c r="M598" i="12"/>
  <c r="M92"/>
  <c r="L92"/>
  <c r="K92"/>
  <c r="J92"/>
  <c r="L110" i="9"/>
  <c r="L261" s="1"/>
  <c r="K110"/>
  <c r="J110"/>
  <c r="I110"/>
  <c r="H110"/>
  <c r="G110"/>
  <c r="F110"/>
  <c r="I119"/>
  <c r="H119"/>
  <c r="G119"/>
  <c r="F119"/>
  <c r="L119"/>
  <c r="L262" s="1"/>
  <c r="K119"/>
  <c r="J119"/>
  <c r="J262" s="1"/>
  <c r="K76"/>
  <c r="L85" i="12"/>
  <c r="F85"/>
  <c r="G85" i="9"/>
  <c r="H280" i="12"/>
  <c r="E280" s="1"/>
  <c r="I85"/>
  <c r="H76" i="9"/>
  <c r="F25" i="1"/>
  <c r="I287" i="6"/>
  <c r="K95"/>
  <c r="J215" i="12"/>
  <c r="F287" i="6"/>
  <c r="K13"/>
  <c r="K21"/>
  <c r="I21"/>
  <c r="G21"/>
  <c r="D179" i="12"/>
  <c r="J575"/>
  <c r="J584" s="1"/>
  <c r="I580"/>
  <c r="I584"/>
  <c r="D91" i="6"/>
  <c r="D88" s="1"/>
  <c r="F30" i="12"/>
  <c r="E30" s="1"/>
  <c r="G88" i="6"/>
  <c r="P88" s="1"/>
  <c r="F137" i="1"/>
  <c r="B34"/>
  <c r="G421" i="2"/>
  <c r="H421"/>
  <c r="J340"/>
  <c r="J339" s="1"/>
  <c r="H28" i="10" s="1"/>
  <c r="F421" i="2"/>
  <c r="F268" i="12"/>
  <c r="F202"/>
  <c r="K202"/>
  <c r="E137" i="1"/>
  <c r="F98" i="3"/>
  <c r="E162" i="12" l="1"/>
  <c r="D161" s="1"/>
  <c r="M192"/>
  <c r="H581"/>
  <c r="H579" s="1"/>
  <c r="G581"/>
  <c r="G589"/>
  <c r="J8" i="3"/>
  <c r="H422" i="12"/>
  <c r="J81" i="1"/>
  <c r="H283" i="3"/>
  <c r="P55"/>
  <c r="J290" i="6"/>
  <c r="K8" i="3"/>
  <c r="L8"/>
  <c r="L7" s="1"/>
  <c r="K283"/>
  <c r="L283"/>
  <c r="L565" i="12"/>
  <c r="L564" s="1"/>
  <c r="L567" s="1"/>
  <c r="L192"/>
  <c r="L553" s="1"/>
  <c r="H237"/>
  <c r="G237"/>
  <c r="F12" i="3"/>
  <c r="F11" s="1"/>
  <c r="P71"/>
  <c r="N13" i="5"/>
  <c r="K192" i="12"/>
  <c r="G40" i="10"/>
  <c r="G10" i="2"/>
  <c r="H232" i="12"/>
  <c r="E19" i="10"/>
  <c r="O19" s="1"/>
  <c r="H385" i="12"/>
  <c r="H558" s="1"/>
  <c r="H556" s="1"/>
  <c r="G232"/>
  <c r="D19" i="10"/>
  <c r="F10" i="2"/>
  <c r="I119" i="6"/>
  <c r="G261" i="9"/>
  <c r="I262"/>
  <c r="K261"/>
  <c r="H10" i="2"/>
  <c r="I450"/>
  <c r="G124" i="6"/>
  <c r="H32" i="12" s="1"/>
  <c r="I192"/>
  <c r="I61" i="13"/>
  <c r="J264" i="12" s="1"/>
  <c r="H268" i="6"/>
  <c r="D43" i="10"/>
  <c r="D422" i="2"/>
  <c r="D421" s="1"/>
  <c r="J40" i="10"/>
  <c r="I40"/>
  <c r="G17" i="13"/>
  <c r="G15" s="1"/>
  <c r="L23" i="1"/>
  <c r="N422" i="2"/>
  <c r="N421" s="1"/>
  <c r="K600" i="12"/>
  <c r="K593" s="1"/>
  <c r="F290" i="6"/>
  <c r="F40" i="10"/>
  <c r="J197" i="12"/>
  <c r="G23" i="10"/>
  <c r="J268" i="6"/>
  <c r="L14" i="12"/>
  <c r="L573" s="1"/>
  <c r="L571" s="1"/>
  <c r="E46" i="1"/>
  <c r="E147" s="1"/>
  <c r="E209" s="1"/>
  <c r="G10" i="3"/>
  <c r="J72" i="1"/>
  <c r="E40" i="10"/>
  <c r="O40" s="1"/>
  <c r="P25" i="5"/>
  <c r="D40" i="10"/>
  <c r="F138" i="5"/>
  <c r="F139" s="1"/>
  <c r="G11"/>
  <c r="G10" s="1"/>
  <c r="K370" i="12"/>
  <c r="J11" i="5"/>
  <c r="F11"/>
  <c r="I11"/>
  <c r="I10" s="1"/>
  <c r="M370" i="12"/>
  <c r="L11" i="5"/>
  <c r="L370" i="12"/>
  <c r="K11" i="5"/>
  <c r="H11"/>
  <c r="H10" s="1"/>
  <c r="N9" i="8"/>
  <c r="J301" i="6"/>
  <c r="E340" i="12"/>
  <c r="C339" s="1"/>
  <c r="E97"/>
  <c r="K146" i="8"/>
  <c r="K147" s="1"/>
  <c r="I14" i="10"/>
  <c r="D54" i="8"/>
  <c r="F68" i="3"/>
  <c r="F14" i="10"/>
  <c r="G337" i="12"/>
  <c r="E337" s="1"/>
  <c r="D336" s="1"/>
  <c r="G268" i="6"/>
  <c r="P220"/>
  <c r="E309" i="12"/>
  <c r="E308"/>
  <c r="K290" i="6"/>
  <c r="K301" s="1"/>
  <c r="E52" i="12"/>
  <c r="D51" s="1"/>
  <c r="E35"/>
  <c r="G287" i="6"/>
  <c r="D189"/>
  <c r="J261" i="9"/>
  <c r="K598" i="12"/>
  <c r="H62"/>
  <c r="I62"/>
  <c r="G42" i="10"/>
  <c r="D432" i="2"/>
  <c r="D60" i="1"/>
  <c r="D59" s="1"/>
  <c r="C60"/>
  <c r="C59" s="1"/>
  <c r="D151" i="2"/>
  <c r="I422" i="12"/>
  <c r="G288" i="6"/>
  <c r="D175"/>
  <c r="H34" i="12"/>
  <c r="I104" i="13"/>
  <c r="I106" s="1"/>
  <c r="I107" s="1"/>
  <c r="I88" s="1"/>
  <c r="F65" i="1" s="1"/>
  <c r="F64" s="1"/>
  <c r="F63" s="1"/>
  <c r="F85" s="1"/>
  <c r="E265" i="12"/>
  <c r="K231" i="9"/>
  <c r="D275" i="6"/>
  <c r="D277" s="1"/>
  <c r="E222" i="12"/>
  <c r="D221" s="1"/>
  <c r="H40" i="10"/>
  <c r="D431" i="2"/>
  <c r="D659" s="1"/>
  <c r="D14" i="10"/>
  <c r="K14" s="1"/>
  <c r="P14" s="1"/>
  <c r="C508" i="12"/>
  <c r="E137"/>
  <c r="D136" s="1"/>
  <c r="E371"/>
  <c r="E217"/>
  <c r="D216" s="1"/>
  <c r="H584"/>
  <c r="H583" s="1"/>
  <c r="H588" s="1"/>
  <c r="N12" i="3"/>
  <c r="H10"/>
  <c r="D41"/>
  <c r="D38" s="1"/>
  <c r="D22"/>
  <c r="I10"/>
  <c r="F10"/>
  <c r="G290" i="6"/>
  <c r="N9" i="3"/>
  <c r="F9"/>
  <c r="I98" i="1"/>
  <c r="I92" s="1"/>
  <c r="K7" i="3"/>
  <c r="J7"/>
  <c r="D98"/>
  <c r="D9" s="1"/>
  <c r="H290" i="6"/>
  <c r="H301" s="1"/>
  <c r="I197" i="12"/>
  <c r="L290" i="6"/>
  <c r="L301" s="1"/>
  <c r="I290"/>
  <c r="I301" s="1"/>
  <c r="D86" i="3"/>
  <c r="H10" i="8"/>
  <c r="N10" s="1"/>
  <c r="K18" i="10"/>
  <c r="H9" i="9"/>
  <c r="M144" i="6"/>
  <c r="M105" i="8"/>
  <c r="N341" i="2"/>
  <c r="G13"/>
  <c r="N23" i="1"/>
  <c r="G76"/>
  <c r="G75" s="1"/>
  <c r="G86" s="1"/>
  <c r="J23"/>
  <c r="L9" i="9"/>
  <c r="J9"/>
  <c r="D8"/>
  <c r="H8"/>
  <c r="G450" i="2"/>
  <c r="E51" i="1"/>
  <c r="N455" i="2"/>
  <c r="D157"/>
  <c r="F458"/>
  <c r="L450"/>
  <c r="N466"/>
  <c r="M15"/>
  <c r="H450"/>
  <c r="N493"/>
  <c r="I18"/>
  <c r="I11" s="1"/>
  <c r="H197" i="12"/>
  <c r="O23" i="10"/>
  <c r="H72" i="12"/>
  <c r="K262" i="9"/>
  <c r="F146" i="8"/>
  <c r="E175" i="12"/>
  <c r="E198"/>
  <c r="G32" i="3"/>
  <c r="H204" i="12" s="1"/>
  <c r="J19" i="6"/>
  <c r="J18" s="1"/>
  <c r="D106"/>
  <c r="K19"/>
  <c r="K18" s="1"/>
  <c r="K12" s="1"/>
  <c r="H19"/>
  <c r="E31" i="1" s="1"/>
  <c r="H287" i="6"/>
  <c r="H105"/>
  <c r="I214" i="12" s="1"/>
  <c r="F94" i="6"/>
  <c r="N235" i="9"/>
  <c r="N234" s="1"/>
  <c r="P49" i="8"/>
  <c r="F669" i="2"/>
  <c r="M235" i="9"/>
  <c r="M234" s="1"/>
  <c r="N213" i="6"/>
  <c r="D262" i="9"/>
  <c r="D263" s="1"/>
  <c r="M11" i="8"/>
  <c r="I42" i="12"/>
  <c r="F262" i="9"/>
  <c r="D221" i="6"/>
  <c r="D220" s="1"/>
  <c r="G262" i="9"/>
  <c r="H427" i="12"/>
  <c r="H604"/>
  <c r="H32" i="3"/>
  <c r="I204" i="12" s="1"/>
  <c r="I606"/>
  <c r="I600" s="1"/>
  <c r="G499"/>
  <c r="G554" s="1"/>
  <c r="G552" s="1"/>
  <c r="G242"/>
  <c r="H146" i="8"/>
  <c r="H147" s="1"/>
  <c r="J10" i="5"/>
  <c r="K10"/>
  <c r="J7" i="9"/>
  <c r="H68" i="1"/>
  <c r="H64" s="1"/>
  <c r="H63" s="1"/>
  <c r="H85" s="1"/>
  <c r="M13" i="7"/>
  <c r="M11" s="1"/>
  <c r="M10" s="1"/>
  <c r="C139" i="12"/>
  <c r="F261" i="9"/>
  <c r="H261"/>
  <c r="I261"/>
  <c r="J606" i="12"/>
  <c r="J600" s="1"/>
  <c r="H442"/>
  <c r="H605"/>
  <c r="N233" i="9"/>
  <c r="D43" i="7"/>
  <c r="D42" s="1"/>
  <c r="D185"/>
  <c r="D7"/>
  <c r="D11"/>
  <c r="G8" i="8"/>
  <c r="H262" i="9"/>
  <c r="L7"/>
  <c r="L10" i="5"/>
  <c r="H7" i="9"/>
  <c r="M97" i="5"/>
  <c r="M96" s="1"/>
  <c r="M125" i="6"/>
  <c r="M124" s="1"/>
  <c r="M119" s="1"/>
  <c r="M118" s="1"/>
  <c r="E538" i="12"/>
  <c r="C538" s="1"/>
  <c r="E257"/>
  <c r="D256" s="1"/>
  <c r="C229"/>
  <c r="C129"/>
  <c r="I25" i="10"/>
  <c r="H45" i="3"/>
  <c r="I581" i="12"/>
  <c r="I579" s="1"/>
  <c r="I94" i="6"/>
  <c r="D102"/>
  <c r="D202"/>
  <c r="E20" i="10"/>
  <c r="I11" i="6"/>
  <c r="N189"/>
  <c r="N186" s="1"/>
  <c r="F301"/>
  <c r="K119"/>
  <c r="F288"/>
  <c r="J95"/>
  <c r="J94" s="1"/>
  <c r="I151"/>
  <c r="I25" s="1"/>
  <c r="D190"/>
  <c r="M190" s="1"/>
  <c r="D22" i="1"/>
  <c r="D127" s="1"/>
  <c r="D188" s="1"/>
  <c r="J287" i="6"/>
  <c r="M106"/>
  <c r="M105" s="1"/>
  <c r="K94"/>
  <c r="M202"/>
  <c r="G14"/>
  <c r="G13" s="1"/>
  <c r="M96"/>
  <c r="M95" s="1"/>
  <c r="D24" i="1"/>
  <c r="L24" s="1"/>
  <c r="L129" s="1"/>
  <c r="G21"/>
  <c r="L21" s="1"/>
  <c r="L126" s="1"/>
  <c r="M516" i="2"/>
  <c r="M515" s="1"/>
  <c r="M514" s="1"/>
  <c r="G669"/>
  <c r="K41" i="10"/>
  <c r="M45" i="3"/>
  <c r="N45"/>
  <c r="D46"/>
  <c r="M553" i="12"/>
  <c r="M552" s="1"/>
  <c r="M243" i="6"/>
  <c r="M242" s="1"/>
  <c r="M241" s="1"/>
  <c r="G579" i="12"/>
  <c r="C44"/>
  <c r="M16" i="3"/>
  <c r="M15" s="1"/>
  <c r="M33"/>
  <c r="M32" s="1"/>
  <c r="N17" i="13"/>
  <c r="N62"/>
  <c r="N61" s="1"/>
  <c r="N56"/>
  <c r="G45" i="3"/>
  <c r="M19" i="10"/>
  <c r="M17"/>
  <c r="L40"/>
  <c r="E239" i="12"/>
  <c r="F197" i="6"/>
  <c r="F142"/>
  <c r="G39" i="12" s="1"/>
  <c r="J25" i="10"/>
  <c r="I263" i="9"/>
  <c r="I264" s="1"/>
  <c r="H213" i="12"/>
  <c r="G95" i="6"/>
  <c r="D96"/>
  <c r="D14" s="1"/>
  <c r="I122" i="1"/>
  <c r="I184" s="1"/>
  <c r="E102"/>
  <c r="E101" s="1"/>
  <c r="H668" i="2"/>
  <c r="H669" s="1"/>
  <c r="D139" i="6"/>
  <c r="F11" i="8"/>
  <c r="D51"/>
  <c r="D50" s="1"/>
  <c r="D144" s="1"/>
  <c r="D31"/>
  <c r="P31" s="1"/>
  <c r="D41"/>
  <c r="D38"/>
  <c r="F21"/>
  <c r="F31" i="2"/>
  <c r="C45" i="1" s="1"/>
  <c r="C145" s="1"/>
  <c r="C207" s="1"/>
  <c r="M427" i="2"/>
  <c r="M426" s="1"/>
  <c r="M420" s="1"/>
  <c r="H25" i="10"/>
  <c r="L272" i="12"/>
  <c r="E94"/>
  <c r="C249"/>
  <c r="C219"/>
  <c r="C134"/>
  <c r="H606"/>
  <c r="K11" i="7"/>
  <c r="N13"/>
  <c r="N11" s="1"/>
  <c r="N10" s="1"/>
  <c r="M43"/>
  <c r="M42" s="1"/>
  <c r="N9"/>
  <c r="N7" s="1"/>
  <c r="B19" i="1"/>
  <c r="B124" s="1"/>
  <c r="B186" s="1"/>
  <c r="N14" i="2"/>
  <c r="E75" i="12"/>
  <c r="C74" s="1"/>
  <c r="I59" i="1"/>
  <c r="G122" i="12"/>
  <c r="H132"/>
  <c r="G132"/>
  <c r="I76" i="1"/>
  <c r="I75" s="1"/>
  <c r="I86" s="1"/>
  <c r="I100" s="1"/>
  <c r="I64"/>
  <c r="I63" s="1"/>
  <c r="I85" s="1"/>
  <c r="D33"/>
  <c r="C399" i="12"/>
  <c r="K33" i="10"/>
  <c r="K29"/>
  <c r="K31"/>
  <c r="F515" i="2"/>
  <c r="F514" s="1"/>
  <c r="G583" i="12"/>
  <c r="G588" s="1"/>
  <c r="E270"/>
  <c r="C64"/>
  <c r="C124"/>
  <c r="C479"/>
  <c r="C114"/>
  <c r="C372"/>
  <c r="D15" i="6"/>
  <c r="P17" s="1"/>
  <c r="I7" i="9"/>
  <c r="H76" i="1"/>
  <c r="H75" s="1"/>
  <c r="H86" s="1"/>
  <c r="H100" s="1"/>
  <c r="B125"/>
  <c r="B191" s="1"/>
  <c r="J141"/>
  <c r="J203" s="1"/>
  <c r="K66"/>
  <c r="K125"/>
  <c r="L125"/>
  <c r="K61"/>
  <c r="D45" i="8"/>
  <c r="J13" i="10"/>
  <c r="L8" i="8"/>
  <c r="D13" i="10"/>
  <c r="F13"/>
  <c r="D48" i="8"/>
  <c r="K40" i="10"/>
  <c r="P40" s="1"/>
  <c r="F238" i="6"/>
  <c r="M239"/>
  <c r="M238" s="1"/>
  <c r="F10" i="5"/>
  <c r="M13"/>
  <c r="F14" i="13"/>
  <c r="M56"/>
  <c r="M55" s="1"/>
  <c r="F17"/>
  <c r="M17" s="1"/>
  <c r="M15" s="1"/>
  <c r="M62"/>
  <c r="M61" s="1"/>
  <c r="I231" i="9"/>
  <c r="M233"/>
  <c r="M231" s="1"/>
  <c r="M10"/>
  <c r="M45" i="8"/>
  <c r="F33"/>
  <c r="M48"/>
  <c r="D36"/>
  <c r="M44" i="1"/>
  <c r="G59"/>
  <c r="I147" i="8"/>
  <c r="M36"/>
  <c r="M33" s="1"/>
  <c r="M16" i="6"/>
  <c r="P16" s="1"/>
  <c r="D186"/>
  <c r="M189"/>
  <c r="M186" s="1"/>
  <c r="M297"/>
  <c r="F19"/>
  <c r="M146"/>
  <c r="M26" i="3"/>
  <c r="L493" i="2"/>
  <c r="J42" i="10" s="1"/>
  <c r="M341" i="2"/>
  <c r="M340" s="1"/>
  <c r="E494"/>
  <c r="E493" s="1"/>
  <c r="C42" i="10" s="1"/>
  <c r="M495" i="2"/>
  <c r="M494" s="1"/>
  <c r="M493" s="1"/>
  <c r="M16"/>
  <c r="M455"/>
  <c r="M36"/>
  <c r="M35" s="1"/>
  <c r="C24" i="1"/>
  <c r="C129" s="1"/>
  <c r="C190" s="1"/>
  <c r="M17" i="2"/>
  <c r="E247" i="12"/>
  <c r="N20" i="2"/>
  <c r="N15"/>
  <c r="G18"/>
  <c r="N19"/>
  <c r="K18"/>
  <c r="L23"/>
  <c r="L22" s="1"/>
  <c r="D301"/>
  <c r="L458"/>
  <c r="N344"/>
  <c r="N343" s="1"/>
  <c r="G515"/>
  <c r="G514" s="1"/>
  <c r="N516"/>
  <c r="N515" s="1"/>
  <c r="N514" s="1"/>
  <c r="G201" i="6"/>
  <c r="G197" s="1"/>
  <c r="N202"/>
  <c r="N106"/>
  <c r="N105" s="1"/>
  <c r="N96"/>
  <c r="N95" s="1"/>
  <c r="G299"/>
  <c r="N144"/>
  <c r="C89" i="12"/>
  <c r="C434"/>
  <c r="C244"/>
  <c r="C259"/>
  <c r="C49"/>
  <c r="C439"/>
  <c r="C254"/>
  <c r="E405"/>
  <c r="E47"/>
  <c r="D46" s="1"/>
  <c r="C176"/>
  <c r="D25" i="1"/>
  <c r="J213" i="12"/>
  <c r="I14" i="6"/>
  <c r="J120"/>
  <c r="J17"/>
  <c r="G25" i="1" s="1"/>
  <c r="L120" i="6"/>
  <c r="L119" s="1"/>
  <c r="L17"/>
  <c r="H120"/>
  <c r="H119" s="1"/>
  <c r="H17"/>
  <c r="E25" i="1" s="1"/>
  <c r="E238" i="12"/>
  <c r="G105" i="6"/>
  <c r="K213" i="12"/>
  <c r="N10" i="4"/>
  <c r="G22" i="12"/>
  <c r="E22" s="1"/>
  <c r="D21" s="1"/>
  <c r="D51" i="3"/>
  <c r="N16"/>
  <c r="N15" s="1"/>
  <c r="N33"/>
  <c r="N32" s="1"/>
  <c r="N11"/>
  <c r="N512" i="2"/>
  <c r="N511" s="1"/>
  <c r="E63" i="12"/>
  <c r="C54"/>
  <c r="E394"/>
  <c r="H571"/>
  <c r="L61" i="1"/>
  <c r="K43" i="10"/>
  <c r="H18" i="1"/>
  <c r="E25" i="12"/>
  <c r="C24" s="1"/>
  <c r="C99"/>
  <c r="E112"/>
  <c r="D111" s="1"/>
  <c r="H432"/>
  <c r="E432" s="1"/>
  <c r="D431" s="1"/>
  <c r="E506"/>
  <c r="D505" s="1"/>
  <c r="E200"/>
  <c r="E252"/>
  <c r="D251" s="1"/>
  <c r="E87"/>
  <c r="D86" s="1"/>
  <c r="E85"/>
  <c r="E501"/>
  <c r="E504"/>
  <c r="E499" s="1"/>
  <c r="C279"/>
  <c r="E275"/>
  <c r="C274" s="1"/>
  <c r="C104"/>
  <c r="E108"/>
  <c r="E423"/>
  <c r="E388"/>
  <c r="E393"/>
  <c r="E38"/>
  <c r="C284"/>
  <c r="C234"/>
  <c r="H59" i="1"/>
  <c r="N124" i="6"/>
  <c r="N119" s="1"/>
  <c r="O27" i="1"/>
  <c r="L147" i="8"/>
  <c r="O30" i="1"/>
  <c r="G147" i="8"/>
  <c r="K272" i="12"/>
  <c r="F15" i="13"/>
  <c r="N15"/>
  <c r="G14"/>
  <c r="D56"/>
  <c r="D14" s="1"/>
  <c r="D62"/>
  <c r="D17" s="1"/>
  <c r="D37" i="10"/>
  <c r="D26" s="1"/>
  <c r="F37"/>
  <c r="H37"/>
  <c r="J37"/>
  <c r="J26" s="1"/>
  <c r="E36"/>
  <c r="F36"/>
  <c r="E37"/>
  <c r="G37"/>
  <c r="I37"/>
  <c r="I26" s="1"/>
  <c r="D36"/>
  <c r="M242" i="12"/>
  <c r="P30" i="8"/>
  <c r="P24"/>
  <c r="D34"/>
  <c r="D33" s="1"/>
  <c r="D10" s="1"/>
  <c r="I242" i="12"/>
  <c r="N45" i="8"/>
  <c r="N44" s="1"/>
  <c r="D22"/>
  <c r="N36"/>
  <c r="N33" s="1"/>
  <c r="J66" i="1"/>
  <c r="N66"/>
  <c r="D12" i="8"/>
  <c r="F120" i="6"/>
  <c r="F119" s="1"/>
  <c r="D121"/>
  <c r="J125" i="1"/>
  <c r="M125" s="1"/>
  <c r="G240" i="12"/>
  <c r="E240" s="1"/>
  <c r="F220" i="6"/>
  <c r="F268" s="1"/>
  <c r="J34" i="1"/>
  <c r="F59"/>
  <c r="D125" i="6"/>
  <c r="D124" s="1"/>
  <c r="D280" s="1"/>
  <c r="O71" i="1"/>
  <c r="G101"/>
  <c r="J74"/>
  <c r="N74"/>
  <c r="I32" i="3"/>
  <c r="J204" i="12" s="1"/>
  <c r="D33" i="3"/>
  <c r="D16" s="1"/>
  <c r="D15" s="1"/>
  <c r="E29" i="1"/>
  <c r="E128" s="1"/>
  <c r="F26" i="3"/>
  <c r="G203" i="12" s="1"/>
  <c r="E203" s="1"/>
  <c r="D27" i="3"/>
  <c r="D12" s="1"/>
  <c r="D11" s="1"/>
  <c r="F62"/>
  <c r="D23" i="10" s="1"/>
  <c r="M344" i="2"/>
  <c r="M343" s="1"/>
  <c r="D427"/>
  <c r="D344" s="1"/>
  <c r="D343" s="1"/>
  <c r="E453" i="12"/>
  <c r="E21" i="2"/>
  <c r="B144" i="1"/>
  <c r="B206" s="1"/>
  <c r="J40"/>
  <c r="J144" s="1"/>
  <c r="J206" s="1"/>
  <c r="E30" i="2"/>
  <c r="E29" s="1"/>
  <c r="E18"/>
  <c r="N67" i="1"/>
  <c r="O67" s="1"/>
  <c r="E27" i="2"/>
  <c r="B39" i="1" s="1"/>
  <c r="J39" s="1"/>
  <c r="J70"/>
  <c r="O70" s="1"/>
  <c r="D174" i="6"/>
  <c r="D104" i="3"/>
  <c r="D284" s="1"/>
  <c r="D145" i="2"/>
  <c r="B83" i="1"/>
  <c r="J83" s="1"/>
  <c r="D30" i="7"/>
  <c r="D29" s="1"/>
  <c r="D15"/>
  <c r="K10"/>
  <c r="D21"/>
  <c r="D17" s="1"/>
  <c r="D51"/>
  <c r="D48" s="1"/>
  <c r="D25"/>
  <c r="D24" s="1"/>
  <c r="N36" i="2"/>
  <c r="K12"/>
  <c r="I33" i="1"/>
  <c r="I8" i="2"/>
  <c r="D26"/>
  <c r="D402"/>
  <c r="D25"/>
  <c r="F102" i="12"/>
  <c r="E102" s="1"/>
  <c r="D101" s="1"/>
  <c r="I29" i="2"/>
  <c r="I22" s="1"/>
  <c r="I660" s="1"/>
  <c r="L18"/>
  <c r="E72"/>
  <c r="E68" s="1"/>
  <c r="D119"/>
  <c r="D114" s="1"/>
  <c r="E61"/>
  <c r="D62"/>
  <c r="D61" s="1"/>
  <c r="N451"/>
  <c r="N450" s="1"/>
  <c r="H38" i="1"/>
  <c r="H139" s="1"/>
  <c r="H201" s="1"/>
  <c r="B22"/>
  <c r="H122" i="12"/>
  <c r="C38" i="1"/>
  <c r="C33" s="1"/>
  <c r="G571" i="12"/>
  <c r="P37" i="6"/>
  <c r="D36"/>
  <c r="D35" s="1"/>
  <c r="O72" i="1"/>
  <c r="G34" i="12"/>
  <c r="H150" i="6"/>
  <c r="I40" i="12" s="1"/>
  <c r="I11" s="1"/>
  <c r="D193" i="6"/>
  <c r="D192" s="1"/>
  <c r="D214"/>
  <c r="D213" s="1"/>
  <c r="G143"/>
  <c r="G19" s="1"/>
  <c r="D31" i="1" s="1"/>
  <c r="H21" i="6"/>
  <c r="H20" s="1"/>
  <c r="E38" i="1"/>
  <c r="J21" i="6"/>
  <c r="G38" i="1"/>
  <c r="G139" s="1"/>
  <c r="G201" s="1"/>
  <c r="H22"/>
  <c r="H127" s="1"/>
  <c r="H188" s="1"/>
  <c r="K564" i="12"/>
  <c r="K567" s="1"/>
  <c r="M564"/>
  <c r="M567" s="1"/>
  <c r="G511" i="2"/>
  <c r="D548"/>
  <c r="D547" s="1"/>
  <c r="G22" i="1"/>
  <c r="G127" s="1"/>
  <c r="G188" s="1"/>
  <c r="I22"/>
  <c r="I127" s="1"/>
  <c r="I188" s="1"/>
  <c r="E22"/>
  <c r="E127" s="1"/>
  <c r="E188" s="1"/>
  <c r="D15" i="9"/>
  <c r="D10" s="1"/>
  <c r="D72"/>
  <c r="D71" s="1"/>
  <c r="D209" i="6"/>
  <c r="J212" i="12"/>
  <c r="L94" i="6"/>
  <c r="N231" i="9"/>
  <c r="F80" i="12"/>
  <c r="E80" s="1"/>
  <c r="C79" s="1"/>
  <c r="D63" i="9"/>
  <c r="D62" s="1"/>
  <c r="J231"/>
  <c r="G38"/>
  <c r="N38"/>
  <c r="F71"/>
  <c r="F9" s="1"/>
  <c r="G84" i="12"/>
  <c r="E84" s="1"/>
  <c r="F445"/>
  <c r="E445" s="1"/>
  <c r="C444" s="1"/>
  <c r="E263" i="9"/>
  <c r="E264" s="1"/>
  <c r="E241" s="1"/>
  <c r="D22"/>
  <c r="D18" s="1"/>
  <c r="G80"/>
  <c r="G8" s="1"/>
  <c r="H82" i="12"/>
  <c r="H282"/>
  <c r="J384"/>
  <c r="G73"/>
  <c r="G282"/>
  <c r="N15" i="9"/>
  <c r="N10" s="1"/>
  <c r="K263"/>
  <c r="K264" s="1"/>
  <c r="J263"/>
  <c r="J264" s="1"/>
  <c r="E75" i="2"/>
  <c r="E74" s="1"/>
  <c r="E9"/>
  <c r="M36" i="1"/>
  <c r="H31" i="2"/>
  <c r="G31"/>
  <c r="J9"/>
  <c r="J8" s="1"/>
  <c r="O20" i="1"/>
  <c r="E76"/>
  <c r="E75" s="1"/>
  <c r="E86" s="1"/>
  <c r="K23" i="2"/>
  <c r="K22" s="1"/>
  <c r="K660" s="1"/>
  <c r="F76" i="1"/>
  <c r="F75" s="1"/>
  <c r="F86" s="1"/>
  <c r="F100" s="1"/>
  <c r="I511" i="2"/>
  <c r="H61" i="13"/>
  <c r="I264" i="12" s="1"/>
  <c r="N190" i="6"/>
  <c r="G301"/>
  <c r="I143"/>
  <c r="I19" s="1"/>
  <c r="D299"/>
  <c r="B73" i="1"/>
  <c r="N73" s="1"/>
  <c r="G104" i="13"/>
  <c r="G106" s="1"/>
  <c r="G107" s="1"/>
  <c r="G88" s="1"/>
  <c r="N34"/>
  <c r="F262" i="12"/>
  <c r="H55" i="13"/>
  <c r="G54"/>
  <c r="E30" i="10" s="1"/>
  <c r="H263" i="12"/>
  <c r="N55" i="13"/>
  <c r="G263" i="12"/>
  <c r="F54" i="13"/>
  <c r="D30" i="10" s="1"/>
  <c r="I11" i="13"/>
  <c r="F12"/>
  <c r="I54"/>
  <c r="G30" i="10" s="1"/>
  <c r="J263" i="12"/>
  <c r="I137" i="1"/>
  <c r="I199" s="1"/>
  <c r="F29" i="12"/>
  <c r="D86" i="6"/>
  <c r="D83" s="1"/>
  <c r="F27" i="12"/>
  <c r="D73" i="6"/>
  <c r="D72" s="1"/>
  <c r="E238"/>
  <c r="N297"/>
  <c r="D194"/>
  <c r="D296"/>
  <c r="M296" s="1"/>
  <c r="G208"/>
  <c r="G151"/>
  <c r="C101" i="1"/>
  <c r="D408" i="2"/>
  <c r="D407" s="1"/>
  <c r="D518"/>
  <c r="P518" s="1"/>
  <c r="H515"/>
  <c r="H514" s="1"/>
  <c r="E65" i="1"/>
  <c r="E64" s="1"/>
  <c r="E63" s="1"/>
  <c r="E85" s="1"/>
  <c r="B43"/>
  <c r="D29"/>
  <c r="D451" i="12"/>
  <c r="D170" i="6"/>
  <c r="L150"/>
  <c r="H142"/>
  <c r="H138" s="1"/>
  <c r="J142"/>
  <c r="K39" i="12" s="1"/>
  <c r="K14" s="1"/>
  <c r="L142" i="6"/>
  <c r="F233" i="12"/>
  <c r="E233" s="1"/>
  <c r="E268" i="6"/>
  <c r="I150"/>
  <c r="K150"/>
  <c r="F150"/>
  <c r="D181"/>
  <c r="D178" s="1"/>
  <c r="D146" s="1"/>
  <c r="K138"/>
  <c r="F25" i="3"/>
  <c r="N26"/>
  <c r="D226" i="12"/>
  <c r="J385"/>
  <c r="J558" s="1"/>
  <c r="J556" s="1"/>
  <c r="I571"/>
  <c r="G550"/>
  <c r="J87" i="13"/>
  <c r="J86" s="1"/>
  <c r="G65" i="1"/>
  <c r="G64" s="1"/>
  <c r="G63" s="1"/>
  <c r="G85" s="1"/>
  <c r="I87" i="13"/>
  <c r="I86" s="1"/>
  <c r="F29" i="1"/>
  <c r="F128" s="1"/>
  <c r="H35" i="10"/>
  <c r="F55" i="3"/>
  <c r="F35" i="10"/>
  <c r="F205" i="12"/>
  <c r="D66" i="3"/>
  <c r="D62" s="1"/>
  <c r="I38"/>
  <c r="I283" s="1"/>
  <c r="J205" i="12"/>
  <c r="J192" s="1"/>
  <c r="G38" i="3"/>
  <c r="G283" s="1"/>
  <c r="H205" i="12"/>
  <c r="H192" s="1"/>
  <c r="J583"/>
  <c r="J588" s="1"/>
  <c r="J587" s="1"/>
  <c r="L598"/>
  <c r="H272"/>
  <c r="J24" i="6"/>
  <c r="J150"/>
  <c r="H147"/>
  <c r="F8" i="10" s="1"/>
  <c r="I51" i="1"/>
  <c r="I46"/>
  <c r="L24" i="6"/>
  <c r="L20" s="1"/>
  <c r="E59" i="1"/>
  <c r="D134" i="2"/>
  <c r="D129" s="1"/>
  <c r="P136"/>
  <c r="D89" i="9"/>
  <c r="I272" i="12"/>
  <c r="K32"/>
  <c r="J119" i="6"/>
  <c r="G272" i="12"/>
  <c r="N242" i="6"/>
  <c r="N241" s="1"/>
  <c r="F242"/>
  <c r="F241" s="1"/>
  <c r="D95" i="3"/>
  <c r="D92" s="1"/>
  <c r="D58"/>
  <c r="D55" s="1"/>
  <c r="D31" i="14" s="1"/>
  <c r="H42" i="12"/>
  <c r="J42"/>
  <c r="J580"/>
  <c r="J579" s="1"/>
  <c r="J62"/>
  <c r="P493" i="2"/>
  <c r="B45" i="1"/>
  <c r="I427" i="12"/>
  <c r="G427"/>
  <c r="D93" i="2"/>
  <c r="D92" s="1"/>
  <c r="E93"/>
  <c r="E92" s="1"/>
  <c r="H392" i="12"/>
  <c r="G29" i="1"/>
  <c r="G128" s="1"/>
  <c r="G189" s="1"/>
  <c r="J18" i="2"/>
  <c r="D586"/>
  <c r="D585" s="1"/>
  <c r="D512" s="1"/>
  <c r="E81"/>
  <c r="F188" i="12" s="1"/>
  <c r="E188" s="1"/>
  <c r="E462" i="2"/>
  <c r="D173"/>
  <c r="D169" s="1"/>
  <c r="D414"/>
  <c r="F429" i="12"/>
  <c r="E429" s="1"/>
  <c r="J102" i="1"/>
  <c r="G392" i="12"/>
  <c r="D376" i="2"/>
  <c r="E409" i="12"/>
  <c r="C409" s="1"/>
  <c r="E452" i="2"/>
  <c r="E467"/>
  <c r="B24" i="1"/>
  <c r="D364" i="2"/>
  <c r="D363" s="1"/>
  <c r="E403" i="12"/>
  <c r="E55" i="2"/>
  <c r="P450"/>
  <c r="E390" i="12"/>
  <c r="D495" i="2"/>
  <c r="D494" s="1"/>
  <c r="D493" s="1"/>
  <c r="D503"/>
  <c r="D502" s="1"/>
  <c r="F33" i="1"/>
  <c r="D146" i="12"/>
  <c r="F511" i="2"/>
  <c r="D385"/>
  <c r="D384" s="1"/>
  <c r="F413" i="12"/>
  <c r="E413" s="1"/>
  <c r="G422"/>
  <c r="E101" i="2"/>
  <c r="E98" s="1"/>
  <c r="D104"/>
  <c r="D68"/>
  <c r="D121"/>
  <c r="D412"/>
  <c r="F395" i="12"/>
  <c r="F57"/>
  <c r="E57" s="1"/>
  <c r="F59"/>
  <c r="E59" s="1"/>
  <c r="C59" s="1"/>
  <c r="D394" i="2"/>
  <c r="D393" s="1"/>
  <c r="N41"/>
  <c r="M20"/>
  <c r="F425" i="12"/>
  <c r="E425" s="1"/>
  <c r="E420"/>
  <c r="D84" i="2"/>
  <c r="E84"/>
  <c r="D476" i="12"/>
  <c r="E450"/>
  <c r="C449" s="1"/>
  <c r="E455" i="2"/>
  <c r="F426"/>
  <c r="G269" i="12" s="1"/>
  <c r="G195" s="1"/>
  <c r="N426" i="2"/>
  <c r="N420" s="1"/>
  <c r="F424" i="12"/>
  <c r="E424" s="1"/>
  <c r="F422"/>
  <c r="F414"/>
  <c r="E414" s="1"/>
  <c r="C414" s="1"/>
  <c r="F412"/>
  <c r="E412" s="1"/>
  <c r="F430"/>
  <c r="E430" s="1"/>
  <c r="D457" i="2"/>
  <c r="D21" s="1"/>
  <c r="D471"/>
  <c r="E404" i="12"/>
  <c r="B29" i="1"/>
  <c r="F398" i="12"/>
  <c r="E398" s="1"/>
  <c r="F397"/>
  <c r="C131" i="1"/>
  <c r="C193" s="1"/>
  <c r="L28"/>
  <c r="L131" s="1"/>
  <c r="D466" i="12"/>
  <c r="L12" i="2"/>
  <c r="J29"/>
  <c r="G51" i="1"/>
  <c r="G46"/>
  <c r="F23" i="2"/>
  <c r="J23"/>
  <c r="F491" i="12"/>
  <c r="E491" s="1"/>
  <c r="C490" s="1"/>
  <c r="N16" i="2"/>
  <c r="F62" i="12"/>
  <c r="B77" i="1"/>
  <c r="D39" i="4"/>
  <c r="D24"/>
  <c r="D38"/>
  <c r="B69" i="1"/>
  <c r="N69" s="1"/>
  <c r="F45" i="3"/>
  <c r="E208" i="12"/>
  <c r="I92"/>
  <c r="H92"/>
  <c r="I291" i="6"/>
  <c r="I302" s="1"/>
  <c r="E287"/>
  <c r="I583" i="12"/>
  <c r="C137" i="1"/>
  <c r="G137"/>
  <c r="D137"/>
  <c r="H137"/>
  <c r="F267" i="12"/>
  <c r="N340" i="2"/>
  <c r="F340"/>
  <c r="H340"/>
  <c r="H339" s="1"/>
  <c r="E18" i="1"/>
  <c r="G340" i="2"/>
  <c r="G268" i="12"/>
  <c r="J12" i="2"/>
  <c r="H420"/>
  <c r="I268" i="12"/>
  <c r="H268"/>
  <c r="G420" i="2"/>
  <c r="I124" i="1"/>
  <c r="E199"/>
  <c r="F199"/>
  <c r="G42" i="12"/>
  <c r="E237" l="1"/>
  <c r="D236" s="1"/>
  <c r="K599"/>
  <c r="G119" i="6"/>
  <c r="G11" s="1"/>
  <c r="D14" i="1" s="1"/>
  <c r="D90" s="1"/>
  <c r="J195" i="12"/>
  <c r="H598"/>
  <c r="H600"/>
  <c r="H593" s="1"/>
  <c r="H592" s="1"/>
  <c r="I7" i="10"/>
  <c r="I45" s="1"/>
  <c r="M81" i="1"/>
  <c r="H307" i="12"/>
  <c r="F283" i="3"/>
  <c r="D283"/>
  <c r="I307" i="12"/>
  <c r="F8" i="3"/>
  <c r="F7" s="1"/>
  <c r="G307" i="12"/>
  <c r="G212"/>
  <c r="K13" i="10"/>
  <c r="P13" s="1"/>
  <c r="I195" i="12"/>
  <c r="D65" i="1"/>
  <c r="N88" i="13"/>
  <c r="D24" i="10"/>
  <c r="K24" s="1"/>
  <c r="P24" s="1"/>
  <c r="G192" i="12"/>
  <c r="D18" i="1"/>
  <c r="K10" i="6"/>
  <c r="C419" i="12"/>
  <c r="F19" i="2"/>
  <c r="M19" s="1"/>
  <c r="N14" i="13"/>
  <c r="N12" s="1"/>
  <c r="D19" i="1"/>
  <c r="E370" i="12"/>
  <c r="D369" s="1"/>
  <c r="L68" i="1"/>
  <c r="L123" s="1"/>
  <c r="L42" i="10"/>
  <c r="K60" i="1"/>
  <c r="K59" s="1"/>
  <c r="L60"/>
  <c r="L59" s="1"/>
  <c r="M13" i="10"/>
  <c r="D61" i="13"/>
  <c r="P38" i="3"/>
  <c r="G142" i="6"/>
  <c r="H39" i="12" s="1"/>
  <c r="H14" s="1"/>
  <c r="C309"/>
  <c r="H122" i="1"/>
  <c r="H184" s="1"/>
  <c r="H17"/>
  <c r="L576" i="12" s="1"/>
  <c r="L575" s="1"/>
  <c r="L212"/>
  <c r="L193" s="1"/>
  <c r="L561" s="1"/>
  <c r="L560" s="1"/>
  <c r="N14" i="6"/>
  <c r="N13" s="1"/>
  <c r="G14" i="12"/>
  <c r="I384"/>
  <c r="C94"/>
  <c r="E395"/>
  <c r="C394" s="1"/>
  <c r="F385"/>
  <c r="E269"/>
  <c r="C269" s="1"/>
  <c r="D44" i="8"/>
  <c r="D9" s="1"/>
  <c r="L660" i="2"/>
  <c r="L661" s="1"/>
  <c r="L662" s="1"/>
  <c r="E242" i="12"/>
  <c r="D241" s="1"/>
  <c r="F285" i="3"/>
  <c r="F286" s="1"/>
  <c r="G25"/>
  <c r="G8" s="1"/>
  <c r="H25"/>
  <c r="H8" s="1"/>
  <c r="L285"/>
  <c r="L286" s="1"/>
  <c r="D32"/>
  <c r="H8" i="8"/>
  <c r="D9" i="9"/>
  <c r="M452" i="2"/>
  <c r="M451" s="1"/>
  <c r="M450" s="1"/>
  <c r="E13"/>
  <c r="E12" s="1"/>
  <c r="E11" s="1"/>
  <c r="G100" i="1"/>
  <c r="E52"/>
  <c r="J68"/>
  <c r="H77" i="12"/>
  <c r="E77" s="1"/>
  <c r="D76" s="1"/>
  <c r="G9" i="9"/>
  <c r="N9" s="1"/>
  <c r="P7"/>
  <c r="N10" i="2"/>
  <c r="D129" i="1"/>
  <c r="D190" s="1"/>
  <c r="F147" i="8"/>
  <c r="N8" i="9"/>
  <c r="H31" i="1"/>
  <c r="H132" s="1"/>
  <c r="H194" s="1"/>
  <c r="H94" i="6"/>
  <c r="F7" i="10" s="1"/>
  <c r="F10" i="6"/>
  <c r="F291"/>
  <c r="F302" s="1"/>
  <c r="K21" i="1"/>
  <c r="K126" s="1"/>
  <c r="F26" i="10"/>
  <c r="D264" i="9"/>
  <c r="F106" i="1"/>
  <c r="R10" i="7"/>
  <c r="C239" i="12"/>
  <c r="F7" i="9"/>
  <c r="D186" i="7"/>
  <c r="H26" i="10"/>
  <c r="L263" i="9"/>
  <c r="L264" s="1"/>
  <c r="H98" i="1"/>
  <c r="H92" s="1"/>
  <c r="E537" i="12"/>
  <c r="L10" i="6"/>
  <c r="J11"/>
  <c r="F11"/>
  <c r="H11"/>
  <c r="E14" i="1" s="1"/>
  <c r="E90" s="1"/>
  <c r="L11" i="6"/>
  <c r="I14" i="1" s="1"/>
  <c r="M592" i="12" s="1"/>
  <c r="M593" s="1"/>
  <c r="K291" i="6"/>
  <c r="K302" s="1"/>
  <c r="J10"/>
  <c r="K11"/>
  <c r="H14" i="1" s="1"/>
  <c r="L592" i="12" s="1"/>
  <c r="L593" s="1"/>
  <c r="I10" i="6"/>
  <c r="J20"/>
  <c r="F138"/>
  <c r="D7" i="10" s="1"/>
  <c r="J13" i="6"/>
  <c r="J12" s="1"/>
  <c r="J24" i="1"/>
  <c r="G126"/>
  <c r="G187" s="1"/>
  <c r="B143"/>
  <c r="B205" s="1"/>
  <c r="D45" i="3"/>
  <c r="E122" i="12"/>
  <c r="D121" s="1"/>
  <c r="E132"/>
  <c r="D131" s="1"/>
  <c r="G384"/>
  <c r="D290" i="6"/>
  <c r="M290" s="1"/>
  <c r="G202" i="12"/>
  <c r="M25" i="3"/>
  <c r="M8" s="1"/>
  <c r="D23" i="4"/>
  <c r="M103" i="1"/>
  <c r="I25" i="3"/>
  <c r="I8" s="1"/>
  <c r="F29" i="2"/>
  <c r="F22" s="1"/>
  <c r="F660" s="1"/>
  <c r="M13"/>
  <c r="M12" s="1"/>
  <c r="L22" i="1"/>
  <c r="L127" s="1"/>
  <c r="N54" i="13"/>
  <c r="D128" i="1"/>
  <c r="D189" s="1"/>
  <c r="L29"/>
  <c r="E264" i="12"/>
  <c r="C264" s="1"/>
  <c r="M12" i="3"/>
  <c r="M11" s="1"/>
  <c r="M10" s="1"/>
  <c r="M23" i="10"/>
  <c r="C503" i="12"/>
  <c r="M201" i="6"/>
  <c r="G138"/>
  <c r="H37" i="12" s="1"/>
  <c r="F18" i="6"/>
  <c r="M19"/>
  <c r="P19" s="1"/>
  <c r="M143"/>
  <c r="M14"/>
  <c r="P14" s="1"/>
  <c r="F18" i="1"/>
  <c r="F122" s="1"/>
  <c r="F184" s="1"/>
  <c r="H269" i="6"/>
  <c r="I37" i="12"/>
  <c r="I12" s="1"/>
  <c r="N201" i="6"/>
  <c r="N197" s="1"/>
  <c r="N11" s="1"/>
  <c r="D201"/>
  <c r="D197" s="1"/>
  <c r="P23" i="8"/>
  <c r="P14"/>
  <c r="D146"/>
  <c r="M94" i="6"/>
  <c r="E29" i="12"/>
  <c r="G606"/>
  <c r="G600" s="1"/>
  <c r="F10" i="8"/>
  <c r="M10" s="1"/>
  <c r="D17" i="10"/>
  <c r="I106" i="1"/>
  <c r="H106"/>
  <c r="K68"/>
  <c r="K123" s="1"/>
  <c r="H123"/>
  <c r="H185" s="1"/>
  <c r="I13" i="6"/>
  <c r="G339" i="2"/>
  <c r="E28" i="10" s="1"/>
  <c r="K11" i="2"/>
  <c r="M42" i="10"/>
  <c r="K42"/>
  <c r="E127" i="12"/>
  <c r="D126" s="1"/>
  <c r="L36" i="10"/>
  <c r="D15" i="13"/>
  <c r="P23"/>
  <c r="M10" i="2"/>
  <c r="K24" i="1"/>
  <c r="K129" s="1"/>
  <c r="M339" i="2"/>
  <c r="C404" i="12"/>
  <c r="C84"/>
  <c r="K19" i="10"/>
  <c r="P19" s="1"/>
  <c r="L19"/>
  <c r="M8" i="9"/>
  <c r="K22" i="1"/>
  <c r="K127" s="1"/>
  <c r="M9" i="8"/>
  <c r="L13" i="10"/>
  <c r="M11" i="5"/>
  <c r="M10" s="1"/>
  <c r="N11"/>
  <c r="N10" s="1"/>
  <c r="G87" i="13"/>
  <c r="G86" s="1"/>
  <c r="M54"/>
  <c r="M14"/>
  <c r="M12" s="1"/>
  <c r="M11" s="1"/>
  <c r="C19" i="1"/>
  <c r="C124" s="1"/>
  <c r="C186" s="1"/>
  <c r="M44" i="8"/>
  <c r="G174" i="12"/>
  <c r="E174" s="1"/>
  <c r="D173" s="1"/>
  <c r="J191" i="1"/>
  <c r="G106"/>
  <c r="N299" i="6"/>
  <c r="M299"/>
  <c r="M142"/>
  <c r="M138" s="1"/>
  <c r="M197"/>
  <c r="M11" s="1"/>
  <c r="N35" i="2"/>
  <c r="B28" i="1"/>
  <c r="K28" s="1"/>
  <c r="K131" s="1"/>
  <c r="M21" i="2"/>
  <c r="C18" i="1"/>
  <c r="C31"/>
  <c r="C132" s="1"/>
  <c r="C194" s="1"/>
  <c r="M36" i="10"/>
  <c r="O66" i="1"/>
  <c r="M40" i="10"/>
  <c r="P514" i="2"/>
  <c r="N13"/>
  <c r="N12" s="1"/>
  <c r="D151" i="6"/>
  <c r="D25" s="1"/>
  <c r="G25"/>
  <c r="D46" i="1" s="1"/>
  <c r="E42" i="12"/>
  <c r="D41" s="1"/>
  <c r="E62"/>
  <c r="D61" s="1"/>
  <c r="E392"/>
  <c r="D391" s="1"/>
  <c r="N94" i="6"/>
  <c r="L13"/>
  <c r="I25" i="1"/>
  <c r="I17" s="1"/>
  <c r="M576" i="12" s="1"/>
  <c r="N143" i="6"/>
  <c r="N142" s="1"/>
  <c r="N138" s="1"/>
  <c r="H13"/>
  <c r="H214" i="12"/>
  <c r="H195" s="1"/>
  <c r="G94" i="6"/>
  <c r="E7" i="10" s="1"/>
  <c r="S7" s="1"/>
  <c r="G18" i="1"/>
  <c r="G17" s="1"/>
  <c r="D34" i="10"/>
  <c r="P33" i="3"/>
  <c r="N339" i="2"/>
  <c r="J593" i="12"/>
  <c r="J592" s="1"/>
  <c r="K592"/>
  <c r="L552"/>
  <c r="H13" i="1"/>
  <c r="H587" i="12"/>
  <c r="L11" i="2"/>
  <c r="E34" i="12"/>
  <c r="E32"/>
  <c r="E422"/>
  <c r="D421" s="1"/>
  <c r="N10" i="3"/>
  <c r="C424" i="12"/>
  <c r="E282"/>
  <c r="D281" s="1"/>
  <c r="E268"/>
  <c r="E92"/>
  <c r="E397"/>
  <c r="D396" s="1"/>
  <c r="C429"/>
  <c r="E169"/>
  <c r="D168" s="1"/>
  <c r="E210"/>
  <c r="E209"/>
  <c r="E272"/>
  <c r="D271" s="1"/>
  <c r="E205"/>
  <c r="E459"/>
  <c r="D456" s="1"/>
  <c r="E27"/>
  <c r="E204"/>
  <c r="F11" i="13"/>
  <c r="K36" i="10"/>
  <c r="K37"/>
  <c r="I9" i="6"/>
  <c r="L65" i="1"/>
  <c r="L19"/>
  <c r="G12" i="13"/>
  <c r="G11" s="1"/>
  <c r="D8" i="8"/>
  <c r="D28"/>
  <c r="D21" s="1"/>
  <c r="P21"/>
  <c r="P15"/>
  <c r="P25"/>
  <c r="P29"/>
  <c r="P16"/>
  <c r="D16"/>
  <c r="D11" s="1"/>
  <c r="D20" i="10"/>
  <c r="K20" s="1"/>
  <c r="P20" s="1"/>
  <c r="I39" i="12"/>
  <c r="I14" s="1"/>
  <c r="D26" i="3"/>
  <c r="G197" i="12"/>
  <c r="F14" i="1"/>
  <c r="F90" s="1"/>
  <c r="B146"/>
  <c r="B208" s="1"/>
  <c r="J43"/>
  <c r="J146" s="1"/>
  <c r="J208" s="1"/>
  <c r="N68"/>
  <c r="E23" i="2"/>
  <c r="E22" s="1"/>
  <c r="E660" s="1"/>
  <c r="B137" i="1"/>
  <c r="B199" s="1"/>
  <c r="J77"/>
  <c r="M77" s="1"/>
  <c r="J69"/>
  <c r="M78" s="1"/>
  <c r="B128"/>
  <c r="B189" s="1"/>
  <c r="J21"/>
  <c r="N21"/>
  <c r="B127"/>
  <c r="B188" s="1"/>
  <c r="J22"/>
  <c r="N24"/>
  <c r="J138" i="6"/>
  <c r="H7" i="10" s="1"/>
  <c r="N22" i="1"/>
  <c r="D143" i="6"/>
  <c r="D19" s="1"/>
  <c r="E104" i="13"/>
  <c r="E106" s="1"/>
  <c r="E107" s="1"/>
  <c r="D10" i="7"/>
  <c r="K571" i="12"/>
  <c r="D288" i="6"/>
  <c r="J82" i="1"/>
  <c r="B82"/>
  <c r="G31"/>
  <c r="G132" s="1"/>
  <c r="G194" s="1"/>
  <c r="J11" i="2"/>
  <c r="H33" i="1"/>
  <c r="J22" i="2"/>
  <c r="D516"/>
  <c r="H384" i="12"/>
  <c r="B38" i="1"/>
  <c r="J38" s="1"/>
  <c r="G18" i="6"/>
  <c r="G12" s="1"/>
  <c r="D522" i="2"/>
  <c r="D521" s="1"/>
  <c r="D520" s="1"/>
  <c r="E100" i="1"/>
  <c r="F339" i="2"/>
  <c r="H263" i="9"/>
  <c r="H264" s="1"/>
  <c r="D500" i="12"/>
  <c r="G263" i="9"/>
  <c r="G264" s="1"/>
  <c r="G241" s="1"/>
  <c r="G240" s="1"/>
  <c r="G239" s="1"/>
  <c r="J291" i="6"/>
  <c r="J302" s="1"/>
  <c r="G14" i="1"/>
  <c r="M212" i="12"/>
  <c r="M193" s="1"/>
  <c r="M561" s="1"/>
  <c r="M560" s="1"/>
  <c r="L291" i="6"/>
  <c r="L302" s="1"/>
  <c r="F263" i="9"/>
  <c r="F264" s="1"/>
  <c r="F241" s="1"/>
  <c r="F442" i="12"/>
  <c r="F443"/>
  <c r="E443" s="1"/>
  <c r="G82"/>
  <c r="F73"/>
  <c r="E73" s="1"/>
  <c r="H277"/>
  <c r="G72"/>
  <c r="E240" i="9"/>
  <c r="E239" s="1"/>
  <c r="K552" i="12"/>
  <c r="D75" i="2"/>
  <c r="D74" s="1"/>
  <c r="P39"/>
  <c r="F28" i="10"/>
  <c r="D455" i="2"/>
  <c r="D31"/>
  <c r="G29"/>
  <c r="G22" s="1"/>
  <c r="D45" i="1"/>
  <c r="D145" s="1"/>
  <c r="D207" s="1"/>
  <c r="E32" i="10"/>
  <c r="G9" i="2"/>
  <c r="F32" i="10"/>
  <c r="H9" i="2"/>
  <c r="H8" s="1"/>
  <c r="F420"/>
  <c r="G267" i="12" s="1"/>
  <c r="D341" i="2"/>
  <c r="D411"/>
  <c r="B61" i="1"/>
  <c r="N61" s="1"/>
  <c r="E45"/>
  <c r="H29" i="2"/>
  <c r="H22" s="1"/>
  <c r="E54"/>
  <c r="D55"/>
  <c r="D54" s="1"/>
  <c r="D540"/>
  <c r="D539" s="1"/>
  <c r="P62" i="13"/>
  <c r="P194" i="6"/>
  <c r="I142"/>
  <c r="J73" i="1"/>
  <c r="O73" s="1"/>
  <c r="O74"/>
  <c r="E106"/>
  <c r="J262" i="12"/>
  <c r="I9" i="13"/>
  <c r="I8" s="1"/>
  <c r="G262" i="12"/>
  <c r="F9" i="13"/>
  <c r="H262" i="12"/>
  <c r="G9" i="13"/>
  <c r="I263" i="12"/>
  <c r="E263" s="1"/>
  <c r="H54" i="13"/>
  <c r="F30" i="10" s="1"/>
  <c r="N11" i="13"/>
  <c r="D55"/>
  <c r="P56"/>
  <c r="H12"/>
  <c r="H11" s="1"/>
  <c r="D208" i="6"/>
  <c r="D205" s="1"/>
  <c r="G205"/>
  <c r="G150"/>
  <c r="D298"/>
  <c r="N296"/>
  <c r="D254"/>
  <c r="D253" s="1"/>
  <c r="D243"/>
  <c r="D242" s="1"/>
  <c r="D241" s="1"/>
  <c r="C25" i="1"/>
  <c r="F13" i="6"/>
  <c r="D471" i="12"/>
  <c r="F107"/>
  <c r="E466" i="2"/>
  <c r="E460" i="12"/>
  <c r="E458" i="2"/>
  <c r="E458" i="12"/>
  <c r="E455"/>
  <c r="C454" s="1"/>
  <c r="M40"/>
  <c r="M11" s="1"/>
  <c r="L147" i="6"/>
  <c r="J8" i="10" s="1"/>
  <c r="I31" i="1"/>
  <c r="L18" i="6"/>
  <c r="H18"/>
  <c r="L138"/>
  <c r="J7" i="10" s="1"/>
  <c r="M39" i="12"/>
  <c r="M14" s="1"/>
  <c r="F232"/>
  <c r="D78" i="6"/>
  <c r="D77" s="1"/>
  <c r="G33" i="1"/>
  <c r="G40" i="12"/>
  <c r="G11" s="1"/>
  <c r="F147" i="6"/>
  <c r="D8" i="10" s="1"/>
  <c r="L40" i="12"/>
  <c r="L11" s="1"/>
  <c r="K147" i="6"/>
  <c r="I8" i="10" s="1"/>
  <c r="F46" i="1"/>
  <c r="I24" i="6"/>
  <c r="I20" s="1"/>
  <c r="F51" i="1"/>
  <c r="L37" i="12"/>
  <c r="L12" s="1"/>
  <c r="D148" i="6"/>
  <c r="D23"/>
  <c r="D21" s="1"/>
  <c r="C51" i="1"/>
  <c r="C46"/>
  <c r="F24" i="6"/>
  <c r="F20" s="1"/>
  <c r="K24"/>
  <c r="K20" s="1"/>
  <c r="H46" i="1"/>
  <c r="H51"/>
  <c r="J40" i="12"/>
  <c r="J11" s="1"/>
  <c r="I147" i="6"/>
  <c r="G8" i="10" s="1"/>
  <c r="N25" i="3"/>
  <c r="N8" s="1"/>
  <c r="K661" i="2"/>
  <c r="K662" s="1"/>
  <c r="I661"/>
  <c r="I662" s="1"/>
  <c r="G587" i="12"/>
  <c r="I593"/>
  <c r="I592" s="1"/>
  <c r="J598"/>
  <c r="J599" s="1"/>
  <c r="F39"/>
  <c r="F14" s="1"/>
  <c r="F37"/>
  <c r="K212"/>
  <c r="K193" s="1"/>
  <c r="D10" i="3"/>
  <c r="F199" i="12"/>
  <c r="K285" i="3"/>
  <c r="K286" s="1"/>
  <c r="H285"/>
  <c r="H286" s="1"/>
  <c r="E98" i="1"/>
  <c r="E92" s="1"/>
  <c r="J285" i="3"/>
  <c r="J286" s="1"/>
  <c r="G98" i="1"/>
  <c r="G92" s="1"/>
  <c r="E35" i="10"/>
  <c r="E26" s="1"/>
  <c r="G35"/>
  <c r="G26" s="1"/>
  <c r="I598" i="12"/>
  <c r="I599" s="1"/>
  <c r="I147" i="1"/>
  <c r="I41"/>
  <c r="I52"/>
  <c r="K40" i="12"/>
  <c r="K11" s="1"/>
  <c r="J147" i="6"/>
  <c r="H8" i="10" s="1"/>
  <c r="P23" i="3"/>
  <c r="F213" i="12"/>
  <c r="E213" s="1"/>
  <c r="J143" i="1"/>
  <c r="J205" s="1"/>
  <c r="F215" i="12"/>
  <c r="I212"/>
  <c r="H291" i="6"/>
  <c r="H302" s="1"/>
  <c r="B60" i="1"/>
  <c r="N60" s="1"/>
  <c r="D411" i="12"/>
  <c r="D467" i="2"/>
  <c r="D466" s="1"/>
  <c r="D452"/>
  <c r="D451" s="1"/>
  <c r="D594"/>
  <c r="D593" s="1"/>
  <c r="E389" i="12"/>
  <c r="C389" s="1"/>
  <c r="E387"/>
  <c r="B145" i="1"/>
  <c r="B207" s="1"/>
  <c r="E448" i="12"/>
  <c r="E451" i="2"/>
  <c r="E447" i="12" s="1"/>
  <c r="B80" i="1"/>
  <c r="D15" i="2"/>
  <c r="D81"/>
  <c r="D80" s="1"/>
  <c r="B129" i="1"/>
  <c r="B190" s="1"/>
  <c r="D17" i="2"/>
  <c r="F428" i="12"/>
  <c r="E428" s="1"/>
  <c r="F427"/>
  <c r="D101" i="2"/>
  <c r="D98" s="1"/>
  <c r="P42"/>
  <c r="D564"/>
  <c r="D563" s="1"/>
  <c r="J37" i="1"/>
  <c r="M37" s="1"/>
  <c r="E139"/>
  <c r="E33"/>
  <c r="D331" i="2"/>
  <c r="D327" s="1"/>
  <c r="E418" i="12"/>
  <c r="F189"/>
  <c r="E189" s="1"/>
  <c r="C189" s="1"/>
  <c r="E80" i="2"/>
  <c r="F187" i="12" s="1"/>
  <c r="E187" s="1"/>
  <c r="D436"/>
  <c r="D426" i="2"/>
  <c r="D420" s="1"/>
  <c r="D9" s="1"/>
  <c r="P433"/>
  <c r="E408" i="12"/>
  <c r="D373" i="2"/>
  <c r="D372" s="1"/>
  <c r="F18"/>
  <c r="B51" i="1"/>
  <c r="B46"/>
  <c r="G147"/>
  <c r="G209" s="1"/>
  <c r="G41"/>
  <c r="G52"/>
  <c r="C127"/>
  <c r="C188" s="1"/>
  <c r="P26" i="2"/>
  <c r="D20" i="4"/>
  <c r="D31"/>
  <c r="D30" s="1"/>
  <c r="B123" i="1"/>
  <c r="B185" s="1"/>
  <c r="B126"/>
  <c r="B187" s="1"/>
  <c r="D120" i="6"/>
  <c r="D119" s="1"/>
  <c r="D17"/>
  <c r="B25" i="1"/>
  <c r="I588" i="12"/>
  <c r="F214"/>
  <c r="F195" s="1"/>
  <c r="E291" i="6"/>
  <c r="E302" s="1"/>
  <c r="D105"/>
  <c r="B31" i="1"/>
  <c r="C199"/>
  <c r="D199"/>
  <c r="H199"/>
  <c r="G199"/>
  <c r="H267" i="12"/>
  <c r="I267"/>
  <c r="G12" i="2"/>
  <c r="G11" s="1"/>
  <c r="H12"/>
  <c r="H11" s="1"/>
  <c r="F12"/>
  <c r="I186" i="1"/>
  <c r="E189"/>
  <c r="F189"/>
  <c r="H10" i="6" l="1"/>
  <c r="E307" i="12"/>
  <c r="D306" s="1"/>
  <c r="D450" i="2"/>
  <c r="D239" i="6"/>
  <c r="D238" s="1"/>
  <c r="G37" i="12"/>
  <c r="G12" s="1"/>
  <c r="M575"/>
  <c r="M580" s="1"/>
  <c r="M579" s="1"/>
  <c r="D10" i="2"/>
  <c r="D8" s="1"/>
  <c r="E10"/>
  <c r="G193" i="12"/>
  <c r="H202"/>
  <c r="G7" i="3"/>
  <c r="D13" i="2"/>
  <c r="I7" i="3"/>
  <c r="E385" i="12"/>
  <c r="E215"/>
  <c r="E192" s="1"/>
  <c r="F192"/>
  <c r="M38" i="1"/>
  <c r="G660" i="2"/>
  <c r="G661" s="1"/>
  <c r="G662" s="1"/>
  <c r="C29" i="1"/>
  <c r="K29" s="1"/>
  <c r="M18" i="2"/>
  <c r="M11" s="1"/>
  <c r="H12" i="12"/>
  <c r="D147" i="8"/>
  <c r="J202" i="12"/>
  <c r="J193" s="1"/>
  <c r="D54" i="13"/>
  <c r="D9" s="1"/>
  <c r="D8" s="1"/>
  <c r="E34" i="10"/>
  <c r="E25" s="1"/>
  <c r="N28" i="1"/>
  <c r="L12" i="6"/>
  <c r="C204" i="12"/>
  <c r="H660" i="2"/>
  <c r="H661" s="1"/>
  <c r="H662" s="1"/>
  <c r="J660"/>
  <c r="J661" s="1"/>
  <c r="J662" s="1"/>
  <c r="D26" i="12"/>
  <c r="K9" i="6"/>
  <c r="H7" i="3"/>
  <c r="C98" i="1"/>
  <c r="C92" s="1"/>
  <c r="I202" i="12"/>
  <c r="F34" i="10"/>
  <c r="F25" s="1"/>
  <c r="D25" i="3"/>
  <c r="D8" s="1"/>
  <c r="D7" s="1"/>
  <c r="H133" i="1"/>
  <c r="I587" i="12"/>
  <c r="H90" i="1"/>
  <c r="E536" i="12"/>
  <c r="E498" s="1"/>
  <c r="P11" i="6"/>
  <c r="I90" i="1"/>
  <c r="B131"/>
  <c r="B193" s="1"/>
  <c r="M7" i="3"/>
  <c r="N7"/>
  <c r="P7" s="1"/>
  <c r="G13" i="1"/>
  <c r="G89" s="1"/>
  <c r="M9" i="9"/>
  <c r="M7" s="1"/>
  <c r="F9" i="6"/>
  <c r="H9"/>
  <c r="H26" i="1"/>
  <c r="H16" s="1"/>
  <c r="H48" s="1"/>
  <c r="I48" i="10" s="1"/>
  <c r="I51" s="1"/>
  <c r="G7" i="9"/>
  <c r="F8" i="8"/>
  <c r="P8" s="1"/>
  <c r="H599" i="12"/>
  <c r="M10" i="6"/>
  <c r="M9" s="1"/>
  <c r="D11"/>
  <c r="G10"/>
  <c r="N10"/>
  <c r="N9" s="1"/>
  <c r="D301"/>
  <c r="M301" s="1"/>
  <c r="C29" i="12"/>
  <c r="O7" i="10"/>
  <c r="D46"/>
  <c r="G598" i="12"/>
  <c r="E199"/>
  <c r="G34" i="10"/>
  <c r="G25" s="1"/>
  <c r="E214" i="12"/>
  <c r="D26" i="1"/>
  <c r="G8" i="13"/>
  <c r="L14" i="1"/>
  <c r="L18"/>
  <c r="M13" i="6"/>
  <c r="M18"/>
  <c r="F17" i="1"/>
  <c r="F12" i="6"/>
  <c r="M102" i="1"/>
  <c r="M101" s="1"/>
  <c r="D666" i="2"/>
  <c r="D668" s="1"/>
  <c r="D669" s="1"/>
  <c r="L269" i="6"/>
  <c r="J46" i="10"/>
  <c r="J269" i="6"/>
  <c r="H46" i="10"/>
  <c r="I269" i="6"/>
  <c r="G46" i="10"/>
  <c r="K269" i="6"/>
  <c r="I46" i="10"/>
  <c r="K37" i="12"/>
  <c r="K12" s="1"/>
  <c r="H45" i="10"/>
  <c r="R11" i="7"/>
  <c r="K26" i="10"/>
  <c r="P26" s="1"/>
  <c r="K30"/>
  <c r="N288" i="6"/>
  <c r="M288"/>
  <c r="L17" i="10"/>
  <c r="K17"/>
  <c r="H195" i="1"/>
  <c r="D142" i="6"/>
  <c r="D138" s="1"/>
  <c r="H12"/>
  <c r="J28" i="1"/>
  <c r="J131" s="1"/>
  <c r="J193" s="1"/>
  <c r="K19"/>
  <c r="K124" s="1"/>
  <c r="J33"/>
  <c r="L23" i="10"/>
  <c r="K23"/>
  <c r="P23" s="1"/>
  <c r="D31" i="12"/>
  <c r="F46" i="10"/>
  <c r="K18" i="1"/>
  <c r="C14"/>
  <c r="C90" s="1"/>
  <c r="N8" i="8"/>
  <c r="N298" i="6"/>
  <c r="M298"/>
  <c r="L30" i="10"/>
  <c r="L124" i="1"/>
  <c r="G122"/>
  <c r="G184" s="1"/>
  <c r="G195" s="1"/>
  <c r="M28" i="10"/>
  <c r="N9" i="2"/>
  <c r="N8" s="1"/>
  <c r="M32" i="10"/>
  <c r="M30"/>
  <c r="G593" i="12"/>
  <c r="G592" s="1"/>
  <c r="D268" i="6"/>
  <c r="M98" i="1" s="1"/>
  <c r="G291" i="6"/>
  <c r="G302" s="1"/>
  <c r="H212" i="12"/>
  <c r="N19" i="6"/>
  <c r="N18" s="1"/>
  <c r="N12" s="1"/>
  <c r="D132" i="1"/>
  <c r="D194" s="1"/>
  <c r="D64"/>
  <c r="D63" s="1"/>
  <c r="D85" s="1"/>
  <c r="C34" i="12"/>
  <c r="N18" i="2"/>
  <c r="N11" s="1"/>
  <c r="G26" i="1"/>
  <c r="E267" i="12"/>
  <c r="E207"/>
  <c r="D206" s="1"/>
  <c r="E417"/>
  <c r="D416" s="1"/>
  <c r="E232"/>
  <c r="D231" s="1"/>
  <c r="E402"/>
  <c r="D401" s="1"/>
  <c r="E82"/>
  <c r="D81" s="1"/>
  <c r="E427"/>
  <c r="D426" s="1"/>
  <c r="E107"/>
  <c r="D106" s="1"/>
  <c r="E277"/>
  <c r="D276" s="1"/>
  <c r="E442"/>
  <c r="D441" s="1"/>
  <c r="C459"/>
  <c r="K35" i="10"/>
  <c r="F13" i="1"/>
  <c r="J19"/>
  <c r="M34" s="1"/>
  <c r="D124"/>
  <c r="D186" s="1"/>
  <c r="N19"/>
  <c r="N25"/>
  <c r="J25"/>
  <c r="B76"/>
  <c r="B75" s="1"/>
  <c r="B86" s="1"/>
  <c r="J80"/>
  <c r="J140" s="1"/>
  <c r="J202" s="1"/>
  <c r="J45"/>
  <c r="B65"/>
  <c r="M573" i="12"/>
  <c r="M571" s="1"/>
  <c r="B139" i="1"/>
  <c r="B201" s="1"/>
  <c r="D66" i="12"/>
  <c r="L569"/>
  <c r="L568" s="1"/>
  <c r="F269" i="6"/>
  <c r="F270" s="1"/>
  <c r="F271" s="1"/>
  <c r="L557" i="12"/>
  <c r="L556" s="1"/>
  <c r="M557"/>
  <c r="P350" i="2"/>
  <c r="D346"/>
  <c r="G210" i="1"/>
  <c r="I13"/>
  <c r="I89" s="1"/>
  <c r="L9" i="6"/>
  <c r="F240" i="9"/>
  <c r="C76" i="1"/>
  <c r="C75" s="1"/>
  <c r="C86" s="1"/>
  <c r="C139"/>
  <c r="C201" s="1"/>
  <c r="M79"/>
  <c r="D7" i="9"/>
  <c r="F72" i="12"/>
  <c r="E72" s="1"/>
  <c r="D116" i="1"/>
  <c r="D112"/>
  <c r="D76"/>
  <c r="D75" s="1"/>
  <c r="D86" s="1"/>
  <c r="D100" s="1"/>
  <c r="D139"/>
  <c r="D201" s="1"/>
  <c r="D27" i="2"/>
  <c r="D23" s="1"/>
  <c r="D44"/>
  <c r="E145" i="1"/>
  <c r="E207" s="1"/>
  <c r="E41"/>
  <c r="E32" s="1"/>
  <c r="E49" s="1"/>
  <c r="D32" i="10"/>
  <c r="F9" i="2"/>
  <c r="F8" s="1"/>
  <c r="D28" i="10"/>
  <c r="L28" s="1"/>
  <c r="D513" i="2"/>
  <c r="J61" i="1" s="1"/>
  <c r="O61" s="1"/>
  <c r="B59"/>
  <c r="N59" s="1"/>
  <c r="I18" i="6"/>
  <c r="I12" s="1"/>
  <c r="F31" i="1"/>
  <c r="J31" s="1"/>
  <c r="J39" i="12"/>
  <c r="J14" s="1"/>
  <c r="I138" i="6"/>
  <c r="G7" i="10" s="1"/>
  <c r="D12" i="13"/>
  <c r="D11" s="1"/>
  <c r="I262" i="12"/>
  <c r="H9" i="13"/>
  <c r="F8"/>
  <c r="E124" i="1"/>
  <c r="E186" s="1"/>
  <c r="F11" i="2"/>
  <c r="D287" i="6"/>
  <c r="G24"/>
  <c r="G20" s="1"/>
  <c r="D51" i="1"/>
  <c r="J51" s="1"/>
  <c r="J46"/>
  <c r="H40" i="12"/>
  <c r="H11" s="1"/>
  <c r="G147" i="6"/>
  <c r="E8" i="10" s="1"/>
  <c r="S8" s="1"/>
  <c r="B13" i="1"/>
  <c r="M37" i="12"/>
  <c r="M12" s="1"/>
  <c r="I132" i="1"/>
  <c r="I26"/>
  <c r="I16" s="1"/>
  <c r="I48" s="1"/>
  <c r="I121" s="1"/>
  <c r="E132"/>
  <c r="E194" s="1"/>
  <c r="E26"/>
  <c r="P25" i="6"/>
  <c r="H147" i="1"/>
  <c r="H52"/>
  <c r="H41"/>
  <c r="C147"/>
  <c r="C41"/>
  <c r="C32" s="1"/>
  <c r="C52"/>
  <c r="F52"/>
  <c r="F147"/>
  <c r="F41"/>
  <c r="F32" s="1"/>
  <c r="F49" s="1"/>
  <c r="F91" s="1"/>
  <c r="D91" i="12"/>
  <c r="D461"/>
  <c r="H270" i="6"/>
  <c r="H271" s="1"/>
  <c r="E285" i="3"/>
  <c r="E286" s="1"/>
  <c r="B98" i="1"/>
  <c r="F197" i="12"/>
  <c r="D285" i="3"/>
  <c r="F98" i="1"/>
  <c r="I285" i="3"/>
  <c r="I286" s="1"/>
  <c r="D98" i="1"/>
  <c r="G285" i="3"/>
  <c r="G286" s="1"/>
  <c r="N290" i="6"/>
  <c r="D150"/>
  <c r="D147" s="1"/>
  <c r="P20" s="1"/>
  <c r="D24"/>
  <c r="D20" s="1"/>
  <c r="I32" i="1"/>
  <c r="E269" i="6"/>
  <c r="F40" i="12"/>
  <c r="F11" s="1"/>
  <c r="I209" i="1"/>
  <c r="I210" s="1"/>
  <c r="I148"/>
  <c r="D21" i="3"/>
  <c r="D18" s="1"/>
  <c r="J9" i="6"/>
  <c r="D95"/>
  <c r="D94" s="1"/>
  <c r="D283"/>
  <c r="D13"/>
  <c r="G148" i="1"/>
  <c r="D515" i="2"/>
  <c r="D514" s="1"/>
  <c r="O21" i="1"/>
  <c r="D386" i="12"/>
  <c r="B140" i="1"/>
  <c r="B202" s="1"/>
  <c r="D446" i="12"/>
  <c r="E450" i="2"/>
  <c r="P38"/>
  <c r="P25"/>
  <c r="D36"/>
  <c r="O24" i="1"/>
  <c r="J129"/>
  <c r="J190" s="1"/>
  <c r="M39"/>
  <c r="E201"/>
  <c r="B138"/>
  <c r="B200" s="1"/>
  <c r="B33"/>
  <c r="D29" i="2"/>
  <c r="D56" i="12"/>
  <c r="D41" i="2"/>
  <c r="D186" i="12"/>
  <c r="C26" i="1"/>
  <c r="D340" i="2"/>
  <c r="D19"/>
  <c r="P29" s="1"/>
  <c r="B18" i="1"/>
  <c r="B52"/>
  <c r="B147"/>
  <c r="B41"/>
  <c r="D487" i="12"/>
  <c r="J139" i="1"/>
  <c r="J201" s="1"/>
  <c r="G32"/>
  <c r="J127"/>
  <c r="J188" s="1"/>
  <c r="O22"/>
  <c r="J137"/>
  <c r="N103"/>
  <c r="B101"/>
  <c r="J60"/>
  <c r="D10" i="4"/>
  <c r="O69" i="1"/>
  <c r="J126"/>
  <c r="O68"/>
  <c r="J123"/>
  <c r="J185" s="1"/>
  <c r="H12"/>
  <c r="H89"/>
  <c r="B132"/>
  <c r="B26"/>
  <c r="D18" i="6"/>
  <c r="F212" i="12"/>
  <c r="C45" i="10"/>
  <c r="D279" i="6"/>
  <c r="D281" s="1"/>
  <c r="C17" i="1"/>
  <c r="D122"/>
  <c r="D17"/>
  <c r="K575" i="12"/>
  <c r="G8" i="2"/>
  <c r="E17" i="1"/>
  <c r="E122"/>
  <c r="L584" i="12"/>
  <c r="L583" s="1"/>
  <c r="L580"/>
  <c r="L579" s="1"/>
  <c r="M584"/>
  <c r="M583" s="1"/>
  <c r="D286" i="3" l="1"/>
  <c r="H193" i="12"/>
  <c r="H9" s="1"/>
  <c r="H107" i="1"/>
  <c r="N29"/>
  <c r="F193" i="12"/>
  <c r="I193"/>
  <c r="M7" i="10"/>
  <c r="C214" i="12"/>
  <c r="E195"/>
  <c r="C194" s="1"/>
  <c r="C128" i="1"/>
  <c r="C189" s="1"/>
  <c r="J29"/>
  <c r="E99"/>
  <c r="E93" s="1"/>
  <c r="E46" i="10"/>
  <c r="P147" i="6"/>
  <c r="O28" i="1"/>
  <c r="F12" i="12"/>
  <c r="E202"/>
  <c r="D201" s="1"/>
  <c r="J187" i="1"/>
  <c r="D106"/>
  <c r="J98"/>
  <c r="J92" s="1"/>
  <c r="D13"/>
  <c r="I88"/>
  <c r="H88"/>
  <c r="H134" s="1"/>
  <c r="D535" i="12"/>
  <c r="O25" i="10"/>
  <c r="M25"/>
  <c r="M46" i="1"/>
  <c r="M43"/>
  <c r="N301" i="6"/>
  <c r="G9"/>
  <c r="J14" i="1"/>
  <c r="J116" s="1"/>
  <c r="P10" i="6"/>
  <c r="N102" i="1"/>
  <c r="N101" s="1"/>
  <c r="L34" i="10"/>
  <c r="D10" i="6"/>
  <c r="B99" i="1"/>
  <c r="G599" i="12"/>
  <c r="E197"/>
  <c r="C199"/>
  <c r="K34" i="10"/>
  <c r="M34"/>
  <c r="E212" i="12"/>
  <c r="D16" i="1"/>
  <c r="D48" s="1"/>
  <c r="E48" i="10" s="1"/>
  <c r="M12" i="6"/>
  <c r="P9" s="1"/>
  <c r="L31" i="1"/>
  <c r="L132" s="1"/>
  <c r="N9" i="13"/>
  <c r="N8" s="1"/>
  <c r="E45" i="10"/>
  <c r="N48" s="1"/>
  <c r="P18" i="6"/>
  <c r="G269"/>
  <c r="D99" i="1" s="1"/>
  <c r="H121"/>
  <c r="H183" s="1"/>
  <c r="G133"/>
  <c r="D25" i="10"/>
  <c r="N287" i="6"/>
  <c r="M287"/>
  <c r="J76" i="1"/>
  <c r="J75" s="1"/>
  <c r="C112"/>
  <c r="C116"/>
  <c r="K14"/>
  <c r="K31"/>
  <c r="K132" s="1"/>
  <c r="M9" i="13"/>
  <c r="M8" s="1"/>
  <c r="C13" i="1"/>
  <c r="M9" i="2"/>
  <c r="M8" s="1"/>
  <c r="J145" i="1"/>
  <c r="J207" s="1"/>
  <c r="K32" i="10"/>
  <c r="L32"/>
  <c r="K128" i="1"/>
  <c r="K17"/>
  <c r="B100"/>
  <c r="J86"/>
  <c r="L85"/>
  <c r="M85" s="1"/>
  <c r="G16"/>
  <c r="G48" s="1"/>
  <c r="G121" s="1"/>
  <c r="E39" i="12"/>
  <c r="E14" s="1"/>
  <c r="F384"/>
  <c r="E407"/>
  <c r="E384" s="1"/>
  <c r="E40"/>
  <c r="E11" s="1"/>
  <c r="E262"/>
  <c r="D261" s="1"/>
  <c r="K28" i="10"/>
  <c r="D285" i="6"/>
  <c r="G9" i="12"/>
  <c r="E210" i="1"/>
  <c r="E13"/>
  <c r="N7" i="9"/>
  <c r="D71" i="12"/>
  <c r="J48" i="10"/>
  <c r="D43" i="2"/>
  <c r="I12" i="1"/>
  <c r="E661" i="2"/>
  <c r="E662" s="1"/>
  <c r="C100" i="1"/>
  <c r="N18"/>
  <c r="J18"/>
  <c r="J17" s="1"/>
  <c r="B64"/>
  <c r="B63" s="1"/>
  <c r="B85" s="1"/>
  <c r="B106" s="1"/>
  <c r="N31"/>
  <c r="O31" s="1"/>
  <c r="D12" i="2"/>
  <c r="D22"/>
  <c r="E148" i="1"/>
  <c r="K9" i="12"/>
  <c r="L9"/>
  <c r="L546" s="1"/>
  <c r="B92" i="1"/>
  <c r="M556" i="12"/>
  <c r="K556"/>
  <c r="D269" i="6"/>
  <c r="D270" s="1"/>
  <c r="D271" s="1"/>
  <c r="C49" i="1"/>
  <c r="C91" s="1"/>
  <c r="F239" i="9"/>
  <c r="B14" i="1"/>
  <c r="D511" i="2"/>
  <c r="P27"/>
  <c r="F135" i="1"/>
  <c r="F212" s="1"/>
  <c r="G49" i="10"/>
  <c r="G52" s="1"/>
  <c r="J37" i="12"/>
  <c r="J12" s="1"/>
  <c r="F132" i="1"/>
  <c r="F26"/>
  <c r="F16" s="1"/>
  <c r="F48" s="1"/>
  <c r="G48" i="10" s="1"/>
  <c r="J124" i="1"/>
  <c r="J186" s="1"/>
  <c r="O19"/>
  <c r="H8" i="13"/>
  <c r="D147" i="1"/>
  <c r="D41"/>
  <c r="D32" s="1"/>
  <c r="D49" s="1"/>
  <c r="D52"/>
  <c r="D35" i="2"/>
  <c r="I99" i="1"/>
  <c r="L270" i="6"/>
  <c r="L271" s="1"/>
  <c r="I194" i="1"/>
  <c r="I133"/>
  <c r="M569" i="12"/>
  <c r="M568" s="1"/>
  <c r="M9"/>
  <c r="J45" i="10"/>
  <c r="D12" i="6"/>
  <c r="H32" i="1"/>
  <c r="H49" s="1"/>
  <c r="H209"/>
  <c r="H210" s="1"/>
  <c r="H148"/>
  <c r="F209"/>
  <c r="F210" s="1"/>
  <c r="F148"/>
  <c r="F149" s="1"/>
  <c r="I270" i="6"/>
  <c r="I271" s="1"/>
  <c r="F99" i="1"/>
  <c r="F93" s="1"/>
  <c r="K270" i="6"/>
  <c r="K271" s="1"/>
  <c r="H99" i="1"/>
  <c r="C209"/>
  <c r="C210" s="1"/>
  <c r="C148"/>
  <c r="J101"/>
  <c r="F661" i="2"/>
  <c r="F662" s="1"/>
  <c r="C99" i="1"/>
  <c r="J270" i="6"/>
  <c r="J271" s="1"/>
  <c r="G99" i="1"/>
  <c r="D92"/>
  <c r="F92"/>
  <c r="C16"/>
  <c r="I49"/>
  <c r="P31" i="2"/>
  <c r="D18"/>
  <c r="G90" i="1"/>
  <c r="G88" s="1"/>
  <c r="G12"/>
  <c r="F89"/>
  <c r="F88" s="1"/>
  <c r="F12"/>
  <c r="B32"/>
  <c r="B49" s="1"/>
  <c r="E135"/>
  <c r="F49" i="10"/>
  <c r="F52" s="1"/>
  <c r="E91" i="1"/>
  <c r="J138"/>
  <c r="J200" s="1"/>
  <c r="E8" i="2"/>
  <c r="B17" i="1"/>
  <c r="B16" s="1"/>
  <c r="B48" s="1"/>
  <c r="B122"/>
  <c r="B184" s="1"/>
  <c r="D339" i="2"/>
  <c r="L128" i="1"/>
  <c r="G49"/>
  <c r="J41"/>
  <c r="J32" s="1"/>
  <c r="J49" s="1"/>
  <c r="J147"/>
  <c r="J209" s="1"/>
  <c r="B209"/>
  <c r="B210" s="1"/>
  <c r="B148"/>
  <c r="O25"/>
  <c r="J59"/>
  <c r="O59" s="1"/>
  <c r="O60"/>
  <c r="J199"/>
  <c r="M588" i="12"/>
  <c r="M587" s="1"/>
  <c r="L588"/>
  <c r="L587" s="1"/>
  <c r="D291" i="6"/>
  <c r="J26" i="1"/>
  <c r="J132"/>
  <c r="J194" s="1"/>
  <c r="B194"/>
  <c r="D266" i="12"/>
  <c r="E16" i="1"/>
  <c r="L17"/>
  <c r="E184"/>
  <c r="E195" s="1"/>
  <c r="E133"/>
  <c r="K584" i="12"/>
  <c r="K583" s="1"/>
  <c r="K580"/>
  <c r="K579" s="1"/>
  <c r="D184" i="1"/>
  <c r="D133"/>
  <c r="I196"/>
  <c r="I183"/>
  <c r="K546" i="12" l="1"/>
  <c r="O29" i="1"/>
  <c r="J128"/>
  <c r="J189" s="1"/>
  <c r="M45"/>
  <c r="E97"/>
  <c r="E96" s="1"/>
  <c r="I107"/>
  <c r="M546" i="12"/>
  <c r="E193"/>
  <c r="D115" i="1"/>
  <c r="D114" s="1"/>
  <c r="D89"/>
  <c r="D88" s="1"/>
  <c r="I9" i="12"/>
  <c r="K8" i="10"/>
  <c r="D111" i="1"/>
  <c r="D660" i="2"/>
  <c r="D661" s="1"/>
  <c r="D662" s="1"/>
  <c r="D12" i="1"/>
  <c r="I134"/>
  <c r="L13"/>
  <c r="L89" s="1"/>
  <c r="P18" i="3"/>
  <c r="N98" i="1"/>
  <c r="J13"/>
  <c r="J90"/>
  <c r="J197"/>
  <c r="B91"/>
  <c r="B149" s="1"/>
  <c r="B135"/>
  <c r="B197" s="1"/>
  <c r="C13" i="12"/>
  <c r="D211"/>
  <c r="F94" i="1"/>
  <c r="G620" i="12"/>
  <c r="G622" s="1"/>
  <c r="G624" s="1"/>
  <c r="D195" i="1"/>
  <c r="D196" i="12"/>
  <c r="D121" i="1"/>
  <c r="D196" s="1"/>
  <c r="D117"/>
  <c r="E51" i="10"/>
  <c r="N7"/>
  <c r="N25"/>
  <c r="N45"/>
  <c r="N21"/>
  <c r="N13"/>
  <c r="N42"/>
  <c r="N19"/>
  <c r="N40"/>
  <c r="N17"/>
  <c r="N23"/>
  <c r="C89" i="1"/>
  <c r="C88" s="1"/>
  <c r="K13"/>
  <c r="M13" s="1"/>
  <c r="H196"/>
  <c r="K26"/>
  <c r="K16" s="1"/>
  <c r="G134"/>
  <c r="C12"/>
  <c r="G546" i="12" s="1"/>
  <c r="K25" i="10"/>
  <c r="P25" s="1"/>
  <c r="L25"/>
  <c r="K7"/>
  <c r="P7" s="1"/>
  <c r="L7"/>
  <c r="M14" i="1"/>
  <c r="K90"/>
  <c r="B93"/>
  <c r="J135"/>
  <c r="C115"/>
  <c r="C114" s="1"/>
  <c r="C111"/>
  <c r="N291" i="6"/>
  <c r="M291"/>
  <c r="N13" i="1"/>
  <c r="I195"/>
  <c r="K194"/>
  <c r="J100"/>
  <c r="H48" i="10"/>
  <c r="H51" s="1"/>
  <c r="F9" i="12"/>
  <c r="C39"/>
  <c r="E37"/>
  <c r="E12" s="1"/>
  <c r="G45" i="10"/>
  <c r="G51" s="1"/>
  <c r="D45"/>
  <c r="J51"/>
  <c r="C119" i="1"/>
  <c r="O18"/>
  <c r="C149"/>
  <c r="C135"/>
  <c r="C197" s="1"/>
  <c r="B121"/>
  <c r="N17"/>
  <c r="O17" s="1"/>
  <c r="C48"/>
  <c r="N16"/>
  <c r="N14"/>
  <c r="O14" s="1"/>
  <c r="N26"/>
  <c r="O26" s="1"/>
  <c r="D11" i="2"/>
  <c r="F121" i="1"/>
  <c r="F196" s="1"/>
  <c r="D49" i="10"/>
  <c r="D52" s="1"/>
  <c r="F213" i="1"/>
  <c r="F197"/>
  <c r="L26"/>
  <c r="L16" s="1"/>
  <c r="F97"/>
  <c r="F96" s="1"/>
  <c r="F194"/>
  <c r="F195" s="1"/>
  <c r="F133"/>
  <c r="F134" s="1"/>
  <c r="J9" i="12"/>
  <c r="J546" s="1"/>
  <c r="C46" i="10"/>
  <c r="F45"/>
  <c r="E12" i="1"/>
  <c r="I546" i="12" s="1"/>
  <c r="E89" i="1"/>
  <c r="E88" s="1"/>
  <c r="E49" i="10"/>
  <c r="E52" s="1"/>
  <c r="D119" i="1"/>
  <c r="D135"/>
  <c r="D91"/>
  <c r="G270" i="6"/>
  <c r="G271" s="1"/>
  <c r="J99" i="1"/>
  <c r="J93" s="1"/>
  <c r="D209"/>
  <c r="D148"/>
  <c r="J148"/>
  <c r="I97"/>
  <c r="I96" s="1"/>
  <c r="I93"/>
  <c r="I49" i="10"/>
  <c r="I52" s="1"/>
  <c r="H135" i="1"/>
  <c r="H91"/>
  <c r="H149" s="1"/>
  <c r="H97"/>
  <c r="H93"/>
  <c r="C93"/>
  <c r="C94" s="1"/>
  <c r="C97"/>
  <c r="E270" i="6"/>
  <c r="E271" s="1"/>
  <c r="G97" i="1"/>
  <c r="G96" s="1"/>
  <c r="G93"/>
  <c r="J49" i="10"/>
  <c r="J52" s="1"/>
  <c r="I135" i="1"/>
  <c r="I91"/>
  <c r="B195"/>
  <c r="G107"/>
  <c r="L90"/>
  <c r="F107"/>
  <c r="B133"/>
  <c r="C49" i="10"/>
  <c r="E94" i="1"/>
  <c r="E212"/>
  <c r="E213" s="1"/>
  <c r="E197"/>
  <c r="E149"/>
  <c r="D406" i="12"/>
  <c r="B90" i="1"/>
  <c r="G135"/>
  <c r="H49" i="10"/>
  <c r="H52" s="1"/>
  <c r="G91" i="1"/>
  <c r="J210"/>
  <c r="K588" i="12"/>
  <c r="K587" s="1"/>
  <c r="B89" i="1"/>
  <c r="B12"/>
  <c r="D302" i="6"/>
  <c r="C48" i="10"/>
  <c r="C51" s="1"/>
  <c r="L194" i="1"/>
  <c r="Q194"/>
  <c r="D9" i="6"/>
  <c r="J16" i="1"/>
  <c r="J48" s="1"/>
  <c r="G196"/>
  <c r="G183"/>
  <c r="E48"/>
  <c r="L48" s="1"/>
  <c r="M48" i="10" s="1"/>
  <c r="D134" i="1" l="1"/>
  <c r="E104"/>
  <c r="K46" i="10"/>
  <c r="P8"/>
  <c r="D107" i="1"/>
  <c r="H546" i="12"/>
  <c r="D118" i="1"/>
  <c r="M48"/>
  <c r="N48" s="1"/>
  <c r="J97"/>
  <c r="J212"/>
  <c r="J213" s="1"/>
  <c r="D149"/>
  <c r="H94"/>
  <c r="B94"/>
  <c r="D36" i="12"/>
  <c r="D210" i="1"/>
  <c r="M99"/>
  <c r="M97" s="1"/>
  <c r="D183"/>
  <c r="E134"/>
  <c r="C107"/>
  <c r="L45" i="10"/>
  <c r="J119" i="1"/>
  <c r="J91"/>
  <c r="K49" i="10"/>
  <c r="K12" i="1"/>
  <c r="L48" i="10" s="1"/>
  <c r="K89" i="1"/>
  <c r="K88" s="1"/>
  <c r="K48"/>
  <c r="N302" i="6"/>
  <c r="M302"/>
  <c r="D48" i="10"/>
  <c r="D51" s="1"/>
  <c r="M45"/>
  <c r="L12" i="1"/>
  <c r="F183"/>
  <c r="E9" i="12"/>
  <c r="C212" i="1"/>
  <c r="C213" s="1"/>
  <c r="N12"/>
  <c r="B107"/>
  <c r="C52" i="10"/>
  <c r="F104" i="1"/>
  <c r="K45" i="10"/>
  <c r="E107" i="1"/>
  <c r="D93"/>
  <c r="D94" s="1"/>
  <c r="D97"/>
  <c r="D197"/>
  <c r="D212"/>
  <c r="L88"/>
  <c r="H96"/>
  <c r="H104"/>
  <c r="H197"/>
  <c r="H212"/>
  <c r="H213" s="1"/>
  <c r="C96"/>
  <c r="C104"/>
  <c r="B97"/>
  <c r="B96" s="1"/>
  <c r="O16"/>
  <c r="I212"/>
  <c r="I213" s="1"/>
  <c r="I197"/>
  <c r="I104"/>
  <c r="I149"/>
  <c r="I94"/>
  <c r="B88"/>
  <c r="B134" s="1"/>
  <c r="B212"/>
  <c r="B213" s="1"/>
  <c r="G104"/>
  <c r="G94"/>
  <c r="G149"/>
  <c r="G197"/>
  <c r="G212"/>
  <c r="G213" s="1"/>
  <c r="J115"/>
  <c r="J114" s="1"/>
  <c r="J89"/>
  <c r="J88" s="1"/>
  <c r="J12"/>
  <c r="J107" s="1"/>
  <c r="O13"/>
  <c r="B196"/>
  <c r="B183"/>
  <c r="F48" i="10"/>
  <c r="F51" s="1"/>
  <c r="E121" i="1"/>
  <c r="K48" i="10"/>
  <c r="K52" l="1"/>
  <c r="J94" i="1"/>
  <c r="J104"/>
  <c r="J96"/>
  <c r="D213"/>
  <c r="L51" i="10"/>
  <c r="J149" i="1"/>
  <c r="K51" i="10"/>
  <c r="M51"/>
  <c r="D96" i="1"/>
  <c r="D104"/>
  <c r="N99"/>
  <c r="N97" s="1"/>
  <c r="B104"/>
  <c r="O12"/>
  <c r="M50"/>
  <c r="N50" s="1"/>
  <c r="E196"/>
  <c r="E183"/>
  <c r="D14" i="4"/>
  <c r="D13" s="1"/>
  <c r="D96" i="12" l="1"/>
  <c r="F19" i="13"/>
  <c r="D19"/>
  <c r="D18" s="1"/>
  <c r="F18"/>
  <c r="F107" s="1"/>
  <c r="F88" s="1"/>
  <c r="M88" s="1"/>
  <c r="M87" s="1"/>
  <c r="M86" s="1"/>
  <c r="M91" i="1" l="1"/>
  <c r="M93" s="1"/>
  <c r="L97"/>
  <c r="L96" s="1"/>
  <c r="P20" i="13"/>
  <c r="F87"/>
  <c r="F86" s="1"/>
  <c r="N87"/>
  <c r="N86" s="1"/>
  <c r="C65" i="1"/>
  <c r="K65" s="1"/>
  <c r="D107" i="13"/>
  <c r="D88" s="1"/>
  <c r="D87" s="1"/>
  <c r="D86" s="1"/>
  <c r="M92" i="1" l="1"/>
  <c r="K64"/>
  <c r="K63" s="1"/>
  <c r="K122"/>
  <c r="K133" s="1"/>
  <c r="J65"/>
  <c r="N65"/>
  <c r="N96"/>
  <c r="C122"/>
  <c r="C64"/>
  <c r="N64" s="1"/>
  <c r="O65" l="1"/>
  <c r="J122"/>
  <c r="J64"/>
  <c r="C63"/>
  <c r="N63" s="1"/>
  <c r="C184"/>
  <c r="C195" s="1"/>
  <c r="C133"/>
  <c r="C134" s="1"/>
  <c r="L64"/>
  <c r="L63" s="1"/>
  <c r="M59" s="1"/>
  <c r="L122"/>
  <c r="L133" s="1"/>
  <c r="C85" l="1"/>
  <c r="J63"/>
  <c r="O64"/>
  <c r="J133"/>
  <c r="J134" s="1"/>
  <c r="J184"/>
  <c r="J195" l="1"/>
  <c r="K85"/>
  <c r="K121" s="1"/>
  <c r="C106"/>
  <c r="J85"/>
  <c r="O63"/>
  <c r="C117"/>
  <c r="C118" s="1"/>
  <c r="L121"/>
  <c r="C121"/>
  <c r="J106" l="1"/>
  <c r="N85"/>
  <c r="J121"/>
  <c r="J117"/>
  <c r="J118" s="1"/>
  <c r="C196"/>
  <c r="C183"/>
  <c r="J196" l="1"/>
  <c r="J183"/>
  <c r="M8" i="8"/>
</calcChain>
</file>

<file path=xl/comments1.xml><?xml version="1.0" encoding="utf-8"?>
<comments xmlns="http://schemas.openxmlformats.org/spreadsheetml/2006/main">
  <authors>
    <author>Magdalena Zielińska</author>
  </authors>
  <commentList>
    <comment ref="F645" authorId="0">
      <text>
        <r>
          <rPr>
            <b/>
            <sz val="9"/>
            <color indexed="81"/>
            <rFont val="Tahoma"/>
            <family val="2"/>
            <charset val="238"/>
          </rPr>
          <t>Magdalena Zielińska:</t>
        </r>
        <r>
          <rPr>
            <sz val="9"/>
            <color indexed="81"/>
            <rFont val="Tahoma"/>
            <family val="2"/>
            <charset val="238"/>
          </rPr>
          <t xml:space="preserve">
PF wprowadzone do budżetu uchwałami Zarządu WZ</t>
        </r>
      </text>
    </comment>
  </commentList>
</comments>
</file>

<file path=xl/sharedStrings.xml><?xml version="1.0" encoding="utf-8"?>
<sst xmlns="http://schemas.openxmlformats.org/spreadsheetml/2006/main" count="4539" uniqueCount="794">
  <si>
    <t>ZESTAWIENIE DOCHODÓW I WYDATKÓW  PLANOWANYCH  NA  PRZEDSIĘWZIĘCIA FINANSOWANE
 ZE ŚRODKÓW WŁASNYCH ORAZ PRZY WSPÓŁUDZIALE ŚRODKÓW, O KTÓRYCH MOWA W ART. 5 UST. 1 PKT 2 I 3 UFP, WG  ŹRÓDEŁ FINANSOWANIA</t>
  </si>
  <si>
    <t>1. ZBIORCZE ZESTAWIENIE DOCHODÓW I WYDATKÓW PRZEDSIĘWZIĘĆ FINANSOWANYCH  PRZY WSPÓŁUDZIALE ŚRODKÓW, O KTÓRYCH MOWA W ART. 5 UST. 1 PKT 2 I 3 UFP  WG ŹRÓDEŁ FINANSOWANIA</t>
  </si>
  <si>
    <t>Zrealizowane nakłady/uzyskane dochody</t>
  </si>
  <si>
    <t>Razem 
w latach planu</t>
  </si>
  <si>
    <t>Wyszczególnienie</t>
  </si>
  <si>
    <t>2017 r.</t>
  </si>
  <si>
    <t>2018 r.</t>
  </si>
  <si>
    <t>Wydatki budżetu ogółem, z tego:</t>
  </si>
  <si>
    <t xml:space="preserve"> - wydatki  bieżące </t>
  </si>
  <si>
    <t xml:space="preserve"> - wydatki majątkowe</t>
  </si>
  <si>
    <t>Wydatki ogółem, z tego:</t>
  </si>
  <si>
    <t>środki z budżetu krajowego, z tego:</t>
  </si>
  <si>
    <t>środki z budżetu województwa</t>
  </si>
  <si>
    <t>dotacje celowe z budżetu państwa</t>
  </si>
  <si>
    <t xml:space="preserve">dotacje z budżetu państwa na zadania zlecone </t>
  </si>
  <si>
    <t>dotacje celowe od innych jst</t>
  </si>
  <si>
    <t xml:space="preserve">środki z funduszy </t>
  </si>
  <si>
    <t>dotacje z budżetu państwa - kontrakt wojewódzki</t>
  </si>
  <si>
    <t>środki z budżetu UE, z tego:</t>
  </si>
  <si>
    <t xml:space="preserve">środki z innych źródeł </t>
  </si>
  <si>
    <t>środki z Unii Europejskiej</t>
  </si>
  <si>
    <t>dotacje celowe / płatności z UE</t>
  </si>
  <si>
    <t>Dochody ogółem, z tego:</t>
  </si>
  <si>
    <t>X</t>
  </si>
  <si>
    <t xml:space="preserve">środki z budżetu krajowego, z tego: </t>
  </si>
  <si>
    <t xml:space="preserve">środki na wkład własny krajowy </t>
  </si>
  <si>
    <t>środki na dofinansowanie własnych inwestycji pozyskane z innych źródeł</t>
  </si>
  <si>
    <t>Wydatki z budżetu województwa ogółem</t>
  </si>
  <si>
    <t>Dochody budżetu województwa ogółem</t>
  </si>
  <si>
    <t>2. ZBIORCZE  ZESTAWIENIE DOCHODÓW I WYDATKÓW  POZOSTAŁYCH  PRZEDSIĘWZIĘĆ  WG  ŹRÓDEŁ FINANSOWANIA</t>
  </si>
  <si>
    <t xml:space="preserve"> - wydatki majątkowe </t>
  </si>
  <si>
    <t>środki z budżetu województwa *</t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</si>
  <si>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</si>
  <si>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</si>
  <si>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</si>
  <si>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</si>
  <si>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RAZEM WYDATKI BUDŻETU WOJEWÓDZTWA</t>
  </si>
  <si>
    <t xml:space="preserve"> - WYDATKI BIEŻĄCE </t>
  </si>
  <si>
    <t xml:space="preserve"> - WYDATKI MAJĄTKOWE</t>
  </si>
  <si>
    <t>RAZEM DOCHODY BUDŻETU WOJEWÓDZTWA</t>
  </si>
  <si>
    <t xml:space="preserve"> - DOCHODY BIEŻĄCE</t>
  </si>
  <si>
    <t xml:space="preserve"> - DOCHODY MAJĄTKOWE</t>
  </si>
  <si>
    <t>sprawdzenie</t>
  </si>
  <si>
    <t>Część I - UE</t>
  </si>
  <si>
    <t>DOCHODY BUDŻETU WOJEWÓDZTWA -RAZEM</t>
  </si>
  <si>
    <t>Część II - POZOSTAŁE</t>
  </si>
  <si>
    <t>Razem</t>
  </si>
  <si>
    <t>sprawdzenie   wydatki</t>
  </si>
  <si>
    <t>sprawdzenie    DOCHODY</t>
  </si>
  <si>
    <t xml:space="preserve">środki z budżetu województwa </t>
  </si>
  <si>
    <t>dotacje celowe dla jos</t>
  </si>
  <si>
    <t>dotacje z budżetu państwa na zadania zlecone - wkład własny</t>
  </si>
  <si>
    <t>środki z funduszy celowych</t>
  </si>
  <si>
    <t>dotacje z budżetu państwa na zadania zlecone -wkład unijny</t>
  </si>
  <si>
    <t>środki na wkład własny krajowy</t>
  </si>
  <si>
    <t>dotacje z budżetu państwa na zadania zlecone (WK)</t>
  </si>
  <si>
    <t>dotacje z budżetu państwa na zadania zlecone (WE)</t>
  </si>
  <si>
    <t>dotacje z budżetu państwa na zadania zlecone  (WK)</t>
  </si>
  <si>
    <t>dotacje z budżetu państwa na zadania zlecone  (WE)</t>
  </si>
  <si>
    <t xml:space="preserve">ZMIANY WYDATKI </t>
  </si>
  <si>
    <t xml:space="preserve">ZMIANY DOCHODY </t>
  </si>
  <si>
    <t>x</t>
  </si>
  <si>
    <t>środki z funduszy</t>
  </si>
  <si>
    <t>1.</t>
  </si>
  <si>
    <t>2.</t>
  </si>
  <si>
    <t>3.</t>
  </si>
  <si>
    <t>4.</t>
  </si>
  <si>
    <t>5.</t>
  </si>
  <si>
    <t xml:space="preserve"> </t>
  </si>
  <si>
    <t>Koncepcja obejścia m Gryfice w ciągu drogi woj. Nr 105 (zachodnie obejscie Gryfic  
w powiązaniu  z drogą  nr 110, drogami gminnymi i powiatowymi)</t>
  </si>
  <si>
    <r>
      <t xml:space="preserve">Tabela Nr 6A  </t>
    </r>
    <r>
      <rPr>
        <i/>
        <sz val="12"/>
        <rFont val="Arial CE"/>
        <charset val="238"/>
      </rPr>
      <t>do Załącznika Nr 3</t>
    </r>
  </si>
  <si>
    <t>Klasyfikacja budżetowa</t>
  </si>
  <si>
    <t>Planowana wartość kosztorysowa zadania / planowane dochody uzyskane na realizację zadania</t>
  </si>
  <si>
    <t xml:space="preserve">Jednostka organizacyjna odpowiedzialna
za realizację </t>
  </si>
  <si>
    <t>Lp</t>
  </si>
  <si>
    <t>Nazwa zadania 
(Lokalizacja)</t>
  </si>
  <si>
    <t>Wydatki z budżetu ogółem, z tego:</t>
  </si>
  <si>
    <t xml:space="preserve"> - wydatki bieżące</t>
  </si>
  <si>
    <t xml:space="preserve">dotacje celowe z budżetu państwa </t>
  </si>
  <si>
    <t>środki z innych źródeł</t>
  </si>
  <si>
    <t>środki na dofinansowanie inwestycji pozyskane z innych źródeł</t>
  </si>
  <si>
    <t>I</t>
  </si>
  <si>
    <t>majątkowe</t>
  </si>
  <si>
    <t>KONTRAKT</t>
  </si>
  <si>
    <t xml:space="preserve">ZZDW w Koszalinie
</t>
  </si>
  <si>
    <t>rozdz. 60013</t>
  </si>
  <si>
    <t>rozdz. 75861</t>
  </si>
  <si>
    <t>ZZDW w Koszalinie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</si>
  <si>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</si>
  <si>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</si>
  <si>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</si>
  <si>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</si>
  <si>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</si>
  <si>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</si>
  <si>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</si>
  <si>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</si>
  <si>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</si>
  <si>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</si>
  <si>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</si>
  <si>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rozdz. 60001</t>
  </si>
  <si>
    <t>18.</t>
  </si>
  <si>
    <t>środki z budżetu UE, w tego:</t>
  </si>
  <si>
    <t>ZZDWw Koszalinie</t>
  </si>
  <si>
    <t>WIiT</t>
  </si>
  <si>
    <t>PROJEKTY  REALIZOWANE  W  RAMACH PO INFRASTRUKTURA I ŚRODOWISKO</t>
  </si>
  <si>
    <t>20.</t>
  </si>
  <si>
    <t xml:space="preserve">WIiT </t>
  </si>
  <si>
    <t>środki z funduszy celowych - Fundusz Kolejowy</t>
  </si>
  <si>
    <t xml:space="preserve">dotacje celowe z budzetu państwa </t>
  </si>
  <si>
    <t>pozostałe środki</t>
  </si>
  <si>
    <t>bieżące</t>
  </si>
  <si>
    <t>WWT</t>
  </si>
  <si>
    <t>rozdz. 60095</t>
  </si>
  <si>
    <t>rodz. 60095</t>
  </si>
  <si>
    <t>II. POZOSTAŁE  PRZEDSIĘWZIĘCIA W ZAKRESIE TRANSPORTU I ŁĄCZNOŚCI</t>
  </si>
  <si>
    <t>dotacja celowa od innych jst</t>
  </si>
  <si>
    <t>6.</t>
  </si>
  <si>
    <t>I. PRZEDSIĘWZIĘCIA FINANSOWANE PRZY WSPÓŁUDZIALE ŚRODKÓW, O KTÓRYCH MOWA W ART. 5 UST. 1 PKT 2 I 3 UFP  W ZAKRESIE POLITYKI  SPOŁECZNEJ  I  ROZWOJU  PRZEDSIĘBIORCZOŚCI</t>
  </si>
  <si>
    <t>Planowana wartość kosztorysowa zadania / dochody uzyskane na realizację zadania</t>
  </si>
  <si>
    <t>3</t>
  </si>
  <si>
    <t>4</t>
  </si>
  <si>
    <t>rozdz. 
85332</t>
  </si>
  <si>
    <t>dotacja z budżetu województwa dla jos</t>
  </si>
  <si>
    <t>dotacje celowe od innych jst (pomoc finansowa i porozumienia)</t>
  </si>
  <si>
    <t>rozdz. 85111</t>
  </si>
  <si>
    <t>środki własne jos</t>
  </si>
  <si>
    <t>dotacja z budżetu wojewodztwa dla jos</t>
  </si>
  <si>
    <t>rozdz. 75704</t>
  </si>
  <si>
    <t>środki  z budżetu województwa</t>
  </si>
  <si>
    <r>
      <t xml:space="preserve">Tabela Nr 6D </t>
    </r>
    <r>
      <rPr>
        <i/>
        <sz val="12"/>
        <rFont val="Arial CE"/>
        <charset val="238"/>
      </rPr>
      <t xml:space="preserve"> do Załącznika Nr 3</t>
    </r>
  </si>
  <si>
    <t>I. PRZEDSIĘWZIĘCIA  FINANSOWANE PRZY WSPÓŁUDZIALE ŚRODKÓW, O KTÓRYCH MOWA W ART. 5 UST. 1 PKT 2 I 3 UFP W ZAKRESIE OŚWIATY I EDUKACYJNEJ OPIEKI WYCHOWAWCZEJ</t>
  </si>
  <si>
    <t>Planowana wartość kosztorysowa zadania /  dochody uzyskane na realizację zadania</t>
  </si>
  <si>
    <t xml:space="preserve">
Sekretariat ds.Młodzieży Województwa Zachodnio - pomorskiego 
pod nadzorem WWT</t>
  </si>
  <si>
    <t>rozdz. 80195</t>
  </si>
  <si>
    <t>Centrum Edukacji Nauczycieli w Koszalinie - nadzór WEiS</t>
  </si>
  <si>
    <t>rozdz. 80146</t>
  </si>
  <si>
    <t>II. POZOSTAŁE PRZEDSIĘWZIĘCIA  INWESTYCYJNE W ZAKRESIE OŚWIATY I EDUKACYJNEJ OPIEKI WYCHOWAWCZEJ</t>
  </si>
  <si>
    <t>dotacja z budżetu państwa (poza budżetem)</t>
  </si>
  <si>
    <t xml:space="preserve">dotacja z budżetu województwa </t>
  </si>
  <si>
    <t>środki budżetu województwa  (np.zwrot podatku VAT)</t>
  </si>
  <si>
    <t>Modernizacja Policealnej Szkoły Medycznej w Szczecinie - Wojewódzkiego Zespołu Szkół Policealnych w Szczecinie (2009-2016) Etap I i II</t>
  </si>
  <si>
    <t>Policealna Szkoła Medyczna 
w Szczecinie / Wojewódzki Zespół Szkół Policealnych w Szczecinie - nadzór WEiS</t>
  </si>
  <si>
    <t>rozdz. 
80130
85410</t>
  </si>
  <si>
    <t>Opracowanie projektu i modernizacja obiektu 
przy ul. J. Sowińskiego 68 w Szczecinie w zakresie montażu klimatyzacji (2011-2012)</t>
  </si>
  <si>
    <t>Zachodniopomorskie Centrum Doskonalenia Nauczycieli - nadzór WEiS</t>
  </si>
  <si>
    <t>rozdz.       80146</t>
  </si>
  <si>
    <t>rozdz.
80395</t>
  </si>
  <si>
    <t>środki budżetu województwa  (zwrot podatku VAT)</t>
  </si>
  <si>
    <t xml:space="preserve">I. PRZEDSIĘWZIĘCIA FINANSOWANE PRZY WSPÓŁUDZIALE ŚRODKÓW, O KTÓRYCH MOWA W ART. 5 UST. 1 PKT 2 I 3 UFP W ZAKRESIE ADMINISTRACJI I  TELEKOMUNIKACJI </t>
  </si>
  <si>
    <t>rozdz. 75018</t>
  </si>
  <si>
    <t>z tego:</t>
  </si>
  <si>
    <t xml:space="preserve"> - WZS</t>
  </si>
  <si>
    <t xml:space="preserve"> - WW RPO</t>
  </si>
  <si>
    <t xml:space="preserve"> - WOiRZL</t>
  </si>
  <si>
    <t xml:space="preserve"> - GM</t>
  </si>
  <si>
    <t xml:space="preserve">II. POZOSTAŁE  PRZEDSIĘWZIĘCIA  W ZAKRESIE ADMINISTRACJI I  TELEKOMUNIKACJI </t>
  </si>
  <si>
    <t>rozdz. 70005</t>
  </si>
  <si>
    <t xml:space="preserve">II. POZOSTAŁE PRZEDSIĘWZIĘCIA INWESTYCYJNE W ZAKRESIE KULTURY I OCHRONY DZIEDZICTWA NARODOWEGO </t>
  </si>
  <si>
    <t xml:space="preserve">dotacje z budżetu województwa dla jos </t>
  </si>
  <si>
    <t>Muzeum Narodowe w Szczecinie - nadzór WKNiDN</t>
  </si>
  <si>
    <t>rozdz. 92118</t>
  </si>
  <si>
    <t>Opera na Zamku 
w Szczecinie - nadzór WKNiDN</t>
  </si>
  <si>
    <t>rozdz. 92106</t>
  </si>
  <si>
    <t>Teatr Polski 
w Szczecinie - nadzór WKNiDN</t>
  </si>
  <si>
    <t>Zamek Książąt Pomorskich 
w Szczecinie - nadzór WKNiDN</t>
  </si>
  <si>
    <t>rozdz.
92109</t>
  </si>
  <si>
    <t>Zachodniopomorski Zarząd Melioracji i Urządzeń Wodnych pod nadzorem Wydziału Rolnictwa i Rybactwa</t>
  </si>
  <si>
    <t>rozdz. 01008</t>
  </si>
  <si>
    <t>rozdz. 01041</t>
  </si>
  <si>
    <t xml:space="preserve">II. POZOSTAŁE  PRZEDSIĘWZIĘCIA W ZAKRESIE ROLNICTWA I OCHRONY ŚRODOWISKA </t>
  </si>
  <si>
    <t>I. PRZEDSIĘWZIĘCIA FINANSOWANE PRZY WSPÓŁUDZIALE ŚRODKÓW, O KTÓRYCH MOWA W ART. 5 UST. 1 PKT 2 I 3 UFP W ZAKRESIE KULTURY FIZYCZNEJ  I TURYSTYKI</t>
  </si>
  <si>
    <t>rozdz. 63003</t>
  </si>
  <si>
    <t xml:space="preserve">bieżące </t>
  </si>
  <si>
    <t xml:space="preserve">II. POZOSTAŁE  PRZEDSIĘWZIĘCIA  W ZAKRESIE KULTURY FIZYCZNEJ I TURYSTYKI </t>
  </si>
  <si>
    <t>WEiS</t>
  </si>
  <si>
    <t>rozdz. 92605      92695</t>
  </si>
  <si>
    <t>dotacja z budżetu województwa</t>
  </si>
  <si>
    <t xml:space="preserve">ZESTAWIENIE DOCHODÓW I WYDATKÓW  PLANOWANYCH  NA  PRZEDSIĘWZIĘCIA FINANSOWANE PRZY WSPÓŁUDZIALE ŚRODKÓW, O KTÓRYCH MOWA W ART. 5 UST. 1 PKT 2 I 3 UFP, WG  ŹRÓDEŁ FINANSOWANIA </t>
  </si>
  <si>
    <t>RPO WZ  -  wydatki</t>
  </si>
  <si>
    <t>RPO WZ  -  dochody</t>
  </si>
  <si>
    <t>PO KL - wydatki</t>
  </si>
  <si>
    <t>PO KL - dochody</t>
  </si>
  <si>
    <t>PO IiŚ - wydatki</t>
  </si>
  <si>
    <t>PO IiŚ - dochody</t>
  </si>
  <si>
    <t>PROW - wydatki</t>
  </si>
  <si>
    <t>PROW - dochody</t>
  </si>
  <si>
    <t>PO RYBY - wydatki</t>
  </si>
  <si>
    <t>PO RYBY - dochody</t>
  </si>
  <si>
    <t>Instrument Finansowy LIFE+ (wydatki)</t>
  </si>
  <si>
    <t>Instrument Finansowy LIFE+ (dochody)</t>
  </si>
  <si>
    <t>PO Pomoc Techniczna - wydatki</t>
  </si>
  <si>
    <t>PO Pomoc Techniczna - dochody</t>
  </si>
  <si>
    <t>PO Innowacyjna Gospodarka - wydatki</t>
  </si>
  <si>
    <t>PO Innowacyjna Gospodarka - dochody</t>
  </si>
  <si>
    <t>Program EWT - wydatki</t>
  </si>
  <si>
    <t>Program EWT- dochody</t>
  </si>
  <si>
    <t>OGÓŁEM    WYDATKI</t>
  </si>
  <si>
    <t>OGÓŁEM  DOCHODY</t>
  </si>
  <si>
    <t>sprawdzenie z załacznika Nr 2 - WYDATKI</t>
  </si>
  <si>
    <t>sprawdzenie z załacznika Nr 2 - DOCHODY</t>
  </si>
  <si>
    <t>RÓŻNICE</t>
  </si>
  <si>
    <t xml:space="preserve"> PROJEKTY  INWESTYCYJNE</t>
  </si>
  <si>
    <t>Udział środków UE w realizacji projektu (min. 60%)</t>
  </si>
  <si>
    <t>Nr decyzji</t>
  </si>
  <si>
    <t xml:space="preserve">Planowana wartość kosztorysowa zadania </t>
  </si>
  <si>
    <t>Wydatki ogółem, w tym:</t>
  </si>
  <si>
    <t xml:space="preserve">środki z budżetu krajowego (środki z budżetu województwa - WW) </t>
  </si>
  <si>
    <t>środki z budżetu UE (płatności z UE)</t>
  </si>
  <si>
    <t>Akademia Sztuki             w Szczecinie pod nadzorem Wydziału Edukacji  i Sportu</t>
  </si>
  <si>
    <t>I. PRZEDSIĘWZIĘCIA FINANSOWANE PRZY WSPÓŁUDZIALE ŚRODKÓW, O KTÓRYCH MOWA W ART. 5 UST. 1 PKT 2 I 3 UFP W ZAKRESIE ROZWOJU REGIONALNEGO I PLANOWANIA PRZESTRZENNEGO</t>
  </si>
  <si>
    <t>rodz. 71095</t>
  </si>
  <si>
    <t>rodz. 75862</t>
  </si>
  <si>
    <t>Modernizacja budynku internatu przy pl. Orła Białego 2 
w Szczecinie Akademii Sztuki w Szczecinie  (2013-2015)</t>
  </si>
  <si>
    <t>rozdz. 75095</t>
  </si>
  <si>
    <t>2019 r.</t>
  </si>
  <si>
    <t xml:space="preserve">2020 r. </t>
  </si>
  <si>
    <t>2020 r.</t>
  </si>
  <si>
    <t>Akademia Sztuki   
w Szczecinie 
pod nadzorem Wydziału Edukacji  
i Sportu</t>
  </si>
  <si>
    <t xml:space="preserve">Dofinansowanie kolejowych przewozów pasażerskich (2013-2020) </t>
  </si>
  <si>
    <t>Objęcie nowych udziałów w Spółce Port Lotniczy Szczecin-Goleniów (2008-2020)</t>
  </si>
  <si>
    <t>środki  budżetu województwa (w tym zwrot podatku VAT)</t>
  </si>
  <si>
    <t>środki budżetu województwa</t>
  </si>
  <si>
    <t>środki własne budżetu województwa</t>
  </si>
  <si>
    <t>rozdz. 92502</t>
  </si>
  <si>
    <t>Parki Krajobrazowe Województwa Zachodniopomorskiego nadzór WTiG</t>
  </si>
  <si>
    <t>Środki z budżetu krajowego, z tego:</t>
  </si>
  <si>
    <t>rozdz. 75863</t>
  </si>
  <si>
    <t>Pozostałe projekty współfinansowane ze śrdoków Unii Europejskiej - wydatki</t>
  </si>
  <si>
    <t>Pozostałe projekty współfinansowane ze śrdoków Unii Europejskiej -  dochody</t>
  </si>
  <si>
    <t>22.</t>
  </si>
  <si>
    <t>23.</t>
  </si>
  <si>
    <t>WTiG</t>
  </si>
  <si>
    <t>RPO WZ NA LATA 2014 - 2020</t>
  </si>
  <si>
    <t>A</t>
  </si>
  <si>
    <t>B</t>
  </si>
  <si>
    <t xml:space="preserve">II. POZOSTAŁE PRZEDSIĘWZIĘCIA W ZAKRESIE OCHRONY ZDROWIA </t>
  </si>
  <si>
    <t>I. PRZEDSIĘWZIĘCIA FINANSOWANE PRZY WSPÓŁUDZIALE ŚRODKÓW, O KTÓRYCH MOWA W ART. 5 UST. 1 PKT 2 I 3 UFP W ZAKRESIE TRANSPORTU I ŁĄCZNOŚCI</t>
  </si>
  <si>
    <t xml:space="preserve">I. PRZEDSIĘWZIĘCIA INWESTYCYJNE FINANSOWANE PRZY WSPÓŁUDZIALE ŚRODKÓW, O KTÓRYCH MOWA W ART. 5 UST. 1 PKT 2 I 3 UFP W ZAKRESIE ROLNICTWA I OCHRONY ŚRODOWISKA </t>
  </si>
  <si>
    <t>WZS/ WIiT</t>
  </si>
  <si>
    <t>rodz.  75863</t>
  </si>
  <si>
    <t xml:space="preserve">PROJEKTY REALIZOWANE W RAMACH POZOSTAŁYCH FUNDUSZY UE </t>
  </si>
  <si>
    <t>Lider Zachodniopomorski w ramach Programu "Młodzież w działaniu", Akcja 5.1. - Spotkania młodzieży i osób odpowiedzialnych za politykę młodzieżową (2013-2014)</t>
  </si>
  <si>
    <r>
      <t>Akademia Zmienia Szczecin - Modernizacja Pałacu pod Globusem</t>
    </r>
    <r>
      <rPr>
        <sz val="9"/>
        <rFont val="Arial CE"/>
        <charset val="238"/>
      </rPr>
      <t xml:space="preserve"> w ramach RPO WZ, Osi VI: Rozwój Funkcji Metropolitarnych</t>
    </r>
    <r>
      <rPr>
        <b/>
        <sz val="9"/>
        <rFont val="Arial CE"/>
        <family val="2"/>
        <charset val="238"/>
      </rPr>
      <t xml:space="preserve"> (2013-2014)</t>
    </r>
  </si>
  <si>
    <t xml:space="preserve">dotacje celowe  z budżetu państwa </t>
  </si>
  <si>
    <t>środki z Unii Europejskiej (refundacja)</t>
  </si>
  <si>
    <t>IW INTERREG NA LATA 2014 - 2020</t>
  </si>
  <si>
    <t>spr źródeł</t>
  </si>
  <si>
    <t>spr doch suma dziedzin</t>
  </si>
  <si>
    <t>poręczenia dla ZOZ-ów</t>
  </si>
  <si>
    <t>czekam na pismo do uzunięcia</t>
  </si>
  <si>
    <t>PROJEKTY  REALIZOWANE  W  RAMACH RPO WZ 2007-2013 oraz RPO WZ 2014 - 2020</t>
  </si>
  <si>
    <t>rozdz. 75864</t>
  </si>
  <si>
    <t xml:space="preserve"> - Gmina i Miasto Koszalin</t>
  </si>
  <si>
    <t xml:space="preserve"> - WFOŚiGW</t>
  </si>
  <si>
    <t>spr</t>
  </si>
  <si>
    <r>
      <t>Dochody PT 2014-2020 w latach 2021-2023 (</t>
    </r>
    <r>
      <rPr>
        <b/>
        <sz val="10"/>
        <rFont val="Arial"/>
        <family val="2"/>
        <charset val="238"/>
      </rPr>
      <t>płatności)</t>
    </r>
  </si>
  <si>
    <t>Razem wydatki w latach 2014-2020</t>
  </si>
  <si>
    <t>Wydatki (WW) PT 2014-2020 - lata 2021-2023</t>
  </si>
  <si>
    <t>wydatki w latach 2021-23 PT RPO</t>
  </si>
  <si>
    <t>2023 r.</t>
  </si>
  <si>
    <t>2021 r.</t>
  </si>
  <si>
    <t>2022 r.</t>
  </si>
  <si>
    <t xml:space="preserve">2021 r. </t>
  </si>
  <si>
    <t xml:space="preserve">2022 r. </t>
  </si>
  <si>
    <t xml:space="preserve">2023 r. </t>
  </si>
  <si>
    <t>Oś X, Pomoc techniczna RPO WZ 2014 - 2020 (2015-2023)</t>
  </si>
  <si>
    <t>Zakupy inwestycyjne w ramach Osi X - Pomoc techniczna RPO WZ 2014 - 2020 (2015-2023)</t>
  </si>
  <si>
    <t>Zachodniopomorskie Centrum Kształcenia Zawodowego i Ustawicznego w Szczecinie - nadzór WEiS</t>
  </si>
  <si>
    <t>rozdz. 80130</t>
  </si>
  <si>
    <t>Zrealizowane nakłady/
uzyskane dochody</t>
  </si>
  <si>
    <t xml:space="preserve">Zrealizowane nakłady/
uzyskane dochody </t>
  </si>
  <si>
    <t xml:space="preserve"> - Gmina i Miasto Koszalin/ AZR</t>
  </si>
  <si>
    <t xml:space="preserve"> - WFOŚiGW/AZR</t>
  </si>
  <si>
    <t>Sieć Punktów Informacyjnych Funduszy Europejskich (PIFE) w Województwie Zachodniopomorskim w ramach PO Pomoc Techniczna (2015-2020)</t>
  </si>
  <si>
    <t>II. POZOSTAŁE  PRZEDSIĘWZIĘCIA  W ZAKRESIE ROZWOJU REGIONALNEGO I PLANOWANIA PRZESTRZENNEGO</t>
  </si>
  <si>
    <t>rozdz. 71003</t>
  </si>
  <si>
    <t>C.</t>
  </si>
  <si>
    <t>D.</t>
  </si>
  <si>
    <t>WYDATKI OGÓŁEM</t>
  </si>
  <si>
    <t>dotacje celowe / płatności z UE (w ramach działania 10.1 RPO WZ 2014-2020)</t>
  </si>
  <si>
    <t>dotacje celowe / płatności z UE (w ramach działania 2.13 RPO WZ 2014-2020)</t>
  </si>
  <si>
    <t>dotacje celowe / płatności z UE ( w ramach działania 2.1 RPO WZ 2014-2020)</t>
  </si>
  <si>
    <t>DOCHODY OGÓŁEM, z tego:</t>
  </si>
  <si>
    <t>DOCHODY OGÓŁEM</t>
  </si>
  <si>
    <t>Konsolidacja siedziby Urzędu Marszałkowskiego - etap A</t>
  </si>
  <si>
    <t>dotacje celowe / płatności z UE (w ramach działanie 10.1 RPO WZ 2014-2020)</t>
  </si>
  <si>
    <t>dotacje celowe / płatności z UE (w ramach działania 10.1  RPO WZ 2014-2020)</t>
  </si>
  <si>
    <t>dotacje celowe / płatności z UE (w ramach działania 2.13  RPO WZ 2014-2020)</t>
  </si>
  <si>
    <t>Konsolidacja siedziby Urzędu Marszałkowskiego - etap B</t>
  </si>
  <si>
    <t>dotacje celowe / płatności z UE ( w ramach działania 10.1 RPO WZ 2014-2020)</t>
  </si>
  <si>
    <t>dotacje celowe / płatności z UE (w ramach działania 2.1 RPO WZ 2014-2020)</t>
  </si>
  <si>
    <t>rozdział 75018</t>
  </si>
  <si>
    <t>środki poza budżetem</t>
  </si>
  <si>
    <t>24.</t>
  </si>
  <si>
    <t>m</t>
  </si>
  <si>
    <t>b</t>
  </si>
  <si>
    <t>Konsolidacja UM dochody</t>
  </si>
  <si>
    <t>rozdz. 75863
75864</t>
  </si>
  <si>
    <t>PROJEKTY WYŁĄCZANE Z WPF</t>
  </si>
  <si>
    <t>Lp.</t>
  </si>
  <si>
    <t>Wydatki</t>
  </si>
  <si>
    <t>Dochody</t>
  </si>
  <si>
    <t>19.</t>
  </si>
  <si>
    <t>21.</t>
  </si>
  <si>
    <t>WOiRZL</t>
  </si>
  <si>
    <t xml:space="preserve">Wsparcie gmin w opracowaniu albo aktualizacji programów rewitalizacji w ramach PO Pomoc Techniczna (2016 - 2018) </t>
  </si>
  <si>
    <t>9b</t>
  </si>
  <si>
    <t>9c</t>
  </si>
  <si>
    <r>
      <t xml:space="preserve">Znaczenie nowoczesnych technologii w motywowaniu dorosłych z terenów defaworyzowanych do uczenia się </t>
    </r>
    <r>
      <rPr>
        <sz val="9"/>
        <rFont val="Arial CE"/>
        <charset val="238"/>
      </rPr>
      <t>w ramach Programu LLP „Uczenie się przez całe życie” – GRUNDTVIG</t>
    </r>
    <r>
      <rPr>
        <b/>
        <sz val="9"/>
        <rFont val="Arial CE"/>
        <charset val="238"/>
      </rPr>
      <t xml:space="preserve"> (2013-2015)</t>
    </r>
  </si>
  <si>
    <t>środki z budżetu województwa (subwencja)</t>
  </si>
  <si>
    <t xml:space="preserve">rozdz. </t>
  </si>
  <si>
    <t>Przebudowa i rozbudowa przejścia drogi woj. nr 122 przez m. Krzywin (etap II) w ramach IW INTERREG V A (2018-2019)</t>
  </si>
  <si>
    <t>Przebudowa i rozbudowa przejścia drogi woj. nr 125 przez m. Moryń i m. Bielin w ramach IW INTERREG V A (2018-2019)</t>
  </si>
  <si>
    <t>Oś X, Pomoc techniczna RPO WZ 2014-2020 (2015-2023)</t>
  </si>
  <si>
    <t>Konsolidacja siedziby Urzędu Marszałkowskiego Województwa Zachodniopomorskiego - razem etap A i B  (2016-2020)</t>
  </si>
  <si>
    <t>rozdz. 
60001
75863</t>
  </si>
  <si>
    <t>Brak decyzji</t>
  </si>
  <si>
    <t>Wspieranie innowacyjnych ekosystemów przedsiębiorczości w regionach na rzecz młodych przedsiębiorców (iEER) w ramach Interreg VC (2016-2020)</t>
  </si>
  <si>
    <t>rozdz. 
15011</t>
  </si>
  <si>
    <t>WWT/WOiRZL</t>
  </si>
  <si>
    <t>Sieć Punktów Informacyjnych Funduszy Europejskich (PIFE) w Województwie Zachodniopomorskim w ramach PO Pomoc Techniczna - zakupy inwestycyjne  (2015-2020)</t>
  </si>
  <si>
    <t xml:space="preserve">2. </t>
  </si>
  <si>
    <t>ROPS</t>
  </si>
  <si>
    <t>rozdz.
75864</t>
  </si>
  <si>
    <t xml:space="preserve">rozdz. 
75018
85395
</t>
  </si>
  <si>
    <t>WRiR</t>
  </si>
  <si>
    <t>Szlaki rowerowe na wybranych odcinkach wałów przeciwpowodziowych w województwie zachodniopomorskim w ramach Osi IV RPO (2017-2018)</t>
  </si>
  <si>
    <t>WWT/
WOiRZL</t>
  </si>
  <si>
    <t>ROPS/
WOiRZL</t>
  </si>
  <si>
    <t>Regionalny Szpital 
w Kołobrzegu 
pod nadzorem WZ</t>
  </si>
  <si>
    <t>WZS</t>
  </si>
  <si>
    <t>WIiN, WZS</t>
  </si>
  <si>
    <t>WIiN</t>
  </si>
  <si>
    <t>WA, WSIiI</t>
  </si>
  <si>
    <t>Wspieranie realizacji zadań publicznych Województwa Zachodniopomorskiego w zakresie upowszechniania kultury fizycznej (2014-2019)</t>
  </si>
  <si>
    <t>Dochody z UE</t>
  </si>
  <si>
    <t>BRAK</t>
  </si>
  <si>
    <t xml:space="preserve">środki z budżetu krajowego (środki z budżetu województwa - WW, PF) </t>
  </si>
  <si>
    <t>środki z budżetu krajowego (środki z budżetu województwa - WW</t>
  </si>
  <si>
    <t xml:space="preserve">środki z budżetu krajowego (środki z budżetu województwa - WW </t>
  </si>
  <si>
    <t>II.</t>
  </si>
  <si>
    <t>Część 
Lp</t>
  </si>
  <si>
    <t xml:space="preserve">WPROW 
</t>
  </si>
  <si>
    <t>RBGP WZ w Szczecinie pod nadzorem WZS</t>
  </si>
  <si>
    <t>Umowa Nr 2014-1-PL01-KA102-001665 
z dnia 20 października 2014 r.</t>
  </si>
  <si>
    <t>Umowa  ZP-10/FRSE/2015 - część 16 z dnia 22 kwietnia 2015 r.</t>
  </si>
  <si>
    <t>Sprawdzenie</t>
  </si>
  <si>
    <t>ZESTAWIENIE PRZEDSIĘWZIĘĆ W PODZIALE NA PROJEKTY, KTÓRE MAJĄ PODPISANE UMOWY ORAZ NA PROJEKTY BEZ PODPISANYCH UMÓW DO CELÓW WPF</t>
  </si>
  <si>
    <t>POZYCJE DO UZUPEŁNIENIA RĘCZNEGO W WPF</t>
  </si>
  <si>
    <t>Umowa nr DPT/BDG-II/POPT/26/16 z dnia 11 maja 2016 r.</t>
  </si>
  <si>
    <t>Umowa o dofinansowanie projektu Pomocy Technicznej w ramach PO WER 2014-2020 
Nr UDA-POWR.60.01.00-32-2202/15-00 z dn. 22 stycznia 2016 r.</t>
  </si>
  <si>
    <t>Aneks nr 2 z  dnia 5 lutego 2015 r., aneks nr 3 z dnia 16.09.2015 r. do umowy dotacji nr DIP/BDG-II/POPT/63/14 z dnia 28 kwietnia 2014 r.</t>
  </si>
  <si>
    <t>Umowa partnerska 
z dnia 15.08.2016 r.</t>
  </si>
  <si>
    <t>Umowa partnerska
z dnia 19.09.2016 r.</t>
  </si>
  <si>
    <t>Umowa o realizację działań dla Wolontariatu Europejskiego EVS z dnia 15.03.2016 r.</t>
  </si>
  <si>
    <t>Umowa partnerska podpisana w dniu 19 lipca 2016</t>
  </si>
  <si>
    <t>Umowa partnerska podpisana w dniu 28 lipca 2016</t>
  </si>
  <si>
    <t xml:space="preserve">a) Kwoty wyszczególnione w poz. 12.5. </t>
  </si>
  <si>
    <t xml:space="preserve">Porozumienie Nr 1/2016 z dnia 25 stycznia 2016 r. zawarte pomiędzy  Wojewodą a WZ </t>
  </si>
  <si>
    <t>Kontrakt Terytorialny dla WZ z dnia 12 listopada 2014 r. Aneks do KT z sierpnia 2016 r.
Zawiadomienie MR o kwotach ujętych w budżecie państwa.</t>
  </si>
  <si>
    <t xml:space="preserve">a) Kwoty wyszczególnione w poz. 12.6. </t>
  </si>
  <si>
    <t>PROJEKTY INWESTYCYJNE JEDNOROCZNE</t>
  </si>
  <si>
    <t>PROJEKTY BIEŻĄCE JEDNOROCZNE</t>
  </si>
  <si>
    <t>dane do formuły sprawdzającej</t>
  </si>
  <si>
    <t>środki z budżetu krajowego (środki z budżetu województwa - fundusze</t>
  </si>
  <si>
    <t>PROJEKTY BIEŻĄCE Z DOFINANSOWANIEM Z UE NA POZIOMIE PONIŻEJ 60%</t>
  </si>
  <si>
    <t>PROJEKTY INWESTYCYJNE  Z DOFINANSOWANIEM Z UE NA POZIOMIE PONIŻEJ 60%</t>
  </si>
  <si>
    <t>środki z budżetu krajowego (środki z budżetu państwa)</t>
  </si>
  <si>
    <t>środki z budżetu krajowego (środki z budżetu województwa - WW, fundusze</t>
  </si>
  <si>
    <t>środki z budżetu krajowego (środki z budżetu województwa - środki z budżetu państwa</t>
  </si>
  <si>
    <t>środki z budżetu krajowego (środki z budżetu województwa - WW , środki z budżetu państwa</t>
  </si>
  <si>
    <t>Numer umowy szczegółowej Europe Direct na 2017 to: ED/US/2016/25  
Numer umowy całościowej na lata 2013-2017 to: ED/UR/2013/25</t>
  </si>
  <si>
    <t>Zakup kolejowego taboru pasażerskiego o napędzie spalinowym w ramach Osi V RPO (2016-2017)</t>
  </si>
  <si>
    <t>Umowa partnerska
z dnia 26.09.2016 r.</t>
  </si>
  <si>
    <t>Bieżące utrzymanie dróg i mostów (2017-2020)</t>
  </si>
  <si>
    <t>Przebudowa dróg i mostów (2017-2020)</t>
  </si>
  <si>
    <t>Sprawdzenie wydatki z budżetu (UM +WUP + IP)</t>
  </si>
  <si>
    <t>Sprawdzenie dochody z budżetu (UM + WUP+IZ)</t>
  </si>
  <si>
    <t>Wydatki bieżące PT Oś X (UM + IP)</t>
  </si>
  <si>
    <t>Wydatki majątkowe PT Oś X (UM + IP)</t>
  </si>
  <si>
    <t>Konsolidacja UM wydatki</t>
  </si>
  <si>
    <t>PT oś X dochody ogółem w budżecie</t>
  </si>
  <si>
    <t>PT oś X wydatki ogółem w budżecie</t>
  </si>
  <si>
    <t xml:space="preserve"> MAJĄTKOWE (WYDATKI)</t>
  </si>
  <si>
    <t>Dokumentacje techniczne na zadania drogowe (2011-2020)</t>
  </si>
  <si>
    <t>Oś X, Pomoc techniczna RPO WZ 2014-2020 - wydatki majątkowe (2015-2023)</t>
  </si>
  <si>
    <t>dotacje celowe/płatności z UE</t>
  </si>
  <si>
    <t>rozdz. 92109</t>
  </si>
  <si>
    <t>Zamek Książąt Pomorskich w Szczecinie - nadzór WKNiDN</t>
  </si>
  <si>
    <t>rozdz. 71012</t>
  </si>
  <si>
    <t xml:space="preserve">
WWT/
WOiRZL</t>
  </si>
  <si>
    <t xml:space="preserve">środki z budżetu krajowego </t>
  </si>
  <si>
    <t xml:space="preserve">Zakupy inwestycyjne w ramach wsparcia gmin w opracowaniu albo aktualizacji programów rewitalizacji w ramach PO Pomoc Techniczna (2016 - 2018) </t>
  </si>
  <si>
    <t>Modernizacja i remont dziedzińców Zamku Książąt Pomorskich w Szczecinie (2017-2018)</t>
  </si>
  <si>
    <t>majątkowe/
bieżące*</t>
  </si>
  <si>
    <t>Porozumienie 
z dnia 12.01.2016 r.</t>
  </si>
  <si>
    <t>Decyzja Nr RPZP.05.01.00-32-0004/16  z dnia 8 listopada 2016 r,</t>
  </si>
  <si>
    <t>rozdz. 
15011
75018</t>
  </si>
  <si>
    <t xml:space="preserve"> - Gmina i Miasto Koszalin/AZR</t>
  </si>
  <si>
    <t>Decyzja Nr RPZP.04.06.00-32-0002/16-00 z dnia 20 grudnia 2016 r.</t>
  </si>
  <si>
    <t>Decyzja Nr RPZP.04.06.00-32-0003/16-00 z dnia 20 grudnia 2016 r.</t>
  </si>
  <si>
    <t>Decyzja Nr RPZP.04.06.00-32-0001/16-00 z dnia 20 grudnia 2016 r.</t>
  </si>
  <si>
    <t>Decyzje  
Nr RPZP.04.09.00-32-P001/16-00
 Nr RPZP.04.09.00-32-P002/16-00
z dnia 20 grudnia 2016 r.</t>
  </si>
  <si>
    <r>
      <t xml:space="preserve">Projekt pn. "Europejskie Standardy w Opiece nad Osobami Starszymi" </t>
    </r>
    <r>
      <rPr>
        <sz val="9"/>
        <rFont val="Arial CE"/>
        <charset val="238"/>
      </rPr>
      <t>w ramach Programu Erasmus+</t>
    </r>
    <r>
      <rPr>
        <b/>
        <sz val="9"/>
        <rFont val="Arial CE"/>
        <charset val="238"/>
      </rPr>
      <t xml:space="preserve"> (2015-2016)</t>
    </r>
  </si>
  <si>
    <t xml:space="preserve">RAZEM  ZMNIEJSZENIE </t>
  </si>
  <si>
    <t>w tym</t>
  </si>
  <si>
    <t xml:space="preserve"> §§ z czwartą cyfrą 1, 7, 8</t>
  </si>
  <si>
    <t>BW</t>
  </si>
  <si>
    <t>BD</t>
  </si>
  <si>
    <t>MW</t>
  </si>
  <si>
    <t>MD</t>
  </si>
  <si>
    <t>WU</t>
  </si>
  <si>
    <t>DOCHODY MAJĄTKOWE  unijne</t>
  </si>
  <si>
    <t>DOCHODY BIEŻĄCE unijne</t>
  </si>
  <si>
    <t>WYDATKI BIEŻĄCE</t>
  </si>
  <si>
    <t>BU</t>
  </si>
  <si>
    <t>PRZEDSIĘWZIĘCIA POSIADAJĄCE DECYZJE /DOKUMENTY  PRZYZNAJĄCE DOFINANSOWANIE ZE  ŚROKÓW Z UE - WYDATKI</t>
  </si>
  <si>
    <t>b) Kwota wydatków zaplanowanych na PT RPO Oś X przez WOiRZL (czwarta cyfra 0), obejmująca wkład unijny - formuła Tab. 6E</t>
  </si>
  <si>
    <t>BRAK UMÓW</t>
  </si>
  <si>
    <t>MAJĄTKOWE  WYDATKI</t>
  </si>
  <si>
    <t xml:space="preserve">MAJĄTKOWE DOCHODY unijne </t>
  </si>
  <si>
    <t>PROJEKTY  JEDNOROCZNE</t>
  </si>
  <si>
    <t>rozdz. 01078</t>
  </si>
  <si>
    <t>Utrzymanie szlaków rowerowych na wybranych odcinkach wałów przeciwpowodziowych w Województwie Zachodniopomorskim</t>
  </si>
  <si>
    <t>RPO WZ NA LATA 2007-2013</t>
  </si>
  <si>
    <t>Dokumentacje techniczne na budowę sieci tras rowerowych Pomorza Zachodniego w ramach Osi IV RPO (2017-2018)</t>
  </si>
  <si>
    <t>środki z budżetu krajowego (środki z budżetu województwa - WW i PJ</t>
  </si>
  <si>
    <t>Utrzymanie szlaków rowerowych na wybranych odcinkach wałów przeciwpowodziowych w Województwie Zachodniopomorskim (2019 - 2023)</t>
  </si>
  <si>
    <t>Zespół Parków Krajobrazowych WZ pod nadzorem WTG</t>
  </si>
  <si>
    <r>
      <t xml:space="preserve">Tabela Nr 6  </t>
    </r>
    <r>
      <rPr>
        <i/>
        <sz val="12"/>
        <rFont val="Arial CE"/>
        <charset val="238"/>
      </rPr>
      <t xml:space="preserve">do załącznika Nr 3 </t>
    </r>
  </si>
  <si>
    <r>
      <t xml:space="preserve"> - wydatki bieżące</t>
    </r>
    <r>
      <rPr>
        <b/>
        <sz val="12"/>
        <rFont val="Arial CE"/>
        <charset val="238"/>
      </rPr>
      <t xml:space="preserve"> </t>
    </r>
  </si>
  <si>
    <t>Pomoc Techniczna  w ramach PROW 2014 - 2020 (2015-2023)</t>
  </si>
  <si>
    <t>rozdz. 63003,    75018</t>
  </si>
  <si>
    <t>rozdz. 92116</t>
  </si>
  <si>
    <t>Książnica Pomorska w Szczecinie - nadzór WKNiDN</t>
  </si>
  <si>
    <t xml:space="preserve"> - WWŚRPO</t>
  </si>
  <si>
    <t>WWŚRPO</t>
  </si>
  <si>
    <t>WTiG / WOiRZL</t>
  </si>
  <si>
    <t>IW INTERREG VA drogi - wydatki</t>
  </si>
  <si>
    <t>IW  INTERREG  VA drogi - dochody</t>
  </si>
  <si>
    <t>INTERREG VC (wsparcie przedsiębiorczości) - wydatki</t>
  </si>
  <si>
    <t>INTERREG VC (wsparcie przedsiębiorczości) - dochody</t>
  </si>
  <si>
    <t>BRAK UMOWY</t>
  </si>
  <si>
    <t>BIEŻĄCE  WYDATKI</t>
  </si>
  <si>
    <t xml:space="preserve">BIEŻĄCE DOCHODY unijne </t>
  </si>
  <si>
    <t>b) Suma wkładu krajowego na projekty z dofinansowaniem poniżej 60% oraz projektów z umowami zawartymi przed 1 stycznia 2013 r. - formuła</t>
  </si>
  <si>
    <t>- środki z budżetu województwa WTiG</t>
  </si>
  <si>
    <t>- środki z budżetu województwa WOiRZL</t>
  </si>
  <si>
    <t>- dotacje celowe / płatności z UE WOiRZL</t>
  </si>
  <si>
    <t>- dotacje celowe / płatności z UE WTiG</t>
  </si>
  <si>
    <t>Fish Markets - dziedzictwo rybołówstwa przybrzeżnego jako potencjał rozwoju turystyki w ramach Programu INTERREG Południowy Bałtyk 2014-2020 (2017-2019)</t>
  </si>
  <si>
    <t>Biking South Baltic! Promocja i rozwój Trasy Rowerowej Morza Bałtyckiego (EuroVelo 10) w Danii, Niemczech, Litwie, Polsce i Szwecji w ramach Programu Interreg Południowy Bałtyk (2017-2019) - zakupy inwestycyjne</t>
  </si>
  <si>
    <t>Biking South Baltic! Promocja i rozwój Trasy Rowerowej Morza Bałtyckiego (EuroVelo 10) w Danii, Niemczech, Litwie, Polsce i Szwecji w ramach Programu Interreg Południowy Bałtyk (2017-2019)</t>
  </si>
  <si>
    <t>rozdz. 75018
75095
90011*</t>
  </si>
  <si>
    <t xml:space="preserve"> * dotyczy wykonania wydatków WFOŚiGW</t>
  </si>
  <si>
    <t>WZS, WWRPO, WOiRZL, GM, WWŚRPO</t>
  </si>
  <si>
    <t>Samodzielny Publiczny Wojewódzki
Szpital
 Zespolony w Szczecinie pod nadzorem WZ</t>
  </si>
  <si>
    <t>wytatki unijne</t>
  </si>
  <si>
    <t>wydatki unijne</t>
  </si>
  <si>
    <t>Limit` 17</t>
  </si>
  <si>
    <t>Wykonanie wg sprawozdania</t>
  </si>
  <si>
    <t xml:space="preserve">Różnica
</t>
  </si>
  <si>
    <t>Utrzymanie i naprawy pojazdów szynowych Województwa (2015 -2020)</t>
  </si>
  <si>
    <t xml:space="preserve">Prognozowane nakłady inwestycyjne 2017-2032
</t>
  </si>
  <si>
    <t>WZS, WWRPO, GM, WWŚRPO</t>
  </si>
  <si>
    <t>Budowa wiaduktu w m. Rzeczyca w ciągu drogi nr 206 (2017-2018)</t>
  </si>
  <si>
    <t>Zintegrowane wsparcie dla rodzin i pieczy zastępczej na terenie województwa zachodniopomorskiego w ramach działania 7.6 RPO WZ (2017-2018)</t>
  </si>
  <si>
    <t>rozdz. 
75864</t>
  </si>
  <si>
    <t>rozdz. 
75863</t>
  </si>
  <si>
    <t>GM</t>
  </si>
  <si>
    <t>COiE</t>
  </si>
  <si>
    <t>rozdz. 
75018
75075</t>
  </si>
  <si>
    <t>rozdz. 
75075</t>
  </si>
  <si>
    <t>PROJEKTY NOWE WPROWADZANE DO WPF</t>
  </si>
  <si>
    <t>w tym:</t>
  </si>
  <si>
    <t>rozdz. 71095</t>
  </si>
  <si>
    <t>Strategia Rozwoju Województwa Zachodniopomorskiego do roku 2030 - badania, analizy i oceny eksperckie (2017-2018)</t>
  </si>
  <si>
    <t xml:space="preserve">RAZEM  ZWIĘKSZENIE </t>
  </si>
  <si>
    <t xml:space="preserve">w 2016 r. przesunięcie między źródłami fin o kwotę 747 zł </t>
  </si>
  <si>
    <t>2016 r. uwzględniono dokumentację</t>
  </si>
  <si>
    <t xml:space="preserve"> - dziedziny</t>
  </si>
  <si>
    <t>CZĘŚĆ I</t>
  </si>
  <si>
    <t>DOCHODY BIEŻĄCE</t>
  </si>
  <si>
    <t>DOCHODY MAJĄTKOWE</t>
  </si>
  <si>
    <t>suma</t>
  </si>
  <si>
    <t>◄ kwota poręczeń w latach 2021-2032</t>
  </si>
  <si>
    <t>brak umowy</t>
  </si>
  <si>
    <t>Prawa i obowiązki dla projektu nr RPZP.07.06.00-32-K027/16 zatwierdzone przez ZWZ w dniu 27 marca 2017 r. (UZW Nr 500/17)</t>
  </si>
  <si>
    <t>Nr umowy STHB.02.01.00-22-0067/16 z dnia 10 lutego 2017 r.</t>
  </si>
  <si>
    <t>Wieloletnie umowy mające na celu zapewnienie ciągłości działania Urzędu Marszałkowskiego Województwa Zachodniopomorskiego (2012 - 2020)</t>
  </si>
  <si>
    <r>
      <t xml:space="preserve">Zakup kolejowego taboru pasażerskiego o napędzie spalinowym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(2016-2017)</t>
    </r>
  </si>
  <si>
    <r>
      <t>Młodzież w działaniu, Prowadzenie Punktu Informacji Europejskiej</t>
    </r>
    <r>
      <rPr>
        <sz val="11"/>
        <rFont val="Arial CE"/>
        <charset val="238"/>
      </rPr>
      <t xml:space="preserve"> (środki Komisji Europejskiej), </t>
    </r>
    <r>
      <rPr>
        <b/>
        <sz val="11"/>
        <rFont val="Arial CE"/>
        <charset val="238"/>
      </rPr>
      <t>GRUNTVIG</t>
    </r>
    <r>
      <rPr>
        <b/>
        <sz val="11"/>
        <rFont val="Arial CE"/>
        <family val="2"/>
        <charset val="238"/>
      </rPr>
      <t xml:space="preserve"> - wydatki</t>
    </r>
  </si>
  <si>
    <r>
      <t xml:space="preserve">Młodzież w działaniu, Prowadzenie Punktu Informacji Europejskiej </t>
    </r>
    <r>
      <rPr>
        <sz val="11"/>
        <rFont val="Arial CE"/>
        <charset val="238"/>
      </rPr>
      <t xml:space="preserve">(środki Komisji Europejskiej), </t>
    </r>
    <r>
      <rPr>
        <b/>
        <sz val="11"/>
        <rFont val="Arial CE"/>
        <charset val="238"/>
      </rPr>
      <t>GRUNTVIG</t>
    </r>
    <r>
      <rPr>
        <sz val="11"/>
        <rFont val="Arial CE"/>
        <charset val="238"/>
      </rPr>
      <t xml:space="preserve"> </t>
    </r>
    <r>
      <rPr>
        <b/>
        <sz val="11"/>
        <rFont val="Arial CE"/>
        <family val="2"/>
        <charset val="238"/>
      </rPr>
      <t>- dochody</t>
    </r>
  </si>
  <si>
    <t xml:space="preserve">► różnica </t>
  </si>
  <si>
    <t>Decyzja jest - do uzupełnienia - po 5 czerwca</t>
  </si>
  <si>
    <t>KAŻDORAZOWO PRZY SPORZĄDZANIU ZMIAN WPF PYTAĆ SIĘ CZY ZOSTAŁY ZAWARTE UMOWY O DOFINANSOWANIE</t>
  </si>
  <si>
    <t>rozdz.
60095</t>
  </si>
  <si>
    <t>rozdz. 60095
75018</t>
  </si>
  <si>
    <t>Regionalny Punkt Kontaktowy - Pomoc Techniczna w ramach Programu Współpracy INTERREG VA - wydatki bieżące (2016-2020)</t>
  </si>
  <si>
    <t>INTERREG VB  TENTacle; TalkNET - Sieć zainteresowanych  - wydatki</t>
  </si>
  <si>
    <t>INTERREG VB  TENTacle; TalkNET - Sieć zainteresowanych - dochody</t>
  </si>
  <si>
    <t xml:space="preserve"> Interreg VA Program Południowy Bałtyk - wydatki</t>
  </si>
  <si>
    <t>IW INTERREG VA Pomoc Tech. (WWT Poludniowy Bałtyk; Regionalny Punkt Kontaktowy) - wydatki</t>
  </si>
  <si>
    <t>IW  INTERREG VA Pomoc Tech.  ((WWT Poludniowy Bałtyk; Regionalny Punkt Kontaktowy) ) - dochody</t>
  </si>
  <si>
    <t xml:space="preserve"> Interreg VA Program Południowy Bałtyk    - dochody</t>
  </si>
  <si>
    <t>Przebudowa odcinków szlakowych dróg wojewódzkich (2017-2019)</t>
  </si>
  <si>
    <t>rozdz. 63003/75018</t>
  </si>
  <si>
    <t>WTIG</t>
  </si>
  <si>
    <t>Modernizacja sieci komputerowej logicznej i elektrycznej w Książnicy Pomorskiej (2017-2018)</t>
  </si>
  <si>
    <t>Decyzja podpisana - po 5 czerwca</t>
  </si>
  <si>
    <t xml:space="preserve">rozdz. 92502,   75863 </t>
  </si>
  <si>
    <t>rozdz. 
60013</t>
  </si>
  <si>
    <t>umowa</t>
  </si>
  <si>
    <r>
      <t xml:space="preserve">D. </t>
    </r>
    <r>
      <rPr>
        <b/>
        <sz val="9"/>
        <rFont val="Arial CE"/>
        <charset val="238"/>
      </rPr>
      <t xml:space="preserve">Wydatki majątkowe </t>
    </r>
    <r>
      <rPr>
        <b/>
        <sz val="10"/>
        <rFont val="Arial CE"/>
        <charset val="238"/>
      </rPr>
      <t xml:space="preserve">NOWE - UJĘTE W WPF </t>
    </r>
    <r>
      <rPr>
        <b/>
        <sz val="9"/>
        <rFont val="Arial CE"/>
        <charset val="238"/>
      </rPr>
      <t xml:space="preserve">
</t>
    </r>
    <r>
      <rPr>
        <sz val="9"/>
        <rFont val="Arial CE"/>
        <charset val="238"/>
      </rPr>
      <t>Do</t>
    </r>
    <r>
      <rPr>
        <sz val="8"/>
        <rFont val="Arial CE"/>
        <charset val="238"/>
      </rPr>
      <t xml:space="preserve"> nowych przedsięwzięć inwestycyjnych zaliczamy zadania, których realizacja rozpoczyna się od danego roku budżetowego i posiadające plan wydatków od tego roku. </t>
    </r>
    <r>
      <rPr>
        <b/>
        <sz val="8"/>
        <rFont val="Arial CE"/>
        <charset val="238"/>
      </rPr>
      <t xml:space="preserve">
</t>
    </r>
    <r>
      <rPr>
        <b/>
        <i/>
        <sz val="8"/>
        <rFont val="Arial CE"/>
        <charset val="238"/>
      </rPr>
      <t xml:space="preserve">Uwaga: </t>
    </r>
    <r>
      <rPr>
        <i/>
        <sz val="8"/>
        <rFont val="Arial CE"/>
        <charset val="238"/>
      </rPr>
      <t xml:space="preserve">
W przypadku wprowadzenia do WPF w danym roku budżetowym nowego zadania, na które nie zostały poniesione żadne nakłady finansowe, a także nie podpisano umów z wykonawcami i zachodzi konieczność przesunięcia nakładów  na lata następne,  zadanie to traktowane jest  dopiero w roku następnym jako nowe.
Zakupy inwestycyjne  wynikające z wyodrębnienia planu z projektu bieżącego (m.in. projekty pomocy technicznej różnych programów operacyjnych) okres realizacji mają taki sam jak przedsięwzięcie główne. 
Przy projektowaniu budżetu na rok kolejny inwestycje, które rozpoczęły się w roku poprzedzającym rok budżetowy traktowane są jako kontynuowane, natowmiast w latach prognozowanych, przeliczanych wskaźnikiem wszystkie zadania inwestycyjne traktowane są jako nowe. </t>
    </r>
  </si>
  <si>
    <t>kontynuowane</t>
  </si>
  <si>
    <t>CZĘŚĆ II - BIEŻĄCA - bez umów</t>
  </si>
  <si>
    <t>CZĘŚĆ II - MAJĄTKOWA - bez umów</t>
  </si>
  <si>
    <t>CZĘŚĆ I  - BIEŻĄCA - umowy</t>
  </si>
  <si>
    <t>CZĘŚĆ I  - MAJĄTKOWA - umowy</t>
  </si>
  <si>
    <t>Realizator</t>
  </si>
  <si>
    <t xml:space="preserve">Nr zadania </t>
  </si>
  <si>
    <t xml:space="preserve">Umowa zawarta (Tak -  podać nr umowy i datę zawarcia)
/ Brak Umowy </t>
  </si>
  <si>
    <t>Bałtyckie trasy dziedzictwa w ramach Programu Interreg Południowy Bałtyk (2017-2020)</t>
  </si>
  <si>
    <t>BALTIC STORIES - Rozwój turystyki poprzez profesjonalizację wydarzeń w regionie południowego bałtyku w ramach Programu Interreg Południowy Bałtyk (2017-2020)</t>
  </si>
  <si>
    <t>Regionalny Punkt Kontaktowy - Pomoc Techniczna w ramach Programu Współpracy INTERREG VA - wydatki majątkowe  (2016-2020)</t>
  </si>
  <si>
    <r>
      <t>dotacje celowe od innych jst</t>
    </r>
    <r>
      <rPr>
        <sz val="8"/>
        <rFont val="Arial CE"/>
        <charset val="238"/>
      </rPr>
      <t xml:space="preserve"> (pomoc finansowa i porozumienia)</t>
    </r>
  </si>
  <si>
    <t>Poręczenie pożyczki dla Regionalnego Szpitala w Kołobrzegu na dofinansowanie realizacji zadania inwestycyjnego pn. Poprawa efektywności energetycznej budynków Szpitala Regionalnego w Kołobrzegu (2016 - 2028)*</t>
  </si>
  <si>
    <r>
      <t xml:space="preserve">* w latach 2024- 2028 kwota poręczenia dla Regionalnego Szpitala w Kołobrzegu wynosi </t>
    </r>
    <r>
      <rPr>
        <b/>
        <i/>
        <sz val="8"/>
        <rFont val="Arial CE"/>
        <charset val="238"/>
      </rPr>
      <t>1.050.002 zł.</t>
    </r>
  </si>
  <si>
    <r>
      <t xml:space="preserve">** w latach 2024- 2032 kwota poręczenia dla Samodzielnego Publicznego Wojewódzkiego Szpitala Zespolonego  w Szczecinie  wynosi </t>
    </r>
    <r>
      <rPr>
        <b/>
        <i/>
        <sz val="8"/>
        <rFont val="Arial CE"/>
        <charset val="238"/>
      </rPr>
      <t>33.257.445 zł</t>
    </r>
    <r>
      <rPr>
        <i/>
        <sz val="8"/>
        <rFont val="Arial CE"/>
        <charset val="238"/>
      </rPr>
      <t>.</t>
    </r>
  </si>
  <si>
    <t>Poręczenie kredytu konsolidacyjnego dla Samodzielnego Publicznego Wojewódzkiego Szpitala Zespolonego  w Szczecinie (2017-2032)**</t>
  </si>
  <si>
    <t>dotacje celowe / płatności z UE**</t>
  </si>
  <si>
    <t>Wsparcie techniczne Interreg VA Południowy Bałtyk - wydatki bieżące (2015-2020)</t>
  </si>
  <si>
    <t>Poręczenie kredytu dla Szpitala w Szczecinie Zdunowie - następca prawny SPWSZ w Szczecinie  (2014-2022)</t>
  </si>
  <si>
    <t>do 2016 r.</t>
  </si>
  <si>
    <t>do 2016</t>
  </si>
  <si>
    <t>WYDATKI</t>
  </si>
  <si>
    <t>DOCHODY</t>
  </si>
  <si>
    <t>8a</t>
  </si>
  <si>
    <t>8b</t>
  </si>
  <si>
    <t>Ubezpieczenie taboru kolejowego Województwa (2011-2021)</t>
  </si>
  <si>
    <t xml:space="preserve">Usługi telekomunikacyjne dla pojazdów szynowych Województwa (2015-2021) </t>
  </si>
  <si>
    <t>Wielkość nakładów poniesiona do końca 2016 r.</t>
  </si>
  <si>
    <t>Decyzja Nr RPZP.05.01.00-32-0003/17-00 z 26 czerwca 2017 r.</t>
  </si>
  <si>
    <t>Decyzja Nr RPZP.05.01.00-32.0001/17/00 z 26 czerwca 2017 r.</t>
  </si>
  <si>
    <r>
      <rPr>
        <b/>
        <sz val="9"/>
        <rFont val="Calibri"/>
        <family val="2"/>
        <charset val="238"/>
      </rPr>
      <t>↓</t>
    </r>
    <r>
      <rPr>
        <b/>
        <i/>
        <sz val="12.6"/>
        <rFont val="Arial CE"/>
        <charset val="238"/>
      </rPr>
      <t xml:space="preserve"> </t>
    </r>
    <r>
      <rPr>
        <i/>
        <sz val="8"/>
        <rFont val="Arial CE"/>
        <charset val="238"/>
      </rPr>
      <t>drogi realizowane w ramach perspektywy finansowej 2007-2014, zakończone (wypłata odszkodowań)</t>
    </r>
  </si>
  <si>
    <t>Wymiana i rozbudowa parku maszyn i urządzeń ZZDW w Koszalinie (2016-2018)</t>
  </si>
  <si>
    <r>
      <t xml:space="preserve">Kontrakt Terytorialny dla WZ z dnia 12 listopada 2014 r. Aneks do KT z sierpnia 2016 r. </t>
    </r>
    <r>
      <rPr>
        <sz val="9"/>
        <rFont val="Arial CE"/>
        <charset val="238"/>
      </rPr>
      <t>oraz</t>
    </r>
    <r>
      <rPr>
        <b/>
        <sz val="9"/>
        <rFont val="Arial CE"/>
        <family val="2"/>
        <charset val="238"/>
      </rPr>
      <t xml:space="preserve"> zawiadomienie MR o kwotach ujętych w budżecie państwa.</t>
    </r>
  </si>
  <si>
    <t>decyzja z 25.09.17</t>
  </si>
  <si>
    <t>Decyzja o dofinansowaniu projektu Nr RPZP.05.01.00-32.0004/17/00</t>
  </si>
  <si>
    <t xml:space="preserve">Decyzja o dofinansowanie projektu Nr RPZP.05.01.00-32-0005/17-01 z dnia 2 października 2017 r. </t>
  </si>
  <si>
    <t xml:space="preserve">* kwota wykonania 2016 r. (250 844 zł) jednak nie jest zgodna ze sprawozdaniem RB, wynika z faktycznie poniesionych przez jednostkę wydatków </t>
  </si>
  <si>
    <t>Prognozowane nakłady inwestycyjne /dochody 
w latach 2018 - 2023</t>
  </si>
  <si>
    <r>
      <t>Limit zobowiązań na lata 2018-20</t>
    </r>
    <r>
      <rPr>
        <b/>
        <sz val="10"/>
        <rFont val="Arial CE"/>
        <charset val="238"/>
      </rPr>
      <t>23</t>
    </r>
    <r>
      <rPr>
        <b/>
        <sz val="10"/>
        <rFont val="Arial CE"/>
        <family val="2"/>
        <charset val="238"/>
      </rPr>
      <t xml:space="preserve"> 
i lata następne</t>
    </r>
  </si>
  <si>
    <t>Prognozowane nakłady inwestycyjne / dochody z tytułu realizacji projektów  w latach 2018-2023</t>
  </si>
  <si>
    <t>Limity zobowiązań 2018-2023 i lata następne</t>
  </si>
  <si>
    <t>GM/COIiE/WWT, WTiG/WOiRZL</t>
  </si>
  <si>
    <t>Zrealizowane nakłady/ 
uzyskane dochody do 2016 r.</t>
  </si>
  <si>
    <t>Zrealizowane nakłady/
uzyskane dochody w 2016 r.</t>
  </si>
  <si>
    <t>Limity zobowiązań 2018-2023  i lata następne</t>
  </si>
  <si>
    <t>Limit zobowiązań 
w latach 
2018-2023</t>
  </si>
  <si>
    <r>
      <t xml:space="preserve">Tabela Nr 6F </t>
    </r>
    <r>
      <rPr>
        <i/>
        <sz val="12"/>
        <rFont val="Arial CE"/>
        <charset val="238"/>
      </rPr>
      <t xml:space="preserve"> do Załącznika Nr 3</t>
    </r>
  </si>
  <si>
    <t>WUP 
w Szczecinie 
pod nadzorem COIiE</t>
  </si>
  <si>
    <t>WUP
 w Szczecinie 
pod nadzorem COIiE</t>
  </si>
  <si>
    <t>Specjalistyczny Szpital im. A. Sokołowskiego 
w Szczecinie - Zdunowo - następca prawny SPWSZ 
w Szczecinie   
pod nadzorem WZ</t>
  </si>
  <si>
    <t>ZZMiUW w Szczecinie 
w likwidacji 
pod nadzorem WRiR</t>
  </si>
  <si>
    <t>ZZMiUW w Szczecinie
w likwidacji   
pod nadzorem WRiR</t>
  </si>
  <si>
    <t>ZZMiUW w Szczecinie
w likwidacji 
pod nadzorem WRiR</t>
  </si>
  <si>
    <r>
      <t xml:space="preserve">Tabela Nr 6G </t>
    </r>
    <r>
      <rPr>
        <i/>
        <sz val="12"/>
        <rFont val="Arial CE"/>
        <charset val="238"/>
      </rPr>
      <t xml:space="preserve"> do Załącznika Nr 3</t>
    </r>
  </si>
  <si>
    <r>
      <t xml:space="preserve">Tabela Nr 6H </t>
    </r>
    <r>
      <rPr>
        <i/>
        <sz val="12"/>
        <rFont val="Arial CE"/>
        <charset val="238"/>
      </rPr>
      <t>do Załącznika Nr 3</t>
    </r>
  </si>
  <si>
    <r>
      <t xml:space="preserve">Tabela Nr 6I  </t>
    </r>
    <r>
      <rPr>
        <i/>
        <sz val="12"/>
        <rFont val="Arial CE"/>
        <charset val="238"/>
      </rPr>
      <t>do Załącznika Nr 3</t>
    </r>
  </si>
  <si>
    <t>Limity zobowiązań 2017-2023 i lata następne</t>
  </si>
  <si>
    <r>
      <t>Limit zobowiązań na lata 2017-20</t>
    </r>
    <r>
      <rPr>
        <b/>
        <sz val="10"/>
        <rFont val="Arial CE"/>
        <charset val="238"/>
      </rPr>
      <t>23</t>
    </r>
    <r>
      <rPr>
        <b/>
        <sz val="10"/>
        <rFont val="Arial CE"/>
        <family val="2"/>
        <charset val="238"/>
      </rPr>
      <t xml:space="preserve"> 
i lata następne</t>
    </r>
  </si>
  <si>
    <t>Limity zobowiązań 2017-2023  i lata następne</t>
  </si>
  <si>
    <t>Limit zobowiązań 
w latach 
2017-2023</t>
  </si>
  <si>
    <t>25.</t>
  </si>
  <si>
    <t>Wzmocnienie pozycji regionalnej gospodarki, Pomorze Zachodnie - Ster na innowacje w ramach osi I RPO WZ - wydatki bieżące (2017-2020)</t>
  </si>
  <si>
    <t>Wzmocnienie pozycji regionalnej gospodarki, Pomorze Zachodnie - Ster na innowacje w ramach osi I RPO WZ - wydatki majątkowe (2017-2020)</t>
  </si>
  <si>
    <t>Wzmacnianie ochrony bociana białego i nietoperzy oraz realizacja zadań czynnej ochrony w rezerwatach przyrody na obszarach parków krajobrazowych województwa zachodniopomorskiego - majątkowe" w ramach RPO (2017-2020)</t>
  </si>
  <si>
    <t>Budowa Morskiego Centrum Nauki w Szczecinie w ramach osi IX RPO WZ 2014-2020 (2011-2022)</t>
  </si>
  <si>
    <t>Morskie Centrum Nauki w Szczecinie i Muzeum Narodowe w Szczecinie - nadzór WKNiDN</t>
  </si>
  <si>
    <t>dotacje celowe z budżetu państwa (poza budzetem)</t>
  </si>
  <si>
    <r>
      <t xml:space="preserve">Uwaga!  </t>
    </r>
    <r>
      <rPr>
        <i/>
        <sz val="8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</si>
  <si>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t>rozdz. 92505</t>
  </si>
  <si>
    <t>środki z budżetu krajowego</t>
  </si>
  <si>
    <t xml:space="preserve"> Muzeum Narodowe w Szczecinie - nadzór WKNiDN</t>
  </si>
  <si>
    <t>Wypłata odszkodowań za nieruchomości pod planowane inwestycje drogowe  (2012-2018)</t>
  </si>
  <si>
    <t>Decyzja Nr RPZP.05.01.00-32-0002/17  z dnia 17 października 2017 r.</t>
  </si>
  <si>
    <t>decyzja z listopada 2017</t>
  </si>
  <si>
    <t xml:space="preserve">Decyzja o dofinansowanie projektu Nr RPZP.05.01.00-32-0007/17 z dnia 22 listopada 2017 r. </t>
  </si>
  <si>
    <t>CZĘŚĆ II</t>
  </si>
  <si>
    <t xml:space="preserve"> Interreg VA Meklemburgia-Pomorze Przednie/ Brandenburgia/ Polska - wydatki</t>
  </si>
  <si>
    <t xml:space="preserve"> Interreg VA Meklemburgia-Pomorze Przednie/ Brandenburgia/ Polska - dochody</t>
  </si>
  <si>
    <t>dotacje celowe / płatności z UE ***</t>
  </si>
  <si>
    <t>Zrównoważona turystyka wodna w unikalnej Dolinie Dolnej Odry w ramach programu Interreg V A - wydatki majątkowe (2016-2020)</t>
  </si>
  <si>
    <t>Wzmacnianie ochrony bociana białego i nietoperzy oraz realizacja zadań czynnej ochrony w rezerwatach przyrody na obszarach parków krajobrazowych województwa zachodniopomorskiego - majątkowe w ramach Osi IV RPO (2016-2020)</t>
  </si>
  <si>
    <t>Umowa partnerska 
z dnia 3 sierpnia 2016 r.</t>
  </si>
  <si>
    <r>
      <t xml:space="preserve">Budowa infrastruktury turystycznej w Parkach Krajobrazowych województwa zachodniopomorskiego w celu zmniejszenia antropopresji - II etap </t>
    </r>
    <r>
      <rPr>
        <sz val="9"/>
        <rFont val="Arial CE"/>
        <charset val="238"/>
      </rPr>
      <t>w</t>
    </r>
    <r>
      <rPr>
        <b/>
        <sz val="9"/>
        <rFont val="Arial CE"/>
        <family val="2"/>
        <charset val="238"/>
      </rPr>
      <t xml:space="preserve"> </t>
    </r>
    <r>
      <rPr>
        <sz val="9"/>
        <rFont val="Arial CE"/>
        <family val="2"/>
        <charset val="238"/>
      </rPr>
      <t>ramach RPO WZ, Osi IV</t>
    </r>
    <r>
      <rPr>
        <b/>
        <sz val="9"/>
        <rFont val="Arial CE"/>
        <family val="2"/>
        <charset val="238"/>
      </rPr>
      <t xml:space="preserve"> (2016-2018)</t>
    </r>
    <r>
      <rPr>
        <b/>
        <sz val="9"/>
        <rFont val="Arial CE"/>
        <charset val="238"/>
      </rPr>
      <t>*</t>
    </r>
  </si>
  <si>
    <t>Wspólne dziedzictwo wspólna przyszłość w ramach programu INTERREG VA (2014-2020)</t>
  </si>
  <si>
    <t>Wspólne dziedzictwo wspólna przyszłość w ramach programu INTERREG VA - wydatki majątkowe (2014-2020)</t>
  </si>
  <si>
    <t xml:space="preserve">rozdz. 
75018
85295
</t>
  </si>
  <si>
    <t>Dobre Wsparcie - system lokalnych usług społecznych w ramach działania 7.6 RPO WZ - wydatki bieżące (2018-2019)</t>
  </si>
  <si>
    <t>Dobre Wsparcie - system lokalnych usług społecznych w ramach działania 7.6 RPO WZ - wydatki majątkowe (2018-2019)</t>
  </si>
  <si>
    <t xml:space="preserve">rozdz. 
85295
</t>
  </si>
  <si>
    <t>Limit` 18</t>
  </si>
  <si>
    <t>PW 2017</t>
  </si>
  <si>
    <r>
      <t xml:space="preserve">Budowa infrastruktury turystycznej w Parkach Krajobrazowych województwa zachodniopomorskiego w celu zmniejszenia antropopresji - II etap </t>
    </r>
    <r>
      <rPr>
        <sz val="9"/>
        <rFont val="Arial CE"/>
        <family val="2"/>
        <charset val="238"/>
      </rPr>
      <t>w ramach RPO WZ, Osi IV</t>
    </r>
    <r>
      <rPr>
        <b/>
        <sz val="9"/>
        <rFont val="Arial CE"/>
        <family val="2"/>
        <charset val="238"/>
      </rPr>
      <t xml:space="preserve"> (2016-2018)</t>
    </r>
  </si>
  <si>
    <t>Ekonomia społeczna kluczem do sukcesu - II w ramach działania 7.5 RPO WZ (2018-2019)</t>
  </si>
  <si>
    <t>Decyzja nr RPZP.01.14.00-32-0001/17-01 z dn. 11.12.2017 r. zm. Decyzję nr RPZP.01.14.00-32-0001/17-00 z dn. 11.12.2017 r.</t>
  </si>
  <si>
    <t>Wsparcie techniczne Interreg VA Południowy Bałtyk - wydatki majątkowe (2015-2020)</t>
  </si>
  <si>
    <t>środki z budżetu krajowego (WW i RW)</t>
  </si>
  <si>
    <t>Umowa leasingu samochodu osobowego (2016-2019)</t>
  </si>
  <si>
    <t>Nazwa zadania</t>
  </si>
  <si>
    <t xml:space="preserve">Kwota wydatków </t>
  </si>
  <si>
    <t>Kwota dochodów</t>
  </si>
  <si>
    <t>Nr umowy STHB.02.01.00-32-0082/16-00 
z dnia 25 września 2017 r.</t>
  </si>
  <si>
    <t xml:space="preserve">Umowa partnerska 
z dnia 19 maja 2017 r. </t>
  </si>
  <si>
    <r>
      <t xml:space="preserve">Przebudowa drogi woj. nr 109 na odcinku Mrzeżyno - Trzebiatów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(2008-2017)</t>
    </r>
  </si>
  <si>
    <r>
      <t xml:space="preserve">Przebudowa drogi woj. nr 203 na odcinku Iwięcino - Darłowo, etap I Iwięcino - Dąbki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(2007-2017)</t>
    </r>
  </si>
  <si>
    <r>
      <t xml:space="preserve">Przebudowa drogi woj. nr 167 na odcinku Koszalin - droga nr 168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(2008-2017)</t>
    </r>
  </si>
  <si>
    <r>
      <t xml:space="preserve">Przebudowa drogi woj. nr 163 na odcinku Czaplinek - Wałcz  (etap II i III)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(2008-2017)</t>
    </r>
  </si>
  <si>
    <r>
      <t xml:space="preserve">Przebudowa drogi wojewódzkiej nr 205 na odcinku Sławno - Polanów, etap przebudowy i rozbudowy przejścia przez m. Sławno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(2011-2017)</t>
    </r>
  </si>
  <si>
    <r>
      <t>Przebudowa drogi wojewódzkiej nr 109 na odcinku Trzebusz - Trzebiatów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(2016-2017)</t>
    </r>
  </si>
  <si>
    <r>
      <t xml:space="preserve">Organizacja Regionalnych spotkań informacyjnych i konsultacji indywidualnych podnoszących wiedzę nt. realizacji projektów </t>
    </r>
    <r>
      <rPr>
        <sz val="9"/>
        <rFont val="Arial CE"/>
        <charset val="238"/>
      </rPr>
      <t>w programie Erasmus+ Edukacja szkolna na lata 2014-2020</t>
    </r>
    <r>
      <rPr>
        <b/>
        <sz val="9"/>
        <rFont val="Arial CE"/>
        <charset val="238"/>
      </rPr>
      <t xml:space="preserve"> (2015-2017)</t>
    </r>
  </si>
  <si>
    <t>Przystosowanie mostu europejskiego Siekierki-Neurudnitz do ruchu turystycznego w ramach programu Interreg V A - wydatki majątkowe (2016-2020)</t>
  </si>
  <si>
    <t>Przystosowanie mostu europejskiego Siekierki-Neurudnitz do ruchu turystycznego w ramach programu Interreg V A (2016-2020)</t>
  </si>
  <si>
    <t>Wykonanie 
2017 r.</t>
  </si>
  <si>
    <t>Wykonanie
2017 r.</t>
  </si>
  <si>
    <t>ROPS
WZS</t>
  </si>
  <si>
    <t xml:space="preserve">rozdz. 
75018
85595
</t>
  </si>
  <si>
    <t>rozdz. 
85395</t>
  </si>
  <si>
    <t>PO WER, w tym Pomoc Techniczna - dochody</t>
  </si>
  <si>
    <t>PO WER, w tym Pomoc Techniczna - wydatki</t>
  </si>
  <si>
    <t>Rozbudowa drogi wojewódzkiej nr 114 na szlakowym odcinku Brzózki - Trzebież oraz przebudowa przejścia przez miejscowości Warnołęka i Brzózki w ramach Osi V RPO WZ (2018-2020)</t>
  </si>
  <si>
    <t>Rozbudowa Teatru Polskiego w Szczecinie w ramach RPO WZ (2018-2021)</t>
  </si>
  <si>
    <t xml:space="preserve">ROPS
</t>
  </si>
  <si>
    <t xml:space="preserve">rozdz. 
85595
</t>
  </si>
  <si>
    <t>Likwidacja skutków katastrofy budowlanej w skrzydle północnym Zamku Książąt Pomorskich w Szczecinie (2017-2018)</t>
  </si>
  <si>
    <t xml:space="preserve">Kompleksowe zagospodarowanie tarasów Zamku Książąt Pomorskich w Szczecinie (2015-2020) </t>
  </si>
  <si>
    <t>Decyzje 
Nr RPZP.05.06.00-32-0002/16-00 z dnia 20 grudnia 2016 r.</t>
  </si>
  <si>
    <t xml:space="preserve">Decyzja Nr RPZP.05.06.00.32-0001/17-00 (prawo opcji) z dnia 27 grudnia 2017 r. </t>
  </si>
  <si>
    <t>26.</t>
  </si>
  <si>
    <t>Decyzja o dofinansowaniu projektu 
z dnia 9.02.2018 
Nr POWER.02.08..00-00-0023/17-00</t>
  </si>
  <si>
    <t>Decyzja Nr RPZP.07.06.00-32-K111/17 
z dnia 7 marca 2018 r. 
(uchwała zatwierdzajaca Nr 383 ZWZ)</t>
  </si>
  <si>
    <t>27.</t>
  </si>
  <si>
    <t>Decyzja Nr RPZP.07.06.00-32-K112/17 
z dnia 27 marca 2018 r.</t>
  </si>
  <si>
    <t>28.</t>
  </si>
  <si>
    <t>Decyzja Nr RPZP.07.06.00-32-K.006/17-00 z dnia 27.02.2018</t>
  </si>
  <si>
    <t>Umowa partnerska STHB.02.01.00-22-0080/16-00 z 12.02.2018</t>
  </si>
  <si>
    <t>Oś Priorytetowa VI, Pomoc Techniczna w ramach  PO WER 2014 - 2020 (2015-2023)</t>
  </si>
  <si>
    <t>Azymut-Samodzielność w ramach, Osi II, działania 2.8 PO WER (2018-2022)</t>
  </si>
  <si>
    <t>Kurs na Rodzinę w ramach działania 7.6 RPO WZ (2018-2020)</t>
  </si>
  <si>
    <t>Akademia Rodzica Zastępczego w ramach działania 7.6 RPO WZ (2018-2019)</t>
  </si>
  <si>
    <t>Limity zobowiązań 2018-2032 i lata następne</t>
  </si>
  <si>
    <t>29.</t>
  </si>
  <si>
    <t>30.</t>
  </si>
  <si>
    <t>31.</t>
  </si>
  <si>
    <r>
      <t>Przebudowa drogi wojewódzkiej nr 102 na odcinku Łukęcin - Lędzin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</si>
  <si>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Budowa obejścia m. Barlinek w ciągu drogi nr 151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(2010-2018)</t>
    </r>
  </si>
  <si>
    <r>
      <t xml:space="preserve">Rozbudowa drogi wojewódzkiej nr 203 na odcinku Darłowo - granica województwa etap I przebudowa ul. Tynieckiego w m.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</si>
  <si>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Przebudowa drogi wojewódzkiej nr 151 na odcinku Ińsko - Recz etap I odc. Ińsko - Ciemnik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</si>
  <si>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Przebudowa drogi wojewódzkiej nr 109 na odcinku Trzebiatów - Płoty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(2017-2019)</t>
    </r>
  </si>
  <si>
    <r>
      <t xml:space="preserve">Zakup kolejowego taboru pasażerskiego o napędzie elektrycznym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</si>
  <si>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Tabela Nr 6B  </t>
    </r>
    <r>
      <rPr>
        <sz val="10"/>
        <rFont val="Arial"/>
        <family val="2"/>
        <charset val="238"/>
      </rPr>
      <t>do Załącznika Nr 3</t>
    </r>
  </si>
  <si>
    <r>
      <t xml:space="preserve">Wolontariat europejski EVS </t>
    </r>
    <r>
      <rPr>
        <sz val="9"/>
        <rFont val="Arial CE"/>
        <charset val="238"/>
      </rPr>
      <t xml:space="preserve">w ramach Programu Erasmus+ </t>
    </r>
    <r>
      <rPr>
        <b/>
        <sz val="9"/>
        <rFont val="Arial CE"/>
        <charset val="238"/>
      </rPr>
      <t xml:space="preserve"> (2016-2018)</t>
    </r>
  </si>
  <si>
    <r>
      <t>Wspólny Sekretariat - Pomoc Techniczna w ramach  Programu Współpracy INTERREG VA (2016-2022)</t>
    </r>
    <r>
      <rPr>
        <b/>
        <sz val="10"/>
        <rFont val="Arial CE"/>
        <charset val="238"/>
      </rPr>
      <t>**</t>
    </r>
  </si>
  <si>
    <r>
      <t>rozdz. 92118/</t>
    </r>
    <r>
      <rPr>
        <sz val="8"/>
        <rFont val="Arial CE"/>
        <charset val="238"/>
      </rPr>
      <t xml:space="preserve"> od 2018 roku </t>
    </r>
    <r>
      <rPr>
        <b/>
        <sz val="8"/>
        <rFont val="Arial CE"/>
        <charset val="238"/>
      </rPr>
      <t>- 92114</t>
    </r>
  </si>
  <si>
    <r>
      <t xml:space="preserve">rozdz. 92118/ </t>
    </r>
    <r>
      <rPr>
        <sz val="8"/>
        <rFont val="Arial CE"/>
        <charset val="238"/>
      </rPr>
      <t>od 2018 roku</t>
    </r>
    <r>
      <rPr>
        <b/>
        <sz val="8"/>
        <rFont val="Arial CE"/>
        <charset val="238"/>
      </rPr>
      <t xml:space="preserve"> - 92114</t>
    </r>
  </si>
  <si>
    <t>Umowa o dofinansowanie z EFRR
Program Współpracy Interreg VA
nr akt INT 23 z dnia 11 stycznia 2018 r.</t>
  </si>
  <si>
    <t>Umowa partnerska 
z dnia 8 stycznia 2018 r.</t>
  </si>
  <si>
    <t xml:space="preserve">           </t>
  </si>
  <si>
    <t xml:space="preserve">          </t>
  </si>
  <si>
    <t xml:space="preserve">         </t>
  </si>
  <si>
    <t xml:space="preserve">Plan B projekty bieżące + majątkowe (na podstawie wydruku z planuB)                                                                                                       </t>
  </si>
  <si>
    <t>Różnica pomiędzy Planem B a powyższym zestawieniem dot. wydatkow</t>
  </si>
  <si>
    <t>wydatki nie ujmowane w zestawieniu (rezerwy, ben. zew.) - suma</t>
  </si>
  <si>
    <t>A.</t>
  </si>
  <si>
    <t>B.</t>
  </si>
  <si>
    <t>Decyzja Nr RPZP.07.05.00-32-P001/17</t>
  </si>
  <si>
    <t>Przebudowa i rozbudowa przejścia drogi woj. nr 114 przez m. Brzózki w ramach IW INTERREG V A (2016-2017)</t>
  </si>
  <si>
    <t>ROPS/
WZS</t>
  </si>
  <si>
    <t>** W kolumnie 4 uwzględniono dochody w kwocie 7.083.560 zł, których wpływ zaplanowano na 2024 r.</t>
  </si>
  <si>
    <t>*** W kolumnie 4 uwzględniono dochody w kwocie 311.071 zł, których wpływ zaplanowano na 2024 r.</t>
  </si>
  <si>
    <t>Gospodarowanie nieruchomościami należącymi do zasobu Województwa Zachodniopomorskiego (2010-2018)</t>
  </si>
  <si>
    <t>Konserwatorskie Niebo - zakup wyposażenia do Pracowni Działu Konserwacji Muzeum Narodowego w Szczecinie w ramach PO IiŚ 2014 - 2020 (2017-2019)</t>
  </si>
  <si>
    <t>rozdz. 60013, 75863</t>
  </si>
  <si>
    <t>rodz.  60013, 75863</t>
  </si>
  <si>
    <t>rozdz. 05011</t>
  </si>
  <si>
    <t xml:space="preserve">Umowa o dofinansowanie projektu Nr POWR.02.05.00-00-0207/17-00 z dnia 28 marca 2018 r. </t>
  </si>
  <si>
    <t>Pomoc Techniczna Programu Operacyjnego „Rybactwo i Morze 2014-2020” (2016-2023)</t>
  </si>
  <si>
    <t>DOCHODY ŁĄCZNIE - 
stan na 29 MAJA 2018 r.</t>
  </si>
  <si>
    <t>Rozbudowa drogi wojewódzkiej nr 151 na odcinku Płotno-Pełczyce w ramach Osi V RPO WZ (2018-2019)</t>
  </si>
  <si>
    <t xml:space="preserve">Edukacja przyrodnicza w parkach krajobrazowych województwa zachodniopomorskiego w ramach działania 4.5 RPO WZ (2018-2020) </t>
  </si>
  <si>
    <t>Opracowanie projektów planów ochrony 5 parków krajobrazowych oraz aktualizacja planów ochrony 2 parków krajobrazowych w ramach działania 4.8 RPO WZ (2019-2023)</t>
  </si>
  <si>
    <t>ZPK</t>
  </si>
  <si>
    <t>Brak umowy</t>
  </si>
  <si>
    <t>001-004-198</t>
  </si>
  <si>
    <t>Sieć współpracy Skuteczna edukacja w ramach PO WER 2014-2020 (2018-2019)</t>
  </si>
  <si>
    <r>
      <t xml:space="preserve">PRZEDSIĘWZIĘCIA </t>
    </r>
    <r>
      <rPr>
        <b/>
        <sz val="12"/>
        <rFont val="Arial Black"/>
        <family val="2"/>
        <charset val="238"/>
      </rPr>
      <t>BEZ  DECYZJI</t>
    </r>
    <r>
      <rPr>
        <b/>
        <sz val="12"/>
        <rFont val="Arial CE"/>
        <charset val="238"/>
      </rPr>
      <t xml:space="preserve"> /DOKUMENTU
O PRZYZNANYM DOFINANSOWANIU </t>
    </r>
  </si>
  <si>
    <r>
      <t>POZ. 12.6.1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-</t>
    </r>
    <r>
      <rPr>
        <b/>
        <sz val="9"/>
        <rFont val="Arial CE"/>
        <charset val="238"/>
      </rPr>
      <t xml:space="preserve"> Wydatki na wkład krajowy </t>
    </r>
    <r>
      <rPr>
        <sz val="9"/>
        <rFont val="Arial CE"/>
        <charset val="238"/>
      </rPr>
      <t xml:space="preserve">(na projekty z  min. 60% dofinansowania z UE) w </t>
    </r>
    <r>
      <rPr>
        <b/>
        <sz val="9"/>
        <rFont val="Arial CE"/>
        <charset val="238"/>
      </rPr>
      <t xml:space="preserve">związku z już zawartą umową </t>
    </r>
    <r>
      <rPr>
        <sz val="9"/>
        <rFont val="Arial CE"/>
        <charset val="238"/>
      </rPr>
      <t>na realizację danego programu, projektu lub zadania - umowy zawarte</t>
    </r>
    <r>
      <rPr>
        <b/>
        <sz val="9"/>
        <rFont val="Arial CE"/>
        <charset val="238"/>
      </rPr>
      <t xml:space="preserve"> (a - b)</t>
    </r>
  </si>
  <si>
    <r>
      <t>b) Wkład krajowy na projekty z dofinansowaniem min. 60%, na które</t>
    </r>
    <r>
      <rPr>
        <b/>
        <sz val="10"/>
        <rFont val="Arial CE"/>
        <charset val="238"/>
      </rPr>
      <t xml:space="preserve"> nie zostały zawarte umowy</t>
    </r>
    <r>
      <rPr>
        <sz val="10"/>
        <rFont val="Arial CE"/>
        <charset val="238"/>
      </rPr>
      <t xml:space="preserve"> -  formuła</t>
    </r>
  </si>
  <si>
    <t>001-004-194</t>
  </si>
  <si>
    <t>ZZDW</t>
  </si>
  <si>
    <t>Umowa Nr 1/IR/2018 z dnia 3 stycznia 2018 r. zawarta pomiędzy Wojewodą a WZ (rozporządzenie MGMiŻŚ z dnia 22 sierpnia 2017 r. )</t>
  </si>
  <si>
    <t>32.</t>
  </si>
  <si>
    <r>
      <t xml:space="preserve">POZ. 11.5. - Nowe wydatki inwestycyjne (§ 605 i 606):
</t>
    </r>
    <r>
      <rPr>
        <sz val="10"/>
        <rFont val="Arial CE"/>
        <charset val="238"/>
      </rPr>
      <t>Formuła: Suma wierszy B+C+D→</t>
    </r>
    <r>
      <rPr>
        <b/>
        <i/>
        <sz val="10"/>
        <rFont val="Arial CE"/>
        <charset val="238"/>
      </rPr>
      <t>tylko § 605</t>
    </r>
    <r>
      <rPr>
        <sz val="10"/>
        <rFont val="Arial CE"/>
        <charset val="238"/>
      </rPr>
      <t>). W latach 2022-2023 w poz. tej wprowadza się kwotę wydatków stanowiącą różnicę poz. 2.2. i poz. 11.4. W następnych latach 2024 -2046 dane wynikają z różnicy pomiędzy poz. 2.2 i 11.6. (liczonej wskaźnikiem)</t>
    </r>
  </si>
  <si>
    <r>
      <t xml:space="preserve">Budowa obejścia m. Szczecinek w ciągu drogi nr 172 </t>
    </r>
    <r>
      <rPr>
        <sz val="9"/>
        <rFont val="Arial CE"/>
        <charset val="238"/>
      </rPr>
      <t>w ramach Osi II RPO</t>
    </r>
    <r>
      <rPr>
        <b/>
        <sz val="9"/>
        <rFont val="Arial CE"/>
        <charset val="238"/>
      </rPr>
      <t xml:space="preserve"> (2009-2018)</t>
    </r>
  </si>
  <si>
    <t>Oś Priorytetowa VI, Pomoc Techniczna w ramach  PO WER 2014-2020 - wydatki majątkowe (2015-2023)</t>
  </si>
  <si>
    <t xml:space="preserve">Wzmacnianie ochrony bociana białego i nietoperzy oraz realizacja zadań czynnej ochrony w rezerwatach przyrody na obszarach parków krajobrazowych województwa zachodniopomorskiego- bieżące" w ramach Osi IV RPO (2016-2020) </t>
  </si>
  <si>
    <t>Zrównoważona turystyka wodna w unikalnej Dolinie Dolnej Odry w ramach programu Interreg V A (2016-2020)</t>
  </si>
  <si>
    <t>Rozbudowa drogi wojewódzkiej nr 114 na szlakowym odcinku Brzózki - Trzebież oraz przebudowa przejścia przez miejscowości Warnołęka i Brzózki w ramach Osi V RPO WZ (2016-2020)</t>
  </si>
  <si>
    <r>
      <t xml:space="preserve">Przebudowa drogi wojewódzkiej nr 203 na odcinku Dąbki -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(2007-2018)</t>
    </r>
  </si>
  <si>
    <t>WIiT / WZS</t>
  </si>
  <si>
    <t>WUP
 w Szczecinie
pod nadzorem COIiE</t>
  </si>
  <si>
    <t>COIiE</t>
  </si>
  <si>
    <r>
      <t>Przebudowa drogi wojewódzkiej nr 142 na odcinku Szczecin - Krzywnica</t>
    </r>
    <r>
      <rPr>
        <sz val="9"/>
        <rFont val="Arial CE"/>
        <family val="2"/>
        <charset val="238"/>
      </rPr>
      <t xml:space="preserve"> w ramach Osi 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</si>
  <si>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Zakup kolejowego taboru pasażerskiego o napędzie elektrycznym  - prawo opcji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</si>
  <si>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Prowadzenie Punktu Informacji Europejskiej Europe Direct - Szczecin </t>
    </r>
    <r>
      <rPr>
        <sz val="9"/>
        <rFont val="Arial CE"/>
        <charset val="238"/>
      </rPr>
      <t xml:space="preserve">w ramach środków Komisji Europejskiej </t>
    </r>
    <r>
      <rPr>
        <b/>
        <sz val="9"/>
        <rFont val="Arial CE"/>
        <charset val="238"/>
      </rPr>
      <t>(2013-2020)</t>
    </r>
  </si>
  <si>
    <r>
      <t xml:space="preserve">Budowa sieci tras rowerowych Pomorza Zachodniego - Trasa Pojezierna </t>
    </r>
    <r>
      <rPr>
        <sz val="9"/>
        <rFont val="Arial CE"/>
        <family val="2"/>
        <charset val="238"/>
      </rPr>
      <t xml:space="preserve">w ramach Osi IV RPO </t>
    </r>
    <r>
      <rPr>
        <b/>
        <sz val="9"/>
        <rFont val="Arial CE"/>
        <family val="2"/>
        <charset val="238"/>
      </rPr>
      <t>(2016-2018)</t>
    </r>
  </si>
  <si>
    <r>
      <t xml:space="preserve">Budowa sieci tras rowerowych Pomorza Zachodniego - Trasa Nadmorska </t>
    </r>
    <r>
      <rPr>
        <sz val="9"/>
        <rFont val="Arial CE"/>
        <family val="2"/>
        <charset val="238"/>
      </rPr>
      <t>w ramach Osi IV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</si>
  <si>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Budowa sieci tras rowerowych Pomorza Zachodniego - Trasa Zielonego Pogranicza odc. Gryfino - Trzcińsko Zdrój </t>
    </r>
    <r>
      <rPr>
        <sz val="9"/>
        <rFont val="Arial CE"/>
        <charset val="238"/>
      </rPr>
      <t xml:space="preserve">w ramach Osi IV RPO WZ </t>
    </r>
    <r>
      <rPr>
        <b/>
        <sz val="9"/>
        <rFont val="Arial CE"/>
        <family val="2"/>
        <charset val="238"/>
      </rPr>
      <t>(2017-2018)</t>
    </r>
  </si>
  <si>
    <r>
      <t>Bałtyckie Obszary Energii - Perspektywa Planistyczna BEA-APP</t>
    </r>
    <r>
      <rPr>
        <sz val="9"/>
        <rFont val="Arial CE"/>
        <family val="2"/>
        <charset val="238"/>
      </rPr>
      <t xml:space="preserve"> w ramach programu EWT Region Morza Bałtyckiego (2016-2019)</t>
    </r>
  </si>
  <si>
    <r>
      <t xml:space="preserve">Zrównoważona mobilność na obszarze ostatniej mili w regionach turystycznych (LAST MILE) </t>
    </r>
    <r>
      <rPr>
        <sz val="9"/>
        <rFont val="Arial CE"/>
        <family val="2"/>
        <charset val="238"/>
      </rPr>
      <t>w ramach programu EWT Region Morza Bałtyckiego (2016-2020)</t>
    </r>
  </si>
  <si>
    <t>SUMA PARAGRAFÓW (606)</t>
  </si>
  <si>
    <t>SUMA PARAGRAFÓW (605)</t>
  </si>
  <si>
    <t>Suma paragrafów 605 i 606 (A+B) - dane pomocnicze z systemu PlanB</t>
  </si>
  <si>
    <t>Kooperacja - efektywna i skuteczna w ramach działania 2.5. PO WER (2018-2021)</t>
  </si>
  <si>
    <t>Nawigator Samodzielności w ramach działania 7.6 RPO WZ (2018-2020)</t>
  </si>
  <si>
    <t>Nawigator Samodzielności w ramach działania 7.6 RPO WZ - wydatki majątkowe (2018 - 2020)</t>
  </si>
  <si>
    <t>"Zachodniopomorskie Małe Skarby" w ramach działania 6.6 RPO WZ 2014-2020</t>
  </si>
  <si>
    <t>"Zachodniopomorskie Małe Skarby" w ramach działania 6.6 RPO WZ 2014-2020 (2018-2020)</t>
  </si>
  <si>
    <t>wkład własny (poza budżetem)</t>
  </si>
  <si>
    <t>Remont instalacji elektrycznej skrzydła Menniczego budynku Zamku Książąt Pomorskich w Szczecinie (2018-2019)</t>
  </si>
  <si>
    <t>Decyzja Nr RPZP.04.05.00-32-A003/17 
z dnia 22 maja 2018 r.</t>
  </si>
  <si>
    <t>Decyzja o dofinansowanie projektu Nr RPZP.04.04.00-32-A001/16-00 z 15 maja 2018 (wersja pierwotna RPZP.04.04.00-32-A001/17-00 z dnia 11 września 2017 r. )</t>
  </si>
  <si>
    <r>
      <rPr>
        <b/>
        <sz val="10"/>
        <rFont val="Arial CE"/>
        <charset val="238"/>
      </rPr>
      <t xml:space="preserve">POZ. 2.2. </t>
    </r>
    <r>
      <rPr>
        <sz val="10"/>
        <rFont val="Arial CE"/>
        <charset val="238"/>
      </rPr>
      <t xml:space="preserve">Dane  pobierane automatycznie z systemu PlanB do przepisania z aktualizowanej prognozy  </t>
    </r>
    <r>
      <rPr>
        <b/>
        <sz val="10"/>
        <rFont val="Arial CE"/>
        <charset val="238"/>
      </rPr>
      <t xml:space="preserve">WIERSZ POMOCNICZY </t>
    </r>
    <r>
      <rPr>
        <sz val="10"/>
        <rFont val="Arial CE"/>
        <charset val="238"/>
      </rPr>
      <t xml:space="preserve"> (do obliczenia poz. 11.5 w latach 2022 - 2023)</t>
    </r>
  </si>
  <si>
    <r>
      <rPr>
        <b/>
        <sz val="10"/>
        <rFont val="Arial CE"/>
        <charset val="238"/>
      </rPr>
      <t>POZ. 11.6.</t>
    </r>
    <r>
      <rPr>
        <sz val="10"/>
        <rFont val="Arial CE"/>
        <charset val="238"/>
      </rPr>
      <t xml:space="preserve"> Dane pobierane automatycznie z systemu PlanB do przepisania z aktualizowanej prognozy (przeliczane wskaźnikiem)  </t>
    </r>
    <r>
      <rPr>
        <b/>
        <sz val="10"/>
        <rFont val="Arial CE"/>
        <charset val="238"/>
      </rPr>
      <t>WIERSZ POMOCNICZY (</t>
    </r>
    <r>
      <rPr>
        <sz val="10"/>
        <rFont val="Arial CE"/>
        <charset val="238"/>
      </rPr>
      <t>do obliczenia poz. 11.5 w latach 2022 - 2023)</t>
    </r>
  </si>
  <si>
    <t>33.</t>
  </si>
  <si>
    <t>34.</t>
  </si>
  <si>
    <t>35.</t>
  </si>
  <si>
    <t>do końca 2016 r.</t>
  </si>
  <si>
    <t>WYDATKI ŁĄCZNIE - 
stan na 26 CZERWCA 2018 r.</t>
  </si>
  <si>
    <t>DOCHODY ŁĄCZNIE - 
stan na 26 CZERWCA 2018 r.</t>
  </si>
  <si>
    <t>WYDATKI ŁĄCZNIE - 
stan na 29 MAJA  2018 r.</t>
  </si>
  <si>
    <t>NIE DOTYCZY</t>
  </si>
  <si>
    <t>Zakup instrumentów muzycznych na potrzeby działalności kulturalnej Opery na Zamku w Szczecinie (2018-2019)</t>
  </si>
  <si>
    <t>Opera na Zamku w Szczecinie - nadzór WKNiDN</t>
  </si>
  <si>
    <t>Przebudowa drogi wojewódzkiej nr 151 na odcinku Świdwin - Łobez (etap I przebudowa mostu w m. Łobez) w ramach Osi V RPO</t>
  </si>
  <si>
    <t xml:space="preserve">Przebudowa i rozbudowa przejścia drogi woj. nr 125 przez m. Golice i m. Klępicz </t>
  </si>
  <si>
    <t xml:space="preserve">
WWT</t>
  </si>
  <si>
    <r>
      <t xml:space="preserve">POZ. 11.4. - Wydatki inwestycyjne kontynuowane (§ 605 i 606):
</t>
    </r>
    <r>
      <rPr>
        <sz val="10"/>
        <rFont val="Arial CE"/>
        <charset val="238"/>
      </rPr>
      <t>Formuła: Suma paragrafów 605 i 606 minus poz. 11.5 - nowe wydatki inwestycyjne. W latach 2022-2023 w poz. tej wprowadza się kwotę wydatków majątkowych wyszczególnionych w tabeli Nr 6 - cz. I i cz. II - formuła</t>
    </r>
  </si>
  <si>
    <t>Wyposażenie w nowoczesny sprzęt Zachodniopomorskiej Książnicy Cyfrowej w Szczecinie w ramach Osi VIII PO IiŚ (2016-2018)</t>
  </si>
  <si>
    <r>
      <t xml:space="preserve">Przebudowa ul. Jagiełły w ciągu drogi wojewódzkiej nr 160 i ul. Dąbrowszczaków w ciągu drogi wojewódzkiej nr 175 w m. Choszczno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(2016-2019)</t>
    </r>
  </si>
  <si>
    <r>
      <t xml:space="preserve">Dokumentacje techniczne na budowę sieci tras rowerowych Pomorza Zachodniego </t>
    </r>
    <r>
      <rPr>
        <sz val="9"/>
        <rFont val="Arial CE"/>
        <family val="2"/>
        <charset val="238"/>
      </rPr>
      <t>w ramach Osi IV RPO</t>
    </r>
    <r>
      <rPr>
        <b/>
        <sz val="9"/>
        <rFont val="Arial CE"/>
        <family val="2"/>
        <charset val="238"/>
      </rPr>
      <t xml:space="preserve"> (2018-2019)</t>
    </r>
  </si>
  <si>
    <r>
      <t xml:space="preserve">Przebudowa drogi wojewódzkiej nr 102 na odcinku Międzywodzie -Dziwnów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(2016-2018)</t>
    </r>
  </si>
  <si>
    <t>PROJEKTY  REALIZOWANE  W  RAMACH  PW  INTERREG</t>
  </si>
  <si>
    <t>Przebudowa i rozbudowa przejścia drogi wojewódzkiej nr 120 przez m. Wełtyń w ramach PW INTERREG V A (2016-2018)</t>
  </si>
  <si>
    <t>Przebudowa i rozbudowa przejścia drogowego przez m. Tanowo na drodze woj. Nr 115 w ramach PW INTERREG V A (2010-2019)</t>
  </si>
  <si>
    <t>Przebudowa i rozbudowa przejścia drogi woj. nr 122 przez m. Krzywin (etap II) w ramach PW INTERREG V A (2019-2020)</t>
  </si>
  <si>
    <t>Przebudowa i rozbudowa przejścia drogi woj. nr 125 przez m. Moryń i m. Bielin w ramach PW INTERREG V A (2019-2020)</t>
  </si>
  <si>
    <t>TENTacle – wykorzystanie korytarzy sieci bazowej TEN-T w ramach PW INTERREG VB (2016-2019)</t>
  </si>
  <si>
    <t>TalkNET - Sieć zainteresowanych podmiotów z sektora transportu i logistyki w ramach PW INTERREG VB (2017-2020)</t>
  </si>
  <si>
    <r>
      <t xml:space="preserve">Dokumentacje techniczne na drogowe zadania inwestycyjne </t>
    </r>
    <r>
      <rPr>
        <sz val="9"/>
        <rFont val="Arial CE"/>
        <charset val="238"/>
      </rPr>
      <t>w ramach Osi V RPO</t>
    </r>
    <r>
      <rPr>
        <b/>
        <sz val="9"/>
        <rFont val="Arial CE"/>
        <charset val="238"/>
      </rPr>
      <t xml:space="preserve"> (2017-2020)</t>
    </r>
  </si>
  <si>
    <r>
      <t xml:space="preserve">PYTAĆ O KOSZTY </t>
    </r>
    <r>
      <rPr>
        <sz val="10"/>
        <rFont val="Arial Black"/>
        <family val="2"/>
        <charset val="238"/>
      </rPr>
      <t xml:space="preserve">POŚREDNIE </t>
    </r>
    <r>
      <rPr>
        <sz val="10"/>
        <rFont val="Arial"/>
        <family val="2"/>
        <charset val="238"/>
      </rPr>
      <t>DO WPROWADZNYCH PROJEKTÓW</t>
    </r>
  </si>
  <si>
    <r>
      <t xml:space="preserve">Tabela Nr 6C </t>
    </r>
    <r>
      <rPr>
        <sz val="10"/>
        <rFont val="Arial"/>
        <family val="2"/>
        <charset val="238"/>
      </rPr>
      <t xml:space="preserve"> do Załącznika Nr 3</t>
    </r>
  </si>
  <si>
    <r>
      <t xml:space="preserve">Tabela Nr 6E  </t>
    </r>
    <r>
      <rPr>
        <sz val="10"/>
        <rFont val="Arial"/>
        <family val="2"/>
        <charset val="238"/>
      </rPr>
      <t>do Załącznika Nr 3</t>
    </r>
  </si>
  <si>
    <r>
      <t xml:space="preserve">Różnica w wykonaniu wydatków UE w kwocie in minus </t>
    </r>
    <r>
      <rPr>
        <i/>
        <sz val="10"/>
        <rFont val="Arial"/>
        <family val="2"/>
        <charset val="238"/>
      </rPr>
      <t>1.669.413 zł</t>
    </r>
    <r>
      <rPr>
        <sz val="10"/>
        <rFont val="Arial"/>
        <family val="2"/>
        <charset val="238"/>
      </rPr>
      <t xml:space="preserve"> wynika z:
- przeniesienia części refundacji wydatków poniesionych w 2016 r. na 2017 r. w kwocie </t>
    </r>
    <r>
      <rPr>
        <i/>
        <sz val="10"/>
        <rFont val="Arial"/>
        <family val="2"/>
        <charset val="238"/>
      </rPr>
      <t>213.660 zł,</t>
    </r>
    <r>
      <rPr>
        <sz val="10"/>
        <rFont val="Arial"/>
        <family val="2"/>
        <charset val="238"/>
      </rPr>
      <t xml:space="preserve">
- ostatecznego rozliczenia wynagrodzeń pracowników realizujących projekt, w wyniku którego wydatki w kwocie </t>
    </r>
    <r>
      <rPr>
        <i/>
        <sz val="10"/>
        <rFont val="Arial"/>
        <family val="2"/>
        <charset val="238"/>
      </rPr>
      <t xml:space="preserve">1.455.753 zł </t>
    </r>
    <r>
      <rPr>
        <sz val="10"/>
        <rFont val="Arial"/>
        <family val="2"/>
        <charset val="238"/>
      </rPr>
      <t xml:space="preserve">zostały wykazane w poz. wkład własny z budżetu województwa.
Do czasu zakończenia procesu refundacji wydatki dotyczące wynagrodzeń, będące w dyspozycji WOiRZL kalsyfkowane są w źródle WW z czwartą cyfrą "0". </t>
    </r>
  </si>
  <si>
    <r>
      <t xml:space="preserve">Wydatki </t>
    </r>
    <r>
      <rPr>
        <b/>
        <sz val="10"/>
        <rFont val="Arial"/>
        <family val="2"/>
        <charset val="238"/>
      </rPr>
      <t xml:space="preserve">płatności </t>
    </r>
    <r>
      <rPr>
        <sz val="10"/>
        <rFont val="Arial"/>
        <family val="2"/>
        <charset val="238"/>
      </rPr>
      <t>PT 2014-2020 - lata 2021-2023</t>
    </r>
  </si>
  <si>
    <r>
      <t>POZ. 2.1.1.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WYDATKI BIEŻĄCE z tytułu poręczeń i gwarancji</t>
    </r>
    <r>
      <rPr>
        <sz val="10"/>
        <rFont val="Arial CE"/>
        <charset val="238"/>
      </rPr>
      <t xml:space="preserve">
Kwoty pobierane są z arkusza Tab 6C - Ochrona zdrowia - formuła.
Do prognozy w PlanieB do 2021 r. kwoty pobierane są automatycznie z systemu natomiast od roku 2022 do 2028 kwoty należy wpisywać ręcznie. </t>
    </r>
  </si>
  <si>
    <r>
      <t>POZ. 12.1.1.1.</t>
    </r>
    <r>
      <rPr>
        <sz val="10"/>
        <rFont val="Arial Black"/>
        <family val="2"/>
        <charset val="238"/>
      </rPr>
      <t xml:space="preserve"> </t>
    </r>
    <r>
      <rPr>
        <b/>
        <sz val="9"/>
        <rFont val="Arial Black"/>
        <family val="2"/>
        <charset val="238"/>
      </rPr>
      <t>DOCHODY BIEŻĄCE</t>
    </r>
    <r>
      <rPr>
        <b/>
        <sz val="9"/>
        <rFont val="Arial CE"/>
        <charset val="238"/>
      </rPr>
      <t xml:space="preserve">  </t>
    </r>
    <r>
      <rPr>
        <sz val="9"/>
        <rFont val="Arial CE"/>
        <charset val="238"/>
      </rPr>
      <t xml:space="preserve">(z grupy paragrafów z czwartą cyf. </t>
    </r>
    <r>
      <rPr>
        <b/>
        <sz val="9"/>
        <rFont val="Arial Black"/>
        <family val="2"/>
        <charset val="238"/>
      </rPr>
      <t>1, 7, 8</t>
    </r>
    <r>
      <rPr>
        <sz val="9"/>
        <rFont val="Arial CE"/>
        <charset val="238"/>
      </rPr>
      <t>)</t>
    </r>
    <r>
      <rPr>
        <b/>
        <sz val="9"/>
        <rFont val="Arial CE"/>
        <charset val="238"/>
      </rPr>
      <t xml:space="preserve"> </t>
    </r>
    <r>
      <rPr>
        <sz val="9"/>
        <rFont val="Arial CE"/>
        <charset val="238"/>
      </rPr>
      <t>obejmujące</t>
    </r>
    <r>
      <rPr>
        <b/>
        <sz val="9"/>
        <rFont val="Arial CE"/>
        <charset val="238"/>
      </rPr>
      <t xml:space="preserve"> </t>
    </r>
    <r>
      <rPr>
        <sz val="9"/>
        <rFont val="Arial CE"/>
        <charset val="238"/>
      </rPr>
      <t xml:space="preserve">środki określone w art. 5 ust 1 pkt 2 ustawy </t>
    </r>
    <r>
      <rPr>
        <b/>
        <sz val="9"/>
        <rFont val="Arial CE"/>
        <charset val="238"/>
      </rPr>
      <t xml:space="preserve">wynikające wyłącznie z zawartych umów </t>
    </r>
    <r>
      <rPr>
        <sz val="9"/>
        <rFont val="Arial CE"/>
        <charset val="238"/>
      </rPr>
      <t>na realizację programu, projektu lub zadania (a - b)</t>
    </r>
  </si>
  <si>
    <r>
      <t>a) Dane z poz.</t>
    </r>
    <r>
      <rPr>
        <b/>
        <sz val="9"/>
        <rFont val="Arial CE"/>
        <charset val="238"/>
      </rPr>
      <t xml:space="preserve"> 12.1.1.</t>
    </r>
    <r>
      <rPr>
        <sz val="9"/>
        <rFont val="Arial CE"/>
        <charset val="238"/>
      </rPr>
      <t xml:space="preserve"> (pobierane automatycznie z systemu PlanB - do przepisania z aktualizowanej prognozy) </t>
    </r>
    <r>
      <rPr>
        <b/>
        <sz val="9"/>
        <rFont val="Arial CE"/>
        <charset val="238"/>
      </rPr>
      <t>do roku 2021
Od 2022 do 2023 roku dane pobierane z powyższego zestawienia (cz. I  B, wiersz BD) - formuła</t>
    </r>
  </si>
  <si>
    <r>
      <t xml:space="preserve">b) </t>
    </r>
    <r>
      <rPr>
        <b/>
        <sz val="9"/>
        <rFont val="Arial CE"/>
        <charset val="238"/>
      </rPr>
      <t>Dochody bieżące</t>
    </r>
    <r>
      <rPr>
        <sz val="9"/>
        <rFont val="Arial CE"/>
        <charset val="238"/>
      </rPr>
      <t xml:space="preserve"> wynikające z projektów, </t>
    </r>
    <r>
      <rPr>
        <b/>
        <sz val="9"/>
        <rFont val="Arial CE"/>
        <charset val="238"/>
      </rPr>
      <t>na które nie podpisano umów</t>
    </r>
    <r>
      <rPr>
        <sz val="9"/>
        <rFont val="Arial CE"/>
        <charset val="238"/>
      </rPr>
      <t xml:space="preserve"> (cz. II, projekty bieżące powyższego zestawienia, wiersz BD) - formuła do 2021 r.
</t>
    </r>
    <r>
      <rPr>
        <b/>
        <sz val="9"/>
        <rFont val="Arial CE"/>
        <charset val="238"/>
      </rPr>
      <t>Uwaga!</t>
    </r>
    <r>
      <rPr>
        <sz val="9"/>
        <rFont val="Arial CE"/>
        <charset val="238"/>
      </rPr>
      <t xml:space="preserve"> Obecnie występują projekty bieżące ujęte w budżecie realizowane bez  zawartych umów.</t>
    </r>
  </si>
  <si>
    <r>
      <t>POZ. 12.2.1.1.</t>
    </r>
    <r>
      <rPr>
        <sz val="10"/>
        <rFont val="Arial CE"/>
        <charset val="238"/>
      </rPr>
      <t xml:space="preserve"> </t>
    </r>
    <r>
      <rPr>
        <b/>
        <sz val="9"/>
        <rFont val="Arial Black"/>
        <family val="2"/>
        <charset val="238"/>
      </rPr>
      <t>DOCHODY MAJĄTKOWE</t>
    </r>
    <r>
      <rPr>
        <sz val="9"/>
        <rFont val="Arial CE"/>
        <charset val="238"/>
      </rPr>
      <t xml:space="preserve">  ( z grupy paragrafów z czwartą cyf. </t>
    </r>
    <r>
      <rPr>
        <sz val="9"/>
        <rFont val="Arial Black"/>
        <family val="2"/>
        <charset val="238"/>
      </rPr>
      <t>1, 7, 8</t>
    </r>
    <r>
      <rPr>
        <sz val="9"/>
        <rFont val="Arial CE"/>
        <charset val="238"/>
      </rPr>
      <t xml:space="preserve">) obejmujące środki określone w art. 5 ust 1 pkt 2 ustawy wynikające </t>
    </r>
    <r>
      <rPr>
        <b/>
        <sz val="9"/>
        <rFont val="Arial CE"/>
        <charset val="238"/>
      </rPr>
      <t xml:space="preserve">wyłącznie z zawartych umów </t>
    </r>
    <r>
      <rPr>
        <sz val="9"/>
        <rFont val="Arial CE"/>
        <charset val="238"/>
      </rPr>
      <t>na realizację programu, projektu lub zadania (a - b)</t>
    </r>
  </si>
  <si>
    <r>
      <t>a) Dane z poz.</t>
    </r>
    <r>
      <rPr>
        <b/>
        <sz val="9"/>
        <rFont val="Arial CE"/>
        <charset val="238"/>
      </rPr>
      <t xml:space="preserve"> 12.2.1.</t>
    </r>
    <r>
      <rPr>
        <sz val="9"/>
        <rFont val="Arial CE"/>
        <charset val="238"/>
      </rPr>
      <t xml:space="preserve"> (pobierane automatycznie z systemu PlanB - do przepisania z aktualnej prognozy) </t>
    </r>
    <r>
      <rPr>
        <b/>
        <sz val="9"/>
        <rFont val="Arial CE"/>
        <charset val="238"/>
      </rPr>
      <t>do roku 2021
Od 2022 do 2023 roku dane pobierane z powyższego zestawienia (cz. I  M, wiersz MD) - formuła</t>
    </r>
  </si>
  <si>
    <r>
      <t xml:space="preserve">b) </t>
    </r>
    <r>
      <rPr>
        <b/>
        <sz val="9"/>
        <rFont val="Arial CE"/>
        <charset val="238"/>
      </rPr>
      <t>Dochody majątkowe</t>
    </r>
    <r>
      <rPr>
        <sz val="9"/>
        <rFont val="Arial CE"/>
        <charset val="238"/>
      </rPr>
      <t xml:space="preserve"> wynikające z projektów, </t>
    </r>
    <r>
      <rPr>
        <b/>
        <sz val="9"/>
        <rFont val="Arial CE"/>
        <charset val="238"/>
      </rPr>
      <t>na które nie podpisano umów</t>
    </r>
    <r>
      <rPr>
        <sz val="9"/>
        <rFont val="Arial CE"/>
        <charset val="238"/>
      </rPr>
      <t xml:space="preserve"> (cz. II, - projekty majątkowe wyszczególnione w powyższym zestawieniu).</t>
    </r>
  </si>
  <si>
    <r>
      <t>POZ. 12.3.</t>
    </r>
    <r>
      <rPr>
        <sz val="10"/>
        <rFont val="Arial CE"/>
        <charset val="238"/>
      </rPr>
      <t xml:space="preserve"> -</t>
    </r>
    <r>
      <rPr>
        <sz val="9"/>
        <rFont val="Arial CE"/>
        <charset val="238"/>
      </rPr>
      <t xml:space="preserve"> </t>
    </r>
    <r>
      <rPr>
        <b/>
        <sz val="9"/>
        <rFont val="Arial Black"/>
        <family val="2"/>
        <charset val="238"/>
      </rPr>
      <t>WYDATKI BIEŻĄCE</t>
    </r>
    <r>
      <rPr>
        <b/>
        <sz val="9"/>
        <rFont val="Arial CE"/>
        <charset val="238"/>
      </rPr>
      <t xml:space="preserve"> </t>
    </r>
    <r>
      <rPr>
        <sz val="9"/>
        <rFont val="Arial CE"/>
        <charset val="238"/>
      </rPr>
      <t>( z grupy paragrafów z czwartą cyf.</t>
    </r>
    <r>
      <rPr>
        <sz val="9"/>
        <rFont val="Arial Black"/>
        <family val="2"/>
        <charset val="238"/>
      </rPr>
      <t xml:space="preserve"> 1, 2, 5, 6,7,8,9</t>
    </r>
    <r>
      <rPr>
        <sz val="9"/>
        <rFont val="Arial CE"/>
        <charset val="238"/>
      </rPr>
      <t>)</t>
    </r>
    <r>
      <rPr>
        <b/>
        <sz val="9"/>
        <rFont val="Arial CE"/>
        <charset val="238"/>
      </rPr>
      <t xml:space="preserve"> na programy, projekty lub zadania finansowane z udziałem środków, o których mowa w art. 5 ust. 1 pkt 2 i 3</t>
    </r>
    <r>
      <rPr>
        <sz val="9"/>
        <rFont val="Arial CE"/>
        <charset val="238"/>
      </rPr>
      <t xml:space="preserve">  (a  + b)</t>
    </r>
  </si>
  <si>
    <r>
      <t>a) Dane z poz.</t>
    </r>
    <r>
      <rPr>
        <b/>
        <sz val="9"/>
        <rFont val="Arial CE"/>
        <charset val="238"/>
      </rPr>
      <t xml:space="preserve"> 12.3.</t>
    </r>
    <r>
      <rPr>
        <sz val="9"/>
        <rFont val="Arial CE"/>
        <charset val="238"/>
      </rPr>
      <t xml:space="preserve"> pobierane automatycznie z systemu PlanB d</t>
    </r>
    <r>
      <rPr>
        <b/>
        <sz val="9"/>
        <rFont val="Arial CE"/>
        <charset val="238"/>
      </rPr>
      <t>o przepisania z aktualizowanej prognozy</t>
    </r>
    <r>
      <rPr>
        <sz val="9"/>
        <rFont val="Arial CE"/>
        <charset val="238"/>
      </rPr>
      <t xml:space="preserve"> (przed zwiększeniem o kwoty wydatków zaplanowane na: PT  Oś X przez WOiRZL - </t>
    </r>
    <r>
      <rPr>
        <b/>
        <sz val="9"/>
        <rFont val="Arial CE"/>
        <charset val="238"/>
      </rPr>
      <t>do 2021 roku
Od 2022 do 2023 roku dane pobierane z powyższego zestawienia (cz. I  wiersz BW  i cz. II  wiersze B) - formuła</t>
    </r>
  </si>
  <si>
    <r>
      <t>b) Kwota wydatków zaplanowanych na PT RPO Oś X przez WOiRZL (czwarta cyfra 0), obejmująca wkład krajowy i wkład unijny  - formuła Tab. 6E -</t>
    </r>
    <r>
      <rPr>
        <b/>
        <sz val="9"/>
        <rFont val="Arial CE"/>
        <charset val="238"/>
      </rPr>
      <t xml:space="preserve"> do 2023 r..</t>
    </r>
  </si>
  <si>
    <r>
      <t>POZ. 12.3.1</t>
    </r>
    <r>
      <rPr>
        <sz val="10"/>
        <rFont val="Arial CE"/>
        <charset val="238"/>
      </rPr>
      <t xml:space="preserve"> -</t>
    </r>
    <r>
      <rPr>
        <sz val="9"/>
        <rFont val="Arial CE"/>
        <charset val="238"/>
      </rPr>
      <t xml:space="preserve"> </t>
    </r>
    <r>
      <rPr>
        <b/>
        <sz val="9"/>
        <rFont val="Arial Black"/>
        <family val="2"/>
        <charset val="238"/>
      </rPr>
      <t>WYDATKI BIEŻĄCE</t>
    </r>
    <r>
      <rPr>
        <b/>
        <sz val="9"/>
        <rFont val="Arial CE"/>
        <charset val="238"/>
      </rPr>
      <t xml:space="preserve"> (</t>
    </r>
    <r>
      <rPr>
        <sz val="9"/>
        <rFont val="Arial CE"/>
        <charset val="238"/>
      </rPr>
      <t>z grupy paragrafów z czwartą cyf</t>
    </r>
    <r>
      <rPr>
        <b/>
        <sz val="9"/>
        <rFont val="Arial CE"/>
        <charset val="238"/>
      </rPr>
      <t xml:space="preserve">. 1, 7, 8) na projekty  </t>
    </r>
    <r>
      <rPr>
        <sz val="9"/>
        <rFont val="Arial CE"/>
        <charset val="238"/>
      </rPr>
      <t xml:space="preserve">finansowane środkami określonymi w art. 5 ust 1 pkt 2 ustawy </t>
    </r>
    <r>
      <rPr>
        <b/>
        <sz val="9"/>
        <rFont val="Arial CE"/>
        <charset val="238"/>
      </rPr>
      <t xml:space="preserve">- </t>
    </r>
    <r>
      <rPr>
        <b/>
        <i/>
        <sz val="9"/>
        <rFont val="Arial CE"/>
        <charset val="238"/>
      </rPr>
      <t>wkład unijny</t>
    </r>
    <r>
      <rPr>
        <b/>
        <sz val="9"/>
        <rFont val="Arial CE"/>
        <charset val="238"/>
      </rPr>
      <t xml:space="preserve">  </t>
    </r>
    <r>
      <rPr>
        <sz val="9"/>
        <rFont val="Arial CE"/>
        <charset val="238"/>
      </rPr>
      <t xml:space="preserve"> (a  + b)</t>
    </r>
  </si>
  <si>
    <r>
      <t>a) Dane z poz.</t>
    </r>
    <r>
      <rPr>
        <b/>
        <sz val="9"/>
        <rFont val="Arial CE"/>
        <charset val="238"/>
      </rPr>
      <t xml:space="preserve"> 12.3.1</t>
    </r>
    <r>
      <rPr>
        <sz val="9"/>
        <rFont val="Arial CE"/>
        <charset val="238"/>
      </rPr>
      <t xml:space="preserve"> (pobierane automatycznie z systemu PlanB - do przepisania z aktualizowanej prognozy), przed zwiększeniem o wydatki zaplanowane na PT Oś X przez WOiRZL - </t>
    </r>
    <r>
      <rPr>
        <b/>
        <sz val="9"/>
        <rFont val="Arial CE"/>
        <charset val="238"/>
      </rPr>
      <t>do 2021 r.
Od 2022 do 2023 roku dane pobierane z powyższego zestawienia (cz. I  wiersz BU  i cz. II  wiersz BU) - formuła</t>
    </r>
  </si>
  <si>
    <r>
      <t>POZ. 12.3.2</t>
    </r>
    <r>
      <rPr>
        <sz val="10"/>
        <rFont val="Arial CE"/>
        <charset val="238"/>
      </rPr>
      <t xml:space="preserve"> -</t>
    </r>
    <r>
      <rPr>
        <sz val="9"/>
        <rFont val="Arial CE"/>
        <charset val="238"/>
      </rPr>
      <t xml:space="preserve"> </t>
    </r>
    <r>
      <rPr>
        <b/>
        <sz val="9"/>
        <rFont val="Arial Black"/>
        <family val="2"/>
        <charset val="238"/>
      </rPr>
      <t>WYDATKI BIEŻĄCE</t>
    </r>
    <r>
      <rPr>
        <b/>
        <sz val="9"/>
        <rFont val="Arial CE"/>
        <charset val="238"/>
      </rPr>
      <t xml:space="preserve"> (</t>
    </r>
    <r>
      <rPr>
        <sz val="9"/>
        <rFont val="Arial CE"/>
        <charset val="238"/>
      </rPr>
      <t>z grupy paragrafów z czwartą cyf</t>
    </r>
    <r>
      <rPr>
        <b/>
        <sz val="9"/>
        <rFont val="Arial CE"/>
        <charset val="238"/>
      </rPr>
      <t xml:space="preserve">. 1, 7, 8) na projekty  </t>
    </r>
    <r>
      <rPr>
        <sz val="9"/>
        <rFont val="Arial CE"/>
        <charset val="238"/>
      </rPr>
      <t xml:space="preserve">finansowane środkami określonymi w art. 5 ust 1 pkt 2 ustawy </t>
    </r>
    <r>
      <rPr>
        <b/>
        <sz val="9"/>
        <rFont val="Arial CE"/>
        <charset val="238"/>
      </rPr>
      <t xml:space="preserve">- </t>
    </r>
    <r>
      <rPr>
        <b/>
        <i/>
        <sz val="9"/>
        <rFont val="Arial CE"/>
        <charset val="238"/>
      </rPr>
      <t xml:space="preserve">wkład unijny - </t>
    </r>
    <r>
      <rPr>
        <b/>
        <sz val="9"/>
        <rFont val="Arial CE"/>
        <charset val="238"/>
      </rPr>
      <t xml:space="preserve">wynikające wyłącznie z zawartych umów.
Kwota z poz. 12.3.1 </t>
    </r>
    <r>
      <rPr>
        <sz val="9"/>
        <rFont val="Arial CE"/>
        <charset val="238"/>
      </rPr>
      <t>pomniejszona o kwotę wydatków bieżących na projektach bez zawartych umów wykazanych w cz. II - bieżącej powyższego zestawienia - formuła.
W przypadku gdy wszystkie projekty bieżące mają podpisane umowy kwota z poz. 12.3.2. odpowiada kwocie z poz. 12.3.1.</t>
    </r>
  </si>
  <si>
    <r>
      <t>POZ. 12.4.</t>
    </r>
    <r>
      <rPr>
        <sz val="10"/>
        <rFont val="Arial CE"/>
        <charset val="238"/>
      </rPr>
      <t xml:space="preserve"> -</t>
    </r>
    <r>
      <rPr>
        <sz val="9"/>
        <rFont val="Arial CE"/>
        <charset val="238"/>
      </rPr>
      <t xml:space="preserve"> </t>
    </r>
    <r>
      <rPr>
        <b/>
        <sz val="9"/>
        <rFont val="Arial Black"/>
        <family val="2"/>
        <charset val="238"/>
      </rPr>
      <t>WYDATKI MAJĄTKOWE</t>
    </r>
    <r>
      <rPr>
        <b/>
        <sz val="9"/>
        <rFont val="Arial CE"/>
        <charset val="238"/>
      </rPr>
      <t xml:space="preserve">  </t>
    </r>
    <r>
      <rPr>
        <sz val="9"/>
        <rFont val="Arial CE"/>
        <charset val="238"/>
      </rPr>
      <t>(z grupy paragrafów z czwartą cyf.</t>
    </r>
    <r>
      <rPr>
        <b/>
        <sz val="9"/>
        <rFont val="Arial CE"/>
        <charset val="238"/>
      </rPr>
      <t xml:space="preserve"> 1, 2, 5, 6,7,8,9</t>
    </r>
    <r>
      <rPr>
        <sz val="9"/>
        <rFont val="Arial CE"/>
        <charset val="238"/>
      </rPr>
      <t>)</t>
    </r>
    <r>
      <rPr>
        <b/>
        <sz val="9"/>
        <rFont val="Arial CE"/>
        <charset val="238"/>
      </rPr>
      <t xml:space="preserve"> na programy, projekty lub zadania finansowane z udziałem środków, o których mowa w art. 5 ust. 1 pkt 2 i 3</t>
    </r>
    <r>
      <rPr>
        <sz val="9"/>
        <rFont val="Arial CE"/>
        <charset val="238"/>
      </rPr>
      <t xml:space="preserve">  </t>
    </r>
    <r>
      <rPr>
        <b/>
        <sz val="9"/>
        <rFont val="Arial CE"/>
        <charset val="238"/>
      </rPr>
      <t>-</t>
    </r>
    <r>
      <rPr>
        <b/>
        <i/>
        <sz val="9"/>
        <rFont val="Arial CE"/>
        <charset val="238"/>
      </rPr>
      <t xml:space="preserve"> wkład krajowy i wkład unijny</t>
    </r>
    <r>
      <rPr>
        <b/>
        <sz val="9"/>
        <rFont val="Arial CE"/>
        <charset val="238"/>
      </rPr>
      <t xml:space="preserve">  </t>
    </r>
    <r>
      <rPr>
        <sz val="9"/>
        <rFont val="Arial CE"/>
        <charset val="238"/>
      </rPr>
      <t xml:space="preserve"> (a  + b) </t>
    </r>
  </si>
  <si>
    <r>
      <t>a) Dane z poz.</t>
    </r>
    <r>
      <rPr>
        <b/>
        <sz val="9"/>
        <rFont val="Arial CE"/>
        <charset val="238"/>
      </rPr>
      <t xml:space="preserve"> 12.4. </t>
    </r>
    <r>
      <rPr>
        <sz val="9"/>
        <rFont val="Arial CE"/>
        <charset val="238"/>
      </rPr>
      <t xml:space="preserve">(pobierane automatycznie z systemu PlanB - do przepisania z aktualizowanej prognozy) - </t>
    </r>
    <r>
      <rPr>
        <b/>
        <sz val="9"/>
        <rFont val="Arial CE"/>
        <charset val="238"/>
      </rPr>
      <t>do 2021 roku
Od 2022 do 2023 roku dane pobierane z powyższego zestawienia (cz. I  wiersz MW  i cz. II  wiersz MW ) - formuła</t>
    </r>
  </si>
  <si>
    <r>
      <t>POZ. 12.4.2.</t>
    </r>
    <r>
      <rPr>
        <sz val="10"/>
        <rFont val="Arial CE"/>
        <charset val="238"/>
      </rPr>
      <t xml:space="preserve"> -</t>
    </r>
    <r>
      <rPr>
        <sz val="9"/>
        <rFont val="Arial CE"/>
        <charset val="238"/>
      </rPr>
      <t xml:space="preserve"> </t>
    </r>
    <r>
      <rPr>
        <b/>
        <sz val="9"/>
        <rFont val="Arial Black"/>
        <family val="2"/>
        <charset val="238"/>
      </rPr>
      <t>WYDATKI MAJĄTKOWE</t>
    </r>
    <r>
      <rPr>
        <b/>
        <sz val="9"/>
        <rFont val="Arial CE"/>
        <charset val="238"/>
      </rPr>
      <t xml:space="preserve"> </t>
    </r>
    <r>
      <rPr>
        <sz val="9"/>
        <rFont val="Arial CE"/>
        <charset val="238"/>
      </rPr>
      <t xml:space="preserve">na realizację programu, projektu lub zadania wynikające wyłącznie z zawartych umów z podmiotem dysponującym środkami, o których mowa w art. 5 ust 1 pkt 2 ustawy  (b - a)
</t>
    </r>
    <r>
      <rPr>
        <b/>
        <sz val="9"/>
        <rFont val="Arial CE"/>
        <charset val="238"/>
      </rPr>
      <t>ZAPYTAĆ SIĘ CZY ZOSTAŁY ZAWARTE UMOWY O DOFINANSOWANIE</t>
    </r>
  </si>
  <si>
    <r>
      <t xml:space="preserve">a) Wydatki majątkowe ( z grupy paragrafów z czwartą cyf. </t>
    </r>
    <r>
      <rPr>
        <b/>
        <sz val="9"/>
        <rFont val="Arial Black"/>
        <family val="2"/>
        <charset val="238"/>
      </rPr>
      <t>1, 7, 8</t>
    </r>
    <r>
      <rPr>
        <sz val="9"/>
        <rFont val="Arial CE"/>
        <charset val="238"/>
      </rPr>
      <t xml:space="preserve">) wynikajace z projektów, </t>
    </r>
    <r>
      <rPr>
        <b/>
        <sz val="9"/>
        <rFont val="Arial CE"/>
        <charset val="238"/>
      </rPr>
      <t>na które nie podpisano umów</t>
    </r>
    <r>
      <rPr>
        <sz val="9"/>
        <rFont val="Arial CE"/>
        <charset val="238"/>
      </rPr>
      <t xml:space="preserve"> (cz. II powyższego zestawienia) - formuła</t>
    </r>
  </si>
  <si>
    <r>
      <t>b) Dane z poz.</t>
    </r>
    <r>
      <rPr>
        <b/>
        <sz val="9"/>
        <rFont val="Arial CE"/>
        <charset val="238"/>
      </rPr>
      <t xml:space="preserve"> 12.4.1.</t>
    </r>
    <r>
      <rPr>
        <sz val="9"/>
        <rFont val="Arial CE"/>
        <charset val="238"/>
      </rPr>
      <t xml:space="preserve"> (pobierane automatycznie z systemu PlanB - do przepisania z aktualizowanej prognozy) - </t>
    </r>
    <r>
      <rPr>
        <b/>
        <sz val="9"/>
        <rFont val="Arial CE"/>
        <charset val="238"/>
      </rPr>
      <t>do 2021 r.
Od 2022 do 2023 roku dane pobierane z powyższego zestawienia (cz. I  wiersz WU) - formuła</t>
    </r>
  </si>
  <si>
    <r>
      <t>POZ. 12.5.</t>
    </r>
    <r>
      <rPr>
        <sz val="10"/>
        <rFont val="Arial CE"/>
        <charset val="238"/>
      </rPr>
      <t xml:space="preserve"> -</t>
    </r>
    <r>
      <rPr>
        <b/>
        <sz val="9"/>
        <rFont val="Arial CE"/>
        <charset val="238"/>
      </rPr>
      <t xml:space="preserve"> </t>
    </r>
    <r>
      <rPr>
        <b/>
        <u/>
        <sz val="9"/>
        <rFont val="Arial Black"/>
        <family val="2"/>
        <charset val="238"/>
      </rPr>
      <t xml:space="preserve">Wydatki na wkład krajowy </t>
    </r>
    <r>
      <rPr>
        <b/>
        <sz val="9"/>
        <rFont val="Arial CE"/>
        <charset val="238"/>
      </rPr>
      <t xml:space="preserve"> </t>
    </r>
    <r>
      <rPr>
        <sz val="9"/>
        <rFont val="Arial CE"/>
        <charset val="238"/>
      </rPr>
      <t xml:space="preserve">w związku z umową na realizację programu, projektu lub zadania finansowanego z udziałem środków, o których mowa w art. 5 ust 1 pkt 2 ustawy bez względu na stopień finansowania tymi środkami 
</t>
    </r>
    <r>
      <rPr>
        <b/>
        <sz val="9"/>
        <rFont val="Arial CE"/>
        <charset val="238"/>
      </rPr>
      <t>Zadania bieżące i majątkowe - razem (a + b)</t>
    </r>
  </si>
  <si>
    <r>
      <t xml:space="preserve">a) </t>
    </r>
    <r>
      <rPr>
        <b/>
        <sz val="9"/>
        <rFont val="Arial CE"/>
        <charset val="238"/>
      </rPr>
      <t>Suma</t>
    </r>
    <r>
      <rPr>
        <sz val="9"/>
        <rFont val="Arial CE"/>
        <charset val="238"/>
      </rPr>
      <t xml:space="preserve"> kwot wyfiltrowanych z systemu PlanB  na zadaniach 001-004 oraz 002-004 z czwartą cyfrą 2 i 9. Dane pobierane automatycznie z systemu PlanB  do przepisania z aktualizowanej prognozy - </t>
    </r>
    <r>
      <rPr>
        <b/>
        <sz val="9"/>
        <rFont val="Arial CE"/>
        <charset val="238"/>
      </rPr>
      <t xml:space="preserve">do 2021 r.
Od 2022 do 2023 roku dane pobierane z Tab. 6  </t>
    </r>
    <r>
      <rPr>
        <b/>
        <i/>
        <sz val="9"/>
        <rFont val="Arial CE"/>
        <charset val="238"/>
      </rPr>
      <t xml:space="preserve">wiersz: środki z budżetu krajowego </t>
    </r>
    <r>
      <rPr>
        <b/>
        <sz val="9"/>
        <rFont val="Arial CE"/>
        <charset val="238"/>
      </rPr>
      <t>- formuła</t>
    </r>
  </si>
  <si>
    <r>
      <t xml:space="preserve">b) Wkład własny na PT RPO Oś X zaplanowany przez WOiRZL zakwalifikowany z czwartą cyfrą 0 (patrz arkusz administracja)
</t>
    </r>
    <r>
      <rPr>
        <b/>
        <sz val="9"/>
        <rFont val="Arial CE"/>
        <charset val="238"/>
      </rPr>
      <t>Uwaga od 2017 r. dane pobierane automatycznie do poz. 12.3. (w związku z wprowadzeniem rezerwy celowej na § z czwartą cyfrą 9).</t>
    </r>
  </si>
  <si>
    <r>
      <t>POZ. 12.5.1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-</t>
    </r>
    <r>
      <rPr>
        <b/>
        <sz val="9"/>
        <rFont val="Arial CE"/>
        <charset val="238"/>
      </rPr>
      <t xml:space="preserve"> </t>
    </r>
    <r>
      <rPr>
        <b/>
        <sz val="9"/>
        <rFont val="Arial Black"/>
        <family val="2"/>
        <charset val="238"/>
      </rPr>
      <t>Wydatki na wkład krajowy</t>
    </r>
    <r>
      <rPr>
        <sz val="9"/>
        <rFont val="Arial CE"/>
        <charset val="238"/>
      </rPr>
      <t xml:space="preserve"> finansujący </t>
    </r>
    <r>
      <rPr>
        <b/>
        <sz val="9"/>
        <rFont val="Arial CE"/>
        <charset val="238"/>
      </rPr>
      <t>zadania bieżące i majątkowe</t>
    </r>
    <r>
      <rPr>
        <sz val="9"/>
        <rFont val="Arial CE"/>
        <charset val="238"/>
      </rPr>
      <t xml:space="preserve"> </t>
    </r>
    <r>
      <rPr>
        <b/>
        <sz val="9"/>
        <rFont val="Arial CE"/>
        <charset val="238"/>
      </rPr>
      <t>w związku z już zawartą umową</t>
    </r>
    <r>
      <rPr>
        <sz val="9"/>
        <rFont val="Arial CE"/>
        <charset val="238"/>
      </rPr>
      <t xml:space="preserve"> na realizację projektu  </t>
    </r>
    <r>
      <rPr>
        <b/>
        <sz val="9"/>
        <rFont val="Arial CE"/>
        <charset val="238"/>
      </rPr>
      <t>(a - b)</t>
    </r>
    <r>
      <rPr>
        <sz val="9"/>
        <rFont val="Arial CE"/>
        <charset val="238"/>
      </rPr>
      <t>.
Od kwot wyszczególnionych w poz. 12.5. należy odjąć kwoty zaplanowane na projekty, które nie mają jeszcze podpisanej umowy (patrz powyższe zestawienie - część II)</t>
    </r>
  </si>
  <si>
    <r>
      <t>b) Wkład krajowy zaplanowany na projekty</t>
    </r>
    <r>
      <rPr>
        <b/>
        <sz val="10"/>
        <rFont val="Arial CE"/>
        <charset val="238"/>
      </rPr>
      <t xml:space="preserve"> bez decyzji / dokumentu o przyznanym dofinansowaniu</t>
    </r>
    <r>
      <rPr>
        <sz val="10"/>
        <rFont val="Arial CE"/>
        <charset val="238"/>
      </rPr>
      <t xml:space="preserve"> (część II zestawienia)  - formuła</t>
    </r>
  </si>
  <si>
    <r>
      <t>POZ. 12.6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-</t>
    </r>
    <r>
      <rPr>
        <b/>
        <sz val="9"/>
        <rFont val="Arial CE"/>
        <charset val="238"/>
      </rPr>
      <t xml:space="preserve"> Wydatki na wkład krajowy </t>
    </r>
    <r>
      <rPr>
        <sz val="9"/>
        <rFont val="Arial CE"/>
        <charset val="238"/>
      </rPr>
      <t xml:space="preserve">w związku z </t>
    </r>
    <r>
      <rPr>
        <b/>
        <sz val="9"/>
        <rFont val="Arial CE"/>
        <charset val="238"/>
      </rPr>
      <t>zawartą po dniu 1</t>
    </r>
    <r>
      <rPr>
        <sz val="9"/>
        <rFont val="Arial CE"/>
        <charset val="238"/>
      </rPr>
      <t xml:space="preserve"> </t>
    </r>
    <r>
      <rPr>
        <b/>
        <sz val="9"/>
        <rFont val="Arial CE"/>
        <charset val="238"/>
      </rPr>
      <t>stycznia</t>
    </r>
    <r>
      <rPr>
        <sz val="9"/>
        <rFont val="Arial CE"/>
        <charset val="238"/>
      </rPr>
      <t xml:space="preserve"> 2013 r. umową na realizację programu, projektu lub zadania finansowanego </t>
    </r>
    <r>
      <rPr>
        <b/>
        <sz val="9"/>
        <rFont val="Arial CE"/>
        <charset val="238"/>
      </rPr>
      <t>co najmniej 60%</t>
    </r>
    <r>
      <rPr>
        <sz val="9"/>
        <rFont val="Arial CE"/>
        <charset val="238"/>
      </rPr>
      <t xml:space="preserve"> środkami, o których mowa w art. 5 ust 1 pkt 2 ustawy  </t>
    </r>
    <r>
      <rPr>
        <b/>
        <sz val="9"/>
        <rFont val="Arial CE"/>
        <charset val="238"/>
      </rPr>
      <t xml:space="preserve"> (a - b)</t>
    </r>
  </si>
  <si>
    <r>
      <rPr>
        <b/>
        <sz val="12"/>
        <rFont val="Arial CE"/>
        <charset val="238"/>
      </rPr>
      <t>A</t>
    </r>
    <r>
      <rPr>
        <b/>
        <sz val="11"/>
        <rFont val="Arial CE"/>
        <charset val="238"/>
      </rPr>
      <t xml:space="preserve">. </t>
    </r>
    <r>
      <rPr>
        <sz val="10"/>
        <rFont val="Arial CE"/>
        <charset val="238"/>
      </rPr>
      <t>Suma paragrafów 605 z systemu PlanB</t>
    </r>
  </si>
  <si>
    <r>
      <rPr>
        <b/>
        <sz val="11"/>
        <rFont val="Arial CE"/>
        <charset val="238"/>
      </rPr>
      <t>B</t>
    </r>
    <r>
      <rPr>
        <sz val="10"/>
        <rFont val="Arial CE"/>
        <charset val="238"/>
      </rPr>
      <t>. Suma paragrafów 606 z systemu PlanB (zadania finansowane w ramach tego paragrafu traktowane są jako</t>
    </r>
    <r>
      <rPr>
        <b/>
        <sz val="10"/>
        <rFont val="Arial CE"/>
        <charset val="238"/>
      </rPr>
      <t xml:space="preserve"> NOWE </t>
    </r>
    <r>
      <rPr>
        <sz val="10"/>
        <rFont val="Arial CE"/>
        <charset val="238"/>
      </rPr>
      <t>z wyjątkiem zadań ujętych w WPF wyszczególnionych poniżej</t>
    </r>
  </si>
  <si>
    <r>
      <rPr>
        <b/>
        <sz val="11"/>
        <rFont val="Arial CE"/>
        <charset val="238"/>
      </rPr>
      <t>C.</t>
    </r>
    <r>
      <rPr>
        <sz val="10"/>
        <rFont val="Arial CE"/>
        <charset val="238"/>
      </rPr>
      <t xml:space="preserve"> Suma paragrafów 605 - wydatki inwestycyjne JEDNOROCZNE nie ujęte w WPF (traktowane jako zadania </t>
    </r>
    <r>
      <rPr>
        <b/>
        <sz val="10"/>
        <rFont val="Arial CE"/>
        <charset val="238"/>
      </rPr>
      <t>NOWE</t>
    </r>
    <r>
      <rPr>
        <sz val="10"/>
        <rFont val="Arial CE"/>
        <charset val="238"/>
      </rPr>
      <t>) - dane z systemu PlanB</t>
    </r>
  </si>
</sst>
</file>

<file path=xl/styles.xml><?xml version="1.0" encoding="utf-8"?>
<styleSheet xmlns="http://schemas.openxmlformats.org/spreadsheetml/2006/main">
  <numFmts count="6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"/>
    <numFmt numFmtId="165" formatCode="0.0"/>
    <numFmt numFmtId="166" formatCode="#,##0_ ;\-#,##0\ "/>
  </numFmts>
  <fonts count="109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i/>
      <sz val="8"/>
      <name val="Arial CE"/>
      <charset val="238"/>
    </font>
    <font>
      <b/>
      <i/>
      <sz val="14"/>
      <name val="Arial"/>
      <family val="2"/>
      <charset val="238"/>
    </font>
    <font>
      <b/>
      <i/>
      <sz val="14"/>
      <name val="Arial CE"/>
      <charset val="238"/>
    </font>
    <font>
      <b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family val="2"/>
      <charset val="238"/>
    </font>
    <font>
      <b/>
      <i/>
      <sz val="8"/>
      <name val="Arial CE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2"/>
      <name val="Arial CE"/>
      <family val="2"/>
      <charset val="238"/>
    </font>
    <font>
      <b/>
      <i/>
      <sz val="8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i/>
      <sz val="9"/>
      <name val="Arial CE"/>
      <family val="2"/>
      <charset val="238"/>
    </font>
    <font>
      <i/>
      <sz val="10"/>
      <name val="Arial"/>
      <family val="2"/>
      <charset val="238"/>
    </font>
    <font>
      <b/>
      <sz val="14"/>
      <name val="Arial CE"/>
      <charset val="238"/>
    </font>
    <font>
      <u/>
      <sz val="10"/>
      <color theme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i/>
      <sz val="8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i/>
      <sz val="10"/>
      <name val="Arial"/>
      <family val="2"/>
      <charset val="238"/>
    </font>
    <font>
      <b/>
      <i/>
      <sz val="12"/>
      <name val="Arial Black"/>
      <family val="2"/>
      <charset val="238"/>
    </font>
    <font>
      <b/>
      <sz val="11"/>
      <name val="Arial CE"/>
      <charset val="238"/>
    </font>
    <font>
      <i/>
      <sz val="9"/>
      <name val="Arial"/>
      <family val="2"/>
      <charset val="238"/>
    </font>
    <font>
      <b/>
      <i/>
      <sz val="10"/>
      <name val="Arial CE"/>
      <family val="2"/>
      <charset val="238"/>
    </font>
    <font>
      <b/>
      <sz val="9"/>
      <name val="Arial Black"/>
      <family val="2"/>
      <charset val="238"/>
    </font>
    <font>
      <b/>
      <sz val="10"/>
      <name val="Arial Black"/>
      <family val="2"/>
      <charset val="238"/>
    </font>
    <font>
      <b/>
      <sz val="11"/>
      <name val="Arial Black"/>
      <family val="2"/>
      <charset val="238"/>
    </font>
    <font>
      <b/>
      <i/>
      <sz val="10"/>
      <name val="Arial CE"/>
      <charset val="238"/>
    </font>
    <font>
      <b/>
      <sz val="11"/>
      <name val="Arial CE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 CE"/>
      <charset val="238"/>
    </font>
    <font>
      <sz val="16"/>
      <name val="Bookman Old Style"/>
      <family val="1"/>
      <charset val="238"/>
    </font>
    <font>
      <b/>
      <sz val="11"/>
      <name val="Arial"/>
      <family val="2"/>
      <charset val="238"/>
    </font>
    <font>
      <b/>
      <sz val="16"/>
      <name val="Arial Black"/>
      <family val="2"/>
      <charset val="238"/>
    </font>
    <font>
      <b/>
      <sz val="18"/>
      <name val="Arial CE"/>
      <charset val="238"/>
    </font>
    <font>
      <b/>
      <sz val="16"/>
      <name val="Arial CE"/>
      <charset val="238"/>
    </font>
    <font>
      <sz val="11"/>
      <name val="Arial CE"/>
      <family val="2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1"/>
      <name val="Arial CE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  <font>
      <b/>
      <i/>
      <sz val="16"/>
      <name val="Bookman Old Style"/>
      <family val="1"/>
      <charset val="238"/>
    </font>
    <font>
      <b/>
      <sz val="16"/>
      <name val="Bookman Old Style"/>
      <family val="1"/>
      <charset val="238"/>
    </font>
    <font>
      <b/>
      <sz val="14"/>
      <name val="Arial Black"/>
      <family val="2"/>
      <charset val="238"/>
    </font>
    <font>
      <b/>
      <i/>
      <sz val="16"/>
      <name val="Arial CE"/>
      <charset val="238"/>
    </font>
    <font>
      <b/>
      <sz val="16"/>
      <name val="Arial"/>
      <family val="2"/>
      <charset val="238"/>
    </font>
    <font>
      <sz val="10"/>
      <color rgb="FF0000FF"/>
      <name val="Arial"/>
      <family val="2"/>
      <charset val="238"/>
    </font>
    <font>
      <sz val="10"/>
      <color rgb="FF0000CC"/>
      <name val="Arial"/>
      <family val="2"/>
      <charset val="238"/>
    </font>
    <font>
      <b/>
      <sz val="9"/>
      <name val="Calibri"/>
      <family val="2"/>
      <charset val="238"/>
    </font>
    <font>
      <b/>
      <i/>
      <sz val="12.6"/>
      <name val="Arial CE"/>
      <charset val="238"/>
    </font>
    <font>
      <sz val="14"/>
      <name val="Arial Black"/>
      <family val="2"/>
      <charset val="238"/>
    </font>
    <font>
      <sz val="16"/>
      <color rgb="FF0000FF"/>
      <name val="Bookman Old Style"/>
      <family val="1"/>
      <charset val="238"/>
    </font>
    <font>
      <i/>
      <sz val="10"/>
      <color rgb="FF0000FF"/>
      <name val="Arial CE"/>
      <family val="2"/>
      <charset val="238"/>
    </font>
    <font>
      <i/>
      <sz val="10"/>
      <color rgb="FF0000FF"/>
      <name val="Arial"/>
      <family val="2"/>
      <charset val="238"/>
    </font>
    <font>
      <i/>
      <sz val="10"/>
      <color rgb="FF0000FF"/>
      <name val="Arial CE"/>
      <charset val="238"/>
    </font>
    <font>
      <b/>
      <i/>
      <sz val="10"/>
      <color rgb="FF0000FF"/>
      <name val="Arial CE"/>
      <charset val="238"/>
    </font>
    <font>
      <sz val="7.5"/>
      <name val="Arial"/>
      <family val="2"/>
      <charset val="238"/>
    </font>
    <font>
      <sz val="10"/>
      <color rgb="FF6600FF"/>
      <name val="Arial"/>
      <family val="2"/>
      <charset val="238"/>
    </font>
    <font>
      <sz val="10"/>
      <color rgb="FFFF0000"/>
      <name val="Arial CE"/>
      <family val="2"/>
      <charset val="238"/>
    </font>
    <font>
      <sz val="11"/>
      <color rgb="FFFF0000"/>
      <name val="Arial CE"/>
      <family val="2"/>
      <charset val="238"/>
    </font>
    <font>
      <sz val="8"/>
      <color rgb="FF0000FF"/>
      <name val="Arial"/>
      <family val="2"/>
      <charset val="238"/>
    </font>
    <font>
      <i/>
      <sz val="10"/>
      <color rgb="FFFF0000"/>
      <name val="Arial CE"/>
      <charset val="238"/>
    </font>
    <font>
      <b/>
      <sz val="12"/>
      <name val="Arial Black"/>
      <family val="2"/>
      <charset val="238"/>
    </font>
    <font>
      <sz val="10"/>
      <name val="Arial Black"/>
      <family val="2"/>
      <charset val="238"/>
    </font>
    <font>
      <sz val="9"/>
      <name val="Arial Black"/>
      <family val="2"/>
      <charset val="238"/>
    </font>
    <font>
      <b/>
      <u/>
      <sz val="9"/>
      <name val="Arial Black"/>
      <family val="2"/>
      <charset val="238"/>
    </font>
  </fonts>
  <fills count="8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42"/>
      </patternFill>
    </fill>
    <fill>
      <patternFill patternType="solid">
        <fgColor indexed="27"/>
        <bgColor indexed="64"/>
      </patternFill>
    </fill>
    <fill>
      <patternFill patternType="mediumGray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mediumGray">
        <fgColor indexed="42"/>
        <bgColor indexed="47"/>
      </patternFill>
    </fill>
    <fill>
      <patternFill patternType="solid">
        <fgColor indexed="42"/>
        <bgColor indexed="64"/>
      </patternFill>
    </fill>
    <fill>
      <patternFill patternType="mediumGray">
        <fgColor indexed="42"/>
        <bgColor indexed="42"/>
      </patternFill>
    </fill>
    <fill>
      <patternFill patternType="mediumGray">
        <fgColor indexed="42"/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mediumGray">
        <fgColor indexed="11"/>
        <bgColor indexed="46"/>
      </patternFill>
    </fill>
    <fill>
      <patternFill patternType="mediumGray">
        <fgColor indexed="11"/>
        <bgColor indexed="47"/>
      </patternFill>
    </fill>
    <fill>
      <patternFill patternType="mediumGray">
        <fgColor indexed="11"/>
        <bgColor indexed="42"/>
      </patternFill>
    </fill>
    <fill>
      <patternFill patternType="mediumGray">
        <fgColor indexed="11"/>
        <bgColor indexed="43"/>
      </patternFill>
    </fill>
    <fill>
      <patternFill patternType="mediumGray">
        <fgColor indexed="11"/>
      </patternFill>
    </fill>
    <fill>
      <patternFill patternType="mediumGray">
        <fgColor indexed="11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11"/>
        <bgColor indexed="50"/>
      </patternFill>
    </fill>
    <fill>
      <patternFill patternType="solid">
        <fgColor indexed="45"/>
        <bgColor indexed="64"/>
      </patternFill>
    </fill>
    <fill>
      <patternFill patternType="gray125">
        <fgColor indexed="11"/>
        <bgColor indexed="9"/>
      </patternFill>
    </fill>
    <fill>
      <patternFill patternType="solid">
        <fgColor indexed="41"/>
        <bgColor indexed="64"/>
      </patternFill>
    </fill>
    <fill>
      <patternFill patternType="mediumGray">
        <fgColor indexed="13"/>
        <bgColor indexed="15"/>
      </patternFill>
    </fill>
    <fill>
      <patternFill patternType="mediumGray">
        <fgColor indexed="13"/>
        <bgColor indexed="47"/>
      </patternFill>
    </fill>
    <fill>
      <patternFill patternType="mediumGray">
        <fgColor indexed="13"/>
        <bgColor indexed="42"/>
      </patternFill>
    </fill>
    <fill>
      <patternFill patternType="mediumGray">
        <fgColor indexed="13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6A6A6A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mediumGray">
        <fgColor indexed="11"/>
        <bgColor theme="8" tint="0.59999389629810485"/>
      </patternFill>
    </fill>
    <fill>
      <patternFill patternType="solid">
        <fgColor rgb="FF66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4747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3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 diagonalUp="1">
      <left/>
      <right/>
      <top/>
      <bottom/>
      <diagonal style="thin">
        <color auto="1"/>
      </diagonal>
    </border>
    <border diagonalUp="1">
      <left/>
      <right/>
      <top/>
      <bottom style="thin">
        <color indexed="64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auto="1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Up="1">
      <left/>
      <right/>
      <top style="thin">
        <color indexed="64"/>
      </top>
      <bottom/>
      <diagonal style="thin">
        <color auto="1"/>
      </diagonal>
    </border>
    <border diagonalUp="1">
      <left/>
      <right style="thin">
        <color indexed="64"/>
      </right>
      <top style="thin">
        <color auto="1"/>
      </top>
      <bottom/>
      <diagonal style="thin">
        <color auto="1"/>
      </diagonal>
    </border>
    <border diagonalUp="1">
      <left style="thin">
        <color indexed="64"/>
      </left>
      <right/>
      <top/>
      <bottom/>
      <diagonal style="thin">
        <color auto="1"/>
      </diagonal>
    </border>
    <border diagonalUp="1">
      <left/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auto="1"/>
      </diagonal>
    </border>
    <border diagonalUp="1">
      <left/>
      <right/>
      <top/>
      <bottom style="medium">
        <color indexed="64"/>
      </bottom>
      <diagonal style="thin">
        <color auto="1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auto="1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auto="1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auto="1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auto="1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auto="1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auto="1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 diagonalUp="1">
      <left/>
      <right style="medium">
        <color indexed="64"/>
      </right>
      <top/>
      <bottom/>
      <diagonal style="thin">
        <color auto="1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auto="1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auto="1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auto="1"/>
      </diagonal>
    </border>
    <border diagonalUp="1"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auto="1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auto="1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auto="1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auto="1"/>
      </diagonal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auto="1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auto="1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auto="1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Up="1">
      <left/>
      <right/>
      <top style="medium">
        <color indexed="64"/>
      </top>
      <bottom/>
      <diagonal style="thin">
        <color auto="1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auto="1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auto="1"/>
      </diagonal>
    </border>
    <border diagonalUp="1">
      <left style="medium">
        <color indexed="64"/>
      </left>
      <right/>
      <top/>
      <bottom/>
      <diagonal style="thin">
        <color auto="1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auto="1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auto="1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auto="1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auto="1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auto="1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auto="1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auto="1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auto="1"/>
      </diagonal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auto="1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auto="1"/>
      </diagonal>
    </border>
    <border diagonalDown="1">
      <left/>
      <right/>
      <top style="medium">
        <color indexed="64"/>
      </top>
      <bottom/>
      <diagonal style="thin">
        <color auto="1"/>
      </diagonal>
    </border>
    <border diagonalDown="1">
      <left style="thin">
        <color indexed="64"/>
      </left>
      <right/>
      <top style="medium">
        <color indexed="64"/>
      </top>
      <bottom/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auto="1"/>
      </diagonal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auto="1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auto="1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auto="1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auto="1"/>
      </diagonal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auto="1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 diagonalDown="1">
      <left/>
      <right/>
      <top/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auto="1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auto="1"/>
      </diagonal>
    </border>
    <border diagonalDown="1"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auto="1"/>
      </diagonal>
    </border>
    <border diagonalDown="1">
      <left style="thin">
        <color indexed="64"/>
      </left>
      <right style="medium">
        <color indexed="64"/>
      </right>
      <top/>
      <bottom/>
      <diagonal style="thin">
        <color auto="1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auto="1"/>
      </diagonal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auto="1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auto="1"/>
      </diagonal>
    </border>
    <border diagonalDown="1">
      <left style="medium">
        <color indexed="64"/>
      </left>
      <right/>
      <top/>
      <bottom/>
      <diagonal style="thin">
        <color auto="1"/>
      </diagonal>
    </border>
    <border diagonalDown="1"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Down="1">
      <left/>
      <right style="thin">
        <color indexed="64"/>
      </right>
      <top/>
      <bottom/>
      <diagonal style="thin">
        <color auto="1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auto="1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auto="1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auto="1"/>
      </diagonal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indexed="64"/>
      </right>
      <top style="thin">
        <color auto="1"/>
      </top>
      <bottom/>
      <diagonal style="thin">
        <color auto="1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auto="1"/>
      </diagonal>
    </border>
    <border diagonalDown="1">
      <left style="thin">
        <color indexed="64"/>
      </left>
      <right/>
      <top/>
      <bottom/>
      <diagonal style="thin">
        <color auto="1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auto="1"/>
      </diagonal>
    </border>
    <border diagonalDown="1">
      <left/>
      <right style="medium">
        <color indexed="64"/>
      </right>
      <top/>
      <bottom/>
      <diagonal style="thin">
        <color auto="1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auto="1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auto="1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auto="1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auto="1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auto="1"/>
      </diagonal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auto="1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auto="1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auto="1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auto="1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auto="1"/>
      </diagonal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auto="1"/>
      </diagonal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auto="1"/>
      </diagonal>
    </border>
    <border diagonalDown="1">
      <left/>
      <right/>
      <top/>
      <bottom style="double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auto="1"/>
      </diagonal>
    </border>
    <border diagonalDown="1">
      <left style="thin">
        <color indexed="64"/>
      </left>
      <right/>
      <top style="medium">
        <color indexed="64"/>
      </top>
      <bottom style="double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 style="thin">
        <color auto="1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/>
      <bottom style="double">
        <color indexed="64"/>
      </bottom>
      <diagonal style="thin">
        <color auto="1"/>
      </diagonal>
    </border>
    <border diagonalDown="1">
      <left/>
      <right style="medium">
        <color indexed="64"/>
      </right>
      <top style="medium">
        <color indexed="64"/>
      </top>
      <bottom style="double">
        <color indexed="64"/>
      </bottom>
      <diagonal style="thin">
        <color auto="1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auto="1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auto="1"/>
      </diagonal>
    </border>
  </borders>
  <cellStyleXfs count="84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42" fillId="0" borderId="0"/>
    <xf numFmtId="0" fontId="4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4" fillId="43" borderId="0">
      <alignment horizontal="left" vertical="top"/>
    </xf>
    <xf numFmtId="0" fontId="45" fillId="43" borderId="0">
      <alignment horizontal="center" vertical="top"/>
    </xf>
    <xf numFmtId="0" fontId="44" fillId="43" borderId="0">
      <alignment horizontal="left" vertical="top"/>
    </xf>
    <xf numFmtId="0" fontId="44" fillId="43" borderId="0">
      <alignment horizontal="left" vertical="top"/>
    </xf>
    <xf numFmtId="0" fontId="44" fillId="43" borderId="0">
      <alignment horizontal="right" vertical="top"/>
    </xf>
    <xf numFmtId="0" fontId="45" fillId="44" borderId="0">
      <alignment horizontal="left" vertical="top"/>
    </xf>
    <xf numFmtId="0" fontId="45" fillId="44" borderId="0">
      <alignment horizontal="right" vertical="top"/>
    </xf>
    <xf numFmtId="0" fontId="45" fillId="44" borderId="0">
      <alignment horizontal="right" vertical="top"/>
    </xf>
    <xf numFmtId="0" fontId="45" fillId="44" borderId="0">
      <alignment horizontal="right" vertical="top"/>
    </xf>
    <xf numFmtId="0" fontId="45" fillId="45" borderId="0">
      <alignment horizontal="left" vertical="top"/>
    </xf>
    <xf numFmtId="0" fontId="45" fillId="45" borderId="0">
      <alignment horizontal="right" vertical="top"/>
    </xf>
    <xf numFmtId="0" fontId="45" fillId="45" borderId="0">
      <alignment horizontal="right" vertical="top"/>
    </xf>
    <xf numFmtId="0" fontId="46" fillId="43" borderId="0">
      <alignment horizontal="center" vertical="top"/>
    </xf>
    <xf numFmtId="0" fontId="45" fillId="45" borderId="0">
      <alignment horizontal="right" vertical="top"/>
    </xf>
    <xf numFmtId="0" fontId="44" fillId="46" borderId="0">
      <alignment horizontal="left" vertical="top"/>
    </xf>
    <xf numFmtId="0" fontId="44" fillId="46" borderId="0">
      <alignment horizontal="right" vertical="top"/>
    </xf>
    <xf numFmtId="0" fontId="44" fillId="46" borderId="0">
      <alignment horizontal="right" vertical="top"/>
    </xf>
    <xf numFmtId="0" fontId="44" fillId="46" borderId="0">
      <alignment horizontal="right" vertical="top"/>
    </xf>
    <xf numFmtId="0" fontId="44" fillId="43" borderId="0">
      <alignment horizontal="left" vertical="top"/>
    </xf>
    <xf numFmtId="0" fontId="44" fillId="43" borderId="0">
      <alignment horizontal="right" vertical="top"/>
    </xf>
    <xf numFmtId="0" fontId="44" fillId="43" borderId="0">
      <alignment horizontal="right" vertical="top"/>
    </xf>
    <xf numFmtId="0" fontId="44" fillId="43" borderId="0">
      <alignment horizontal="right" vertical="top"/>
    </xf>
    <xf numFmtId="0" fontId="47" fillId="47" borderId="0">
      <alignment horizontal="left" vertical="top"/>
    </xf>
    <xf numFmtId="0" fontId="48" fillId="43" borderId="0">
      <alignment horizontal="left" vertical="top"/>
    </xf>
    <xf numFmtId="0" fontId="49" fillId="43" borderId="0">
      <alignment horizontal="left" vertical="top"/>
    </xf>
    <xf numFmtId="0" fontId="45" fillId="43" borderId="0">
      <alignment horizontal="right" vertical="top"/>
    </xf>
    <xf numFmtId="0" fontId="45" fillId="43" borderId="0">
      <alignment horizontal="right" vertical="top"/>
    </xf>
    <xf numFmtId="0" fontId="49" fillId="48" borderId="0">
      <alignment horizontal="left"/>
    </xf>
    <xf numFmtId="0" fontId="49" fillId="48" borderId="0">
      <alignment horizontal="left"/>
    </xf>
    <xf numFmtId="0" fontId="49" fillId="48" borderId="0">
      <alignment horizontal="right"/>
    </xf>
    <xf numFmtId="0" fontId="50" fillId="48" borderId="0">
      <alignment horizontal="right"/>
    </xf>
    <xf numFmtId="0" fontId="49" fillId="47" borderId="0">
      <alignment horizontal="left" vertical="top"/>
    </xf>
    <xf numFmtId="0" fontId="45" fillId="47" borderId="0">
      <alignment horizontal="right" vertical="top"/>
    </xf>
    <xf numFmtId="0" fontId="45" fillId="47" borderId="0">
      <alignment horizontal="right" vertical="top"/>
    </xf>
    <xf numFmtId="0" fontId="44" fillId="43" borderId="0">
      <alignment horizontal="left" vertical="center"/>
    </xf>
    <xf numFmtId="0" fontId="47" fillId="48" borderId="0">
      <alignment horizontal="left" vertical="top"/>
    </xf>
    <xf numFmtId="0" fontId="47" fillId="48" borderId="0">
      <alignment horizontal="left" vertical="top"/>
    </xf>
    <xf numFmtId="0" fontId="47" fillId="47" borderId="0">
      <alignment horizontal="left" vertical="top"/>
    </xf>
    <xf numFmtId="0" fontId="47" fillId="47" borderId="0">
      <alignment horizontal="left" vertical="top"/>
    </xf>
    <xf numFmtId="0" fontId="47" fillId="47" borderId="0">
      <alignment horizontal="left" vertical="top"/>
    </xf>
    <xf numFmtId="0" fontId="47" fillId="48" borderId="0">
      <alignment horizontal="left" vertical="top"/>
    </xf>
    <xf numFmtId="0" fontId="49" fillId="43" borderId="0">
      <alignment horizontal="left"/>
    </xf>
    <xf numFmtId="0" fontId="49" fillId="43" borderId="0">
      <alignment horizontal="left"/>
    </xf>
    <xf numFmtId="0" fontId="49" fillId="43" borderId="0">
      <alignment horizontal="right"/>
    </xf>
    <xf numFmtId="0" fontId="50" fillId="43" borderId="0">
      <alignment horizontal="right"/>
    </xf>
    <xf numFmtId="4" fontId="51" fillId="13" borderId="87" applyNumberFormat="0" applyProtection="0">
      <alignment vertical="center"/>
    </xf>
    <xf numFmtId="4" fontId="52" fillId="13" borderId="87" applyNumberFormat="0" applyProtection="0">
      <alignment vertical="center"/>
    </xf>
    <xf numFmtId="4" fontId="51" fillId="13" borderId="87" applyNumberFormat="0" applyProtection="0">
      <alignment horizontal="left" vertical="center" indent="1"/>
    </xf>
    <xf numFmtId="4" fontId="51" fillId="13" borderId="87" applyNumberFormat="0" applyProtection="0">
      <alignment horizontal="left" vertical="center" indent="1"/>
    </xf>
    <xf numFmtId="0" fontId="4" fillId="11" borderId="87" applyNumberFormat="0" applyProtection="0">
      <alignment horizontal="left" vertical="center" indent="1"/>
    </xf>
    <xf numFmtId="4" fontId="51" fillId="36" borderId="87" applyNumberFormat="0" applyProtection="0">
      <alignment horizontal="right" vertical="center"/>
    </xf>
    <xf numFmtId="4" fontId="51" fillId="49" borderId="87" applyNumberFormat="0" applyProtection="0">
      <alignment horizontal="right" vertical="center"/>
    </xf>
    <xf numFmtId="4" fontId="51" fillId="50" borderId="87" applyNumberFormat="0" applyProtection="0">
      <alignment horizontal="right" vertical="center"/>
    </xf>
    <xf numFmtId="4" fontId="51" fillId="12" borderId="87" applyNumberFormat="0" applyProtection="0">
      <alignment horizontal="right" vertical="center"/>
    </xf>
    <xf numFmtId="4" fontId="51" fillId="51" borderId="87" applyNumberFormat="0" applyProtection="0">
      <alignment horizontal="right" vertical="center"/>
    </xf>
    <xf numFmtId="4" fontId="51" fillId="15" borderId="87" applyNumberFormat="0" applyProtection="0">
      <alignment horizontal="right" vertical="center"/>
    </xf>
    <xf numFmtId="4" fontId="51" fillId="17" borderId="87" applyNumberFormat="0" applyProtection="0">
      <alignment horizontal="right" vertical="center"/>
    </xf>
    <xf numFmtId="4" fontId="51" fillId="16" borderId="87" applyNumberFormat="0" applyProtection="0">
      <alignment horizontal="right" vertical="center"/>
    </xf>
    <xf numFmtId="4" fontId="51" fillId="19" borderId="87" applyNumberFormat="0" applyProtection="0">
      <alignment horizontal="right" vertical="center"/>
    </xf>
    <xf numFmtId="4" fontId="53" fillId="52" borderId="87" applyNumberFormat="0" applyProtection="0">
      <alignment horizontal="left" vertical="center" indent="1"/>
    </xf>
    <xf numFmtId="4" fontId="51" fillId="53" borderId="88" applyNumberFormat="0" applyProtection="0">
      <alignment horizontal="left" vertical="center" indent="1"/>
    </xf>
    <xf numFmtId="4" fontId="54" fillId="54" borderId="0" applyNumberFormat="0" applyProtection="0">
      <alignment horizontal="left" vertical="center" indent="1"/>
    </xf>
    <xf numFmtId="0" fontId="4" fillId="11" borderId="87" applyNumberFormat="0" applyProtection="0">
      <alignment horizontal="left" vertical="center" indent="1"/>
    </xf>
    <xf numFmtId="4" fontId="5" fillId="53" borderId="87" applyNumberFormat="0" applyProtection="0">
      <alignment horizontal="left" vertical="center" indent="1"/>
    </xf>
    <xf numFmtId="4" fontId="5" fillId="55" borderId="87" applyNumberFormat="0" applyProtection="0">
      <alignment horizontal="left" vertical="center" indent="1"/>
    </xf>
    <xf numFmtId="0" fontId="4" fillId="55" borderId="87" applyNumberFormat="0" applyProtection="0">
      <alignment horizontal="left" vertical="center" indent="1"/>
    </xf>
    <xf numFmtId="0" fontId="4" fillId="55" borderId="87" applyNumberFormat="0" applyProtection="0">
      <alignment horizontal="left" vertical="center" indent="1"/>
    </xf>
    <xf numFmtId="0" fontId="4" fillId="31" borderId="87" applyNumberFormat="0" applyProtection="0">
      <alignment horizontal="left" vertical="center" indent="1"/>
    </xf>
    <xf numFmtId="0" fontId="4" fillId="31" borderId="87" applyNumberFormat="0" applyProtection="0">
      <alignment horizontal="left" vertical="center" indent="1"/>
    </xf>
    <xf numFmtId="0" fontId="4" fillId="34" borderId="87" applyNumberFormat="0" applyProtection="0">
      <alignment horizontal="left" vertical="center" indent="1"/>
    </xf>
    <xf numFmtId="0" fontId="4" fillId="34" borderId="87" applyNumberFormat="0" applyProtection="0">
      <alignment horizontal="left" vertical="center" indent="1"/>
    </xf>
    <xf numFmtId="0" fontId="4" fillId="11" borderId="87" applyNumberFormat="0" applyProtection="0">
      <alignment horizontal="left" vertical="center" indent="1"/>
    </xf>
    <xf numFmtId="0" fontId="4" fillId="11" borderId="87" applyNumberFormat="0" applyProtection="0">
      <alignment horizontal="left" vertical="center" indent="1"/>
    </xf>
    <xf numFmtId="4" fontId="51" fillId="20" borderId="87" applyNumberFormat="0" applyProtection="0">
      <alignment vertical="center"/>
    </xf>
    <xf numFmtId="4" fontId="52" fillId="20" borderId="87" applyNumberFormat="0" applyProtection="0">
      <alignment vertical="center"/>
    </xf>
    <xf numFmtId="4" fontId="51" fillId="20" borderId="87" applyNumberFormat="0" applyProtection="0">
      <alignment horizontal="left" vertical="center" indent="1"/>
    </xf>
    <xf numFmtId="4" fontId="51" fillId="20" borderId="87" applyNumberFormat="0" applyProtection="0">
      <alignment horizontal="left" vertical="center" indent="1"/>
    </xf>
    <xf numFmtId="4" fontId="51" fillId="53" borderId="87" applyNumberFormat="0" applyProtection="0">
      <alignment horizontal="right" vertical="center"/>
    </xf>
    <xf numFmtId="4" fontId="52" fillId="53" borderId="87" applyNumberFormat="0" applyProtection="0">
      <alignment horizontal="right" vertical="center"/>
    </xf>
    <xf numFmtId="0" fontId="4" fillId="11" borderId="87" applyNumberFormat="0" applyProtection="0">
      <alignment horizontal="left" vertical="center" indent="1"/>
    </xf>
    <xf numFmtId="0" fontId="4" fillId="11" borderId="87" applyNumberFormat="0" applyProtection="0">
      <alignment horizontal="left" vertical="center" indent="1"/>
    </xf>
    <xf numFmtId="0" fontId="55" fillId="0" borderId="0"/>
    <xf numFmtId="4" fontId="56" fillId="53" borderId="87" applyNumberFormat="0" applyProtection="0">
      <alignment horizontal="right" vertical="center"/>
    </xf>
    <xf numFmtId="44" fontId="43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6" fillId="0" borderId="0"/>
    <xf numFmtId="4" fontId="51" fillId="13" borderId="96" applyNumberFormat="0" applyProtection="0">
      <alignment vertical="center"/>
    </xf>
    <xf numFmtId="4" fontId="52" fillId="13" borderId="96" applyNumberFormat="0" applyProtection="0">
      <alignment vertical="center"/>
    </xf>
    <xf numFmtId="4" fontId="51" fillId="13" borderId="96" applyNumberFormat="0" applyProtection="0">
      <alignment horizontal="left" vertical="center" indent="1"/>
    </xf>
    <xf numFmtId="4" fontId="51" fillId="13" borderId="96" applyNumberFormat="0" applyProtection="0">
      <alignment horizontal="left" vertical="center" indent="1"/>
    </xf>
    <xf numFmtId="0" fontId="4" fillId="11" borderId="96" applyNumberFormat="0" applyProtection="0">
      <alignment horizontal="left" vertical="center" indent="1"/>
    </xf>
    <xf numFmtId="4" fontId="51" fillId="36" borderId="96" applyNumberFormat="0" applyProtection="0">
      <alignment horizontal="right" vertical="center"/>
    </xf>
    <xf numFmtId="4" fontId="51" fillId="49" borderId="96" applyNumberFormat="0" applyProtection="0">
      <alignment horizontal="right" vertical="center"/>
    </xf>
    <xf numFmtId="4" fontId="51" fillId="50" borderId="96" applyNumberFormat="0" applyProtection="0">
      <alignment horizontal="right" vertical="center"/>
    </xf>
    <xf numFmtId="4" fontId="51" fillId="12" borderId="96" applyNumberFormat="0" applyProtection="0">
      <alignment horizontal="right" vertical="center"/>
    </xf>
    <xf numFmtId="4" fontId="51" fillId="51" borderId="96" applyNumberFormat="0" applyProtection="0">
      <alignment horizontal="right" vertical="center"/>
    </xf>
    <xf numFmtId="4" fontId="51" fillId="15" borderId="96" applyNumberFormat="0" applyProtection="0">
      <alignment horizontal="right" vertical="center"/>
    </xf>
    <xf numFmtId="4" fontId="51" fillId="17" borderId="96" applyNumberFormat="0" applyProtection="0">
      <alignment horizontal="right" vertical="center"/>
    </xf>
    <xf numFmtId="4" fontId="51" fillId="16" borderId="96" applyNumberFormat="0" applyProtection="0">
      <alignment horizontal="right" vertical="center"/>
    </xf>
    <xf numFmtId="4" fontId="51" fillId="19" borderId="96" applyNumberFormat="0" applyProtection="0">
      <alignment horizontal="right" vertical="center"/>
    </xf>
    <xf numFmtId="4" fontId="53" fillId="52" borderId="96" applyNumberFormat="0" applyProtection="0">
      <alignment horizontal="left" vertical="center" indent="1"/>
    </xf>
    <xf numFmtId="4" fontId="51" fillId="53" borderId="97" applyNumberFormat="0" applyProtection="0">
      <alignment horizontal="left" vertical="center" indent="1"/>
    </xf>
    <xf numFmtId="0" fontId="4" fillId="11" borderId="96" applyNumberFormat="0" applyProtection="0">
      <alignment horizontal="left" vertical="center" indent="1"/>
    </xf>
    <xf numFmtId="4" fontId="5" fillId="53" borderId="96" applyNumberFormat="0" applyProtection="0">
      <alignment horizontal="left" vertical="center" indent="1"/>
    </xf>
    <xf numFmtId="4" fontId="5" fillId="55" borderId="96" applyNumberFormat="0" applyProtection="0">
      <alignment horizontal="left" vertical="center" indent="1"/>
    </xf>
    <xf numFmtId="0" fontId="4" fillId="55" borderId="96" applyNumberFormat="0" applyProtection="0">
      <alignment horizontal="left" vertical="center" indent="1"/>
    </xf>
    <xf numFmtId="0" fontId="4" fillId="55" borderId="96" applyNumberFormat="0" applyProtection="0">
      <alignment horizontal="left" vertical="center" indent="1"/>
    </xf>
    <xf numFmtId="0" fontId="4" fillId="31" borderId="96" applyNumberFormat="0" applyProtection="0">
      <alignment horizontal="left" vertical="center" indent="1"/>
    </xf>
    <xf numFmtId="0" fontId="4" fillId="31" borderId="96" applyNumberFormat="0" applyProtection="0">
      <alignment horizontal="left" vertical="center" indent="1"/>
    </xf>
    <xf numFmtId="0" fontId="4" fillId="34" borderId="96" applyNumberFormat="0" applyProtection="0">
      <alignment horizontal="left" vertical="center" indent="1"/>
    </xf>
    <xf numFmtId="0" fontId="4" fillId="34" borderId="96" applyNumberFormat="0" applyProtection="0">
      <alignment horizontal="left" vertical="center" indent="1"/>
    </xf>
    <xf numFmtId="0" fontId="4" fillId="11" borderId="96" applyNumberFormat="0" applyProtection="0">
      <alignment horizontal="left" vertical="center" indent="1"/>
    </xf>
    <xf numFmtId="0" fontId="4" fillId="11" borderId="96" applyNumberFormat="0" applyProtection="0">
      <alignment horizontal="left" vertical="center" indent="1"/>
    </xf>
    <xf numFmtId="4" fontId="51" fillId="20" borderId="96" applyNumberFormat="0" applyProtection="0">
      <alignment vertical="center"/>
    </xf>
    <xf numFmtId="4" fontId="52" fillId="20" borderId="96" applyNumberFormat="0" applyProtection="0">
      <alignment vertical="center"/>
    </xf>
    <xf numFmtId="4" fontId="51" fillId="20" borderId="96" applyNumberFormat="0" applyProtection="0">
      <alignment horizontal="left" vertical="center" indent="1"/>
    </xf>
    <xf numFmtId="4" fontId="51" fillId="20" borderId="96" applyNumberFormat="0" applyProtection="0">
      <alignment horizontal="left" vertical="center" indent="1"/>
    </xf>
    <xf numFmtId="4" fontId="51" fillId="53" borderId="96" applyNumberFormat="0" applyProtection="0">
      <alignment horizontal="right" vertical="center"/>
    </xf>
    <xf numFmtId="4" fontId="52" fillId="53" borderId="96" applyNumberFormat="0" applyProtection="0">
      <alignment horizontal="right" vertical="center"/>
    </xf>
    <xf numFmtId="0" fontId="4" fillId="11" borderId="96" applyNumberFormat="0" applyProtection="0">
      <alignment horizontal="left" vertical="center" indent="1"/>
    </xf>
    <xf numFmtId="0" fontId="4" fillId="11" borderId="96" applyNumberFormat="0" applyProtection="0">
      <alignment horizontal="left" vertical="center" indent="1"/>
    </xf>
    <xf numFmtId="4" fontId="56" fillId="53" borderId="96" applyNumberFormat="0" applyProtection="0">
      <alignment horizontal="right" vertical="center"/>
    </xf>
    <xf numFmtId="0" fontId="4" fillId="0" borderId="0"/>
    <xf numFmtId="4" fontId="51" fillId="13" borderId="139" applyNumberFormat="0" applyProtection="0">
      <alignment horizontal="left" vertical="center" indent="1"/>
    </xf>
    <xf numFmtId="4" fontId="51" fillId="12" borderId="148" applyNumberFormat="0" applyProtection="0">
      <alignment horizontal="right" vertical="center"/>
    </xf>
    <xf numFmtId="4" fontId="51" fillId="13" borderId="139" applyNumberFormat="0" applyProtection="0">
      <alignment horizontal="left" vertical="center" indent="1"/>
    </xf>
    <xf numFmtId="4" fontId="52" fillId="13" borderId="139" applyNumberFormat="0" applyProtection="0">
      <alignment vertical="center"/>
    </xf>
    <xf numFmtId="4" fontId="51" fillId="13" borderId="139" applyNumberFormat="0" applyProtection="0">
      <alignment vertical="center"/>
    </xf>
    <xf numFmtId="4" fontId="51" fillId="17" borderId="148" applyNumberFormat="0" applyProtection="0">
      <alignment horizontal="right" vertical="center"/>
    </xf>
    <xf numFmtId="4" fontId="53" fillId="52" borderId="148" applyNumberFormat="0" applyProtection="0">
      <alignment horizontal="left" vertical="center" indent="1"/>
    </xf>
    <xf numFmtId="0" fontId="2" fillId="0" borderId="0"/>
    <xf numFmtId="4" fontId="51" fillId="13" borderId="147" applyNumberFormat="0" applyProtection="0">
      <alignment vertical="center"/>
    </xf>
    <xf numFmtId="4" fontId="52" fillId="13" borderId="147" applyNumberFormat="0" applyProtection="0">
      <alignment vertical="center"/>
    </xf>
    <xf numFmtId="4" fontId="51" fillId="13" borderId="147" applyNumberFormat="0" applyProtection="0">
      <alignment horizontal="left" vertical="center" indent="1"/>
    </xf>
    <xf numFmtId="4" fontId="51" fillId="13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1" fillId="36" borderId="147" applyNumberFormat="0" applyProtection="0">
      <alignment horizontal="right" vertical="center"/>
    </xf>
    <xf numFmtId="4" fontId="51" fillId="49" borderId="147" applyNumberFormat="0" applyProtection="0">
      <alignment horizontal="right" vertical="center"/>
    </xf>
    <xf numFmtId="4" fontId="51" fillId="50" borderId="147" applyNumberFormat="0" applyProtection="0">
      <alignment horizontal="right" vertical="center"/>
    </xf>
    <xf numFmtId="4" fontId="51" fillId="12" borderId="147" applyNumberFormat="0" applyProtection="0">
      <alignment horizontal="right" vertical="center"/>
    </xf>
    <xf numFmtId="4" fontId="51" fillId="51" borderId="147" applyNumberFormat="0" applyProtection="0">
      <alignment horizontal="right" vertical="center"/>
    </xf>
    <xf numFmtId="4" fontId="51" fillId="15" borderId="147" applyNumberFormat="0" applyProtection="0">
      <alignment horizontal="right" vertical="center"/>
    </xf>
    <xf numFmtId="4" fontId="51" fillId="17" borderId="147" applyNumberFormat="0" applyProtection="0">
      <alignment horizontal="right" vertical="center"/>
    </xf>
    <xf numFmtId="4" fontId="51" fillId="16" borderId="147" applyNumberFormat="0" applyProtection="0">
      <alignment horizontal="right" vertical="center"/>
    </xf>
    <xf numFmtId="4" fontId="51" fillId="19" borderId="147" applyNumberFormat="0" applyProtection="0">
      <alignment horizontal="right" vertical="center"/>
    </xf>
    <xf numFmtId="4" fontId="53" fillId="52" borderId="147" applyNumberFormat="0" applyProtection="0">
      <alignment horizontal="left" vertical="center" indent="1"/>
    </xf>
    <xf numFmtId="0" fontId="4" fillId="31" borderId="147" applyNumberFormat="0" applyProtection="0">
      <alignment horizontal="left" vertical="center" indent="1"/>
    </xf>
    <xf numFmtId="0" fontId="4" fillId="34" borderId="147" applyNumberFormat="0" applyProtection="0">
      <alignment horizontal="left" vertical="center" indent="1"/>
    </xf>
    <xf numFmtId="0" fontId="4" fillId="34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1" fillId="20" borderId="147" applyNumberFormat="0" applyProtection="0">
      <alignment vertical="center"/>
    </xf>
    <xf numFmtId="4" fontId="52" fillId="20" borderId="147" applyNumberFormat="0" applyProtection="0">
      <alignment vertical="center"/>
    </xf>
    <xf numFmtId="4" fontId="51" fillId="20" borderId="147" applyNumberFormat="0" applyProtection="0">
      <alignment horizontal="left" vertical="center" indent="1"/>
    </xf>
    <xf numFmtId="4" fontId="51" fillId="20" borderId="147" applyNumberFormat="0" applyProtection="0">
      <alignment horizontal="left" vertical="center" indent="1"/>
    </xf>
    <xf numFmtId="4" fontId="51" fillId="53" borderId="147" applyNumberFormat="0" applyProtection="0">
      <alignment horizontal="right" vertical="center"/>
    </xf>
    <xf numFmtId="4" fontId="52" fillId="53" borderId="147" applyNumberFormat="0" applyProtection="0">
      <alignment horizontal="right" vertical="center"/>
    </xf>
    <xf numFmtId="4" fontId="51" fillId="13" borderId="153" applyNumberFormat="0" applyProtection="0">
      <alignment vertical="center"/>
    </xf>
    <xf numFmtId="4" fontId="56" fillId="53" borderId="147" applyNumberFormat="0" applyProtection="0">
      <alignment horizontal="right" vertical="center"/>
    </xf>
    <xf numFmtId="0" fontId="4" fillId="11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" fillId="53" borderId="147" applyNumberFormat="0" applyProtection="0">
      <alignment horizontal="left" vertical="center" indent="1"/>
    </xf>
    <xf numFmtId="0" fontId="4" fillId="55" borderId="147" applyNumberFormat="0" applyProtection="0">
      <alignment horizontal="left" vertical="center" indent="1"/>
    </xf>
    <xf numFmtId="4" fontId="51" fillId="13" borderId="135" applyNumberFormat="0" applyProtection="0">
      <alignment vertical="center"/>
    </xf>
    <xf numFmtId="4" fontId="52" fillId="13" borderId="135" applyNumberFormat="0" applyProtection="0">
      <alignment vertical="center"/>
    </xf>
    <xf numFmtId="4" fontId="51" fillId="13" borderId="135" applyNumberFormat="0" applyProtection="0">
      <alignment horizontal="left" vertical="center" indent="1"/>
    </xf>
    <xf numFmtId="4" fontId="51" fillId="13" borderId="135" applyNumberFormat="0" applyProtection="0">
      <alignment horizontal="left" vertical="center" indent="1"/>
    </xf>
    <xf numFmtId="0" fontId="4" fillId="11" borderId="135" applyNumberFormat="0" applyProtection="0">
      <alignment horizontal="left" vertical="center" indent="1"/>
    </xf>
    <xf numFmtId="4" fontId="51" fillId="36" borderId="135" applyNumberFormat="0" applyProtection="0">
      <alignment horizontal="right" vertical="center"/>
    </xf>
    <xf numFmtId="4" fontId="51" fillId="49" borderId="135" applyNumberFormat="0" applyProtection="0">
      <alignment horizontal="right" vertical="center"/>
    </xf>
    <xf numFmtId="4" fontId="51" fillId="50" borderId="135" applyNumberFormat="0" applyProtection="0">
      <alignment horizontal="right" vertical="center"/>
    </xf>
    <xf numFmtId="4" fontId="51" fillId="12" borderId="135" applyNumberFormat="0" applyProtection="0">
      <alignment horizontal="right" vertical="center"/>
    </xf>
    <xf numFmtId="4" fontId="51" fillId="51" borderId="135" applyNumberFormat="0" applyProtection="0">
      <alignment horizontal="right" vertical="center"/>
    </xf>
    <xf numFmtId="4" fontId="51" fillId="15" borderId="135" applyNumberFormat="0" applyProtection="0">
      <alignment horizontal="right" vertical="center"/>
    </xf>
    <xf numFmtId="4" fontId="51" fillId="17" borderId="135" applyNumberFormat="0" applyProtection="0">
      <alignment horizontal="right" vertical="center"/>
    </xf>
    <xf numFmtId="4" fontId="51" fillId="16" borderId="135" applyNumberFormat="0" applyProtection="0">
      <alignment horizontal="right" vertical="center"/>
    </xf>
    <xf numFmtId="4" fontId="51" fillId="19" borderId="135" applyNumberFormat="0" applyProtection="0">
      <alignment horizontal="right" vertical="center"/>
    </xf>
    <xf numFmtId="4" fontId="53" fillId="52" borderId="135" applyNumberFormat="0" applyProtection="0">
      <alignment horizontal="left" vertical="center" indent="1"/>
    </xf>
    <xf numFmtId="4" fontId="51" fillId="53" borderId="136" applyNumberFormat="0" applyProtection="0">
      <alignment horizontal="left" vertical="center" indent="1"/>
    </xf>
    <xf numFmtId="0" fontId="4" fillId="11" borderId="135" applyNumberFormat="0" applyProtection="0">
      <alignment horizontal="left" vertical="center" indent="1"/>
    </xf>
    <xf numFmtId="4" fontId="5" fillId="53" borderId="135" applyNumberFormat="0" applyProtection="0">
      <alignment horizontal="left" vertical="center" indent="1"/>
    </xf>
    <xf numFmtId="4" fontId="5" fillId="55" borderId="135" applyNumberFormat="0" applyProtection="0">
      <alignment horizontal="left" vertical="center" indent="1"/>
    </xf>
    <xf numFmtId="0" fontId="4" fillId="55" borderId="135" applyNumberFormat="0" applyProtection="0">
      <alignment horizontal="left" vertical="center" indent="1"/>
    </xf>
    <xf numFmtId="0" fontId="4" fillId="55" borderId="135" applyNumberFormat="0" applyProtection="0">
      <alignment horizontal="left" vertical="center" indent="1"/>
    </xf>
    <xf numFmtId="0" fontId="4" fillId="31" borderId="135" applyNumberFormat="0" applyProtection="0">
      <alignment horizontal="left" vertical="center" indent="1"/>
    </xf>
    <xf numFmtId="0" fontId="4" fillId="31" borderId="135" applyNumberFormat="0" applyProtection="0">
      <alignment horizontal="left" vertical="center" indent="1"/>
    </xf>
    <xf numFmtId="0" fontId="4" fillId="34" borderId="135" applyNumberFormat="0" applyProtection="0">
      <alignment horizontal="left" vertical="center" indent="1"/>
    </xf>
    <xf numFmtId="0" fontId="4" fillId="34" borderId="135" applyNumberFormat="0" applyProtection="0">
      <alignment horizontal="left" vertical="center" indent="1"/>
    </xf>
    <xf numFmtId="0" fontId="4" fillId="11" borderId="135" applyNumberFormat="0" applyProtection="0">
      <alignment horizontal="left" vertical="center" indent="1"/>
    </xf>
    <xf numFmtId="0" fontId="4" fillId="11" borderId="135" applyNumberFormat="0" applyProtection="0">
      <alignment horizontal="left" vertical="center" indent="1"/>
    </xf>
    <xf numFmtId="4" fontId="51" fillId="20" borderId="135" applyNumberFormat="0" applyProtection="0">
      <alignment vertical="center"/>
    </xf>
    <xf numFmtId="4" fontId="52" fillId="20" borderId="135" applyNumberFormat="0" applyProtection="0">
      <alignment vertical="center"/>
    </xf>
    <xf numFmtId="4" fontId="51" fillId="20" borderId="135" applyNumberFormat="0" applyProtection="0">
      <alignment horizontal="left" vertical="center" indent="1"/>
    </xf>
    <xf numFmtId="4" fontId="51" fillId="20" borderId="135" applyNumberFormat="0" applyProtection="0">
      <alignment horizontal="left" vertical="center" indent="1"/>
    </xf>
    <xf numFmtId="4" fontId="51" fillId="53" borderId="135" applyNumberFormat="0" applyProtection="0">
      <alignment horizontal="right" vertical="center"/>
    </xf>
    <xf numFmtId="4" fontId="52" fillId="53" borderId="135" applyNumberFormat="0" applyProtection="0">
      <alignment horizontal="right" vertical="center"/>
    </xf>
    <xf numFmtId="0" fontId="4" fillId="11" borderId="135" applyNumberFormat="0" applyProtection="0">
      <alignment horizontal="left" vertical="center" indent="1"/>
    </xf>
    <xf numFmtId="0" fontId="4" fillId="11" borderId="135" applyNumberFormat="0" applyProtection="0">
      <alignment horizontal="left" vertical="center" indent="1"/>
    </xf>
    <xf numFmtId="4" fontId="56" fillId="53" borderId="135" applyNumberFormat="0" applyProtection="0">
      <alignment horizontal="right" vertical="center"/>
    </xf>
    <xf numFmtId="0" fontId="4" fillId="11" borderId="147" applyNumberFormat="0" applyProtection="0">
      <alignment horizontal="left" vertical="center" indent="1"/>
    </xf>
    <xf numFmtId="0" fontId="4" fillId="0" borderId="0"/>
    <xf numFmtId="4" fontId="51" fillId="13" borderId="137" applyNumberFormat="0" applyProtection="0">
      <alignment vertical="center"/>
    </xf>
    <xf numFmtId="4" fontId="52" fillId="13" borderId="137" applyNumberFormat="0" applyProtection="0">
      <alignment vertical="center"/>
    </xf>
    <xf numFmtId="4" fontId="51" fillId="13" borderId="137" applyNumberFormat="0" applyProtection="0">
      <alignment horizontal="left" vertical="center" indent="1"/>
    </xf>
    <xf numFmtId="4" fontId="51" fillId="13" borderId="137" applyNumberFormat="0" applyProtection="0">
      <alignment horizontal="left" vertical="center" indent="1"/>
    </xf>
    <xf numFmtId="0" fontId="4" fillId="11" borderId="137" applyNumberFormat="0" applyProtection="0">
      <alignment horizontal="left" vertical="center" indent="1"/>
    </xf>
    <xf numFmtId="4" fontId="51" fillId="36" borderId="137" applyNumberFormat="0" applyProtection="0">
      <alignment horizontal="right" vertical="center"/>
    </xf>
    <xf numFmtId="4" fontId="51" fillId="49" borderId="137" applyNumberFormat="0" applyProtection="0">
      <alignment horizontal="right" vertical="center"/>
    </xf>
    <xf numFmtId="4" fontId="51" fillId="50" borderId="137" applyNumberFormat="0" applyProtection="0">
      <alignment horizontal="right" vertical="center"/>
    </xf>
    <xf numFmtId="4" fontId="51" fillId="12" borderId="137" applyNumberFormat="0" applyProtection="0">
      <alignment horizontal="right" vertical="center"/>
    </xf>
    <xf numFmtId="4" fontId="51" fillId="51" borderId="137" applyNumberFormat="0" applyProtection="0">
      <alignment horizontal="right" vertical="center"/>
    </xf>
    <xf numFmtId="4" fontId="51" fillId="15" borderId="137" applyNumberFormat="0" applyProtection="0">
      <alignment horizontal="right" vertical="center"/>
    </xf>
    <xf numFmtId="4" fontId="51" fillId="17" borderId="137" applyNumberFormat="0" applyProtection="0">
      <alignment horizontal="right" vertical="center"/>
    </xf>
    <xf numFmtId="4" fontId="51" fillId="16" borderId="137" applyNumberFormat="0" applyProtection="0">
      <alignment horizontal="right" vertical="center"/>
    </xf>
    <xf numFmtId="4" fontId="51" fillId="19" borderId="137" applyNumberFormat="0" applyProtection="0">
      <alignment horizontal="right" vertical="center"/>
    </xf>
    <xf numFmtId="4" fontId="53" fillId="52" borderId="137" applyNumberFormat="0" applyProtection="0">
      <alignment horizontal="left" vertical="center" indent="1"/>
    </xf>
    <xf numFmtId="4" fontId="51" fillId="53" borderId="138" applyNumberFormat="0" applyProtection="0">
      <alignment horizontal="left" vertical="center" indent="1"/>
    </xf>
    <xf numFmtId="0" fontId="4" fillId="11" borderId="137" applyNumberFormat="0" applyProtection="0">
      <alignment horizontal="left" vertical="center" indent="1"/>
    </xf>
    <xf numFmtId="4" fontId="5" fillId="53" borderId="137" applyNumberFormat="0" applyProtection="0">
      <alignment horizontal="left" vertical="center" indent="1"/>
    </xf>
    <xf numFmtId="4" fontId="5" fillId="55" borderId="137" applyNumberFormat="0" applyProtection="0">
      <alignment horizontal="left" vertical="center" indent="1"/>
    </xf>
    <xf numFmtId="0" fontId="4" fillId="55" borderId="137" applyNumberFormat="0" applyProtection="0">
      <alignment horizontal="left" vertical="center" indent="1"/>
    </xf>
    <xf numFmtId="0" fontId="4" fillId="55" borderId="137" applyNumberFormat="0" applyProtection="0">
      <alignment horizontal="left" vertical="center" indent="1"/>
    </xf>
    <xf numFmtId="0" fontId="4" fillId="31" borderId="137" applyNumberFormat="0" applyProtection="0">
      <alignment horizontal="left" vertical="center" indent="1"/>
    </xf>
    <xf numFmtId="0" fontId="4" fillId="31" borderId="137" applyNumberFormat="0" applyProtection="0">
      <alignment horizontal="left" vertical="center" indent="1"/>
    </xf>
    <xf numFmtId="0" fontId="4" fillId="34" borderId="137" applyNumberFormat="0" applyProtection="0">
      <alignment horizontal="left" vertical="center" indent="1"/>
    </xf>
    <xf numFmtId="0" fontId="4" fillId="34" borderId="137" applyNumberFormat="0" applyProtection="0">
      <alignment horizontal="left" vertical="center" indent="1"/>
    </xf>
    <xf numFmtId="0" fontId="4" fillId="11" borderId="137" applyNumberFormat="0" applyProtection="0">
      <alignment horizontal="left" vertical="center" indent="1"/>
    </xf>
    <xf numFmtId="0" fontId="4" fillId="11" borderId="137" applyNumberFormat="0" applyProtection="0">
      <alignment horizontal="left" vertical="center" indent="1"/>
    </xf>
    <xf numFmtId="4" fontId="51" fillId="20" borderId="137" applyNumberFormat="0" applyProtection="0">
      <alignment vertical="center"/>
    </xf>
    <xf numFmtId="4" fontId="52" fillId="20" borderId="137" applyNumberFormat="0" applyProtection="0">
      <alignment vertical="center"/>
    </xf>
    <xf numFmtId="4" fontId="51" fillId="20" borderId="137" applyNumberFormat="0" applyProtection="0">
      <alignment horizontal="left" vertical="center" indent="1"/>
    </xf>
    <xf numFmtId="4" fontId="51" fillId="20" borderId="137" applyNumberFormat="0" applyProtection="0">
      <alignment horizontal="left" vertical="center" indent="1"/>
    </xf>
    <xf numFmtId="4" fontId="51" fillId="53" borderId="137" applyNumberFormat="0" applyProtection="0">
      <alignment horizontal="right" vertical="center"/>
    </xf>
    <xf numFmtId="4" fontId="52" fillId="53" borderId="137" applyNumberFormat="0" applyProtection="0">
      <alignment horizontal="right" vertical="center"/>
    </xf>
    <xf numFmtId="0" fontId="4" fillId="11" borderId="137" applyNumberFormat="0" applyProtection="0">
      <alignment horizontal="left" vertical="center" indent="1"/>
    </xf>
    <xf numFmtId="0" fontId="4" fillId="11" borderId="137" applyNumberFormat="0" applyProtection="0">
      <alignment horizontal="left" vertical="center" indent="1"/>
    </xf>
    <xf numFmtId="4" fontId="56" fillId="53" borderId="137" applyNumberFormat="0" applyProtection="0">
      <alignment horizontal="right" vertical="center"/>
    </xf>
    <xf numFmtId="0" fontId="4" fillId="11" borderId="139" applyNumberFormat="0" applyProtection="0">
      <alignment horizontal="left" vertical="center" indent="1"/>
    </xf>
    <xf numFmtId="4" fontId="51" fillId="36" borderId="139" applyNumberFormat="0" applyProtection="0">
      <alignment horizontal="right" vertical="center"/>
    </xf>
    <xf numFmtId="4" fontId="51" fillId="49" borderId="139" applyNumberFormat="0" applyProtection="0">
      <alignment horizontal="right" vertical="center"/>
    </xf>
    <xf numFmtId="4" fontId="51" fillId="50" borderId="139" applyNumberFormat="0" applyProtection="0">
      <alignment horizontal="right" vertical="center"/>
    </xf>
    <xf numFmtId="4" fontId="51" fillId="12" borderId="139" applyNumberFormat="0" applyProtection="0">
      <alignment horizontal="right" vertical="center"/>
    </xf>
    <xf numFmtId="4" fontId="51" fillId="51" borderId="139" applyNumberFormat="0" applyProtection="0">
      <alignment horizontal="right" vertical="center"/>
    </xf>
    <xf numFmtId="4" fontId="51" fillId="15" borderId="139" applyNumberFormat="0" applyProtection="0">
      <alignment horizontal="right" vertical="center"/>
    </xf>
    <xf numFmtId="4" fontId="51" fillId="17" borderId="139" applyNumberFormat="0" applyProtection="0">
      <alignment horizontal="right" vertical="center"/>
    </xf>
    <xf numFmtId="4" fontId="51" fillId="16" borderId="139" applyNumberFormat="0" applyProtection="0">
      <alignment horizontal="right" vertical="center"/>
    </xf>
    <xf numFmtId="4" fontId="51" fillId="19" borderId="139" applyNumberFormat="0" applyProtection="0">
      <alignment horizontal="right" vertical="center"/>
    </xf>
    <xf numFmtId="4" fontId="53" fillId="52" borderId="139" applyNumberFormat="0" applyProtection="0">
      <alignment horizontal="left" vertical="center" indent="1"/>
    </xf>
    <xf numFmtId="4" fontId="51" fillId="53" borderId="140" applyNumberFormat="0" applyProtection="0">
      <alignment horizontal="left" vertical="center" indent="1"/>
    </xf>
    <xf numFmtId="4" fontId="51" fillId="53" borderId="145" applyNumberFormat="0" applyProtection="0">
      <alignment horizontal="left" vertical="center" indent="1"/>
    </xf>
    <xf numFmtId="0" fontId="4" fillId="11" borderId="139" applyNumberFormat="0" applyProtection="0">
      <alignment horizontal="left" vertical="center" indent="1"/>
    </xf>
    <xf numFmtId="4" fontId="5" fillId="53" borderId="139" applyNumberFormat="0" applyProtection="0">
      <alignment horizontal="left" vertical="center" indent="1"/>
    </xf>
    <xf numFmtId="4" fontId="5" fillId="55" borderId="139" applyNumberFormat="0" applyProtection="0">
      <alignment horizontal="left" vertical="center" indent="1"/>
    </xf>
    <xf numFmtId="0" fontId="4" fillId="55" borderId="139" applyNumberFormat="0" applyProtection="0">
      <alignment horizontal="left" vertical="center" indent="1"/>
    </xf>
    <xf numFmtId="0" fontId="4" fillId="55" borderId="139" applyNumberFormat="0" applyProtection="0">
      <alignment horizontal="left" vertical="center" indent="1"/>
    </xf>
    <xf numFmtId="0" fontId="4" fillId="31" borderId="139" applyNumberFormat="0" applyProtection="0">
      <alignment horizontal="left" vertical="center" indent="1"/>
    </xf>
    <xf numFmtId="0" fontId="4" fillId="31" borderId="139" applyNumberFormat="0" applyProtection="0">
      <alignment horizontal="left" vertical="center" indent="1"/>
    </xf>
    <xf numFmtId="0" fontId="4" fillId="34" borderId="139" applyNumberFormat="0" applyProtection="0">
      <alignment horizontal="left" vertical="center" indent="1"/>
    </xf>
    <xf numFmtId="0" fontId="4" fillId="34" borderId="139" applyNumberFormat="0" applyProtection="0">
      <alignment horizontal="left" vertical="center" indent="1"/>
    </xf>
    <xf numFmtId="0" fontId="4" fillId="11" borderId="139" applyNumberFormat="0" applyProtection="0">
      <alignment horizontal="left" vertical="center" indent="1"/>
    </xf>
    <xf numFmtId="0" fontId="4" fillId="11" borderId="139" applyNumberFormat="0" applyProtection="0">
      <alignment horizontal="left" vertical="center" indent="1"/>
    </xf>
    <xf numFmtId="4" fontId="51" fillId="20" borderId="139" applyNumberFormat="0" applyProtection="0">
      <alignment vertical="center"/>
    </xf>
    <xf numFmtId="4" fontId="52" fillId="20" borderId="139" applyNumberFormat="0" applyProtection="0">
      <alignment vertical="center"/>
    </xf>
    <xf numFmtId="4" fontId="51" fillId="20" borderId="139" applyNumberFormat="0" applyProtection="0">
      <alignment horizontal="left" vertical="center" indent="1"/>
    </xf>
    <xf numFmtId="4" fontId="51" fillId="20" borderId="139" applyNumberFormat="0" applyProtection="0">
      <alignment horizontal="left" vertical="center" indent="1"/>
    </xf>
    <xf numFmtId="4" fontId="51" fillId="53" borderId="139" applyNumberFormat="0" applyProtection="0">
      <alignment horizontal="right" vertical="center"/>
    </xf>
    <xf numFmtId="4" fontId="52" fillId="53" borderId="139" applyNumberFormat="0" applyProtection="0">
      <alignment horizontal="right" vertical="center"/>
    </xf>
    <xf numFmtId="0" fontId="4" fillId="11" borderId="139" applyNumberFormat="0" applyProtection="0">
      <alignment horizontal="left" vertical="center" indent="1"/>
    </xf>
    <xf numFmtId="0" fontId="4" fillId="11" borderId="139" applyNumberFormat="0" applyProtection="0">
      <alignment horizontal="left" vertical="center" indent="1"/>
    </xf>
    <xf numFmtId="4" fontId="5" fillId="55" borderId="148" applyNumberFormat="0" applyProtection="0">
      <alignment horizontal="left" vertical="center" indent="1"/>
    </xf>
    <xf numFmtId="4" fontId="56" fillId="53" borderId="139" applyNumberFormat="0" applyProtection="0">
      <alignment horizontal="right" vertical="center"/>
    </xf>
    <xf numFmtId="0" fontId="4" fillId="31" borderId="147" applyNumberFormat="0" applyProtection="0">
      <alignment horizontal="left" vertical="center" indent="1"/>
    </xf>
    <xf numFmtId="4" fontId="5" fillId="55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1" fillId="13" borderId="139" applyNumberFormat="0" applyProtection="0">
      <alignment vertical="center"/>
    </xf>
    <xf numFmtId="4" fontId="52" fillId="13" borderId="139" applyNumberFormat="0" applyProtection="0">
      <alignment vertical="center"/>
    </xf>
    <xf numFmtId="4" fontId="51" fillId="13" borderId="139" applyNumberFormat="0" applyProtection="0">
      <alignment horizontal="left" vertical="center" indent="1"/>
    </xf>
    <xf numFmtId="4" fontId="51" fillId="13" borderId="139" applyNumberFormat="0" applyProtection="0">
      <alignment horizontal="left" vertical="center" indent="1"/>
    </xf>
    <xf numFmtId="0" fontId="4" fillId="11" borderId="139" applyNumberFormat="0" applyProtection="0">
      <alignment horizontal="left" vertical="center" indent="1"/>
    </xf>
    <xf numFmtId="4" fontId="51" fillId="36" borderId="139" applyNumberFormat="0" applyProtection="0">
      <alignment horizontal="right" vertical="center"/>
    </xf>
    <xf numFmtId="4" fontId="51" fillId="49" borderId="139" applyNumberFormat="0" applyProtection="0">
      <alignment horizontal="right" vertical="center"/>
    </xf>
    <xf numFmtId="4" fontId="51" fillId="50" borderId="139" applyNumberFormat="0" applyProtection="0">
      <alignment horizontal="right" vertical="center"/>
    </xf>
    <xf numFmtId="4" fontId="51" fillId="12" borderId="139" applyNumberFormat="0" applyProtection="0">
      <alignment horizontal="right" vertical="center"/>
    </xf>
    <xf numFmtId="4" fontId="51" fillId="51" borderId="139" applyNumberFormat="0" applyProtection="0">
      <alignment horizontal="right" vertical="center"/>
    </xf>
    <xf numFmtId="4" fontId="51" fillId="15" borderId="139" applyNumberFormat="0" applyProtection="0">
      <alignment horizontal="right" vertical="center"/>
    </xf>
    <xf numFmtId="4" fontId="51" fillId="17" borderId="139" applyNumberFormat="0" applyProtection="0">
      <alignment horizontal="right" vertical="center"/>
    </xf>
    <xf numFmtId="4" fontId="51" fillId="16" borderId="139" applyNumberFormat="0" applyProtection="0">
      <alignment horizontal="right" vertical="center"/>
    </xf>
    <xf numFmtId="4" fontId="51" fillId="19" borderId="139" applyNumberFormat="0" applyProtection="0">
      <alignment horizontal="right" vertical="center"/>
    </xf>
    <xf numFmtId="4" fontId="53" fillId="52" borderId="139" applyNumberFormat="0" applyProtection="0">
      <alignment horizontal="left" vertical="center" indent="1"/>
    </xf>
    <xf numFmtId="4" fontId="51" fillId="53" borderId="141" applyNumberFormat="0" applyProtection="0">
      <alignment horizontal="left" vertical="center" indent="1"/>
    </xf>
    <xf numFmtId="0" fontId="4" fillId="11" borderId="139" applyNumberFormat="0" applyProtection="0">
      <alignment horizontal="left" vertical="center" indent="1"/>
    </xf>
    <xf numFmtId="4" fontId="5" fillId="53" borderId="139" applyNumberFormat="0" applyProtection="0">
      <alignment horizontal="left" vertical="center" indent="1"/>
    </xf>
    <xf numFmtId="4" fontId="5" fillId="55" borderId="139" applyNumberFormat="0" applyProtection="0">
      <alignment horizontal="left" vertical="center" indent="1"/>
    </xf>
    <xf numFmtId="0" fontId="4" fillId="55" borderId="139" applyNumberFormat="0" applyProtection="0">
      <alignment horizontal="left" vertical="center" indent="1"/>
    </xf>
    <xf numFmtId="0" fontId="4" fillId="55" borderId="139" applyNumberFormat="0" applyProtection="0">
      <alignment horizontal="left" vertical="center" indent="1"/>
    </xf>
    <xf numFmtId="0" fontId="4" fillId="31" borderId="139" applyNumberFormat="0" applyProtection="0">
      <alignment horizontal="left" vertical="center" indent="1"/>
    </xf>
    <xf numFmtId="0" fontId="4" fillId="31" borderId="139" applyNumberFormat="0" applyProtection="0">
      <alignment horizontal="left" vertical="center" indent="1"/>
    </xf>
    <xf numFmtId="0" fontId="4" fillId="34" borderId="139" applyNumberFormat="0" applyProtection="0">
      <alignment horizontal="left" vertical="center" indent="1"/>
    </xf>
    <xf numFmtId="0" fontId="4" fillId="34" borderId="139" applyNumberFormat="0" applyProtection="0">
      <alignment horizontal="left" vertical="center" indent="1"/>
    </xf>
    <xf numFmtId="0" fontId="4" fillId="11" borderId="139" applyNumberFormat="0" applyProtection="0">
      <alignment horizontal="left" vertical="center" indent="1"/>
    </xf>
    <xf numFmtId="0" fontId="4" fillId="11" borderId="139" applyNumberFormat="0" applyProtection="0">
      <alignment horizontal="left" vertical="center" indent="1"/>
    </xf>
    <xf numFmtId="4" fontId="51" fillId="20" borderId="139" applyNumberFormat="0" applyProtection="0">
      <alignment vertical="center"/>
    </xf>
    <xf numFmtId="4" fontId="52" fillId="20" borderId="139" applyNumberFormat="0" applyProtection="0">
      <alignment vertical="center"/>
    </xf>
    <xf numFmtId="4" fontId="51" fillId="20" borderId="139" applyNumberFormat="0" applyProtection="0">
      <alignment horizontal="left" vertical="center" indent="1"/>
    </xf>
    <xf numFmtId="4" fontId="51" fillId="20" borderId="139" applyNumberFormat="0" applyProtection="0">
      <alignment horizontal="left" vertical="center" indent="1"/>
    </xf>
    <xf numFmtId="4" fontId="51" fillId="53" borderId="139" applyNumberFormat="0" applyProtection="0">
      <alignment horizontal="right" vertical="center"/>
    </xf>
    <xf numFmtId="4" fontId="52" fillId="53" borderId="139" applyNumberFormat="0" applyProtection="0">
      <alignment horizontal="right" vertical="center"/>
    </xf>
    <xf numFmtId="0" fontId="4" fillId="11" borderId="139" applyNumberFormat="0" applyProtection="0">
      <alignment horizontal="left" vertical="center" indent="1"/>
    </xf>
    <xf numFmtId="0" fontId="4" fillId="11" borderId="139" applyNumberFormat="0" applyProtection="0">
      <alignment horizontal="left" vertical="center" indent="1"/>
    </xf>
    <xf numFmtId="4" fontId="56" fillId="53" borderId="139" applyNumberFormat="0" applyProtection="0">
      <alignment horizontal="right" vertical="center"/>
    </xf>
    <xf numFmtId="0" fontId="4" fillId="55" borderId="147" applyNumberFormat="0" applyProtection="0">
      <alignment horizontal="left" vertical="center" indent="1"/>
    </xf>
    <xf numFmtId="4" fontId="51" fillId="13" borderId="148" applyNumberFormat="0" applyProtection="0">
      <alignment vertical="center"/>
    </xf>
    <xf numFmtId="4" fontId="52" fillId="13" borderId="148" applyNumberFormat="0" applyProtection="0">
      <alignment vertical="center"/>
    </xf>
    <xf numFmtId="4" fontId="51" fillId="13" borderId="148" applyNumberFormat="0" applyProtection="0">
      <alignment horizontal="left" vertical="center" indent="1"/>
    </xf>
    <xf numFmtId="4" fontId="51" fillId="13" borderId="148" applyNumberFormat="0" applyProtection="0">
      <alignment horizontal="left" vertical="center" indent="1"/>
    </xf>
    <xf numFmtId="0" fontId="4" fillId="11" borderId="148" applyNumberFormat="0" applyProtection="0">
      <alignment horizontal="left" vertical="center" indent="1"/>
    </xf>
    <xf numFmtId="4" fontId="51" fillId="36" borderId="148" applyNumberFormat="0" applyProtection="0">
      <alignment horizontal="right" vertical="center"/>
    </xf>
    <xf numFmtId="4" fontId="51" fillId="49" borderId="148" applyNumberFormat="0" applyProtection="0">
      <alignment horizontal="right" vertical="center"/>
    </xf>
    <xf numFmtId="4" fontId="51" fillId="53" borderId="142" applyNumberFormat="0" applyProtection="0">
      <alignment horizontal="left" vertical="center" indent="1"/>
    </xf>
    <xf numFmtId="4" fontId="51" fillId="53" borderId="149" applyNumberFormat="0" applyProtection="0">
      <alignment horizontal="left" vertical="center" indent="1"/>
    </xf>
    <xf numFmtId="0" fontId="4" fillId="11" borderId="148" applyNumberFormat="0" applyProtection="0">
      <alignment horizontal="left" vertical="center" indent="1"/>
    </xf>
    <xf numFmtId="4" fontId="5" fillId="53" borderId="148" applyNumberFormat="0" applyProtection="0">
      <alignment horizontal="left" vertical="center" indent="1"/>
    </xf>
    <xf numFmtId="0" fontId="4" fillId="55" borderId="148" applyNumberFormat="0" applyProtection="0">
      <alignment horizontal="left" vertical="center" indent="1"/>
    </xf>
    <xf numFmtId="0" fontId="4" fillId="55" borderId="148" applyNumberFormat="0" applyProtection="0">
      <alignment horizontal="left" vertical="center" indent="1"/>
    </xf>
    <xf numFmtId="0" fontId="4" fillId="31" borderId="148" applyNumberFormat="0" applyProtection="0">
      <alignment horizontal="left" vertical="center" indent="1"/>
    </xf>
    <xf numFmtId="0" fontId="4" fillId="31" borderId="148" applyNumberFormat="0" applyProtection="0">
      <alignment horizontal="left" vertical="center" indent="1"/>
    </xf>
    <xf numFmtId="0" fontId="4" fillId="34" borderId="148" applyNumberFormat="0" applyProtection="0">
      <alignment horizontal="left" vertical="center" indent="1"/>
    </xf>
    <xf numFmtId="0" fontId="4" fillId="34" borderId="148" applyNumberFormat="0" applyProtection="0">
      <alignment horizontal="left" vertical="center" indent="1"/>
    </xf>
    <xf numFmtId="0" fontId="4" fillId="11" borderId="148" applyNumberFormat="0" applyProtection="0">
      <alignment horizontal="left" vertical="center" indent="1"/>
    </xf>
    <xf numFmtId="4" fontId="52" fillId="20" borderId="148" applyNumberFormat="0" applyProtection="0">
      <alignment vertical="center"/>
    </xf>
    <xf numFmtId="4" fontId="51" fillId="20" borderId="148" applyNumberFormat="0" applyProtection="0">
      <alignment horizontal="left" vertical="center" indent="1"/>
    </xf>
    <xf numFmtId="4" fontId="51" fillId="20" borderId="148" applyNumberFormat="0" applyProtection="0">
      <alignment horizontal="left" vertical="center" indent="1"/>
    </xf>
    <xf numFmtId="4" fontId="51" fillId="53" borderId="148" applyNumberFormat="0" applyProtection="0">
      <alignment horizontal="right" vertical="center"/>
    </xf>
    <xf numFmtId="4" fontId="52" fillId="53" borderId="148" applyNumberFormat="0" applyProtection="0">
      <alignment horizontal="right" vertical="center"/>
    </xf>
    <xf numFmtId="0" fontId="4" fillId="11" borderId="148" applyNumberFormat="0" applyProtection="0">
      <alignment horizontal="left" vertical="center" indent="1"/>
    </xf>
    <xf numFmtId="4" fontId="51" fillId="51" borderId="148" applyNumberFormat="0" applyProtection="0">
      <alignment horizontal="right" vertical="center"/>
    </xf>
    <xf numFmtId="0" fontId="4" fillId="11" borderId="148" applyNumberFormat="0" applyProtection="0">
      <alignment horizontal="left" vertical="center" indent="1"/>
    </xf>
    <xf numFmtId="4" fontId="51" fillId="15" borderId="148" applyNumberFormat="0" applyProtection="0">
      <alignment horizontal="right" vertical="center"/>
    </xf>
    <xf numFmtId="4" fontId="51" fillId="16" borderId="148" applyNumberFormat="0" applyProtection="0">
      <alignment horizontal="right" vertical="center"/>
    </xf>
    <xf numFmtId="4" fontId="51" fillId="50" borderId="148" applyNumberFormat="0" applyProtection="0">
      <alignment horizontal="right" vertical="center"/>
    </xf>
    <xf numFmtId="0" fontId="4" fillId="11" borderId="148" applyNumberFormat="0" applyProtection="0">
      <alignment horizontal="left" vertical="center" indent="1"/>
    </xf>
    <xf numFmtId="4" fontId="51" fillId="20" borderId="148" applyNumberFormat="0" applyProtection="0">
      <alignment vertical="center"/>
    </xf>
    <xf numFmtId="4" fontId="51" fillId="13" borderId="143" applyNumberFormat="0" applyProtection="0">
      <alignment vertical="center"/>
    </xf>
    <xf numFmtId="4" fontId="52" fillId="13" borderId="143" applyNumberFormat="0" applyProtection="0">
      <alignment vertical="center"/>
    </xf>
    <xf numFmtId="4" fontId="51" fillId="13" borderId="143" applyNumberFormat="0" applyProtection="0">
      <alignment horizontal="left" vertical="center" indent="1"/>
    </xf>
    <xf numFmtId="4" fontId="51" fillId="13" borderId="143" applyNumberFormat="0" applyProtection="0">
      <alignment horizontal="left" vertical="center" indent="1"/>
    </xf>
    <xf numFmtId="0" fontId="4" fillId="11" borderId="143" applyNumberFormat="0" applyProtection="0">
      <alignment horizontal="left" vertical="center" indent="1"/>
    </xf>
    <xf numFmtId="4" fontId="51" fillId="36" borderId="143" applyNumberFormat="0" applyProtection="0">
      <alignment horizontal="right" vertical="center"/>
    </xf>
    <xf numFmtId="4" fontId="51" fillId="49" borderId="143" applyNumberFormat="0" applyProtection="0">
      <alignment horizontal="right" vertical="center"/>
    </xf>
    <xf numFmtId="4" fontId="51" fillId="50" borderId="143" applyNumberFormat="0" applyProtection="0">
      <alignment horizontal="right" vertical="center"/>
    </xf>
    <xf numFmtId="4" fontId="51" fillId="12" borderId="143" applyNumberFormat="0" applyProtection="0">
      <alignment horizontal="right" vertical="center"/>
    </xf>
    <xf numFmtId="4" fontId="51" fillId="51" borderId="143" applyNumberFormat="0" applyProtection="0">
      <alignment horizontal="right" vertical="center"/>
    </xf>
    <xf numFmtId="4" fontId="51" fillId="15" borderId="143" applyNumberFormat="0" applyProtection="0">
      <alignment horizontal="right" vertical="center"/>
    </xf>
    <xf numFmtId="4" fontId="51" fillId="17" borderId="143" applyNumberFormat="0" applyProtection="0">
      <alignment horizontal="right" vertical="center"/>
    </xf>
    <xf numFmtId="4" fontId="51" fillId="16" borderId="143" applyNumberFormat="0" applyProtection="0">
      <alignment horizontal="right" vertical="center"/>
    </xf>
    <xf numFmtId="4" fontId="51" fillId="19" borderId="143" applyNumberFormat="0" applyProtection="0">
      <alignment horizontal="right" vertical="center"/>
    </xf>
    <xf numFmtId="4" fontId="53" fillId="52" borderId="143" applyNumberFormat="0" applyProtection="0">
      <alignment horizontal="left" vertical="center" indent="1"/>
    </xf>
    <xf numFmtId="4" fontId="51" fillId="53" borderId="144" applyNumberFormat="0" applyProtection="0">
      <alignment horizontal="left" vertical="center" indent="1"/>
    </xf>
    <xf numFmtId="0" fontId="4" fillId="11" borderId="143" applyNumberFormat="0" applyProtection="0">
      <alignment horizontal="left" vertical="center" indent="1"/>
    </xf>
    <xf numFmtId="4" fontId="5" fillId="53" borderId="143" applyNumberFormat="0" applyProtection="0">
      <alignment horizontal="left" vertical="center" indent="1"/>
    </xf>
    <xf numFmtId="4" fontId="5" fillId="55" borderId="143" applyNumberFormat="0" applyProtection="0">
      <alignment horizontal="left" vertical="center" indent="1"/>
    </xf>
    <xf numFmtId="0" fontId="4" fillId="55" borderId="143" applyNumberFormat="0" applyProtection="0">
      <alignment horizontal="left" vertical="center" indent="1"/>
    </xf>
    <xf numFmtId="0" fontId="4" fillId="55" borderId="143" applyNumberFormat="0" applyProtection="0">
      <alignment horizontal="left" vertical="center" indent="1"/>
    </xf>
    <xf numFmtId="0" fontId="4" fillId="31" borderId="143" applyNumberFormat="0" applyProtection="0">
      <alignment horizontal="left" vertical="center" indent="1"/>
    </xf>
    <xf numFmtId="0" fontId="4" fillId="31" borderId="143" applyNumberFormat="0" applyProtection="0">
      <alignment horizontal="left" vertical="center" indent="1"/>
    </xf>
    <xf numFmtId="0" fontId="4" fillId="34" borderId="143" applyNumberFormat="0" applyProtection="0">
      <alignment horizontal="left" vertical="center" indent="1"/>
    </xf>
    <xf numFmtId="0" fontId="4" fillId="34" borderId="143" applyNumberFormat="0" applyProtection="0">
      <alignment horizontal="left" vertical="center" indent="1"/>
    </xf>
    <xf numFmtId="0" fontId="4" fillId="11" borderId="143" applyNumberFormat="0" applyProtection="0">
      <alignment horizontal="left" vertical="center" indent="1"/>
    </xf>
    <xf numFmtId="0" fontId="4" fillId="11" borderId="143" applyNumberFormat="0" applyProtection="0">
      <alignment horizontal="left" vertical="center" indent="1"/>
    </xf>
    <xf numFmtId="4" fontId="51" fillId="20" borderId="143" applyNumberFormat="0" applyProtection="0">
      <alignment vertical="center"/>
    </xf>
    <xf numFmtId="4" fontId="52" fillId="20" borderId="143" applyNumberFormat="0" applyProtection="0">
      <alignment vertical="center"/>
    </xf>
    <xf numFmtId="4" fontId="51" fillId="20" borderId="143" applyNumberFormat="0" applyProtection="0">
      <alignment horizontal="left" vertical="center" indent="1"/>
    </xf>
    <xf numFmtId="4" fontId="51" fillId="20" borderId="143" applyNumberFormat="0" applyProtection="0">
      <alignment horizontal="left" vertical="center" indent="1"/>
    </xf>
    <xf numFmtId="4" fontId="51" fillId="53" borderId="143" applyNumberFormat="0" applyProtection="0">
      <alignment horizontal="right" vertical="center"/>
    </xf>
    <xf numFmtId="4" fontId="52" fillId="53" borderId="143" applyNumberFormat="0" applyProtection="0">
      <alignment horizontal="right" vertical="center"/>
    </xf>
    <xf numFmtId="0" fontId="4" fillId="11" borderId="143" applyNumberFormat="0" applyProtection="0">
      <alignment horizontal="left" vertical="center" indent="1"/>
    </xf>
    <xf numFmtId="0" fontId="4" fillId="11" borderId="143" applyNumberFormat="0" applyProtection="0">
      <alignment horizontal="left" vertical="center" indent="1"/>
    </xf>
    <xf numFmtId="4" fontId="56" fillId="53" borderId="143" applyNumberFormat="0" applyProtection="0">
      <alignment horizontal="right" vertical="center"/>
    </xf>
    <xf numFmtId="4" fontId="51" fillId="53" borderId="152" applyNumberFormat="0" applyProtection="0">
      <alignment horizontal="left" vertical="center" indent="1"/>
    </xf>
    <xf numFmtId="4" fontId="51" fillId="53" borderId="146" applyNumberFormat="0" applyProtection="0">
      <alignment horizontal="left" vertical="center" indent="1"/>
    </xf>
    <xf numFmtId="4" fontId="51" fillId="19" borderId="148" applyNumberFormat="0" applyProtection="0">
      <alignment horizontal="right" vertical="center"/>
    </xf>
    <xf numFmtId="4" fontId="56" fillId="53" borderId="148" applyNumberFormat="0" applyProtection="0">
      <alignment horizontal="right" vertical="center"/>
    </xf>
    <xf numFmtId="4" fontId="51" fillId="13" borderId="150" applyNumberFormat="0" applyProtection="0">
      <alignment vertical="center"/>
    </xf>
    <xf numFmtId="4" fontId="52" fillId="13" borderId="150" applyNumberFormat="0" applyProtection="0">
      <alignment vertical="center"/>
    </xf>
    <xf numFmtId="4" fontId="51" fillId="13" borderId="150" applyNumberFormat="0" applyProtection="0">
      <alignment horizontal="left" vertical="center" indent="1"/>
    </xf>
    <xf numFmtId="4" fontId="51" fillId="13" borderId="150" applyNumberFormat="0" applyProtection="0">
      <alignment horizontal="left" vertical="center" indent="1"/>
    </xf>
    <xf numFmtId="0" fontId="4" fillId="11" borderId="150" applyNumberFormat="0" applyProtection="0">
      <alignment horizontal="left" vertical="center" indent="1"/>
    </xf>
    <xf numFmtId="4" fontId="51" fillId="36" borderId="150" applyNumberFormat="0" applyProtection="0">
      <alignment horizontal="right" vertical="center"/>
    </xf>
    <xf numFmtId="4" fontId="51" fillId="49" borderId="150" applyNumberFormat="0" applyProtection="0">
      <alignment horizontal="right" vertical="center"/>
    </xf>
    <xf numFmtId="4" fontId="51" fillId="50" borderId="150" applyNumberFormat="0" applyProtection="0">
      <alignment horizontal="right" vertical="center"/>
    </xf>
    <xf numFmtId="4" fontId="51" fillId="12" borderId="150" applyNumberFormat="0" applyProtection="0">
      <alignment horizontal="right" vertical="center"/>
    </xf>
    <xf numFmtId="4" fontId="51" fillId="51" borderId="150" applyNumberFormat="0" applyProtection="0">
      <alignment horizontal="right" vertical="center"/>
    </xf>
    <xf numFmtId="4" fontId="51" fillId="15" borderId="150" applyNumberFormat="0" applyProtection="0">
      <alignment horizontal="right" vertical="center"/>
    </xf>
    <xf numFmtId="4" fontId="51" fillId="17" borderId="150" applyNumberFormat="0" applyProtection="0">
      <alignment horizontal="right" vertical="center"/>
    </xf>
    <xf numFmtId="4" fontId="51" fillId="16" borderId="150" applyNumberFormat="0" applyProtection="0">
      <alignment horizontal="right" vertical="center"/>
    </xf>
    <xf numFmtId="4" fontId="51" fillId="19" borderId="150" applyNumberFormat="0" applyProtection="0">
      <alignment horizontal="right" vertical="center"/>
    </xf>
    <xf numFmtId="4" fontId="53" fillId="52" borderId="150" applyNumberFormat="0" applyProtection="0">
      <alignment horizontal="left" vertical="center" indent="1"/>
    </xf>
    <xf numFmtId="4" fontId="51" fillId="53" borderId="151" applyNumberFormat="0" applyProtection="0">
      <alignment horizontal="left" vertical="center" indent="1"/>
    </xf>
    <xf numFmtId="0" fontId="4" fillId="11" borderId="150" applyNumberFormat="0" applyProtection="0">
      <alignment horizontal="left" vertical="center" indent="1"/>
    </xf>
    <xf numFmtId="4" fontId="5" fillId="53" borderId="150" applyNumberFormat="0" applyProtection="0">
      <alignment horizontal="left" vertical="center" indent="1"/>
    </xf>
    <xf numFmtId="4" fontId="5" fillId="55" borderId="150" applyNumberFormat="0" applyProtection="0">
      <alignment horizontal="left" vertical="center" indent="1"/>
    </xf>
    <xf numFmtId="0" fontId="4" fillId="55" borderId="150" applyNumberFormat="0" applyProtection="0">
      <alignment horizontal="left" vertical="center" indent="1"/>
    </xf>
    <xf numFmtId="0" fontId="4" fillId="55" borderId="150" applyNumberFormat="0" applyProtection="0">
      <alignment horizontal="left" vertical="center" indent="1"/>
    </xf>
    <xf numFmtId="0" fontId="4" fillId="31" borderId="150" applyNumberFormat="0" applyProtection="0">
      <alignment horizontal="left" vertical="center" indent="1"/>
    </xf>
    <xf numFmtId="0" fontId="4" fillId="31" borderId="150" applyNumberFormat="0" applyProtection="0">
      <alignment horizontal="left" vertical="center" indent="1"/>
    </xf>
    <xf numFmtId="0" fontId="4" fillId="34" borderId="150" applyNumberFormat="0" applyProtection="0">
      <alignment horizontal="left" vertical="center" indent="1"/>
    </xf>
    <xf numFmtId="0" fontId="4" fillId="34" borderId="150" applyNumberFormat="0" applyProtection="0">
      <alignment horizontal="left" vertical="center" indent="1"/>
    </xf>
    <xf numFmtId="0" fontId="4" fillId="11" borderId="150" applyNumberFormat="0" applyProtection="0">
      <alignment horizontal="left" vertical="center" indent="1"/>
    </xf>
    <xf numFmtId="0" fontId="4" fillId="11" borderId="150" applyNumberFormat="0" applyProtection="0">
      <alignment horizontal="left" vertical="center" indent="1"/>
    </xf>
    <xf numFmtId="4" fontId="51" fillId="20" borderId="150" applyNumberFormat="0" applyProtection="0">
      <alignment vertical="center"/>
    </xf>
    <xf numFmtId="4" fontId="52" fillId="20" borderId="150" applyNumberFormat="0" applyProtection="0">
      <alignment vertical="center"/>
    </xf>
    <xf numFmtId="4" fontId="51" fillId="20" borderId="150" applyNumberFormat="0" applyProtection="0">
      <alignment horizontal="left" vertical="center" indent="1"/>
    </xf>
    <xf numFmtId="4" fontId="51" fillId="20" borderId="150" applyNumberFormat="0" applyProtection="0">
      <alignment horizontal="left" vertical="center" indent="1"/>
    </xf>
    <xf numFmtId="4" fontId="51" fillId="53" borderId="150" applyNumberFormat="0" applyProtection="0">
      <alignment horizontal="right" vertical="center"/>
    </xf>
    <xf numFmtId="4" fontId="52" fillId="53" borderId="150" applyNumberFormat="0" applyProtection="0">
      <alignment horizontal="right" vertical="center"/>
    </xf>
    <xf numFmtId="0" fontId="4" fillId="11" borderId="150" applyNumberFormat="0" applyProtection="0">
      <alignment horizontal="left" vertical="center" indent="1"/>
    </xf>
    <xf numFmtId="0" fontId="4" fillId="11" borderId="150" applyNumberFormat="0" applyProtection="0">
      <alignment horizontal="left" vertical="center" indent="1"/>
    </xf>
    <xf numFmtId="4" fontId="56" fillId="53" borderId="150" applyNumberFormat="0" applyProtection="0">
      <alignment horizontal="right" vertical="center"/>
    </xf>
    <xf numFmtId="4" fontId="52" fillId="13" borderId="153" applyNumberFormat="0" applyProtection="0">
      <alignment vertical="center"/>
    </xf>
    <xf numFmtId="4" fontId="51" fillId="13" borderId="153" applyNumberFormat="0" applyProtection="0">
      <alignment horizontal="left" vertical="center" indent="1"/>
    </xf>
    <xf numFmtId="4" fontId="51" fillId="13" borderId="153" applyNumberFormat="0" applyProtection="0">
      <alignment horizontal="left" vertical="center" indent="1"/>
    </xf>
    <xf numFmtId="0" fontId="4" fillId="11" borderId="153" applyNumberFormat="0" applyProtection="0">
      <alignment horizontal="left" vertical="center" indent="1"/>
    </xf>
    <xf numFmtId="4" fontId="51" fillId="36" borderId="153" applyNumberFormat="0" applyProtection="0">
      <alignment horizontal="right" vertical="center"/>
    </xf>
    <xf numFmtId="4" fontId="51" fillId="49" borderId="153" applyNumberFormat="0" applyProtection="0">
      <alignment horizontal="right" vertical="center"/>
    </xf>
    <xf numFmtId="4" fontId="51" fillId="50" borderId="153" applyNumberFormat="0" applyProtection="0">
      <alignment horizontal="right" vertical="center"/>
    </xf>
    <xf numFmtId="4" fontId="51" fillId="12" borderId="153" applyNumberFormat="0" applyProtection="0">
      <alignment horizontal="right" vertical="center"/>
    </xf>
    <xf numFmtId="4" fontId="51" fillId="51" borderId="153" applyNumberFormat="0" applyProtection="0">
      <alignment horizontal="right" vertical="center"/>
    </xf>
    <xf numFmtId="4" fontId="51" fillId="15" borderId="153" applyNumberFormat="0" applyProtection="0">
      <alignment horizontal="right" vertical="center"/>
    </xf>
    <xf numFmtId="4" fontId="51" fillId="17" borderId="153" applyNumberFormat="0" applyProtection="0">
      <alignment horizontal="right" vertical="center"/>
    </xf>
    <xf numFmtId="4" fontId="51" fillId="16" borderId="153" applyNumberFormat="0" applyProtection="0">
      <alignment horizontal="right" vertical="center"/>
    </xf>
    <xf numFmtId="4" fontId="51" fillId="19" borderId="153" applyNumberFormat="0" applyProtection="0">
      <alignment horizontal="right" vertical="center"/>
    </xf>
    <xf numFmtId="4" fontId="53" fillId="52" borderId="153" applyNumberFormat="0" applyProtection="0">
      <alignment horizontal="left" vertical="center" indent="1"/>
    </xf>
    <xf numFmtId="4" fontId="51" fillId="53" borderId="154" applyNumberFormat="0" applyProtection="0">
      <alignment horizontal="left" vertical="center" indent="1"/>
    </xf>
    <xf numFmtId="0" fontId="4" fillId="11" borderId="153" applyNumberFormat="0" applyProtection="0">
      <alignment horizontal="left" vertical="center" indent="1"/>
    </xf>
    <xf numFmtId="4" fontId="5" fillId="53" borderId="153" applyNumberFormat="0" applyProtection="0">
      <alignment horizontal="left" vertical="center" indent="1"/>
    </xf>
    <xf numFmtId="4" fontId="5" fillId="55" borderId="153" applyNumberFormat="0" applyProtection="0">
      <alignment horizontal="left" vertical="center" indent="1"/>
    </xf>
    <xf numFmtId="0" fontId="4" fillId="55" borderId="153" applyNumberFormat="0" applyProtection="0">
      <alignment horizontal="left" vertical="center" indent="1"/>
    </xf>
    <xf numFmtId="0" fontId="4" fillId="55" borderId="153" applyNumberFormat="0" applyProtection="0">
      <alignment horizontal="left" vertical="center" indent="1"/>
    </xf>
    <xf numFmtId="0" fontId="4" fillId="31" borderId="153" applyNumberFormat="0" applyProtection="0">
      <alignment horizontal="left" vertical="center" indent="1"/>
    </xf>
    <xf numFmtId="0" fontId="4" fillId="31" borderId="153" applyNumberFormat="0" applyProtection="0">
      <alignment horizontal="left" vertical="center" indent="1"/>
    </xf>
    <xf numFmtId="0" fontId="4" fillId="34" borderId="153" applyNumberFormat="0" applyProtection="0">
      <alignment horizontal="left" vertical="center" indent="1"/>
    </xf>
    <xf numFmtId="0" fontId="4" fillId="34" borderId="153" applyNumberFormat="0" applyProtection="0">
      <alignment horizontal="left" vertical="center" indent="1"/>
    </xf>
    <xf numFmtId="0" fontId="4" fillId="11" borderId="153" applyNumberFormat="0" applyProtection="0">
      <alignment horizontal="left" vertical="center" indent="1"/>
    </xf>
    <xf numFmtId="0" fontId="4" fillId="11" borderId="153" applyNumberFormat="0" applyProtection="0">
      <alignment horizontal="left" vertical="center" indent="1"/>
    </xf>
    <xf numFmtId="4" fontId="51" fillId="20" borderId="153" applyNumberFormat="0" applyProtection="0">
      <alignment vertical="center"/>
    </xf>
    <xf numFmtId="4" fontId="52" fillId="20" borderId="153" applyNumberFormat="0" applyProtection="0">
      <alignment vertical="center"/>
    </xf>
    <xf numFmtId="4" fontId="51" fillId="20" borderId="153" applyNumberFormat="0" applyProtection="0">
      <alignment horizontal="left" vertical="center" indent="1"/>
    </xf>
    <xf numFmtId="4" fontId="51" fillId="20" borderId="153" applyNumberFormat="0" applyProtection="0">
      <alignment horizontal="left" vertical="center" indent="1"/>
    </xf>
    <xf numFmtId="4" fontId="51" fillId="53" borderId="153" applyNumberFormat="0" applyProtection="0">
      <alignment horizontal="right" vertical="center"/>
    </xf>
    <xf numFmtId="4" fontId="52" fillId="53" borderId="153" applyNumberFormat="0" applyProtection="0">
      <alignment horizontal="right" vertical="center"/>
    </xf>
    <xf numFmtId="0" fontId="4" fillId="11" borderId="153" applyNumberFormat="0" applyProtection="0">
      <alignment horizontal="left" vertical="center" indent="1"/>
    </xf>
    <xf numFmtId="0" fontId="4" fillId="11" borderId="153" applyNumberFormat="0" applyProtection="0">
      <alignment horizontal="left" vertical="center" indent="1"/>
    </xf>
    <xf numFmtId="4" fontId="56" fillId="53" borderId="153" applyNumberFormat="0" applyProtection="0">
      <alignment horizontal="right" vertical="center"/>
    </xf>
    <xf numFmtId="0" fontId="1" fillId="0" borderId="0"/>
    <xf numFmtId="4" fontId="51" fillId="13" borderId="167" applyNumberFormat="0" applyProtection="0">
      <alignment vertical="center"/>
    </xf>
    <xf numFmtId="4" fontId="52" fillId="13" borderId="167" applyNumberFormat="0" applyProtection="0">
      <alignment vertical="center"/>
    </xf>
    <xf numFmtId="4" fontId="51" fillId="13" borderId="167" applyNumberFormat="0" applyProtection="0">
      <alignment horizontal="left" vertical="center" indent="1"/>
    </xf>
    <xf numFmtId="4" fontId="51" fillId="13" borderId="167" applyNumberFormat="0" applyProtection="0">
      <alignment horizontal="left" vertical="center" indent="1"/>
    </xf>
    <xf numFmtId="0" fontId="4" fillId="11" borderId="167" applyNumberFormat="0" applyProtection="0">
      <alignment horizontal="left" vertical="center" indent="1"/>
    </xf>
    <xf numFmtId="4" fontId="51" fillId="36" borderId="167" applyNumberFormat="0" applyProtection="0">
      <alignment horizontal="right" vertical="center"/>
    </xf>
    <xf numFmtId="4" fontId="51" fillId="49" borderId="167" applyNumberFormat="0" applyProtection="0">
      <alignment horizontal="right" vertical="center"/>
    </xf>
    <xf numFmtId="4" fontId="51" fillId="50" borderId="167" applyNumberFormat="0" applyProtection="0">
      <alignment horizontal="right" vertical="center"/>
    </xf>
    <xf numFmtId="4" fontId="51" fillId="12" borderId="167" applyNumberFormat="0" applyProtection="0">
      <alignment horizontal="right" vertical="center"/>
    </xf>
    <xf numFmtId="4" fontId="51" fillId="51" borderId="167" applyNumberFormat="0" applyProtection="0">
      <alignment horizontal="right" vertical="center"/>
    </xf>
    <xf numFmtId="4" fontId="51" fillId="15" borderId="167" applyNumberFormat="0" applyProtection="0">
      <alignment horizontal="right" vertical="center"/>
    </xf>
    <xf numFmtId="4" fontId="51" fillId="17" borderId="167" applyNumberFormat="0" applyProtection="0">
      <alignment horizontal="right" vertical="center"/>
    </xf>
    <xf numFmtId="4" fontId="51" fillId="16" borderId="167" applyNumberFormat="0" applyProtection="0">
      <alignment horizontal="right" vertical="center"/>
    </xf>
    <xf numFmtId="4" fontId="51" fillId="19" borderId="167" applyNumberFormat="0" applyProtection="0">
      <alignment horizontal="right" vertical="center"/>
    </xf>
    <xf numFmtId="4" fontId="53" fillId="52" borderId="167" applyNumberFormat="0" applyProtection="0">
      <alignment horizontal="left" vertical="center" indent="1"/>
    </xf>
    <xf numFmtId="4" fontId="51" fillId="53" borderId="168" applyNumberFormat="0" applyProtection="0">
      <alignment horizontal="left" vertical="center" indent="1"/>
    </xf>
    <xf numFmtId="0" fontId="4" fillId="11" borderId="167" applyNumberFormat="0" applyProtection="0">
      <alignment horizontal="left" vertical="center" indent="1"/>
    </xf>
    <xf numFmtId="4" fontId="5" fillId="53" borderId="167" applyNumberFormat="0" applyProtection="0">
      <alignment horizontal="left" vertical="center" indent="1"/>
    </xf>
    <xf numFmtId="4" fontId="5" fillId="55" borderId="167" applyNumberFormat="0" applyProtection="0">
      <alignment horizontal="left" vertical="center" indent="1"/>
    </xf>
    <xf numFmtId="0" fontId="4" fillId="55" borderId="167" applyNumberFormat="0" applyProtection="0">
      <alignment horizontal="left" vertical="center" indent="1"/>
    </xf>
    <xf numFmtId="0" fontId="4" fillId="55" borderId="167" applyNumberFormat="0" applyProtection="0">
      <alignment horizontal="left" vertical="center" indent="1"/>
    </xf>
    <xf numFmtId="0" fontId="4" fillId="31" borderId="167" applyNumberFormat="0" applyProtection="0">
      <alignment horizontal="left" vertical="center" indent="1"/>
    </xf>
    <xf numFmtId="0" fontId="4" fillId="31" borderId="167" applyNumberFormat="0" applyProtection="0">
      <alignment horizontal="left" vertical="center" indent="1"/>
    </xf>
    <xf numFmtId="0" fontId="4" fillId="34" borderId="167" applyNumberFormat="0" applyProtection="0">
      <alignment horizontal="left" vertical="center" indent="1"/>
    </xf>
    <xf numFmtId="0" fontId="4" fillId="34" borderId="167" applyNumberFormat="0" applyProtection="0">
      <alignment horizontal="left" vertical="center" indent="1"/>
    </xf>
    <xf numFmtId="0" fontId="4" fillId="11" borderId="167" applyNumberFormat="0" applyProtection="0">
      <alignment horizontal="left" vertical="center" indent="1"/>
    </xf>
    <xf numFmtId="0" fontId="4" fillId="11" borderId="167" applyNumberFormat="0" applyProtection="0">
      <alignment horizontal="left" vertical="center" indent="1"/>
    </xf>
    <xf numFmtId="4" fontId="51" fillId="20" borderId="167" applyNumberFormat="0" applyProtection="0">
      <alignment vertical="center"/>
    </xf>
    <xf numFmtId="4" fontId="52" fillId="20" borderId="167" applyNumberFormat="0" applyProtection="0">
      <alignment vertical="center"/>
    </xf>
    <xf numFmtId="4" fontId="51" fillId="20" borderId="167" applyNumberFormat="0" applyProtection="0">
      <alignment horizontal="left" vertical="center" indent="1"/>
    </xf>
    <xf numFmtId="4" fontId="51" fillId="20" borderId="167" applyNumberFormat="0" applyProtection="0">
      <alignment horizontal="left" vertical="center" indent="1"/>
    </xf>
    <xf numFmtId="4" fontId="51" fillId="53" borderId="167" applyNumberFormat="0" applyProtection="0">
      <alignment horizontal="right" vertical="center"/>
    </xf>
    <xf numFmtId="4" fontId="52" fillId="53" borderId="167" applyNumberFormat="0" applyProtection="0">
      <alignment horizontal="right" vertical="center"/>
    </xf>
    <xf numFmtId="0" fontId="4" fillId="11" borderId="167" applyNumberFormat="0" applyProtection="0">
      <alignment horizontal="left" vertical="center" indent="1"/>
    </xf>
    <xf numFmtId="0" fontId="4" fillId="11" borderId="167" applyNumberFormat="0" applyProtection="0">
      <alignment horizontal="left" vertical="center" indent="1"/>
    </xf>
    <xf numFmtId="4" fontId="56" fillId="53" borderId="167" applyNumberFormat="0" applyProtection="0">
      <alignment horizontal="right" vertical="center"/>
    </xf>
    <xf numFmtId="4" fontId="51" fillId="13" borderId="169" applyNumberFormat="0" applyProtection="0">
      <alignment horizontal="left" vertical="center" indent="1"/>
    </xf>
    <xf numFmtId="4" fontId="51" fillId="12" borderId="169" applyNumberFormat="0" applyProtection="0">
      <alignment horizontal="right" vertical="center"/>
    </xf>
    <xf numFmtId="4" fontId="51" fillId="13" borderId="169" applyNumberFormat="0" applyProtection="0">
      <alignment horizontal="left" vertical="center" indent="1"/>
    </xf>
    <xf numFmtId="4" fontId="52" fillId="13" borderId="169" applyNumberFormat="0" applyProtection="0">
      <alignment vertical="center"/>
    </xf>
    <xf numFmtId="4" fontId="51" fillId="13" borderId="169" applyNumberFormat="0" applyProtection="0">
      <alignment vertical="center"/>
    </xf>
    <xf numFmtId="4" fontId="51" fillId="17" borderId="169" applyNumberFormat="0" applyProtection="0">
      <alignment horizontal="right" vertical="center"/>
    </xf>
    <xf numFmtId="4" fontId="53" fillId="52" borderId="169" applyNumberFormat="0" applyProtection="0">
      <alignment horizontal="left" vertical="center" indent="1"/>
    </xf>
    <xf numFmtId="0" fontId="1" fillId="0" borderId="0"/>
    <xf numFmtId="4" fontId="51" fillId="13" borderId="169" applyNumberFormat="0" applyProtection="0">
      <alignment vertical="center"/>
    </xf>
    <xf numFmtId="4" fontId="52" fillId="13" borderId="169" applyNumberFormat="0" applyProtection="0">
      <alignment vertical="center"/>
    </xf>
    <xf numFmtId="4" fontId="51" fillId="13" borderId="169" applyNumberFormat="0" applyProtection="0">
      <alignment horizontal="left" vertical="center" indent="1"/>
    </xf>
    <xf numFmtId="4" fontId="51" fillId="13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1" fillId="36" borderId="169" applyNumberFormat="0" applyProtection="0">
      <alignment horizontal="right" vertical="center"/>
    </xf>
    <xf numFmtId="4" fontId="51" fillId="49" borderId="169" applyNumberFormat="0" applyProtection="0">
      <alignment horizontal="right" vertical="center"/>
    </xf>
    <xf numFmtId="4" fontId="51" fillId="50" borderId="169" applyNumberFormat="0" applyProtection="0">
      <alignment horizontal="right" vertical="center"/>
    </xf>
    <xf numFmtId="4" fontId="51" fillId="12" borderId="169" applyNumberFormat="0" applyProtection="0">
      <alignment horizontal="right" vertical="center"/>
    </xf>
    <xf numFmtId="4" fontId="51" fillId="51" borderId="169" applyNumberFormat="0" applyProtection="0">
      <alignment horizontal="right" vertical="center"/>
    </xf>
    <xf numFmtId="4" fontId="51" fillId="15" borderId="169" applyNumberFormat="0" applyProtection="0">
      <alignment horizontal="right" vertical="center"/>
    </xf>
    <xf numFmtId="4" fontId="51" fillId="17" borderId="169" applyNumberFormat="0" applyProtection="0">
      <alignment horizontal="right" vertical="center"/>
    </xf>
    <xf numFmtId="4" fontId="51" fillId="16" borderId="169" applyNumberFormat="0" applyProtection="0">
      <alignment horizontal="right" vertical="center"/>
    </xf>
    <xf numFmtId="4" fontId="51" fillId="19" borderId="169" applyNumberFormat="0" applyProtection="0">
      <alignment horizontal="right" vertical="center"/>
    </xf>
    <xf numFmtId="4" fontId="53" fillId="52" borderId="169" applyNumberFormat="0" applyProtection="0">
      <alignment horizontal="left" vertical="center" indent="1"/>
    </xf>
    <xf numFmtId="0" fontId="4" fillId="31" borderId="169" applyNumberFormat="0" applyProtection="0">
      <alignment horizontal="left" vertical="center" indent="1"/>
    </xf>
    <xf numFmtId="0" fontId="4" fillId="34" borderId="169" applyNumberFormat="0" applyProtection="0">
      <alignment horizontal="left" vertical="center" indent="1"/>
    </xf>
    <xf numFmtId="0" fontId="4" fillId="34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1" fillId="20" borderId="169" applyNumberFormat="0" applyProtection="0">
      <alignment vertical="center"/>
    </xf>
    <xf numFmtId="4" fontId="52" fillId="20" borderId="169" applyNumberFormat="0" applyProtection="0">
      <alignment vertical="center"/>
    </xf>
    <xf numFmtId="4" fontId="51" fillId="20" borderId="169" applyNumberFormat="0" applyProtection="0">
      <alignment horizontal="left" vertical="center" indent="1"/>
    </xf>
    <xf numFmtId="4" fontId="51" fillId="20" borderId="169" applyNumberFormat="0" applyProtection="0">
      <alignment horizontal="left" vertical="center" indent="1"/>
    </xf>
    <xf numFmtId="4" fontId="51" fillId="53" borderId="169" applyNumberFormat="0" applyProtection="0">
      <alignment horizontal="right" vertical="center"/>
    </xf>
    <xf numFmtId="4" fontId="52" fillId="53" borderId="169" applyNumberFormat="0" applyProtection="0">
      <alignment horizontal="right" vertical="center"/>
    </xf>
    <xf numFmtId="4" fontId="51" fillId="13" borderId="169" applyNumberFormat="0" applyProtection="0">
      <alignment vertical="center"/>
    </xf>
    <xf numFmtId="4" fontId="56" fillId="53" borderId="169" applyNumberFormat="0" applyProtection="0">
      <alignment horizontal="right" vertical="center"/>
    </xf>
    <xf numFmtId="0" fontId="4" fillId="11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" fillId="53" borderId="169" applyNumberFormat="0" applyProtection="0">
      <alignment horizontal="left" vertical="center" indent="1"/>
    </xf>
    <xf numFmtId="0" fontId="4" fillId="55" borderId="169" applyNumberFormat="0" applyProtection="0">
      <alignment horizontal="left" vertical="center" indent="1"/>
    </xf>
    <xf numFmtId="4" fontId="51" fillId="13" borderId="169" applyNumberFormat="0" applyProtection="0">
      <alignment vertical="center"/>
    </xf>
    <xf numFmtId="4" fontId="52" fillId="13" borderId="169" applyNumberFormat="0" applyProtection="0">
      <alignment vertical="center"/>
    </xf>
    <xf numFmtId="4" fontId="51" fillId="13" borderId="169" applyNumberFormat="0" applyProtection="0">
      <alignment horizontal="left" vertical="center" indent="1"/>
    </xf>
    <xf numFmtId="4" fontId="51" fillId="13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1" fillId="36" borderId="169" applyNumberFormat="0" applyProtection="0">
      <alignment horizontal="right" vertical="center"/>
    </xf>
    <xf numFmtId="4" fontId="51" fillId="49" borderId="169" applyNumberFormat="0" applyProtection="0">
      <alignment horizontal="right" vertical="center"/>
    </xf>
    <xf numFmtId="4" fontId="51" fillId="50" borderId="169" applyNumberFormat="0" applyProtection="0">
      <alignment horizontal="right" vertical="center"/>
    </xf>
    <xf numFmtId="4" fontId="51" fillId="12" borderId="169" applyNumberFormat="0" applyProtection="0">
      <alignment horizontal="right" vertical="center"/>
    </xf>
    <xf numFmtId="4" fontId="51" fillId="51" borderId="169" applyNumberFormat="0" applyProtection="0">
      <alignment horizontal="right" vertical="center"/>
    </xf>
    <xf numFmtId="4" fontId="51" fillId="15" borderId="169" applyNumberFormat="0" applyProtection="0">
      <alignment horizontal="right" vertical="center"/>
    </xf>
    <xf numFmtId="4" fontId="51" fillId="17" borderId="169" applyNumberFormat="0" applyProtection="0">
      <alignment horizontal="right" vertical="center"/>
    </xf>
    <xf numFmtId="4" fontId="51" fillId="16" borderId="169" applyNumberFormat="0" applyProtection="0">
      <alignment horizontal="right" vertical="center"/>
    </xf>
    <xf numFmtId="4" fontId="51" fillId="19" borderId="169" applyNumberFormat="0" applyProtection="0">
      <alignment horizontal="right" vertical="center"/>
    </xf>
    <xf numFmtId="4" fontId="53" fillId="52" borderId="169" applyNumberFormat="0" applyProtection="0">
      <alignment horizontal="left" vertical="center" indent="1"/>
    </xf>
    <xf numFmtId="4" fontId="51" fillId="53" borderId="170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" fillId="53" borderId="169" applyNumberFormat="0" applyProtection="0">
      <alignment horizontal="left" vertical="center" indent="1"/>
    </xf>
    <xf numFmtId="4" fontId="5" fillId="55" borderId="169" applyNumberFormat="0" applyProtection="0">
      <alignment horizontal="left" vertical="center" indent="1"/>
    </xf>
    <xf numFmtId="0" fontId="4" fillId="55" borderId="169" applyNumberFormat="0" applyProtection="0">
      <alignment horizontal="left" vertical="center" indent="1"/>
    </xf>
    <xf numFmtId="0" fontId="4" fillId="55" borderId="169" applyNumberFormat="0" applyProtection="0">
      <alignment horizontal="left" vertical="center" indent="1"/>
    </xf>
    <xf numFmtId="0" fontId="4" fillId="31" borderId="169" applyNumberFormat="0" applyProtection="0">
      <alignment horizontal="left" vertical="center" indent="1"/>
    </xf>
    <xf numFmtId="0" fontId="4" fillId="31" borderId="169" applyNumberFormat="0" applyProtection="0">
      <alignment horizontal="left" vertical="center" indent="1"/>
    </xf>
    <xf numFmtId="0" fontId="4" fillId="34" borderId="169" applyNumberFormat="0" applyProtection="0">
      <alignment horizontal="left" vertical="center" indent="1"/>
    </xf>
    <xf numFmtId="0" fontId="4" fillId="34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1" fillId="20" borderId="169" applyNumberFormat="0" applyProtection="0">
      <alignment vertical="center"/>
    </xf>
    <xf numFmtId="4" fontId="52" fillId="20" borderId="169" applyNumberFormat="0" applyProtection="0">
      <alignment vertical="center"/>
    </xf>
    <xf numFmtId="4" fontId="51" fillId="20" borderId="169" applyNumberFormat="0" applyProtection="0">
      <alignment horizontal="left" vertical="center" indent="1"/>
    </xf>
    <xf numFmtId="4" fontId="51" fillId="20" borderId="169" applyNumberFormat="0" applyProtection="0">
      <alignment horizontal="left" vertical="center" indent="1"/>
    </xf>
    <xf numFmtId="4" fontId="51" fillId="53" borderId="169" applyNumberFormat="0" applyProtection="0">
      <alignment horizontal="right" vertical="center"/>
    </xf>
    <xf numFmtId="4" fontId="52" fillId="53" borderId="169" applyNumberFormat="0" applyProtection="0">
      <alignment horizontal="right" vertical="center"/>
    </xf>
    <xf numFmtId="0" fontId="4" fillId="11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6" fillId="53" borderId="169" applyNumberFormat="0" applyProtection="0">
      <alignment horizontal="right" vertical="center"/>
    </xf>
    <xf numFmtId="0" fontId="4" fillId="11" borderId="169" applyNumberFormat="0" applyProtection="0">
      <alignment horizontal="left" vertical="center" indent="1"/>
    </xf>
    <xf numFmtId="4" fontId="51" fillId="13" borderId="169" applyNumberFormat="0" applyProtection="0">
      <alignment vertical="center"/>
    </xf>
    <xf numFmtId="4" fontId="52" fillId="13" borderId="169" applyNumberFormat="0" applyProtection="0">
      <alignment vertical="center"/>
    </xf>
    <xf numFmtId="4" fontId="51" fillId="13" borderId="169" applyNumberFormat="0" applyProtection="0">
      <alignment horizontal="left" vertical="center" indent="1"/>
    </xf>
    <xf numFmtId="4" fontId="51" fillId="13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1" fillId="36" borderId="169" applyNumberFormat="0" applyProtection="0">
      <alignment horizontal="right" vertical="center"/>
    </xf>
    <xf numFmtId="4" fontId="51" fillId="49" borderId="169" applyNumberFormat="0" applyProtection="0">
      <alignment horizontal="right" vertical="center"/>
    </xf>
    <xf numFmtId="4" fontId="51" fillId="50" borderId="169" applyNumberFormat="0" applyProtection="0">
      <alignment horizontal="right" vertical="center"/>
    </xf>
    <xf numFmtId="4" fontId="51" fillId="12" borderId="169" applyNumberFormat="0" applyProtection="0">
      <alignment horizontal="right" vertical="center"/>
    </xf>
    <xf numFmtId="4" fontId="51" fillId="51" borderId="169" applyNumberFormat="0" applyProtection="0">
      <alignment horizontal="right" vertical="center"/>
    </xf>
    <xf numFmtId="4" fontId="51" fillId="15" borderId="169" applyNumberFormat="0" applyProtection="0">
      <alignment horizontal="right" vertical="center"/>
    </xf>
    <xf numFmtId="4" fontId="51" fillId="17" borderId="169" applyNumberFormat="0" applyProtection="0">
      <alignment horizontal="right" vertical="center"/>
    </xf>
    <xf numFmtId="4" fontId="51" fillId="16" borderId="169" applyNumberFormat="0" applyProtection="0">
      <alignment horizontal="right" vertical="center"/>
    </xf>
    <xf numFmtId="4" fontId="51" fillId="19" borderId="169" applyNumberFormat="0" applyProtection="0">
      <alignment horizontal="right" vertical="center"/>
    </xf>
    <xf numFmtId="4" fontId="53" fillId="52" borderId="169" applyNumberFormat="0" applyProtection="0">
      <alignment horizontal="left" vertical="center" indent="1"/>
    </xf>
    <xf numFmtId="4" fontId="51" fillId="53" borderId="170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" fillId="53" borderId="169" applyNumberFormat="0" applyProtection="0">
      <alignment horizontal="left" vertical="center" indent="1"/>
    </xf>
    <xf numFmtId="4" fontId="5" fillId="55" borderId="169" applyNumberFormat="0" applyProtection="0">
      <alignment horizontal="left" vertical="center" indent="1"/>
    </xf>
    <xf numFmtId="0" fontId="4" fillId="55" borderId="169" applyNumberFormat="0" applyProtection="0">
      <alignment horizontal="left" vertical="center" indent="1"/>
    </xf>
    <xf numFmtId="0" fontId="4" fillId="55" borderId="169" applyNumberFormat="0" applyProtection="0">
      <alignment horizontal="left" vertical="center" indent="1"/>
    </xf>
    <xf numFmtId="0" fontId="4" fillId="31" borderId="169" applyNumberFormat="0" applyProtection="0">
      <alignment horizontal="left" vertical="center" indent="1"/>
    </xf>
    <xf numFmtId="0" fontId="4" fillId="31" borderId="169" applyNumberFormat="0" applyProtection="0">
      <alignment horizontal="left" vertical="center" indent="1"/>
    </xf>
    <xf numFmtId="0" fontId="4" fillId="34" borderId="169" applyNumberFormat="0" applyProtection="0">
      <alignment horizontal="left" vertical="center" indent="1"/>
    </xf>
    <xf numFmtId="0" fontId="4" fillId="34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1" fillId="20" borderId="169" applyNumberFormat="0" applyProtection="0">
      <alignment vertical="center"/>
    </xf>
    <xf numFmtId="4" fontId="52" fillId="20" borderId="169" applyNumberFormat="0" applyProtection="0">
      <alignment vertical="center"/>
    </xf>
    <xf numFmtId="4" fontId="51" fillId="20" borderId="169" applyNumberFormat="0" applyProtection="0">
      <alignment horizontal="left" vertical="center" indent="1"/>
    </xf>
    <xf numFmtId="4" fontId="51" fillId="20" borderId="169" applyNumberFormat="0" applyProtection="0">
      <alignment horizontal="left" vertical="center" indent="1"/>
    </xf>
    <xf numFmtId="4" fontId="51" fillId="53" borderId="169" applyNumberFormat="0" applyProtection="0">
      <alignment horizontal="right" vertical="center"/>
    </xf>
    <xf numFmtId="4" fontId="52" fillId="53" borderId="169" applyNumberFormat="0" applyProtection="0">
      <alignment horizontal="right" vertical="center"/>
    </xf>
    <xf numFmtId="0" fontId="4" fillId="11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6" fillId="53" borderId="169" applyNumberFormat="0" applyProtection="0">
      <alignment horizontal="right" vertical="center"/>
    </xf>
    <xf numFmtId="0" fontId="4" fillId="11" borderId="169" applyNumberFormat="0" applyProtection="0">
      <alignment horizontal="left" vertical="center" indent="1"/>
    </xf>
    <xf numFmtId="4" fontId="51" fillId="36" borderId="169" applyNumberFormat="0" applyProtection="0">
      <alignment horizontal="right" vertical="center"/>
    </xf>
    <xf numFmtId="4" fontId="51" fillId="49" borderId="169" applyNumberFormat="0" applyProtection="0">
      <alignment horizontal="right" vertical="center"/>
    </xf>
    <xf numFmtId="4" fontId="51" fillId="50" borderId="169" applyNumberFormat="0" applyProtection="0">
      <alignment horizontal="right" vertical="center"/>
    </xf>
    <xf numFmtId="4" fontId="51" fillId="12" borderId="169" applyNumberFormat="0" applyProtection="0">
      <alignment horizontal="right" vertical="center"/>
    </xf>
    <xf numFmtId="4" fontId="51" fillId="51" borderId="169" applyNumberFormat="0" applyProtection="0">
      <alignment horizontal="right" vertical="center"/>
    </xf>
    <xf numFmtId="4" fontId="51" fillId="15" borderId="169" applyNumberFormat="0" applyProtection="0">
      <alignment horizontal="right" vertical="center"/>
    </xf>
    <xf numFmtId="4" fontId="51" fillId="17" borderId="169" applyNumberFormat="0" applyProtection="0">
      <alignment horizontal="right" vertical="center"/>
    </xf>
    <xf numFmtId="4" fontId="51" fillId="16" borderId="169" applyNumberFormat="0" applyProtection="0">
      <alignment horizontal="right" vertical="center"/>
    </xf>
    <xf numFmtId="4" fontId="51" fillId="19" borderId="169" applyNumberFormat="0" applyProtection="0">
      <alignment horizontal="right" vertical="center"/>
    </xf>
    <xf numFmtId="4" fontId="53" fillId="52" borderId="169" applyNumberFormat="0" applyProtection="0">
      <alignment horizontal="left" vertical="center" indent="1"/>
    </xf>
    <xf numFmtId="4" fontId="51" fillId="53" borderId="170" applyNumberFormat="0" applyProtection="0">
      <alignment horizontal="left" vertical="center" indent="1"/>
    </xf>
    <xf numFmtId="4" fontId="51" fillId="53" borderId="170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" fillId="53" borderId="169" applyNumberFormat="0" applyProtection="0">
      <alignment horizontal="left" vertical="center" indent="1"/>
    </xf>
    <xf numFmtId="4" fontId="5" fillId="55" borderId="169" applyNumberFormat="0" applyProtection="0">
      <alignment horizontal="left" vertical="center" indent="1"/>
    </xf>
    <xf numFmtId="0" fontId="4" fillId="55" borderId="169" applyNumberFormat="0" applyProtection="0">
      <alignment horizontal="left" vertical="center" indent="1"/>
    </xf>
    <xf numFmtId="0" fontId="4" fillId="55" borderId="169" applyNumberFormat="0" applyProtection="0">
      <alignment horizontal="left" vertical="center" indent="1"/>
    </xf>
    <xf numFmtId="0" fontId="4" fillId="31" borderId="169" applyNumberFormat="0" applyProtection="0">
      <alignment horizontal="left" vertical="center" indent="1"/>
    </xf>
    <xf numFmtId="0" fontId="4" fillId="31" borderId="169" applyNumberFormat="0" applyProtection="0">
      <alignment horizontal="left" vertical="center" indent="1"/>
    </xf>
    <xf numFmtId="0" fontId="4" fillId="34" borderId="169" applyNumberFormat="0" applyProtection="0">
      <alignment horizontal="left" vertical="center" indent="1"/>
    </xf>
    <xf numFmtId="0" fontId="4" fillId="34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1" fillId="20" borderId="169" applyNumberFormat="0" applyProtection="0">
      <alignment vertical="center"/>
    </xf>
    <xf numFmtId="4" fontId="52" fillId="20" borderId="169" applyNumberFormat="0" applyProtection="0">
      <alignment vertical="center"/>
    </xf>
    <xf numFmtId="4" fontId="51" fillId="20" borderId="169" applyNumberFormat="0" applyProtection="0">
      <alignment horizontal="left" vertical="center" indent="1"/>
    </xf>
    <xf numFmtId="4" fontId="51" fillId="20" borderId="169" applyNumberFormat="0" applyProtection="0">
      <alignment horizontal="left" vertical="center" indent="1"/>
    </xf>
    <xf numFmtId="4" fontId="51" fillId="53" borderId="169" applyNumberFormat="0" applyProtection="0">
      <alignment horizontal="right" vertical="center"/>
    </xf>
    <xf numFmtId="4" fontId="52" fillId="53" borderId="169" applyNumberFormat="0" applyProtection="0">
      <alignment horizontal="right" vertical="center"/>
    </xf>
    <xf numFmtId="0" fontId="4" fillId="11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" fillId="55" borderId="169" applyNumberFormat="0" applyProtection="0">
      <alignment horizontal="left" vertical="center" indent="1"/>
    </xf>
    <xf numFmtId="4" fontId="56" fillId="53" borderId="169" applyNumberFormat="0" applyProtection="0">
      <alignment horizontal="right" vertical="center"/>
    </xf>
    <xf numFmtId="0" fontId="4" fillId="31" borderId="169" applyNumberFormat="0" applyProtection="0">
      <alignment horizontal="left" vertical="center" indent="1"/>
    </xf>
    <xf numFmtId="4" fontId="5" fillId="55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1" fillId="13" borderId="169" applyNumberFormat="0" applyProtection="0">
      <alignment vertical="center"/>
    </xf>
    <xf numFmtId="4" fontId="52" fillId="13" borderId="169" applyNumberFormat="0" applyProtection="0">
      <alignment vertical="center"/>
    </xf>
    <xf numFmtId="4" fontId="51" fillId="13" borderId="169" applyNumberFormat="0" applyProtection="0">
      <alignment horizontal="left" vertical="center" indent="1"/>
    </xf>
    <xf numFmtId="4" fontId="51" fillId="13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1" fillId="36" borderId="169" applyNumberFormat="0" applyProtection="0">
      <alignment horizontal="right" vertical="center"/>
    </xf>
    <xf numFmtId="4" fontId="51" fillId="49" borderId="169" applyNumberFormat="0" applyProtection="0">
      <alignment horizontal="right" vertical="center"/>
    </xf>
    <xf numFmtId="4" fontId="51" fillId="50" borderId="169" applyNumberFormat="0" applyProtection="0">
      <alignment horizontal="right" vertical="center"/>
    </xf>
    <xf numFmtId="4" fontId="51" fillId="12" borderId="169" applyNumberFormat="0" applyProtection="0">
      <alignment horizontal="right" vertical="center"/>
    </xf>
    <xf numFmtId="4" fontId="51" fillId="51" borderId="169" applyNumberFormat="0" applyProtection="0">
      <alignment horizontal="right" vertical="center"/>
    </xf>
    <xf numFmtId="4" fontId="51" fillId="15" borderId="169" applyNumberFormat="0" applyProtection="0">
      <alignment horizontal="right" vertical="center"/>
    </xf>
    <xf numFmtId="4" fontId="51" fillId="17" borderId="169" applyNumberFormat="0" applyProtection="0">
      <alignment horizontal="right" vertical="center"/>
    </xf>
    <xf numFmtId="4" fontId="51" fillId="16" borderId="169" applyNumberFormat="0" applyProtection="0">
      <alignment horizontal="right" vertical="center"/>
    </xf>
    <xf numFmtId="4" fontId="51" fillId="19" borderId="169" applyNumberFormat="0" applyProtection="0">
      <alignment horizontal="right" vertical="center"/>
    </xf>
    <xf numFmtId="4" fontId="53" fillId="52" borderId="169" applyNumberFormat="0" applyProtection="0">
      <alignment horizontal="left" vertical="center" indent="1"/>
    </xf>
    <xf numFmtId="4" fontId="51" fillId="53" borderId="170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" fillId="53" borderId="169" applyNumberFormat="0" applyProtection="0">
      <alignment horizontal="left" vertical="center" indent="1"/>
    </xf>
    <xf numFmtId="4" fontId="5" fillId="55" borderId="169" applyNumberFormat="0" applyProtection="0">
      <alignment horizontal="left" vertical="center" indent="1"/>
    </xf>
    <xf numFmtId="0" fontId="4" fillId="55" borderId="169" applyNumberFormat="0" applyProtection="0">
      <alignment horizontal="left" vertical="center" indent="1"/>
    </xf>
    <xf numFmtId="0" fontId="4" fillId="55" borderId="169" applyNumberFormat="0" applyProtection="0">
      <alignment horizontal="left" vertical="center" indent="1"/>
    </xf>
    <xf numFmtId="0" fontId="4" fillId="31" borderId="169" applyNumberFormat="0" applyProtection="0">
      <alignment horizontal="left" vertical="center" indent="1"/>
    </xf>
    <xf numFmtId="0" fontId="4" fillId="31" borderId="169" applyNumberFormat="0" applyProtection="0">
      <alignment horizontal="left" vertical="center" indent="1"/>
    </xf>
    <xf numFmtId="0" fontId="4" fillId="34" borderId="169" applyNumberFormat="0" applyProtection="0">
      <alignment horizontal="left" vertical="center" indent="1"/>
    </xf>
    <xf numFmtId="0" fontId="4" fillId="34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1" fillId="20" borderId="169" applyNumberFormat="0" applyProtection="0">
      <alignment vertical="center"/>
    </xf>
    <xf numFmtId="4" fontId="52" fillId="20" borderId="169" applyNumberFormat="0" applyProtection="0">
      <alignment vertical="center"/>
    </xf>
    <xf numFmtId="4" fontId="51" fillId="20" borderId="169" applyNumberFormat="0" applyProtection="0">
      <alignment horizontal="left" vertical="center" indent="1"/>
    </xf>
    <xf numFmtId="4" fontId="51" fillId="20" borderId="169" applyNumberFormat="0" applyProtection="0">
      <alignment horizontal="left" vertical="center" indent="1"/>
    </xf>
    <xf numFmtId="4" fontId="51" fillId="53" borderId="169" applyNumberFormat="0" applyProtection="0">
      <alignment horizontal="right" vertical="center"/>
    </xf>
    <xf numFmtId="4" fontId="52" fillId="53" borderId="169" applyNumberFormat="0" applyProtection="0">
      <alignment horizontal="right" vertical="center"/>
    </xf>
    <xf numFmtId="0" fontId="4" fillId="11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6" fillId="53" borderId="169" applyNumberFormat="0" applyProtection="0">
      <alignment horizontal="right" vertical="center"/>
    </xf>
    <xf numFmtId="0" fontId="4" fillId="55" borderId="169" applyNumberFormat="0" applyProtection="0">
      <alignment horizontal="left" vertical="center" indent="1"/>
    </xf>
    <xf numFmtId="4" fontId="51" fillId="13" borderId="169" applyNumberFormat="0" applyProtection="0">
      <alignment vertical="center"/>
    </xf>
    <xf numFmtId="4" fontId="52" fillId="13" borderId="169" applyNumberFormat="0" applyProtection="0">
      <alignment vertical="center"/>
    </xf>
    <xf numFmtId="4" fontId="51" fillId="13" borderId="169" applyNumberFormat="0" applyProtection="0">
      <alignment horizontal="left" vertical="center" indent="1"/>
    </xf>
    <xf numFmtId="4" fontId="51" fillId="13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1" fillId="36" borderId="169" applyNumberFormat="0" applyProtection="0">
      <alignment horizontal="right" vertical="center"/>
    </xf>
    <xf numFmtId="4" fontId="51" fillId="49" borderId="169" applyNumberFormat="0" applyProtection="0">
      <alignment horizontal="right" vertical="center"/>
    </xf>
    <xf numFmtId="4" fontId="51" fillId="53" borderId="170" applyNumberFormat="0" applyProtection="0">
      <alignment horizontal="left" vertical="center" indent="1"/>
    </xf>
    <xf numFmtId="4" fontId="51" fillId="53" borderId="170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" fillId="53" borderId="169" applyNumberFormat="0" applyProtection="0">
      <alignment horizontal="left" vertical="center" indent="1"/>
    </xf>
    <xf numFmtId="0" fontId="4" fillId="55" borderId="169" applyNumberFormat="0" applyProtection="0">
      <alignment horizontal="left" vertical="center" indent="1"/>
    </xf>
    <xf numFmtId="0" fontId="4" fillId="55" borderId="169" applyNumberFormat="0" applyProtection="0">
      <alignment horizontal="left" vertical="center" indent="1"/>
    </xf>
    <xf numFmtId="0" fontId="4" fillId="31" borderId="169" applyNumberFormat="0" applyProtection="0">
      <alignment horizontal="left" vertical="center" indent="1"/>
    </xf>
    <xf numFmtId="0" fontId="4" fillId="31" borderId="169" applyNumberFormat="0" applyProtection="0">
      <alignment horizontal="left" vertical="center" indent="1"/>
    </xf>
    <xf numFmtId="0" fontId="4" fillId="34" borderId="169" applyNumberFormat="0" applyProtection="0">
      <alignment horizontal="left" vertical="center" indent="1"/>
    </xf>
    <xf numFmtId="0" fontId="4" fillId="34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2" fillId="20" borderId="169" applyNumberFormat="0" applyProtection="0">
      <alignment vertical="center"/>
    </xf>
    <xf numFmtId="4" fontId="51" fillId="20" borderId="169" applyNumberFormat="0" applyProtection="0">
      <alignment horizontal="left" vertical="center" indent="1"/>
    </xf>
    <xf numFmtId="4" fontId="51" fillId="20" borderId="169" applyNumberFormat="0" applyProtection="0">
      <alignment horizontal="left" vertical="center" indent="1"/>
    </xf>
    <xf numFmtId="4" fontId="51" fillId="53" borderId="169" applyNumberFormat="0" applyProtection="0">
      <alignment horizontal="right" vertical="center"/>
    </xf>
    <xf numFmtId="4" fontId="52" fillId="53" borderId="169" applyNumberFormat="0" applyProtection="0">
      <alignment horizontal="right" vertical="center"/>
    </xf>
    <xf numFmtId="0" fontId="4" fillId="11" borderId="169" applyNumberFormat="0" applyProtection="0">
      <alignment horizontal="left" vertical="center" indent="1"/>
    </xf>
    <xf numFmtId="4" fontId="51" fillId="51" borderId="169" applyNumberFormat="0" applyProtection="0">
      <alignment horizontal="right" vertical="center"/>
    </xf>
    <xf numFmtId="0" fontId="4" fillId="11" borderId="169" applyNumberFormat="0" applyProtection="0">
      <alignment horizontal="left" vertical="center" indent="1"/>
    </xf>
    <xf numFmtId="4" fontId="51" fillId="15" borderId="169" applyNumberFormat="0" applyProtection="0">
      <alignment horizontal="right" vertical="center"/>
    </xf>
    <xf numFmtId="4" fontId="51" fillId="16" borderId="169" applyNumberFormat="0" applyProtection="0">
      <alignment horizontal="right" vertical="center"/>
    </xf>
    <xf numFmtId="4" fontId="51" fillId="50" borderId="169" applyNumberFormat="0" applyProtection="0">
      <alignment horizontal="right" vertical="center"/>
    </xf>
    <xf numFmtId="0" fontId="4" fillId="11" borderId="169" applyNumberFormat="0" applyProtection="0">
      <alignment horizontal="left" vertical="center" indent="1"/>
    </xf>
    <xf numFmtId="4" fontId="51" fillId="20" borderId="169" applyNumberFormat="0" applyProtection="0">
      <alignment vertical="center"/>
    </xf>
    <xf numFmtId="4" fontId="51" fillId="13" borderId="169" applyNumberFormat="0" applyProtection="0">
      <alignment vertical="center"/>
    </xf>
    <xf numFmtId="4" fontId="52" fillId="13" borderId="169" applyNumberFormat="0" applyProtection="0">
      <alignment vertical="center"/>
    </xf>
    <xf numFmtId="4" fontId="51" fillId="13" borderId="169" applyNumberFormat="0" applyProtection="0">
      <alignment horizontal="left" vertical="center" indent="1"/>
    </xf>
    <xf numFmtId="4" fontId="51" fillId="13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1" fillId="36" borderId="169" applyNumberFormat="0" applyProtection="0">
      <alignment horizontal="right" vertical="center"/>
    </xf>
    <xf numFmtId="4" fontId="51" fillId="49" borderId="169" applyNumberFormat="0" applyProtection="0">
      <alignment horizontal="right" vertical="center"/>
    </xf>
    <xf numFmtId="4" fontId="51" fillId="50" borderId="169" applyNumberFormat="0" applyProtection="0">
      <alignment horizontal="right" vertical="center"/>
    </xf>
    <xf numFmtId="4" fontId="51" fillId="12" borderId="169" applyNumberFormat="0" applyProtection="0">
      <alignment horizontal="right" vertical="center"/>
    </xf>
    <xf numFmtId="4" fontId="51" fillId="51" borderId="169" applyNumberFormat="0" applyProtection="0">
      <alignment horizontal="right" vertical="center"/>
    </xf>
    <xf numFmtId="4" fontId="51" fillId="15" borderId="169" applyNumberFormat="0" applyProtection="0">
      <alignment horizontal="right" vertical="center"/>
    </xf>
    <xf numFmtId="4" fontId="51" fillId="17" borderId="169" applyNumberFormat="0" applyProtection="0">
      <alignment horizontal="right" vertical="center"/>
    </xf>
    <xf numFmtId="4" fontId="51" fillId="16" borderId="169" applyNumberFormat="0" applyProtection="0">
      <alignment horizontal="right" vertical="center"/>
    </xf>
    <xf numFmtId="4" fontId="51" fillId="19" borderId="169" applyNumberFormat="0" applyProtection="0">
      <alignment horizontal="right" vertical="center"/>
    </xf>
    <xf numFmtId="4" fontId="53" fillId="52" borderId="169" applyNumberFormat="0" applyProtection="0">
      <alignment horizontal="left" vertical="center" indent="1"/>
    </xf>
    <xf numFmtId="4" fontId="51" fillId="53" borderId="170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" fillId="53" borderId="169" applyNumberFormat="0" applyProtection="0">
      <alignment horizontal="left" vertical="center" indent="1"/>
    </xf>
    <xf numFmtId="4" fontId="5" fillId="55" borderId="169" applyNumberFormat="0" applyProtection="0">
      <alignment horizontal="left" vertical="center" indent="1"/>
    </xf>
    <xf numFmtId="0" fontId="4" fillId="55" borderId="169" applyNumberFormat="0" applyProtection="0">
      <alignment horizontal="left" vertical="center" indent="1"/>
    </xf>
    <xf numFmtId="0" fontId="4" fillId="55" borderId="169" applyNumberFormat="0" applyProtection="0">
      <alignment horizontal="left" vertical="center" indent="1"/>
    </xf>
    <xf numFmtId="0" fontId="4" fillId="31" borderId="169" applyNumberFormat="0" applyProtection="0">
      <alignment horizontal="left" vertical="center" indent="1"/>
    </xf>
    <xf numFmtId="0" fontId="4" fillId="31" borderId="169" applyNumberFormat="0" applyProtection="0">
      <alignment horizontal="left" vertical="center" indent="1"/>
    </xf>
    <xf numFmtId="0" fontId="4" fillId="34" borderId="169" applyNumberFormat="0" applyProtection="0">
      <alignment horizontal="left" vertical="center" indent="1"/>
    </xf>
    <xf numFmtId="0" fontId="4" fillId="34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1" fillId="20" borderId="169" applyNumberFormat="0" applyProtection="0">
      <alignment vertical="center"/>
    </xf>
    <xf numFmtId="4" fontId="52" fillId="20" borderId="169" applyNumberFormat="0" applyProtection="0">
      <alignment vertical="center"/>
    </xf>
    <xf numFmtId="4" fontId="51" fillId="20" borderId="169" applyNumberFormat="0" applyProtection="0">
      <alignment horizontal="left" vertical="center" indent="1"/>
    </xf>
    <xf numFmtId="4" fontId="51" fillId="20" borderId="169" applyNumberFormat="0" applyProtection="0">
      <alignment horizontal="left" vertical="center" indent="1"/>
    </xf>
    <xf numFmtId="4" fontId="51" fillId="53" borderId="169" applyNumberFormat="0" applyProtection="0">
      <alignment horizontal="right" vertical="center"/>
    </xf>
    <xf numFmtId="4" fontId="52" fillId="53" borderId="169" applyNumberFormat="0" applyProtection="0">
      <alignment horizontal="right" vertical="center"/>
    </xf>
    <xf numFmtId="0" fontId="4" fillId="11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6" fillId="53" borderId="169" applyNumberFormat="0" applyProtection="0">
      <alignment horizontal="right" vertical="center"/>
    </xf>
    <xf numFmtId="4" fontId="51" fillId="53" borderId="170" applyNumberFormat="0" applyProtection="0">
      <alignment horizontal="left" vertical="center" indent="1"/>
    </xf>
    <xf numFmtId="4" fontId="51" fillId="53" borderId="170" applyNumberFormat="0" applyProtection="0">
      <alignment horizontal="left" vertical="center" indent="1"/>
    </xf>
    <xf numFmtId="4" fontId="51" fillId="19" borderId="169" applyNumberFormat="0" applyProtection="0">
      <alignment horizontal="right" vertical="center"/>
    </xf>
    <xf numFmtId="4" fontId="56" fillId="53" borderId="169" applyNumberFormat="0" applyProtection="0">
      <alignment horizontal="right" vertical="center"/>
    </xf>
    <xf numFmtId="4" fontId="51" fillId="13" borderId="169" applyNumberFormat="0" applyProtection="0">
      <alignment vertical="center"/>
    </xf>
    <xf numFmtId="4" fontId="52" fillId="13" borderId="169" applyNumberFormat="0" applyProtection="0">
      <alignment vertical="center"/>
    </xf>
    <xf numFmtId="4" fontId="51" fillId="13" borderId="169" applyNumberFormat="0" applyProtection="0">
      <alignment horizontal="left" vertical="center" indent="1"/>
    </xf>
    <xf numFmtId="4" fontId="51" fillId="13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1" fillId="36" borderId="169" applyNumberFormat="0" applyProtection="0">
      <alignment horizontal="right" vertical="center"/>
    </xf>
    <xf numFmtId="4" fontId="51" fillId="49" borderId="169" applyNumberFormat="0" applyProtection="0">
      <alignment horizontal="right" vertical="center"/>
    </xf>
    <xf numFmtId="4" fontId="51" fillId="50" borderId="169" applyNumberFormat="0" applyProtection="0">
      <alignment horizontal="right" vertical="center"/>
    </xf>
    <xf numFmtId="4" fontId="51" fillId="12" borderId="169" applyNumberFormat="0" applyProtection="0">
      <alignment horizontal="right" vertical="center"/>
    </xf>
    <xf numFmtId="4" fontId="51" fillId="51" borderId="169" applyNumberFormat="0" applyProtection="0">
      <alignment horizontal="right" vertical="center"/>
    </xf>
    <xf numFmtId="4" fontId="51" fillId="15" borderId="169" applyNumberFormat="0" applyProtection="0">
      <alignment horizontal="right" vertical="center"/>
    </xf>
    <xf numFmtId="4" fontId="51" fillId="17" borderId="169" applyNumberFormat="0" applyProtection="0">
      <alignment horizontal="right" vertical="center"/>
    </xf>
    <xf numFmtId="4" fontId="51" fillId="16" borderId="169" applyNumberFormat="0" applyProtection="0">
      <alignment horizontal="right" vertical="center"/>
    </xf>
    <xf numFmtId="4" fontId="51" fillId="19" borderId="169" applyNumberFormat="0" applyProtection="0">
      <alignment horizontal="right" vertical="center"/>
    </xf>
    <xf numFmtId="4" fontId="53" fillId="52" borderId="169" applyNumberFormat="0" applyProtection="0">
      <alignment horizontal="left" vertical="center" indent="1"/>
    </xf>
    <xf numFmtId="4" fontId="51" fillId="53" borderId="170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" fillId="53" borderId="169" applyNumberFormat="0" applyProtection="0">
      <alignment horizontal="left" vertical="center" indent="1"/>
    </xf>
    <xf numFmtId="4" fontId="5" fillId="55" borderId="169" applyNumberFormat="0" applyProtection="0">
      <alignment horizontal="left" vertical="center" indent="1"/>
    </xf>
    <xf numFmtId="0" fontId="4" fillId="55" borderId="169" applyNumberFormat="0" applyProtection="0">
      <alignment horizontal="left" vertical="center" indent="1"/>
    </xf>
    <xf numFmtId="0" fontId="4" fillId="55" borderId="169" applyNumberFormat="0" applyProtection="0">
      <alignment horizontal="left" vertical="center" indent="1"/>
    </xf>
    <xf numFmtId="0" fontId="4" fillId="31" borderId="169" applyNumberFormat="0" applyProtection="0">
      <alignment horizontal="left" vertical="center" indent="1"/>
    </xf>
    <xf numFmtId="0" fontId="4" fillId="31" borderId="169" applyNumberFormat="0" applyProtection="0">
      <alignment horizontal="left" vertical="center" indent="1"/>
    </xf>
    <xf numFmtId="0" fontId="4" fillId="34" borderId="169" applyNumberFormat="0" applyProtection="0">
      <alignment horizontal="left" vertical="center" indent="1"/>
    </xf>
    <xf numFmtId="0" fontId="4" fillId="34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1" fillId="20" borderId="169" applyNumberFormat="0" applyProtection="0">
      <alignment vertical="center"/>
    </xf>
    <xf numFmtId="4" fontId="52" fillId="20" borderId="169" applyNumberFormat="0" applyProtection="0">
      <alignment vertical="center"/>
    </xf>
    <xf numFmtId="4" fontId="51" fillId="20" borderId="169" applyNumberFormat="0" applyProtection="0">
      <alignment horizontal="left" vertical="center" indent="1"/>
    </xf>
    <xf numFmtId="4" fontId="51" fillId="20" borderId="169" applyNumberFormat="0" applyProtection="0">
      <alignment horizontal="left" vertical="center" indent="1"/>
    </xf>
    <xf numFmtId="4" fontId="51" fillId="53" borderId="169" applyNumberFormat="0" applyProtection="0">
      <alignment horizontal="right" vertical="center"/>
    </xf>
    <xf numFmtId="4" fontId="52" fillId="53" borderId="169" applyNumberFormat="0" applyProtection="0">
      <alignment horizontal="right" vertical="center"/>
    </xf>
    <xf numFmtId="0" fontId="4" fillId="11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6" fillId="53" borderId="169" applyNumberFormat="0" applyProtection="0">
      <alignment horizontal="right" vertical="center"/>
    </xf>
    <xf numFmtId="4" fontId="52" fillId="13" borderId="169" applyNumberFormat="0" applyProtection="0">
      <alignment vertical="center"/>
    </xf>
    <xf numFmtId="4" fontId="51" fillId="13" borderId="169" applyNumberFormat="0" applyProtection="0">
      <alignment horizontal="left" vertical="center" indent="1"/>
    </xf>
    <xf numFmtId="4" fontId="51" fillId="13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1" fillId="36" borderId="169" applyNumberFormat="0" applyProtection="0">
      <alignment horizontal="right" vertical="center"/>
    </xf>
    <xf numFmtId="4" fontId="51" fillId="49" borderId="169" applyNumberFormat="0" applyProtection="0">
      <alignment horizontal="right" vertical="center"/>
    </xf>
    <xf numFmtId="4" fontId="51" fillId="50" borderId="169" applyNumberFormat="0" applyProtection="0">
      <alignment horizontal="right" vertical="center"/>
    </xf>
    <xf numFmtId="4" fontId="51" fillId="12" borderId="169" applyNumberFormat="0" applyProtection="0">
      <alignment horizontal="right" vertical="center"/>
    </xf>
    <xf numFmtId="4" fontId="51" fillId="51" borderId="169" applyNumberFormat="0" applyProtection="0">
      <alignment horizontal="right" vertical="center"/>
    </xf>
    <xf numFmtId="4" fontId="51" fillId="15" borderId="169" applyNumberFormat="0" applyProtection="0">
      <alignment horizontal="right" vertical="center"/>
    </xf>
    <xf numFmtId="4" fontId="51" fillId="17" borderId="169" applyNumberFormat="0" applyProtection="0">
      <alignment horizontal="right" vertical="center"/>
    </xf>
    <xf numFmtId="4" fontId="51" fillId="16" borderId="169" applyNumberFormat="0" applyProtection="0">
      <alignment horizontal="right" vertical="center"/>
    </xf>
    <xf numFmtId="4" fontId="51" fillId="19" borderId="169" applyNumberFormat="0" applyProtection="0">
      <alignment horizontal="right" vertical="center"/>
    </xf>
    <xf numFmtId="4" fontId="53" fillId="52" borderId="169" applyNumberFormat="0" applyProtection="0">
      <alignment horizontal="left" vertical="center" indent="1"/>
    </xf>
    <xf numFmtId="4" fontId="51" fillId="53" borderId="170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" fillId="53" borderId="169" applyNumberFormat="0" applyProtection="0">
      <alignment horizontal="left" vertical="center" indent="1"/>
    </xf>
    <xf numFmtId="4" fontId="5" fillId="55" borderId="169" applyNumberFormat="0" applyProtection="0">
      <alignment horizontal="left" vertical="center" indent="1"/>
    </xf>
    <xf numFmtId="0" fontId="4" fillId="55" borderId="169" applyNumberFormat="0" applyProtection="0">
      <alignment horizontal="left" vertical="center" indent="1"/>
    </xf>
    <xf numFmtId="0" fontId="4" fillId="55" borderId="169" applyNumberFormat="0" applyProtection="0">
      <alignment horizontal="left" vertical="center" indent="1"/>
    </xf>
    <xf numFmtId="0" fontId="4" fillId="31" borderId="169" applyNumberFormat="0" applyProtection="0">
      <alignment horizontal="left" vertical="center" indent="1"/>
    </xf>
    <xf numFmtId="0" fontId="4" fillId="31" borderId="169" applyNumberFormat="0" applyProtection="0">
      <alignment horizontal="left" vertical="center" indent="1"/>
    </xf>
    <xf numFmtId="0" fontId="4" fillId="34" borderId="169" applyNumberFormat="0" applyProtection="0">
      <alignment horizontal="left" vertical="center" indent="1"/>
    </xf>
    <xf numFmtId="0" fontId="4" fillId="34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1" fillId="20" borderId="169" applyNumberFormat="0" applyProtection="0">
      <alignment vertical="center"/>
    </xf>
    <xf numFmtId="4" fontId="52" fillId="20" borderId="169" applyNumberFormat="0" applyProtection="0">
      <alignment vertical="center"/>
    </xf>
    <xf numFmtId="4" fontId="51" fillId="20" borderId="169" applyNumberFormat="0" applyProtection="0">
      <alignment horizontal="left" vertical="center" indent="1"/>
    </xf>
    <xf numFmtId="4" fontId="51" fillId="20" borderId="169" applyNumberFormat="0" applyProtection="0">
      <alignment horizontal="left" vertical="center" indent="1"/>
    </xf>
    <xf numFmtId="4" fontId="51" fillId="53" borderId="169" applyNumberFormat="0" applyProtection="0">
      <alignment horizontal="right" vertical="center"/>
    </xf>
    <xf numFmtId="4" fontId="52" fillId="53" borderId="169" applyNumberFormat="0" applyProtection="0">
      <alignment horizontal="right" vertical="center"/>
    </xf>
    <xf numFmtId="0" fontId="4" fillId="11" borderId="169" applyNumberFormat="0" applyProtection="0">
      <alignment horizontal="left" vertical="center" indent="1"/>
    </xf>
    <xf numFmtId="0" fontId="4" fillId="11" borderId="169" applyNumberFormat="0" applyProtection="0">
      <alignment horizontal="left" vertical="center" indent="1"/>
    </xf>
    <xf numFmtId="4" fontId="56" fillId="53" borderId="169" applyNumberFormat="0" applyProtection="0">
      <alignment horizontal="right" vertical="center"/>
    </xf>
  </cellStyleXfs>
  <cellXfs count="4589">
    <xf numFmtId="0" fontId="0" fillId="0" borderId="0" xfId="0"/>
    <xf numFmtId="0" fontId="7" fillId="6" borderId="20" xfId="0" applyFont="1" applyFill="1" applyBorder="1" applyAlignment="1">
      <alignment vertical="center" wrapText="1"/>
    </xf>
    <xf numFmtId="3" fontId="8" fillId="6" borderId="70" xfId="0" applyNumberFormat="1" applyFont="1" applyFill="1" applyBorder="1"/>
    <xf numFmtId="3" fontId="8" fillId="6" borderId="30" xfId="0" applyNumberFormat="1" applyFont="1" applyFill="1" applyBorder="1"/>
    <xf numFmtId="3" fontId="8" fillId="6" borderId="29" xfId="0" applyNumberFormat="1" applyFont="1" applyFill="1" applyBorder="1"/>
    <xf numFmtId="3" fontId="6" fillId="6" borderId="47" xfId="0" applyNumberFormat="1" applyFont="1" applyFill="1" applyBorder="1"/>
    <xf numFmtId="0" fontId="14" fillId="2" borderId="0" xfId="3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18" fillId="0" borderId="52" xfId="4" applyFont="1" applyBorder="1" applyAlignment="1">
      <alignment horizontal="center" vertical="center"/>
    </xf>
    <xf numFmtId="0" fontId="18" fillId="0" borderId="79" xfId="4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 wrapText="1"/>
    </xf>
    <xf numFmtId="0" fontId="22" fillId="0" borderId="51" xfId="6" applyFont="1" applyBorder="1" applyAlignment="1">
      <alignment horizontal="center" vertical="center" wrapText="1"/>
    </xf>
    <xf numFmtId="0" fontId="22" fillId="0" borderId="50" xfId="6" applyFont="1" applyBorder="1" applyAlignment="1">
      <alignment horizontal="center" vertical="center"/>
    </xf>
    <xf numFmtId="0" fontId="22" fillId="0" borderId="39" xfId="6" applyFont="1" applyBorder="1" applyAlignment="1">
      <alignment horizontal="center" vertical="center"/>
    </xf>
    <xf numFmtId="0" fontId="22" fillId="19" borderId="39" xfId="0" applyFont="1" applyFill="1" applyBorder="1" applyAlignment="1">
      <alignment horizontal="center" vertical="center" wrapText="1"/>
    </xf>
    <xf numFmtId="0" fontId="21" fillId="0" borderId="79" xfId="4" applyFont="1" applyBorder="1" applyAlignment="1">
      <alignment horizontal="center" vertical="center" wrapText="1"/>
    </xf>
    <xf numFmtId="3" fontId="27" fillId="22" borderId="70" xfId="4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vertical="top" wrapText="1"/>
    </xf>
    <xf numFmtId="3" fontId="27" fillId="22" borderId="13" xfId="4" applyNumberFormat="1" applyFont="1" applyFill="1" applyBorder="1" applyAlignment="1">
      <alignment horizontal="right" vertical="center"/>
    </xf>
    <xf numFmtId="0" fontId="25" fillId="6" borderId="45" xfId="4" applyFont="1" applyFill="1" applyBorder="1" applyAlignment="1">
      <alignment horizontal="left" vertical="center"/>
    </xf>
    <xf numFmtId="0" fontId="25" fillId="6" borderId="18" xfId="4" applyFont="1" applyFill="1" applyBorder="1" applyAlignment="1">
      <alignment horizontal="left" vertical="center"/>
    </xf>
    <xf numFmtId="0" fontId="25" fillId="6" borderId="32" xfId="4" applyFont="1" applyFill="1" applyBorder="1" applyAlignment="1">
      <alignment horizontal="left" vertical="center"/>
    </xf>
    <xf numFmtId="0" fontId="25" fillId="6" borderId="28" xfId="4" applyFont="1" applyFill="1" applyBorder="1" applyAlignment="1">
      <alignment horizontal="left" vertical="center"/>
    </xf>
    <xf numFmtId="0" fontId="7" fillId="8" borderId="21" xfId="4" applyFont="1" applyFill="1" applyBorder="1" applyAlignment="1">
      <alignment horizontal="left" vertical="center"/>
    </xf>
    <xf numFmtId="0" fontId="7" fillId="8" borderId="20" xfId="4" applyFont="1" applyFill="1" applyBorder="1" applyAlignment="1">
      <alignment horizontal="left" vertical="center"/>
    </xf>
    <xf numFmtId="3" fontId="7" fillId="8" borderId="20" xfId="4" applyNumberFormat="1" applyFont="1" applyFill="1" applyBorder="1" applyAlignment="1">
      <alignment horizontal="left" vertical="center"/>
    </xf>
    <xf numFmtId="0" fontId="7" fillId="8" borderId="76" xfId="4" applyFont="1" applyFill="1" applyBorder="1" applyAlignment="1">
      <alignment vertical="center"/>
    </xf>
    <xf numFmtId="0" fontId="7" fillId="8" borderId="22" xfId="4" applyFont="1" applyFill="1" applyBorder="1" applyAlignment="1">
      <alignment vertical="center"/>
    </xf>
    <xf numFmtId="0" fontId="25" fillId="6" borderId="34" xfId="4" applyFont="1" applyFill="1" applyBorder="1" applyAlignment="1">
      <alignment horizontal="left" vertical="center"/>
    </xf>
    <xf numFmtId="3" fontId="24" fillId="6" borderId="29" xfId="4" applyNumberFormat="1" applyFont="1" applyFill="1" applyBorder="1" applyAlignment="1">
      <alignment horizontal="right" vertical="center"/>
    </xf>
    <xf numFmtId="3" fontId="24" fillId="23" borderId="30" xfId="4" applyNumberFormat="1" applyFont="1" applyFill="1" applyBorder="1" applyAlignment="1">
      <alignment horizontal="right" vertical="center"/>
    </xf>
    <xf numFmtId="3" fontId="29" fillId="13" borderId="29" xfId="4" applyNumberFormat="1" applyFont="1" applyFill="1" applyBorder="1" applyAlignment="1">
      <alignment horizontal="right" vertical="center"/>
    </xf>
    <xf numFmtId="3" fontId="29" fillId="25" borderId="29" xfId="4" applyNumberFormat="1" applyFont="1" applyFill="1" applyBorder="1" applyAlignment="1">
      <alignment horizontal="right" vertical="center"/>
    </xf>
    <xf numFmtId="3" fontId="7" fillId="13" borderId="29" xfId="4" applyNumberFormat="1" applyFont="1" applyFill="1" applyBorder="1" applyAlignment="1">
      <alignment horizontal="right" vertical="center"/>
    </xf>
    <xf numFmtId="3" fontId="31" fillId="26" borderId="29" xfId="4" applyNumberFormat="1" applyFont="1" applyFill="1" applyBorder="1" applyAlignment="1">
      <alignment horizontal="right" vertical="center"/>
    </xf>
    <xf numFmtId="3" fontId="33" fillId="13" borderId="9" xfId="6" applyNumberFormat="1" applyFont="1" applyFill="1" applyBorder="1" applyAlignment="1">
      <alignment vertical="center"/>
    </xf>
    <xf numFmtId="0" fontId="7" fillId="13" borderId="36" xfId="4" applyFont="1" applyFill="1" applyBorder="1" applyAlignment="1">
      <alignment horizontal="left" vertical="center"/>
    </xf>
    <xf numFmtId="0" fontId="7" fillId="13" borderId="20" xfId="4" applyFont="1" applyFill="1" applyBorder="1" applyAlignment="1">
      <alignment horizontal="left" vertical="center"/>
    </xf>
    <xf numFmtId="0" fontId="7" fillId="13" borderId="76" xfId="4" applyFont="1" applyFill="1" applyBorder="1" applyAlignment="1">
      <alignment vertical="center"/>
    </xf>
    <xf numFmtId="0" fontId="7" fillId="13" borderId="37" xfId="4" applyFont="1" applyFill="1" applyBorder="1" applyAlignment="1">
      <alignment vertical="center"/>
    </xf>
    <xf numFmtId="3" fontId="24" fillId="8" borderId="70" xfId="4" applyNumberFormat="1" applyFont="1" applyFill="1" applyBorder="1" applyAlignment="1">
      <alignment horizontal="right" vertical="center"/>
    </xf>
    <xf numFmtId="3" fontId="24" fillId="8" borderId="17" xfId="4" applyNumberFormat="1" applyFont="1" applyFill="1" applyBorder="1" applyAlignment="1">
      <alignment horizontal="right" vertical="center"/>
    </xf>
    <xf numFmtId="3" fontId="24" fillId="8" borderId="2" xfId="4" applyNumberFormat="1" applyFont="1" applyFill="1" applyBorder="1" applyAlignment="1">
      <alignment horizontal="right" vertical="center"/>
    </xf>
    <xf numFmtId="3" fontId="24" fillId="24" borderId="2" xfId="4" applyNumberFormat="1" applyFont="1" applyFill="1" applyBorder="1" applyAlignment="1">
      <alignment horizontal="right" vertical="center"/>
    </xf>
    <xf numFmtId="0" fontId="20" fillId="0" borderId="42" xfId="4" applyFont="1" applyFill="1" applyBorder="1" applyAlignment="1">
      <alignment horizontal="center" vertical="center" wrapText="1"/>
    </xf>
    <xf numFmtId="3" fontId="7" fillId="0" borderId="30" xfId="4" applyNumberFormat="1" applyFont="1" applyFill="1" applyBorder="1" applyAlignment="1">
      <alignment horizontal="right" vertical="center"/>
    </xf>
    <xf numFmtId="3" fontId="7" fillId="0" borderId="29" xfId="4" applyNumberFormat="1" applyFont="1" applyFill="1" applyBorder="1" applyAlignment="1">
      <alignment horizontal="right" vertical="center"/>
    </xf>
    <xf numFmtId="3" fontId="33" fillId="0" borderId="29" xfId="6" applyNumberFormat="1" applyFont="1" applyFill="1" applyBorder="1" applyAlignment="1">
      <alignment vertical="center"/>
    </xf>
    <xf numFmtId="3" fontId="33" fillId="0" borderId="30" xfId="6" applyNumberFormat="1" applyFont="1" applyFill="1" applyBorder="1" applyAlignment="1">
      <alignment vertical="center"/>
    </xf>
    <xf numFmtId="3" fontId="7" fillId="0" borderId="65" xfId="4" applyNumberFormat="1" applyFont="1" applyFill="1" applyBorder="1" applyAlignment="1">
      <alignment horizontal="right" vertical="center"/>
    </xf>
    <xf numFmtId="3" fontId="33" fillId="0" borderId="9" xfId="6" applyNumberFormat="1" applyFont="1" applyFill="1" applyBorder="1" applyAlignment="1">
      <alignment vertical="center"/>
    </xf>
    <xf numFmtId="3" fontId="32" fillId="0" borderId="29" xfId="6" applyNumberFormat="1" applyFont="1" applyFill="1" applyBorder="1" applyAlignment="1">
      <alignment vertical="center"/>
    </xf>
    <xf numFmtId="3" fontId="32" fillId="0" borderId="30" xfId="6" applyNumberFormat="1" applyFont="1" applyFill="1" applyBorder="1" applyAlignment="1">
      <alignment vertical="center"/>
    </xf>
    <xf numFmtId="0" fontId="31" fillId="0" borderId="82" xfId="4" applyFont="1" applyFill="1" applyBorder="1" applyAlignment="1">
      <alignment vertical="center"/>
    </xf>
    <xf numFmtId="3" fontId="7" fillId="0" borderId="12" xfId="4" applyNumberFormat="1" applyFont="1" applyFill="1" applyBorder="1" applyAlignment="1">
      <alignment horizontal="right" vertical="center"/>
    </xf>
    <xf numFmtId="3" fontId="7" fillId="0" borderId="74" xfId="4" applyNumberFormat="1" applyFont="1" applyFill="1" applyBorder="1" applyAlignment="1">
      <alignment horizontal="right" vertical="center"/>
    </xf>
    <xf numFmtId="0" fontId="24" fillId="8" borderId="14" xfId="4" applyFont="1" applyFill="1" applyBorder="1" applyAlignment="1">
      <alignment horizontal="center" vertical="center" wrapText="1"/>
    </xf>
    <xf numFmtId="3" fontId="7" fillId="8" borderId="4" xfId="4" applyNumberFormat="1" applyFont="1" applyFill="1" applyBorder="1" applyAlignment="1">
      <alignment horizontal="right" vertical="center"/>
    </xf>
    <xf numFmtId="3" fontId="7" fillId="8" borderId="17" xfId="4" applyNumberFormat="1" applyFont="1" applyFill="1" applyBorder="1" applyAlignment="1">
      <alignment horizontal="right" vertical="center"/>
    </xf>
    <xf numFmtId="3" fontId="24" fillId="24" borderId="3" xfId="4" applyNumberFormat="1" applyFont="1" applyFill="1" applyBorder="1" applyAlignment="1">
      <alignment horizontal="right" vertical="center"/>
    </xf>
    <xf numFmtId="3" fontId="25" fillId="6" borderId="29" xfId="4" applyNumberFormat="1" applyFont="1" applyFill="1" applyBorder="1" applyAlignment="1">
      <alignment horizontal="right" vertical="center"/>
    </xf>
    <xf numFmtId="3" fontId="25" fillId="6" borderId="30" xfId="4" applyNumberFormat="1" applyFont="1" applyFill="1" applyBorder="1" applyAlignment="1">
      <alignment horizontal="right" vertical="center"/>
    </xf>
    <xf numFmtId="3" fontId="25" fillId="23" borderId="30" xfId="4" applyNumberFormat="1" applyFont="1" applyFill="1" applyBorder="1" applyAlignment="1">
      <alignment horizontal="right" vertical="center"/>
    </xf>
    <xf numFmtId="3" fontId="27" fillId="0" borderId="29" xfId="4" applyNumberFormat="1" applyFont="1" applyFill="1" applyBorder="1" applyAlignment="1">
      <alignment horizontal="right" vertical="center"/>
    </xf>
    <xf numFmtId="3" fontId="27" fillId="26" borderId="30" xfId="4" applyNumberFormat="1" applyFont="1" applyFill="1" applyBorder="1" applyAlignment="1">
      <alignment horizontal="right" vertical="center"/>
    </xf>
    <xf numFmtId="3" fontId="27" fillId="26" borderId="0" xfId="4" applyNumberFormat="1" applyFont="1" applyFill="1" applyBorder="1" applyAlignment="1">
      <alignment horizontal="right" vertical="center"/>
    </xf>
    <xf numFmtId="3" fontId="31" fillId="26" borderId="0" xfId="4" applyNumberFormat="1" applyFont="1" applyFill="1" applyBorder="1" applyAlignment="1">
      <alignment horizontal="right" vertical="center"/>
    </xf>
    <xf numFmtId="3" fontId="31" fillId="0" borderId="63" xfId="4" applyNumberFormat="1" applyFont="1" applyFill="1" applyBorder="1" applyAlignment="1">
      <alignment horizontal="right" vertical="center"/>
    </xf>
    <xf numFmtId="0" fontId="7" fillId="0" borderId="82" xfId="4" applyFont="1" applyFill="1" applyBorder="1" applyAlignment="1">
      <alignment vertical="center"/>
    </xf>
    <xf numFmtId="3" fontId="7" fillId="0" borderId="47" xfId="4" applyNumberFormat="1" applyFont="1" applyFill="1" applyBorder="1" applyAlignment="1">
      <alignment horizontal="right" vertical="center"/>
    </xf>
    <xf numFmtId="3" fontId="7" fillId="0" borderId="72" xfId="4" applyNumberFormat="1" applyFont="1" applyFill="1" applyBorder="1" applyAlignment="1">
      <alignment horizontal="right" vertical="center"/>
    </xf>
    <xf numFmtId="0" fontId="24" fillId="8" borderId="45" xfId="4" applyFont="1" applyFill="1" applyBorder="1" applyAlignment="1">
      <alignment vertical="center" wrapText="1"/>
    </xf>
    <xf numFmtId="3" fontId="31" fillId="0" borderId="30" xfId="4" applyNumberFormat="1" applyFont="1" applyFill="1" applyBorder="1" applyAlignment="1">
      <alignment horizontal="right" vertical="center"/>
    </xf>
    <xf numFmtId="0" fontId="7" fillId="0" borderId="76" xfId="4" applyFont="1" applyFill="1" applyBorder="1" applyAlignment="1">
      <alignment vertical="center"/>
    </xf>
    <xf numFmtId="3" fontId="31" fillId="0" borderId="47" xfId="4" applyNumberFormat="1" applyFont="1" applyFill="1" applyBorder="1" applyAlignment="1">
      <alignment horizontal="right" vertical="center"/>
    </xf>
    <xf numFmtId="3" fontId="27" fillId="0" borderId="27" xfId="4" applyNumberFormat="1" applyFont="1" applyFill="1" applyBorder="1" applyAlignment="1">
      <alignment horizontal="right" vertical="center"/>
    </xf>
    <xf numFmtId="3" fontId="27" fillId="26" borderId="29" xfId="4" applyNumberFormat="1" applyFont="1" applyFill="1" applyBorder="1" applyAlignment="1">
      <alignment horizontal="right" vertical="center"/>
    </xf>
    <xf numFmtId="0" fontId="24" fillId="6" borderId="32" xfId="4" applyFont="1" applyFill="1" applyBorder="1" applyAlignment="1">
      <alignment horizontal="left" vertical="center"/>
    </xf>
    <xf numFmtId="0" fontId="7" fillId="0" borderId="76" xfId="4" applyFont="1" applyFill="1" applyBorder="1" applyAlignment="1">
      <alignment vertical="top"/>
    </xf>
    <xf numFmtId="0" fontId="25" fillId="6" borderId="21" xfId="4" applyFont="1" applyFill="1" applyBorder="1" applyAlignment="1">
      <alignment horizontal="left" vertical="center"/>
    </xf>
    <xf numFmtId="0" fontId="27" fillId="2" borderId="32" xfId="4" applyFont="1" applyFill="1" applyBorder="1" applyAlignment="1">
      <alignment vertical="top"/>
    </xf>
    <xf numFmtId="3" fontId="7" fillId="8" borderId="9" xfId="4" applyNumberFormat="1" applyFont="1" applyFill="1" applyBorder="1" applyAlignment="1">
      <alignment horizontal="right" vertical="center"/>
    </xf>
    <xf numFmtId="3" fontId="7" fillId="8" borderId="35" xfId="4" applyNumberFormat="1" applyFont="1" applyFill="1" applyBorder="1" applyAlignment="1">
      <alignment horizontal="right" vertical="center"/>
    </xf>
    <xf numFmtId="3" fontId="31" fillId="0" borderId="29" xfId="4" applyNumberFormat="1" applyFont="1" applyFill="1" applyBorder="1" applyAlignment="1">
      <alignment horizontal="right" vertical="center"/>
    </xf>
    <xf numFmtId="3" fontId="32" fillId="0" borderId="72" xfId="6" applyNumberFormat="1" applyFont="1" applyFill="1" applyBorder="1" applyAlignment="1">
      <alignment vertical="center"/>
    </xf>
    <xf numFmtId="3" fontId="32" fillId="0" borderId="47" xfId="6" applyNumberFormat="1" applyFont="1" applyFill="1" applyBorder="1" applyAlignment="1">
      <alignment vertical="center"/>
    </xf>
    <xf numFmtId="0" fontId="18" fillId="0" borderId="42" xfId="4" applyFont="1" applyFill="1" applyBorder="1" applyAlignment="1">
      <alignment vertical="center" wrapText="1"/>
    </xf>
    <xf numFmtId="0" fontId="25" fillId="6" borderId="20" xfId="4" applyFont="1" applyFill="1" applyBorder="1" applyAlignment="1">
      <alignment horizontal="left" vertical="center"/>
    </xf>
    <xf numFmtId="3" fontId="25" fillId="23" borderId="10" xfId="4" applyNumberFormat="1" applyFont="1" applyFill="1" applyBorder="1" applyAlignment="1">
      <alignment horizontal="right" vertical="center"/>
    </xf>
    <xf numFmtId="0" fontId="7" fillId="0" borderId="36" xfId="4" applyFont="1" applyFill="1" applyBorder="1" applyAlignment="1">
      <alignment horizontal="left" vertical="center"/>
    </xf>
    <xf numFmtId="0" fontId="25" fillId="6" borderId="36" xfId="4" applyFont="1" applyFill="1" applyBorder="1" applyAlignment="1">
      <alignment horizontal="left" vertical="center"/>
    </xf>
    <xf numFmtId="3" fontId="25" fillId="8" borderId="70" xfId="4" applyNumberFormat="1" applyFont="1" applyFill="1" applyBorder="1" applyAlignment="1">
      <alignment horizontal="right" vertical="center"/>
    </xf>
    <xf numFmtId="3" fontId="25" fillId="8" borderId="2" xfId="4" applyNumberFormat="1" applyFont="1" applyFill="1" applyBorder="1" applyAlignment="1">
      <alignment horizontal="right" vertical="center"/>
    </xf>
    <xf numFmtId="3" fontId="27" fillId="0" borderId="30" xfId="4" applyNumberFormat="1" applyFont="1" applyFill="1" applyBorder="1" applyAlignment="1">
      <alignment horizontal="right" vertical="center"/>
    </xf>
    <xf numFmtId="3" fontId="24" fillId="8" borderId="4" xfId="4" applyNumberFormat="1" applyFont="1" applyFill="1" applyBorder="1" applyAlignment="1">
      <alignment horizontal="right" vertical="center"/>
    </xf>
    <xf numFmtId="3" fontId="24" fillId="8" borderId="15" xfId="4" applyNumberFormat="1" applyFont="1" applyFill="1" applyBorder="1" applyAlignment="1">
      <alignment horizontal="right" vertical="center"/>
    </xf>
    <xf numFmtId="3" fontId="24" fillId="6" borderId="9" xfId="4" applyNumberFormat="1" applyFont="1" applyFill="1" applyBorder="1" applyAlignment="1">
      <alignment vertical="center"/>
    </xf>
    <xf numFmtId="3" fontId="24" fillId="8" borderId="4" xfId="0" applyNumberFormat="1" applyFont="1" applyFill="1" applyBorder="1" applyAlignment="1">
      <alignment vertical="center"/>
    </xf>
    <xf numFmtId="3" fontId="24" fillId="8" borderId="70" xfId="0" applyNumberFormat="1" applyFont="1" applyFill="1" applyBorder="1" applyAlignment="1">
      <alignment vertical="center"/>
    </xf>
    <xf numFmtId="3" fontId="24" fillId="8" borderId="15" xfId="0" applyNumberFormat="1" applyFont="1" applyFill="1" applyBorder="1" applyAlignment="1">
      <alignment vertical="center"/>
    </xf>
    <xf numFmtId="3" fontId="24" fillId="6" borderId="30" xfId="0" applyNumberFormat="1" applyFont="1" applyFill="1" applyBorder="1" applyAlignment="1">
      <alignment horizontal="right" vertical="center"/>
    </xf>
    <xf numFmtId="3" fontId="27" fillId="0" borderId="30" xfId="0" applyNumberFormat="1" applyFont="1" applyFill="1" applyBorder="1" applyAlignment="1">
      <alignment horizontal="right" vertical="center"/>
    </xf>
    <xf numFmtId="3" fontId="29" fillId="0" borderId="30" xfId="0" applyNumberFormat="1" applyFont="1" applyFill="1" applyBorder="1" applyAlignment="1">
      <alignment horizontal="right" vertical="center"/>
    </xf>
    <xf numFmtId="3" fontId="27" fillId="0" borderId="29" xfId="0" applyNumberFormat="1" applyFont="1" applyFill="1" applyBorder="1" applyAlignment="1">
      <alignment horizontal="right" vertical="center"/>
    </xf>
    <xf numFmtId="3" fontId="29" fillId="26" borderId="29" xfId="4" applyNumberFormat="1" applyFont="1" applyFill="1" applyBorder="1" applyAlignment="1">
      <alignment horizontal="right" vertical="center"/>
    </xf>
    <xf numFmtId="3" fontId="27" fillId="0" borderId="27" xfId="0" applyNumberFormat="1" applyFont="1" applyFill="1" applyBorder="1" applyAlignment="1">
      <alignment horizontal="right" vertical="center"/>
    </xf>
    <xf numFmtId="3" fontId="7" fillId="0" borderId="35" xfId="0" applyNumberFormat="1" applyFont="1" applyFill="1" applyBorder="1" applyAlignment="1">
      <alignment horizontal="right" vertical="center"/>
    </xf>
    <xf numFmtId="3" fontId="31" fillId="0" borderId="27" xfId="0" applyNumberFormat="1" applyFont="1" applyFill="1" applyBorder="1" applyAlignment="1">
      <alignment horizontal="right" vertical="center"/>
    </xf>
    <xf numFmtId="3" fontId="31" fillId="0" borderId="12" xfId="0" applyNumberFormat="1" applyFont="1" applyFill="1" applyBorder="1" applyAlignment="1">
      <alignment horizontal="right" vertical="center"/>
    </xf>
    <xf numFmtId="0" fontId="24" fillId="13" borderId="19" xfId="4" applyFont="1" applyFill="1" applyBorder="1" applyAlignment="1">
      <alignment vertical="center" wrapText="1"/>
    </xf>
    <xf numFmtId="0" fontId="7" fillId="13" borderId="17" xfId="4" applyFont="1" applyFill="1" applyBorder="1" applyAlignment="1">
      <alignment horizontal="right" vertical="center"/>
    </xf>
    <xf numFmtId="3" fontId="7" fillId="13" borderId="70" xfId="4" applyNumberFormat="1" applyFont="1" applyFill="1" applyBorder="1" applyAlignment="1">
      <alignment horizontal="right" vertical="center"/>
    </xf>
    <xf numFmtId="3" fontId="7" fillId="25" borderId="3" xfId="4" applyNumberFormat="1" applyFont="1" applyFill="1" applyBorder="1" applyAlignment="1">
      <alignment horizontal="right" vertical="center"/>
    </xf>
    <xf numFmtId="3" fontId="24" fillId="6" borderId="9" xfId="4" applyNumberFormat="1" applyFont="1" applyFill="1" applyBorder="1" applyAlignment="1">
      <alignment horizontal="right" vertical="center"/>
    </xf>
    <xf numFmtId="0" fontId="29" fillId="13" borderId="36" xfId="4" applyFont="1" applyFill="1" applyBorder="1" applyAlignment="1">
      <alignment horizontal="left" vertical="center"/>
    </xf>
    <xf numFmtId="0" fontId="29" fillId="13" borderId="20" xfId="4" applyFont="1" applyFill="1" applyBorder="1" applyAlignment="1">
      <alignment horizontal="left" vertical="center"/>
    </xf>
    <xf numFmtId="3" fontId="27" fillId="13" borderId="29" xfId="4" applyNumberFormat="1" applyFont="1" applyFill="1" applyBorder="1" applyAlignment="1">
      <alignment horizontal="right" vertical="center"/>
    </xf>
    <xf numFmtId="3" fontId="18" fillId="13" borderId="43" xfId="4" applyNumberFormat="1" applyFont="1" applyFill="1" applyBorder="1" applyAlignment="1">
      <alignment horizontal="center" vertical="center" wrapText="1"/>
    </xf>
    <xf numFmtId="3" fontId="7" fillId="13" borderId="23" xfId="4" applyNumberFormat="1" applyFont="1" applyFill="1" applyBorder="1" applyAlignment="1">
      <alignment horizontal="right" vertical="center"/>
    </xf>
    <xf numFmtId="0" fontId="18" fillId="13" borderId="41" xfId="4" applyFont="1" applyFill="1" applyBorder="1" applyAlignment="1">
      <alignment horizontal="center" vertical="center" wrapText="1"/>
    </xf>
    <xf numFmtId="3" fontId="23" fillId="6" borderId="29" xfId="6" applyNumberFormat="1" applyFont="1" applyFill="1" applyBorder="1" applyAlignment="1">
      <alignment horizontal="right" vertical="center"/>
    </xf>
    <xf numFmtId="3" fontId="33" fillId="0" borderId="29" xfId="6" applyNumberFormat="1" applyFont="1" applyFill="1" applyBorder="1" applyAlignment="1">
      <alignment horizontal="right" vertical="center"/>
    </xf>
    <xf numFmtId="3" fontId="33" fillId="8" borderId="3" xfId="6" applyNumberFormat="1" applyFont="1" applyFill="1" applyBorder="1" applyAlignment="1">
      <alignment horizontal="right" vertical="center"/>
    </xf>
    <xf numFmtId="0" fontId="24" fillId="28" borderId="45" xfId="4" applyFont="1" applyFill="1" applyBorder="1" applyAlignment="1">
      <alignment vertical="center" wrapText="1"/>
    </xf>
    <xf numFmtId="3" fontId="24" fillId="6" borderId="29" xfId="0" applyNumberFormat="1" applyFont="1" applyFill="1" applyBorder="1" applyAlignment="1">
      <alignment horizontal="right" vertical="center"/>
    </xf>
    <xf numFmtId="3" fontId="25" fillId="26" borderId="29" xfId="4" applyNumberFormat="1" applyFont="1" applyFill="1" applyBorder="1" applyAlignment="1">
      <alignment horizontal="right" vertical="center"/>
    </xf>
    <xf numFmtId="0" fontId="7" fillId="13" borderId="28" xfId="4" applyFont="1" applyFill="1" applyBorder="1" applyAlignment="1">
      <alignment horizontal="left" vertical="center"/>
    </xf>
    <xf numFmtId="3" fontId="29" fillId="13" borderId="9" xfId="4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left" vertical="center"/>
    </xf>
    <xf numFmtId="3" fontId="31" fillId="0" borderId="13" xfId="0" applyNumberFormat="1" applyFont="1" applyFill="1" applyBorder="1" applyAlignment="1">
      <alignment horizontal="right" vertical="center"/>
    </xf>
    <xf numFmtId="3" fontId="24" fillId="6" borderId="28" xfId="0" applyNumberFormat="1" applyFont="1" applyFill="1" applyBorder="1" applyAlignment="1">
      <alignment horizontal="right" vertical="center"/>
    </xf>
    <xf numFmtId="3" fontId="27" fillId="13" borderId="28" xfId="4" applyNumberFormat="1" applyFont="1" applyFill="1" applyBorder="1" applyAlignment="1">
      <alignment horizontal="right" vertical="center"/>
    </xf>
    <xf numFmtId="3" fontId="7" fillId="13" borderId="28" xfId="4" applyNumberFormat="1" applyFont="1" applyFill="1" applyBorder="1" applyAlignment="1">
      <alignment horizontal="right" vertical="center"/>
    </xf>
    <xf numFmtId="3" fontId="29" fillId="13" borderId="28" xfId="4" applyNumberFormat="1" applyFont="1" applyFill="1" applyBorder="1" applyAlignment="1">
      <alignment horizontal="right" vertical="center"/>
    </xf>
    <xf numFmtId="0" fontId="16" fillId="2" borderId="25" xfId="4" applyFont="1" applyFill="1" applyBorder="1" applyAlignment="1">
      <alignment vertical="center"/>
    </xf>
    <xf numFmtId="0" fontId="34" fillId="2" borderId="68" xfId="4" applyFont="1" applyFill="1" applyBorder="1" applyAlignment="1">
      <alignment vertical="center"/>
    </xf>
    <xf numFmtId="0" fontId="34" fillId="2" borderId="24" xfId="4" applyFont="1" applyFill="1" applyBorder="1" applyAlignment="1">
      <alignment vertical="center"/>
    </xf>
    <xf numFmtId="3" fontId="34" fillId="2" borderId="24" xfId="4" applyNumberFormat="1" applyFont="1" applyFill="1" applyBorder="1" applyAlignment="1">
      <alignment vertical="center"/>
    </xf>
    <xf numFmtId="0" fontId="34" fillId="2" borderId="69" xfId="4" applyFont="1" applyFill="1" applyBorder="1" applyAlignment="1">
      <alignment horizontal="right" vertical="center" wrapText="1"/>
    </xf>
    <xf numFmtId="3" fontId="32" fillId="8" borderId="29" xfId="6" applyNumberFormat="1" applyFont="1" applyFill="1" applyBorder="1" applyAlignment="1">
      <alignment vertical="center"/>
    </xf>
    <xf numFmtId="0" fontId="20" fillId="2" borderId="5" xfId="0" applyFont="1" applyFill="1" applyBorder="1" applyAlignment="1">
      <alignment horizontal="center" vertical="top"/>
    </xf>
    <xf numFmtId="0" fontId="20" fillId="2" borderId="11" xfId="0" applyFont="1" applyFill="1" applyBorder="1" applyAlignment="1">
      <alignment horizontal="center" vertical="top"/>
    </xf>
    <xf numFmtId="0" fontId="17" fillId="8" borderId="11" xfId="0" applyFont="1" applyFill="1" applyBorder="1" applyAlignment="1">
      <alignment vertical="center"/>
    </xf>
    <xf numFmtId="3" fontId="27" fillId="22" borderId="35" xfId="4" applyNumberFormat="1" applyFont="1" applyFill="1" applyBorder="1" applyAlignment="1">
      <alignment horizontal="right" vertical="center"/>
    </xf>
    <xf numFmtId="3" fontId="7" fillId="29" borderId="67" xfId="0" applyNumberFormat="1" applyFont="1" applyFill="1" applyBorder="1" applyAlignment="1">
      <alignment horizontal="center" vertical="top" wrapText="1"/>
    </xf>
    <xf numFmtId="3" fontId="27" fillId="22" borderId="12" xfId="4" applyNumberFormat="1" applyFont="1" applyFill="1" applyBorder="1" applyAlignment="1">
      <alignment horizontal="right" vertical="center"/>
    </xf>
    <xf numFmtId="0" fontId="24" fillId="29" borderId="11" xfId="0" applyFont="1" applyFill="1" applyBorder="1" applyAlignment="1">
      <alignment vertical="top"/>
    </xf>
    <xf numFmtId="0" fontId="24" fillId="6" borderId="19" xfId="4" applyFont="1" applyFill="1" applyBorder="1" applyAlignment="1">
      <alignment horizontal="left" vertical="center"/>
    </xf>
    <xf numFmtId="0" fontId="24" fillId="6" borderId="16" xfId="4" applyFont="1" applyFill="1" applyBorder="1" applyAlignment="1">
      <alignment horizontal="left" vertical="center"/>
    </xf>
    <xf numFmtId="3" fontId="24" fillId="30" borderId="70" xfId="0" applyNumberFormat="1" applyFont="1" applyFill="1" applyBorder="1" applyAlignment="1">
      <alignment vertical="center"/>
    </xf>
    <xf numFmtId="0" fontId="29" fillId="8" borderId="36" xfId="4" applyFont="1" applyFill="1" applyBorder="1" applyAlignment="1">
      <alignment vertical="center"/>
    </xf>
    <xf numFmtId="0" fontId="7" fillId="8" borderId="28" xfId="0" applyFont="1" applyFill="1" applyBorder="1" applyAlignment="1">
      <alignment vertical="center" wrapText="1"/>
    </xf>
    <xf numFmtId="0" fontId="17" fillId="29" borderId="11" xfId="0" applyFont="1" applyFill="1" applyBorder="1" applyAlignment="1">
      <alignment vertical="top"/>
    </xf>
    <xf numFmtId="0" fontId="7" fillId="8" borderId="36" xfId="4" applyFont="1" applyFill="1" applyBorder="1" applyAlignment="1">
      <alignment vertical="center"/>
    </xf>
    <xf numFmtId="3" fontId="7" fillId="29" borderId="8" xfId="0" applyNumberFormat="1" applyFont="1" applyFill="1" applyBorder="1" applyAlignment="1">
      <alignment vertical="center" wrapText="1"/>
    </xf>
    <xf numFmtId="0" fontId="29" fillId="8" borderId="32" xfId="4" applyFont="1" applyFill="1" applyBorder="1" applyAlignment="1">
      <alignment vertical="center"/>
    </xf>
    <xf numFmtId="0" fontId="24" fillId="8" borderId="28" xfId="0" applyFont="1" applyFill="1" applyBorder="1" applyAlignment="1">
      <alignment vertical="center"/>
    </xf>
    <xf numFmtId="3" fontId="29" fillId="8" borderId="9" xfId="0" applyNumberFormat="1" applyFont="1" applyFill="1" applyBorder="1" applyAlignment="1">
      <alignment vertical="center"/>
    </xf>
    <xf numFmtId="0" fontId="17" fillId="8" borderId="11" xfId="0" applyFont="1" applyFill="1" applyBorder="1" applyAlignment="1">
      <alignment vertical="top"/>
    </xf>
    <xf numFmtId="0" fontId="17" fillId="8" borderId="25" xfId="0" applyFont="1" applyFill="1" applyBorder="1" applyAlignment="1">
      <alignment vertical="top"/>
    </xf>
    <xf numFmtId="0" fontId="7" fillId="8" borderId="37" xfId="0" applyFont="1" applyFill="1" applyBorder="1" applyAlignment="1">
      <alignment vertical="top" wrapText="1"/>
    </xf>
    <xf numFmtId="3" fontId="7" fillId="29" borderId="47" xfId="0" applyNumberFormat="1" applyFont="1" applyFill="1" applyBorder="1" applyAlignment="1">
      <alignment vertical="center"/>
    </xf>
    <xf numFmtId="0" fontId="25" fillId="8" borderId="5" xfId="0" applyFont="1" applyFill="1" applyBorder="1" applyAlignment="1">
      <alignment vertical="center" wrapText="1"/>
    </xf>
    <xf numFmtId="0" fontId="25" fillId="8" borderId="14" xfId="0" applyFont="1" applyFill="1" applyBorder="1" applyAlignment="1">
      <alignment horizontal="center" vertical="center" wrapText="1"/>
    </xf>
    <xf numFmtId="3" fontId="27" fillId="2" borderId="32" xfId="4" applyNumberFormat="1" applyFont="1" applyFill="1" applyBorder="1" applyAlignment="1">
      <alignment vertical="center" wrapText="1"/>
    </xf>
    <xf numFmtId="0" fontId="31" fillId="0" borderId="21" xfId="0" applyFont="1" applyFill="1" applyBorder="1" applyAlignment="1">
      <alignment vertical="top"/>
    </xf>
    <xf numFmtId="3" fontId="31" fillId="0" borderId="9" xfId="0" applyNumberFormat="1" applyFont="1" applyFill="1" applyBorder="1" applyAlignment="1">
      <alignment vertical="top"/>
    </xf>
    <xf numFmtId="0" fontId="7" fillId="6" borderId="28" xfId="0" applyFont="1" applyFill="1" applyBorder="1" applyAlignment="1">
      <alignment horizontal="left" vertical="center" wrapText="1"/>
    </xf>
    <xf numFmtId="3" fontId="27" fillId="2" borderId="83" xfId="4" applyNumberFormat="1" applyFont="1" applyFill="1" applyBorder="1" applyAlignment="1">
      <alignment vertical="center" wrapText="1"/>
    </xf>
    <xf numFmtId="0" fontId="31" fillId="0" borderId="84" xfId="0" applyFont="1" applyFill="1" applyBorder="1" applyAlignment="1">
      <alignment vertical="top"/>
    </xf>
    <xf numFmtId="3" fontId="31" fillId="0" borderId="47" xfId="0" applyNumberFormat="1" applyFont="1" applyFill="1" applyBorder="1" applyAlignment="1">
      <alignment horizontal="right" vertical="center"/>
    </xf>
    <xf numFmtId="0" fontId="7" fillId="6" borderId="20" xfId="0" applyFont="1" applyFill="1" applyBorder="1" applyAlignment="1">
      <alignment horizontal="left" vertical="center" wrapText="1"/>
    </xf>
    <xf numFmtId="3" fontId="21" fillId="0" borderId="0" xfId="0" applyNumberFormat="1" applyFont="1" applyFill="1" applyBorder="1" applyAlignment="1">
      <alignment vertical="top"/>
    </xf>
    <xf numFmtId="3" fontId="21" fillId="0" borderId="0" xfId="0" applyNumberFormat="1" applyFont="1" applyFill="1" applyBorder="1" applyAlignment="1">
      <alignment horizontal="right" vertical="center"/>
    </xf>
    <xf numFmtId="0" fontId="25" fillId="6" borderId="19" xfId="4" applyFont="1" applyFill="1" applyBorder="1" applyAlignment="1">
      <alignment horizontal="left" vertical="center"/>
    </xf>
    <xf numFmtId="0" fontId="25" fillId="6" borderId="16" xfId="4" applyFont="1" applyFill="1" applyBorder="1" applyAlignment="1">
      <alignment horizontal="left" vertical="center"/>
    </xf>
    <xf numFmtId="0" fontId="7" fillId="8" borderId="18" xfId="0" applyFont="1" applyFill="1" applyBorder="1" applyAlignment="1">
      <alignment vertical="top"/>
    </xf>
    <xf numFmtId="3" fontId="7" fillId="8" borderId="78" xfId="0" applyNumberFormat="1" applyFont="1" applyFill="1" applyBorder="1" applyAlignment="1">
      <alignment vertical="top"/>
    </xf>
    <xf numFmtId="0" fontId="24" fillId="6" borderId="21" xfId="4" applyFont="1" applyFill="1" applyBorder="1" applyAlignment="1">
      <alignment horizontal="left" vertical="center"/>
    </xf>
    <xf numFmtId="0" fontId="30" fillId="8" borderId="11" xfId="0" applyFont="1" applyFill="1" applyBorder="1" applyAlignment="1">
      <alignment vertical="top"/>
    </xf>
    <xf numFmtId="3" fontId="24" fillId="23" borderId="70" xfId="0" applyNumberFormat="1" applyFont="1" applyFill="1" applyBorder="1" applyAlignment="1">
      <alignment vertical="center"/>
    </xf>
    <xf numFmtId="0" fontId="16" fillId="2" borderId="86" xfId="0" applyFont="1" applyFill="1" applyBorder="1" applyAlignment="1">
      <alignment vertical="center"/>
    </xf>
    <xf numFmtId="0" fontId="34" fillId="2" borderId="51" xfId="0" applyFont="1" applyFill="1" applyBorder="1" applyAlignment="1">
      <alignment vertical="top"/>
    </xf>
    <xf numFmtId="0" fontId="34" fillId="0" borderId="79" xfId="0" applyFont="1" applyFill="1" applyBorder="1" applyAlignment="1">
      <alignment vertical="top"/>
    </xf>
    <xf numFmtId="3" fontId="24" fillId="30" borderId="35" xfId="0" applyNumberFormat="1" applyFont="1" applyFill="1" applyBorder="1" applyAlignment="1">
      <alignment vertical="center"/>
    </xf>
    <xf numFmtId="0" fontId="20" fillId="8" borderId="11" xfId="0" applyFont="1" applyFill="1" applyBorder="1" applyAlignment="1">
      <alignment vertical="center"/>
    </xf>
    <xf numFmtId="3" fontId="24" fillId="6" borderId="29" xfId="4" applyNumberFormat="1" applyFont="1" applyFill="1" applyBorder="1" applyAlignment="1">
      <alignment vertical="center"/>
    </xf>
    <xf numFmtId="3" fontId="24" fillId="6" borderId="30" xfId="4" applyNumberFormat="1" applyFont="1" applyFill="1" applyBorder="1" applyAlignment="1">
      <alignment vertical="center"/>
    </xf>
    <xf numFmtId="3" fontId="7" fillId="0" borderId="35" xfId="4" applyNumberFormat="1" applyFont="1" applyFill="1" applyBorder="1" applyAlignment="1">
      <alignment horizontal="right" vertical="center"/>
    </xf>
    <xf numFmtId="3" fontId="7" fillId="0" borderId="0" xfId="4" applyNumberFormat="1" applyFont="1" applyFill="1" applyBorder="1" applyAlignment="1">
      <alignment horizontal="right" vertical="center"/>
    </xf>
    <xf numFmtId="3" fontId="7" fillId="0" borderId="39" xfId="4" applyNumberFormat="1" applyFont="1" applyFill="1" applyBorder="1" applyAlignment="1">
      <alignment horizontal="right" vertical="center"/>
    </xf>
    <xf numFmtId="0" fontId="32" fillId="0" borderId="38" xfId="0" applyFont="1" applyBorder="1" applyAlignment="1">
      <alignment horizontal="center" vertical="center" wrapText="1"/>
    </xf>
    <xf numFmtId="3" fontId="7" fillId="0" borderId="50" xfId="4" applyNumberFormat="1" applyFont="1" applyFill="1" applyBorder="1" applyAlignment="1">
      <alignment horizontal="right" vertical="center"/>
    </xf>
    <xf numFmtId="3" fontId="25" fillId="6" borderId="9" xfId="4" applyNumberFormat="1" applyFont="1" applyFill="1" applyBorder="1" applyAlignment="1">
      <alignment horizontal="right" vertical="center"/>
    </xf>
    <xf numFmtId="0" fontId="24" fillId="28" borderId="5" xfId="4" applyFont="1" applyFill="1" applyBorder="1" applyAlignment="1">
      <alignment vertical="center" wrapText="1"/>
    </xf>
    <xf numFmtId="0" fontId="27" fillId="56" borderId="45" xfId="4" applyFont="1" applyFill="1" applyBorder="1" applyAlignment="1">
      <alignment horizontal="left" vertical="center"/>
    </xf>
    <xf numFmtId="0" fontId="27" fillId="56" borderId="16" xfId="4" applyFont="1" applyFill="1" applyBorder="1" applyAlignment="1">
      <alignment horizontal="left" vertical="center"/>
    </xf>
    <xf numFmtId="3" fontId="27" fillId="56" borderId="17" xfId="4" applyNumberFormat="1" applyFont="1" applyFill="1" applyBorder="1" applyAlignment="1">
      <alignment horizontal="right" vertical="center"/>
    </xf>
    <xf numFmtId="0" fontId="27" fillId="56" borderId="67" xfId="4" applyFont="1" applyFill="1" applyBorder="1" applyAlignment="1">
      <alignment horizontal="left" vertical="center"/>
    </xf>
    <xf numFmtId="0" fontId="27" fillId="56" borderId="6" xfId="4" applyFont="1" applyFill="1" applyBorder="1" applyAlignment="1">
      <alignment horizontal="left" vertical="center"/>
    </xf>
    <xf numFmtId="3" fontId="27" fillId="56" borderId="27" xfId="4" applyNumberFormat="1" applyFont="1" applyFill="1" applyBorder="1" applyAlignment="1">
      <alignment horizontal="right" vertical="center"/>
    </xf>
    <xf numFmtId="0" fontId="27" fillId="56" borderId="67" xfId="0" applyFont="1" applyFill="1" applyBorder="1" applyAlignment="1">
      <alignment horizontal="left" vertical="top"/>
    </xf>
    <xf numFmtId="0" fontId="28" fillId="56" borderId="6" xfId="0" quotePrefix="1" applyFont="1" applyFill="1" applyBorder="1" applyAlignment="1">
      <alignment horizontal="center" vertical="top"/>
    </xf>
    <xf numFmtId="3" fontId="27" fillId="56" borderId="27" xfId="0" quotePrefix="1" applyNumberFormat="1" applyFont="1" applyFill="1" applyBorder="1" applyAlignment="1">
      <alignment horizontal="right" vertical="top"/>
    </xf>
    <xf numFmtId="0" fontId="27" fillId="56" borderId="34" xfId="4" applyFont="1" applyFill="1" applyBorder="1" applyAlignment="1">
      <alignment horizontal="left" vertical="center"/>
    </xf>
    <xf numFmtId="3" fontId="27" fillId="56" borderId="29" xfId="4" applyNumberFormat="1" applyFont="1" applyFill="1" applyBorder="1" applyAlignment="1">
      <alignment horizontal="right" vertical="center"/>
    </xf>
    <xf numFmtId="3" fontId="27" fillId="56" borderId="9" xfId="4" applyNumberFormat="1" applyFont="1" applyFill="1" applyBorder="1" applyAlignment="1">
      <alignment horizontal="right" vertical="center"/>
    </xf>
    <xf numFmtId="0" fontId="27" fillId="56" borderId="46" xfId="0" applyFont="1" applyFill="1" applyBorder="1" applyAlignment="1">
      <alignment horizontal="left" vertical="top"/>
    </xf>
    <xf numFmtId="3" fontId="27" fillId="56" borderId="23" xfId="0" quotePrefix="1" applyNumberFormat="1" applyFont="1" applyFill="1" applyBorder="1" applyAlignment="1">
      <alignment horizontal="right" vertical="top"/>
    </xf>
    <xf numFmtId="3" fontId="29" fillId="2" borderId="32" xfId="4" applyNumberFormat="1" applyFont="1" applyFill="1" applyBorder="1" applyAlignment="1">
      <alignment vertical="center" wrapText="1"/>
    </xf>
    <xf numFmtId="3" fontId="31" fillId="0" borderId="13" xfId="0" applyNumberFormat="1" applyFont="1" applyFill="1" applyBorder="1" applyAlignment="1">
      <alignment vertical="top"/>
    </xf>
    <xf numFmtId="0" fontId="0" fillId="0" borderId="24" xfId="0" applyFont="1" applyBorder="1" applyAlignment="1">
      <alignment vertical="center"/>
    </xf>
    <xf numFmtId="3" fontId="0" fillId="0" borderId="0" xfId="0" applyNumberFormat="1" applyFont="1"/>
    <xf numFmtId="3" fontId="33" fillId="8" borderId="29" xfId="6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3" fontId="24" fillId="6" borderId="35" xfId="4" applyNumberFormat="1" applyFont="1" applyFill="1" applyBorder="1" applyAlignment="1">
      <alignment vertical="center"/>
    </xf>
    <xf numFmtId="3" fontId="24" fillId="8" borderId="3" xfId="4" applyNumberFormat="1" applyFont="1" applyFill="1" applyBorder="1" applyAlignment="1">
      <alignment horizontal="right" vertical="center"/>
    </xf>
    <xf numFmtId="3" fontId="31" fillId="0" borderId="72" xfId="4" applyNumberFormat="1" applyFont="1" applyFill="1" applyBorder="1" applyAlignment="1">
      <alignment horizontal="right" vertical="center"/>
    </xf>
    <xf numFmtId="3" fontId="25" fillId="23" borderId="71" xfId="4" applyNumberFormat="1" applyFont="1" applyFill="1" applyBorder="1" applyAlignment="1">
      <alignment horizontal="right" vertical="center"/>
    </xf>
    <xf numFmtId="3" fontId="27" fillId="26" borderId="31" xfId="4" applyNumberFormat="1" applyFont="1" applyFill="1" applyBorder="1" applyAlignment="1">
      <alignment horizontal="right" vertical="center"/>
    </xf>
    <xf numFmtId="3" fontId="31" fillId="26" borderId="64" xfId="4" applyNumberFormat="1" applyFont="1" applyFill="1" applyBorder="1" applyAlignment="1">
      <alignment horizontal="right" vertical="center"/>
    </xf>
    <xf numFmtId="3" fontId="24" fillId="8" borderId="2" xfId="0" applyNumberFormat="1" applyFont="1" applyFill="1" applyBorder="1" applyAlignment="1">
      <alignment vertical="center"/>
    </xf>
    <xf numFmtId="3" fontId="27" fillId="0" borderId="0" xfId="4" applyNumberFormat="1" applyFont="1" applyFill="1" applyBorder="1" applyAlignment="1">
      <alignment horizontal="right" vertical="center"/>
    </xf>
    <xf numFmtId="3" fontId="31" fillId="0" borderId="0" xfId="4" applyNumberFormat="1" applyFont="1" applyFill="1" applyBorder="1" applyAlignment="1">
      <alignment horizontal="right" vertical="center"/>
    </xf>
    <xf numFmtId="3" fontId="25" fillId="6" borderId="8" xfId="4" applyNumberFormat="1" applyFont="1" applyFill="1" applyBorder="1" applyAlignment="1">
      <alignment horizontal="right" vertical="center"/>
    </xf>
    <xf numFmtId="3" fontId="7" fillId="0" borderId="64" xfId="4" applyNumberFormat="1" applyFont="1" applyFill="1" applyBorder="1" applyAlignment="1">
      <alignment horizontal="right" vertical="center"/>
    </xf>
    <xf numFmtId="3" fontId="31" fillId="0" borderId="65" xfId="4" applyNumberFormat="1" applyFont="1" applyFill="1" applyBorder="1" applyAlignment="1">
      <alignment vertical="center"/>
    </xf>
    <xf numFmtId="3" fontId="8" fillId="0" borderId="29" xfId="0" applyNumberFormat="1" applyFont="1" applyFill="1" applyBorder="1" applyAlignment="1">
      <alignment vertical="center" wrapText="1"/>
    </xf>
    <xf numFmtId="3" fontId="8" fillId="2" borderId="9" xfId="0" applyNumberFormat="1" applyFont="1" applyFill="1" applyBorder="1" applyAlignment="1">
      <alignment vertical="center" wrapText="1"/>
    </xf>
    <xf numFmtId="3" fontId="7" fillId="13" borderId="47" xfId="4" applyNumberFormat="1" applyFont="1" applyFill="1" applyBorder="1" applyAlignment="1">
      <alignment horizontal="right" vertical="center"/>
    </xf>
    <xf numFmtId="3" fontId="7" fillId="13" borderId="72" xfId="4" applyNumberFormat="1" applyFont="1" applyFill="1" applyBorder="1" applyAlignment="1">
      <alignment horizontal="right" vertical="center"/>
    </xf>
    <xf numFmtId="3" fontId="8" fillId="6" borderId="17" xfId="0" applyNumberFormat="1" applyFont="1" applyFill="1" applyBorder="1"/>
    <xf numFmtId="0" fontId="11" fillId="0" borderId="0" xfId="0" applyFont="1" applyFill="1" applyAlignment="1">
      <alignment vertical="center"/>
    </xf>
    <xf numFmtId="3" fontId="24" fillId="8" borderId="7" xfId="4" applyNumberFormat="1" applyFont="1" applyFill="1" applyBorder="1" applyAlignment="1">
      <alignment horizontal="right" vertical="center"/>
    </xf>
    <xf numFmtId="3" fontId="24" fillId="24" borderId="7" xfId="4" applyNumberFormat="1" applyFont="1" applyFill="1" applyBorder="1" applyAlignment="1">
      <alignment horizontal="right"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7" fillId="8" borderId="17" xfId="0" applyFont="1" applyFill="1" applyBorder="1" applyAlignment="1">
      <alignment vertical="top"/>
    </xf>
    <xf numFmtId="3" fontId="8" fillId="6" borderId="63" xfId="0" applyNumberFormat="1" applyFont="1" applyFill="1" applyBorder="1"/>
    <xf numFmtId="0" fontId="32" fillId="0" borderId="20" xfId="0" applyFont="1" applyBorder="1" applyAlignment="1">
      <alignment vertical="center" wrapText="1"/>
    </xf>
    <xf numFmtId="0" fontId="7" fillId="28" borderId="32" xfId="4" applyFont="1" applyFill="1" applyBorder="1" applyAlignment="1">
      <alignment vertical="center" wrapText="1"/>
    </xf>
    <xf numFmtId="0" fontId="7" fillId="13" borderId="21" xfId="4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43" fontId="33" fillId="0" borderId="9" xfId="1" applyFont="1" applyFill="1" applyBorder="1" applyAlignment="1">
      <alignment vertical="center"/>
    </xf>
    <xf numFmtId="0" fontId="61" fillId="0" borderId="79" xfId="4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5" fillId="8" borderId="19" xfId="4" applyFont="1" applyFill="1" applyBorder="1" applyAlignment="1">
      <alignment horizontal="left" vertical="center" wrapText="1"/>
    </xf>
    <xf numFmtId="43" fontId="31" fillId="0" borderId="29" xfId="1" applyFont="1" applyFill="1" applyBorder="1" applyAlignment="1">
      <alignment horizontal="right" vertical="center"/>
    </xf>
    <xf numFmtId="3" fontId="31" fillId="0" borderId="29" xfId="4" applyNumberFormat="1" applyFont="1" applyFill="1" applyBorder="1" applyAlignment="1">
      <alignment vertical="center"/>
    </xf>
    <xf numFmtId="43" fontId="7" fillId="0" borderId="47" xfId="1" applyFont="1" applyFill="1" applyBorder="1" applyAlignment="1">
      <alignment horizontal="right" vertical="center"/>
    </xf>
    <xf numFmtId="43" fontId="27" fillId="0" borderId="30" xfId="1" applyFont="1" applyFill="1" applyBorder="1" applyAlignment="1">
      <alignment horizontal="right" vertical="center"/>
    </xf>
    <xf numFmtId="3" fontId="24" fillId="8" borderId="0" xfId="4" applyNumberFormat="1" applyFont="1" applyFill="1" applyBorder="1" applyAlignment="1">
      <alignment horizontal="right" vertical="center"/>
    </xf>
    <xf numFmtId="3" fontId="24" fillId="24" borderId="0" xfId="4" applyNumberFormat="1" applyFont="1" applyFill="1" applyBorder="1" applyAlignment="1">
      <alignment horizontal="right" vertical="center"/>
    </xf>
    <xf numFmtId="0" fontId="0" fillId="0" borderId="52" xfId="0" applyFont="1" applyBorder="1" applyAlignment="1">
      <alignment horizontal="center" vertical="center"/>
    </xf>
    <xf numFmtId="3" fontId="25" fillId="27" borderId="51" xfId="4" applyNumberFormat="1" applyFont="1" applyFill="1" applyBorder="1" applyAlignment="1">
      <alignment horizontal="center" vertical="center"/>
    </xf>
    <xf numFmtId="0" fontId="22" fillId="0" borderId="40" xfId="0" applyFont="1" applyBorder="1" applyAlignment="1">
      <alignment horizontal="center" vertical="center" wrapText="1"/>
    </xf>
    <xf numFmtId="43" fontId="23" fillId="6" borderId="29" xfId="1" applyFont="1" applyFill="1" applyBorder="1" applyAlignment="1">
      <alignment horizontal="right" vertical="center"/>
    </xf>
    <xf numFmtId="43" fontId="33" fillId="0" borderId="29" xfId="1" applyFont="1" applyFill="1" applyBorder="1" applyAlignment="1">
      <alignment horizontal="right" vertical="center"/>
    </xf>
    <xf numFmtId="43" fontId="31" fillId="0" borderId="65" xfId="1" applyFont="1" applyFill="1" applyBorder="1" applyAlignment="1">
      <alignment horizontal="right" vertical="center"/>
    </xf>
    <xf numFmtId="43" fontId="31" fillId="0" borderId="30" xfId="1" applyFont="1" applyFill="1" applyBorder="1" applyAlignment="1">
      <alignment horizontal="right" vertical="center"/>
    </xf>
    <xf numFmtId="43" fontId="27" fillId="0" borderId="71" xfId="1" applyFont="1" applyFill="1" applyBorder="1" applyAlignment="1">
      <alignment horizontal="right" vertical="center"/>
    </xf>
    <xf numFmtId="43" fontId="31" fillId="0" borderId="47" xfId="1" applyFont="1" applyFill="1" applyBorder="1" applyAlignment="1">
      <alignment horizontal="right" vertical="center"/>
    </xf>
    <xf numFmtId="43" fontId="31" fillId="0" borderId="75" xfId="1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left" vertical="center"/>
    </xf>
    <xf numFmtId="3" fontId="33" fillId="0" borderId="0" xfId="6" applyNumberFormat="1" applyFont="1" applyFill="1" applyBorder="1" applyAlignment="1">
      <alignment horizontal="right" vertical="center"/>
    </xf>
    <xf numFmtId="3" fontId="23" fillId="6" borderId="0" xfId="6" applyNumberFormat="1" applyFont="1" applyFill="1" applyBorder="1" applyAlignment="1">
      <alignment horizontal="right" vertical="center"/>
    </xf>
    <xf numFmtId="3" fontId="7" fillId="13" borderId="78" xfId="4" applyNumberFormat="1" applyFont="1" applyFill="1" applyBorder="1" applyAlignment="1">
      <alignment horizontal="right" vertical="center"/>
    </xf>
    <xf numFmtId="3" fontId="7" fillId="13" borderId="18" xfId="4" applyNumberFormat="1" applyFont="1" applyFill="1" applyBorder="1" applyAlignment="1">
      <alignment horizontal="right" vertical="center"/>
    </xf>
    <xf numFmtId="3" fontId="24" fillId="24" borderId="70" xfId="4" applyNumberFormat="1" applyFont="1" applyFill="1" applyBorder="1" applyAlignment="1">
      <alignment horizontal="right" vertical="center"/>
    </xf>
    <xf numFmtId="43" fontId="31" fillId="0" borderId="72" xfId="1" applyFont="1" applyFill="1" applyBorder="1" applyAlignment="1">
      <alignment horizontal="right" vertical="center"/>
    </xf>
    <xf numFmtId="0" fontId="19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37" fillId="33" borderId="0" xfId="0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0" fontId="11" fillId="0" borderId="0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21" fillId="0" borderId="0" xfId="0" applyFont="1" applyBorder="1" applyAlignment="1">
      <alignment vertical="top"/>
    </xf>
    <xf numFmtId="0" fontId="25" fillId="0" borderId="23" xfId="4" applyFont="1" applyBorder="1" applyAlignment="1">
      <alignment horizontal="center" vertical="center" wrapText="1"/>
    </xf>
    <xf numFmtId="3" fontId="0" fillId="0" borderId="0" xfId="0" applyNumberFormat="1" applyFont="1" applyBorder="1"/>
    <xf numFmtId="3" fontId="57" fillId="0" borderId="0" xfId="0" applyNumberFormat="1" applyFont="1" applyBorder="1" applyAlignment="1">
      <alignment vertical="top"/>
    </xf>
    <xf numFmtId="3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vertical="top"/>
    </xf>
    <xf numFmtId="3" fontId="29" fillId="8" borderId="89" xfId="0" applyNumberFormat="1" applyFont="1" applyFill="1" applyBorder="1" applyAlignment="1">
      <alignment vertical="center"/>
    </xf>
    <xf numFmtId="3" fontId="29" fillId="24" borderId="89" xfId="0" applyNumberFormat="1" applyFont="1" applyFill="1" applyBorder="1" applyAlignment="1">
      <alignment vertical="center"/>
    </xf>
    <xf numFmtId="3" fontId="18" fillId="8" borderId="43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8" fillId="34" borderId="0" xfId="0" applyFont="1" applyFill="1" applyBorder="1" applyAlignment="1">
      <alignment vertical="center"/>
    </xf>
    <xf numFmtId="3" fontId="7" fillId="29" borderId="89" xfId="0" applyNumberFormat="1" applyFont="1" applyFill="1" applyBorder="1" applyAlignment="1">
      <alignment vertical="center"/>
    </xf>
    <xf numFmtId="3" fontId="7" fillId="24" borderId="89" xfId="0" applyNumberFormat="1" applyFont="1" applyFill="1" applyBorder="1" applyAlignment="1">
      <alignment vertical="center"/>
    </xf>
    <xf numFmtId="0" fontId="57" fillId="0" borderId="0" xfId="0" applyFont="1" applyBorder="1" applyAlignment="1">
      <alignment vertical="top"/>
    </xf>
    <xf numFmtId="0" fontId="7" fillId="8" borderId="36" xfId="4" applyFont="1" applyFill="1" applyBorder="1" applyAlignment="1">
      <alignment horizontal="left" vertical="center"/>
    </xf>
    <xf numFmtId="3" fontId="7" fillId="29" borderId="28" xfId="0" applyNumberFormat="1" applyFont="1" applyFill="1" applyBorder="1" applyAlignment="1">
      <alignment vertical="center" wrapText="1"/>
    </xf>
    <xf numFmtId="3" fontId="7" fillId="29" borderId="9" xfId="0" applyNumberFormat="1" applyFont="1" applyFill="1" applyBorder="1" applyAlignment="1">
      <alignment vertical="center"/>
    </xf>
    <xf numFmtId="43" fontId="7" fillId="24" borderId="89" xfId="1" applyFont="1" applyFill="1" applyBorder="1" applyAlignment="1">
      <alignment vertical="center"/>
    </xf>
    <xf numFmtId="0" fontId="7" fillId="8" borderId="95" xfId="0" applyFont="1" applyFill="1" applyBorder="1" applyAlignment="1">
      <alignment vertical="top" wrapText="1"/>
    </xf>
    <xf numFmtId="0" fontId="7" fillId="8" borderId="90" xfId="0" applyFont="1" applyFill="1" applyBorder="1" applyAlignment="1">
      <alignment vertical="top" wrapText="1"/>
    </xf>
    <xf numFmtId="3" fontId="18" fillId="8" borderId="43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/>
    </xf>
    <xf numFmtId="0" fontId="18" fillId="34" borderId="0" xfId="0" applyFont="1" applyFill="1" applyBorder="1" applyAlignment="1">
      <alignment vertical="top"/>
    </xf>
    <xf numFmtId="0" fontId="7" fillId="8" borderId="28" xfId="0" applyFont="1" applyFill="1" applyBorder="1" applyAlignment="1">
      <alignment vertical="top" wrapText="1"/>
    </xf>
    <xf numFmtId="0" fontId="7" fillId="8" borderId="76" xfId="0" applyFont="1" applyFill="1" applyBorder="1" applyAlignment="1">
      <alignment vertical="top" wrapText="1"/>
    </xf>
    <xf numFmtId="3" fontId="18" fillId="8" borderId="41" xfId="0" applyNumberFormat="1" applyFont="1" applyFill="1" applyBorder="1" applyAlignment="1">
      <alignment horizontal="center" vertical="top" wrapText="1"/>
    </xf>
    <xf numFmtId="3" fontId="18" fillId="0" borderId="0" xfId="0" applyNumberFormat="1" applyFont="1" applyFill="1" applyBorder="1" applyAlignment="1">
      <alignment vertical="top"/>
    </xf>
    <xf numFmtId="0" fontId="7" fillId="24" borderId="2" xfId="0" applyFont="1" applyFill="1" applyBorder="1" applyAlignment="1">
      <alignment vertical="center"/>
    </xf>
    <xf numFmtId="3" fontId="25" fillId="6" borderId="91" xfId="0" applyNumberFormat="1" applyFont="1" applyFill="1" applyBorder="1" applyAlignment="1">
      <alignment vertical="top"/>
    </xf>
    <xf numFmtId="3" fontId="27" fillId="2" borderId="91" xfId="0" applyNumberFormat="1" applyFont="1" applyFill="1" applyBorder="1" applyAlignment="1">
      <alignment vertical="top"/>
    </xf>
    <xf numFmtId="3" fontId="25" fillId="26" borderId="89" xfId="0" applyNumberFormat="1" applyFont="1" applyFill="1" applyBorder="1" applyAlignment="1">
      <alignment vertical="top"/>
    </xf>
    <xf numFmtId="3" fontId="27" fillId="0" borderId="91" xfId="0" applyNumberFormat="1" applyFont="1" applyFill="1" applyBorder="1" applyAlignment="1">
      <alignment vertical="top"/>
    </xf>
    <xf numFmtId="3" fontId="31" fillId="0" borderId="89" xfId="0" applyNumberFormat="1" applyFont="1" applyFill="1" applyBorder="1" applyAlignment="1">
      <alignment vertical="top"/>
    </xf>
    <xf numFmtId="0" fontId="31" fillId="0" borderId="76" xfId="4" applyFont="1" applyFill="1" applyBorder="1" applyAlignment="1">
      <alignment vertical="center"/>
    </xf>
    <xf numFmtId="3" fontId="25" fillId="6" borderId="89" xfId="0" applyNumberFormat="1" applyFont="1" applyFill="1" applyBorder="1" applyAlignment="1">
      <alignment vertical="top"/>
    </xf>
    <xf numFmtId="3" fontId="27" fillId="2" borderId="89" xfId="0" applyNumberFormat="1" applyFont="1" applyFill="1" applyBorder="1" applyAlignment="1">
      <alignment vertical="top"/>
    </xf>
    <xf numFmtId="3" fontId="27" fillId="0" borderId="89" xfId="0" applyNumberFormat="1" applyFont="1" applyFill="1" applyBorder="1" applyAlignment="1">
      <alignment vertical="top"/>
    </xf>
    <xf numFmtId="0" fontId="7" fillId="24" borderId="2" xfId="0" applyFont="1" applyFill="1" applyBorder="1" applyAlignment="1">
      <alignment vertical="top"/>
    </xf>
    <xf numFmtId="3" fontId="21" fillId="0" borderId="47" xfId="0" applyNumberFormat="1" applyFont="1" applyFill="1" applyBorder="1" applyAlignment="1">
      <alignment horizontal="right" vertical="center"/>
    </xf>
    <xf numFmtId="0" fontId="39" fillId="0" borderId="0" xfId="0" applyFont="1" applyBorder="1"/>
    <xf numFmtId="3" fontId="13" fillId="0" borderId="0" xfId="0" applyNumberFormat="1" applyFont="1" applyFill="1" applyBorder="1" applyAlignment="1">
      <alignment horizontal="right" vertical="center"/>
    </xf>
    <xf numFmtId="3" fontId="25" fillId="6" borderId="91" xfId="0" applyNumberFormat="1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8" fillId="58" borderId="6" xfId="0" applyFont="1" applyFill="1" applyBorder="1" applyAlignment="1">
      <alignment vertical="top"/>
    </xf>
    <xf numFmtId="3" fontId="25" fillId="6" borderId="9" xfId="0" applyNumberFormat="1" applyFont="1" applyFill="1" applyBorder="1" applyAlignment="1">
      <alignment vertical="center"/>
    </xf>
    <xf numFmtId="3" fontId="27" fillId="56" borderId="12" xfId="4" applyNumberFormat="1" applyFont="1" applyFill="1" applyBorder="1" applyAlignment="1">
      <alignment horizontal="right" vertical="center"/>
    </xf>
    <xf numFmtId="0" fontId="24" fillId="29" borderId="11" xfId="0" applyFont="1" applyFill="1" applyBorder="1" applyAlignment="1">
      <alignment vertical="center"/>
    </xf>
    <xf numFmtId="3" fontId="25" fillId="23" borderId="35" xfId="0" applyNumberFormat="1" applyFont="1" applyFill="1" applyBorder="1" applyAlignment="1">
      <alignment vertical="center"/>
    </xf>
    <xf numFmtId="3" fontId="1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3" fontId="21" fillId="0" borderId="0" xfId="0" applyNumberFormat="1" applyFont="1" applyFill="1" applyBorder="1" applyAlignment="1">
      <alignment vertical="center"/>
    </xf>
    <xf numFmtId="0" fontId="21" fillId="34" borderId="0" xfId="0" applyFont="1" applyFill="1" applyBorder="1" applyAlignment="1">
      <alignment vertical="center"/>
    </xf>
    <xf numFmtId="3" fontId="31" fillId="29" borderId="13" xfId="0" applyNumberFormat="1" applyFont="1" applyFill="1" applyBorder="1" applyAlignment="1">
      <alignment vertical="center"/>
    </xf>
    <xf numFmtId="0" fontId="25" fillId="8" borderId="19" xfId="0" applyFont="1" applyFill="1" applyBorder="1" applyAlignment="1">
      <alignment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top" wrapText="1"/>
    </xf>
    <xf numFmtId="3" fontId="37" fillId="0" borderId="0" xfId="0" applyNumberFormat="1" applyFon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19" fillId="0" borderId="1" xfId="0" applyFont="1" applyBorder="1" applyAlignment="1">
      <alignment vertical="top"/>
    </xf>
    <xf numFmtId="0" fontId="20" fillId="0" borderId="3" xfId="0" applyFont="1" applyBorder="1" applyAlignment="1">
      <alignment vertical="top" wrapText="1"/>
    </xf>
    <xf numFmtId="0" fontId="0" fillId="0" borderId="3" xfId="0" applyFont="1" applyBorder="1" applyAlignment="1">
      <alignment vertical="top"/>
    </xf>
    <xf numFmtId="0" fontId="0" fillId="0" borderId="66" xfId="0" applyFont="1" applyBorder="1" applyAlignment="1">
      <alignment horizontal="center" vertical="top" wrapText="1"/>
    </xf>
    <xf numFmtId="0" fontId="19" fillId="0" borderId="26" xfId="0" applyFont="1" applyBorder="1" applyAlignment="1">
      <alignment vertical="top"/>
    </xf>
    <xf numFmtId="0" fontId="0" fillId="0" borderId="67" xfId="0" applyFont="1" applyBorder="1" applyAlignment="1">
      <alignment horizontal="center" vertical="top" wrapText="1"/>
    </xf>
    <xf numFmtId="0" fontId="19" fillId="0" borderId="68" xfId="0" applyFont="1" applyBorder="1" applyAlignment="1">
      <alignment vertical="top"/>
    </xf>
    <xf numFmtId="0" fontId="0" fillId="0" borderId="24" xfId="0" applyFont="1" applyBorder="1" applyAlignment="1">
      <alignment vertical="top"/>
    </xf>
    <xf numFmtId="0" fontId="0" fillId="0" borderId="69" xfId="0" applyFont="1" applyBorder="1" applyAlignment="1">
      <alignment horizontal="center" vertical="top" wrapText="1"/>
    </xf>
    <xf numFmtId="3" fontId="31" fillId="8" borderId="18" xfId="0" applyNumberFormat="1" applyFont="1" applyFill="1" applyBorder="1" applyAlignment="1">
      <alignment vertical="top"/>
    </xf>
    <xf numFmtId="3" fontId="31" fillId="8" borderId="78" xfId="0" applyNumberFormat="1" applyFont="1" applyFill="1" applyBorder="1" applyAlignment="1">
      <alignment vertical="top"/>
    </xf>
    <xf numFmtId="3" fontId="7" fillId="8" borderId="18" xfId="0" applyNumberFormat="1" applyFont="1" applyFill="1" applyBorder="1" applyAlignment="1">
      <alignment vertical="top"/>
    </xf>
    <xf numFmtId="0" fontId="0" fillId="0" borderId="35" xfId="0" applyFont="1" applyBorder="1"/>
    <xf numFmtId="0" fontId="0" fillId="0" borderId="101" xfId="0" applyFont="1" applyBorder="1"/>
    <xf numFmtId="0" fontId="0" fillId="0" borderId="100" xfId="0" applyFont="1" applyBorder="1"/>
    <xf numFmtId="3" fontId="0" fillId="0" borderId="100" xfId="0" applyNumberFormat="1" applyFont="1" applyBorder="1"/>
    <xf numFmtId="0" fontId="39" fillId="0" borderId="100" xfId="0" applyFont="1" applyBorder="1"/>
    <xf numFmtId="0" fontId="0" fillId="0" borderId="100" xfId="0" applyFont="1" applyFill="1" applyBorder="1"/>
    <xf numFmtId="0" fontId="0" fillId="0" borderId="100" xfId="0" applyFont="1" applyBorder="1" applyAlignment="1">
      <alignment vertical="center"/>
    </xf>
    <xf numFmtId="0" fontId="27" fillId="56" borderId="28" xfId="4" applyFont="1" applyFill="1" applyBorder="1" applyAlignment="1">
      <alignment horizontal="left" vertical="center"/>
    </xf>
    <xf numFmtId="3" fontId="27" fillId="56" borderId="91" xfId="4" applyNumberFormat="1" applyFont="1" applyFill="1" applyBorder="1" applyAlignment="1">
      <alignment horizontal="right" vertical="center"/>
    </xf>
    <xf numFmtId="3" fontId="31" fillId="0" borderId="12" xfId="0" applyNumberFormat="1" applyFont="1" applyFill="1" applyBorder="1" applyAlignment="1">
      <alignment vertical="top"/>
    </xf>
    <xf numFmtId="3" fontId="31" fillId="0" borderId="100" xfId="0" applyNumberFormat="1" applyFont="1" applyFill="1" applyBorder="1" applyAlignment="1">
      <alignment vertical="top"/>
    </xf>
    <xf numFmtId="0" fontId="20" fillId="0" borderId="0" xfId="0" applyFont="1" applyBorder="1" applyAlignment="1">
      <alignment vertical="top"/>
    </xf>
    <xf numFmtId="0" fontId="7" fillId="6" borderId="28" xfId="0" applyFont="1" applyFill="1" applyBorder="1" applyAlignment="1">
      <alignment vertical="center" wrapText="1"/>
    </xf>
    <xf numFmtId="3" fontId="24" fillId="6" borderId="35" xfId="0" applyNumberFormat="1" applyFont="1" applyFill="1" applyBorder="1" applyAlignment="1">
      <alignment vertical="center"/>
    </xf>
    <xf numFmtId="3" fontId="7" fillId="0" borderId="99" xfId="4" applyNumberFormat="1" applyFont="1" applyFill="1" applyBorder="1" applyAlignment="1">
      <alignment horizontal="right" vertical="center"/>
    </xf>
    <xf numFmtId="3" fontId="25" fillId="6" borderId="101" xfId="0" applyNumberFormat="1" applyFont="1" applyFill="1" applyBorder="1" applyAlignment="1">
      <alignment vertical="top"/>
    </xf>
    <xf numFmtId="3" fontId="27" fillId="2" borderId="101" xfId="0" applyNumberFormat="1" applyFont="1" applyFill="1" applyBorder="1" applyAlignment="1">
      <alignment vertical="top"/>
    </xf>
    <xf numFmtId="3" fontId="27" fillId="0" borderId="101" xfId="0" applyNumberFormat="1" applyFont="1" applyFill="1" applyBorder="1" applyAlignment="1">
      <alignment vertical="top"/>
    </xf>
    <xf numFmtId="0" fontId="15" fillId="2" borderId="9" xfId="0" applyFont="1" applyFill="1" applyBorder="1" applyAlignment="1">
      <alignment horizontal="right" vertical="center"/>
    </xf>
    <xf numFmtId="0" fontId="15" fillId="2" borderId="101" xfId="0" applyFont="1" applyFill="1" applyBorder="1" applyAlignment="1">
      <alignment horizontal="right" vertical="center"/>
    </xf>
    <xf numFmtId="0" fontId="24" fillId="8" borderId="19" xfId="4" applyFont="1" applyFill="1" applyBorder="1" applyAlignment="1">
      <alignment vertical="center" wrapText="1"/>
    </xf>
    <xf numFmtId="3" fontId="24" fillId="8" borderId="78" xfId="4" applyNumberFormat="1" applyFont="1" applyFill="1" applyBorder="1" applyAlignment="1">
      <alignment horizontal="right" vertical="center"/>
    </xf>
    <xf numFmtId="3" fontId="33" fillId="0" borderId="71" xfId="6" applyNumberFormat="1" applyFont="1" applyFill="1" applyBorder="1" applyAlignment="1">
      <alignment vertical="center"/>
    </xf>
    <xf numFmtId="0" fontId="27" fillId="56" borderId="92" xfId="4" applyFont="1" applyFill="1" applyBorder="1" applyAlignment="1">
      <alignment horizontal="left" vertical="center"/>
    </xf>
    <xf numFmtId="0" fontId="31" fillId="0" borderId="32" xfId="4" applyFont="1" applyFill="1" applyBorder="1" applyAlignment="1">
      <alignment vertical="center"/>
    </xf>
    <xf numFmtId="0" fontId="63" fillId="58" borderId="21" xfId="0" applyFont="1" applyFill="1" applyBorder="1"/>
    <xf numFmtId="0" fontId="39" fillId="60" borderId="0" xfId="0" applyFont="1" applyFill="1" applyBorder="1"/>
    <xf numFmtId="0" fontId="31" fillId="6" borderId="28" xfId="0" applyFont="1" applyFill="1" applyBorder="1" applyAlignment="1">
      <alignment vertical="center"/>
    </xf>
    <xf numFmtId="3" fontId="25" fillId="23" borderId="91" xfId="0" applyNumberFormat="1" applyFont="1" applyFill="1" applyBorder="1" applyAlignment="1">
      <alignment vertical="center"/>
    </xf>
    <xf numFmtId="3" fontId="27" fillId="2" borderId="9" xfId="0" applyNumberFormat="1" applyFont="1" applyFill="1" applyBorder="1" applyAlignment="1">
      <alignment vertical="top"/>
    </xf>
    <xf numFmtId="3" fontId="7" fillId="24" borderId="100" xfId="0" applyNumberFormat="1" applyFont="1" applyFill="1" applyBorder="1" applyAlignment="1">
      <alignment horizontal="center" vertical="center"/>
    </xf>
    <xf numFmtId="0" fontId="7" fillId="0" borderId="32" xfId="4" applyFont="1" applyFill="1" applyBorder="1" applyAlignment="1">
      <alignment vertical="center"/>
    </xf>
    <xf numFmtId="3" fontId="23" fillId="6" borderId="114" xfId="6" applyNumberFormat="1" applyFont="1" applyFill="1" applyBorder="1" applyAlignment="1">
      <alignment horizontal="right" vertical="center"/>
    </xf>
    <xf numFmtId="43" fontId="23" fillId="6" borderId="114" xfId="1" applyFont="1" applyFill="1" applyBorder="1" applyAlignment="1">
      <alignment horizontal="right" vertical="center"/>
    </xf>
    <xf numFmtId="3" fontId="27" fillId="56" borderId="6" xfId="4" applyNumberFormat="1" applyFont="1" applyFill="1" applyBorder="1" applyAlignment="1">
      <alignment horizontal="left" vertical="center"/>
    </xf>
    <xf numFmtId="3" fontId="29" fillId="8" borderId="30" xfId="4" applyNumberFormat="1" applyFont="1" applyFill="1" applyBorder="1" applyAlignment="1">
      <alignment horizontal="right" vertical="center"/>
    </xf>
    <xf numFmtId="3" fontId="7" fillId="8" borderId="29" xfId="4" applyNumberFormat="1" applyFont="1" applyFill="1" applyBorder="1" applyAlignment="1">
      <alignment horizontal="right" vertical="center"/>
    </xf>
    <xf numFmtId="0" fontId="7" fillId="8" borderId="73" xfId="4" applyFont="1" applyFill="1" applyBorder="1" applyAlignment="1">
      <alignment vertical="center"/>
    </xf>
    <xf numFmtId="0" fontId="24" fillId="8" borderId="36" xfId="4" applyFont="1" applyFill="1" applyBorder="1" applyAlignment="1">
      <alignment vertical="center" wrapText="1"/>
    </xf>
    <xf numFmtId="0" fontId="7" fillId="0" borderId="76" xfId="4" applyFont="1" applyFill="1" applyBorder="1" applyAlignment="1">
      <alignment horizontal="left" vertical="center"/>
    </xf>
    <xf numFmtId="0" fontId="7" fillId="0" borderId="32" xfId="4" applyFont="1" applyFill="1" applyBorder="1" applyAlignment="1">
      <alignment horizontal="left" vertical="center"/>
    </xf>
    <xf numFmtId="0" fontId="7" fillId="0" borderId="21" xfId="4" applyFont="1" applyFill="1" applyBorder="1" applyAlignment="1">
      <alignment horizontal="left" vertical="center"/>
    </xf>
    <xf numFmtId="0" fontId="31" fillId="0" borderId="76" xfId="4" applyFont="1" applyFill="1" applyBorder="1" applyAlignment="1">
      <alignment horizontal="left" vertical="center"/>
    </xf>
    <xf numFmtId="0" fontId="31" fillId="0" borderId="32" xfId="4" applyFont="1" applyFill="1" applyBorder="1" applyAlignment="1">
      <alignment horizontal="left" vertical="center"/>
    </xf>
    <xf numFmtId="0" fontId="23" fillId="0" borderId="73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3" fontId="25" fillId="23" borderId="113" xfId="4" applyNumberFormat="1" applyFont="1" applyFill="1" applyBorder="1" applyAlignment="1">
      <alignment horizontal="right" vertical="center"/>
    </xf>
    <xf numFmtId="3" fontId="27" fillId="26" borderId="114" xfId="4" applyNumberFormat="1" applyFont="1" applyFill="1" applyBorder="1" applyAlignment="1">
      <alignment horizontal="right" vertical="center"/>
    </xf>
    <xf numFmtId="3" fontId="33" fillId="0" borderId="114" xfId="6" applyNumberFormat="1" applyFont="1" applyFill="1" applyBorder="1" applyAlignment="1">
      <alignment horizontal="right" vertical="center"/>
    </xf>
    <xf numFmtId="43" fontId="33" fillId="0" borderId="114" xfId="1" applyFont="1" applyFill="1" applyBorder="1" applyAlignment="1">
      <alignment horizontal="right" vertical="center"/>
    </xf>
    <xf numFmtId="0" fontId="0" fillId="0" borderId="11" xfId="0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0" fontId="17" fillId="0" borderId="52" xfId="4" applyFont="1" applyFill="1" applyBorder="1" applyAlignment="1">
      <alignment horizontal="center" vertical="center"/>
    </xf>
    <xf numFmtId="3" fontId="27" fillId="2" borderId="38" xfId="4" applyNumberFormat="1" applyFont="1" applyFill="1" applyBorder="1" applyAlignment="1">
      <alignment horizontal="center" vertical="center" wrapText="1"/>
    </xf>
    <xf numFmtId="3" fontId="27" fillId="27" borderId="77" xfId="4" applyNumberFormat="1" applyFont="1" applyFill="1" applyBorder="1" applyAlignment="1">
      <alignment horizontal="center" vertical="center"/>
    </xf>
    <xf numFmtId="0" fontId="39" fillId="0" borderId="40" xfId="0" applyFont="1" applyBorder="1" applyAlignment="1">
      <alignment horizontal="center" vertical="center" wrapText="1"/>
    </xf>
    <xf numFmtId="0" fontId="27" fillId="2" borderId="32" xfId="4" applyFont="1" applyFill="1" applyBorder="1" applyAlignment="1">
      <alignment vertical="center"/>
    </xf>
    <xf numFmtId="0" fontId="0" fillId="0" borderId="115" xfId="0" applyFont="1" applyBorder="1" applyAlignment="1">
      <alignment vertical="center"/>
    </xf>
    <xf numFmtId="0" fontId="39" fillId="0" borderId="115" xfId="0" applyFont="1" applyBorder="1"/>
    <xf numFmtId="0" fontId="64" fillId="8" borderId="20" xfId="4" applyFont="1" applyFill="1" applyBorder="1" applyAlignment="1">
      <alignment vertical="center" wrapText="1"/>
    </xf>
    <xf numFmtId="3" fontId="64" fillId="8" borderId="29" xfId="0" applyNumberFormat="1" applyFont="1" applyFill="1" applyBorder="1" applyAlignment="1">
      <alignment vertical="center" wrapText="1"/>
    </xf>
    <xf numFmtId="43" fontId="64" fillId="8" borderId="29" xfId="1" applyFont="1" applyFill="1" applyBorder="1" applyAlignment="1">
      <alignment vertical="center" wrapText="1"/>
    </xf>
    <xf numFmtId="3" fontId="8" fillId="0" borderId="0" xfId="0" applyNumberFormat="1" applyFont="1" applyFill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8" fillId="0" borderId="27" xfId="0" applyNumberFormat="1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 wrapText="1"/>
    </xf>
    <xf numFmtId="43" fontId="8" fillId="0" borderId="35" xfId="1" applyFont="1" applyFill="1" applyBorder="1" applyAlignment="1">
      <alignment vertical="center" wrapText="1"/>
    </xf>
    <xf numFmtId="3" fontId="8" fillId="0" borderId="35" xfId="0" applyNumberFormat="1" applyFont="1" applyFill="1" applyBorder="1" applyAlignment="1">
      <alignment vertical="center" wrapText="1"/>
    </xf>
    <xf numFmtId="3" fontId="7" fillId="26" borderId="0" xfId="4" applyNumberFormat="1" applyFont="1" applyFill="1" applyBorder="1" applyAlignment="1">
      <alignment horizontal="right" vertical="center"/>
    </xf>
    <xf numFmtId="3" fontId="32" fillId="0" borderId="101" xfId="6" applyNumberFormat="1" applyFont="1" applyFill="1" applyBorder="1" applyAlignment="1">
      <alignment vertical="center"/>
    </xf>
    <xf numFmtId="3" fontId="7" fillId="0" borderId="47" xfId="4" applyNumberFormat="1" applyFont="1" applyFill="1" applyBorder="1" applyAlignment="1">
      <alignment horizontal="center" vertical="center"/>
    </xf>
    <xf numFmtId="3" fontId="31" fillId="2" borderId="74" xfId="4" applyNumberFormat="1" applyFont="1" applyFill="1" applyBorder="1" applyAlignment="1">
      <alignment vertical="center"/>
    </xf>
    <xf numFmtId="43" fontId="24" fillId="8" borderId="2" xfId="1" applyFont="1" applyFill="1" applyBorder="1" applyAlignment="1">
      <alignment horizontal="right" vertical="center"/>
    </xf>
    <xf numFmtId="43" fontId="31" fillId="0" borderId="27" xfId="1" applyFont="1" applyFill="1" applyBorder="1" applyAlignment="1">
      <alignment horizontal="right" vertical="center"/>
    </xf>
    <xf numFmtId="3" fontId="7" fillId="0" borderId="119" xfId="4" applyNumberFormat="1" applyFont="1" applyFill="1" applyBorder="1" applyAlignment="1">
      <alignment horizontal="right" vertical="center"/>
    </xf>
    <xf numFmtId="3" fontId="31" fillId="0" borderId="119" xfId="4" applyNumberFormat="1" applyFont="1" applyFill="1" applyBorder="1" applyAlignment="1">
      <alignment horizontal="right" vertical="center"/>
    </xf>
    <xf numFmtId="0" fontId="24" fillId="6" borderId="122" xfId="4" applyFont="1" applyFill="1" applyBorder="1" applyAlignment="1">
      <alignment horizontal="left" vertical="center"/>
    </xf>
    <xf numFmtId="3" fontId="25" fillId="8" borderId="70" xfId="0" applyNumberFormat="1" applyFont="1" applyFill="1" applyBorder="1" applyAlignment="1">
      <alignment vertical="top"/>
    </xf>
    <xf numFmtId="3" fontId="31" fillId="0" borderId="123" xfId="0" applyNumberFormat="1" applyFont="1" applyFill="1" applyBorder="1" applyAlignment="1">
      <alignment vertical="top"/>
    </xf>
    <xf numFmtId="3" fontId="31" fillId="0" borderId="123" xfId="0" applyNumberFormat="1" applyFont="1" applyFill="1" applyBorder="1" applyAlignment="1">
      <alignment vertical="center"/>
    </xf>
    <xf numFmtId="3" fontId="31" fillId="2" borderId="123" xfId="0" applyNumberFormat="1" applyFont="1" applyFill="1" applyBorder="1" applyAlignment="1">
      <alignment vertical="center"/>
    </xf>
    <xf numFmtId="3" fontId="27" fillId="0" borderId="123" xfId="0" applyNumberFormat="1" applyFont="1" applyFill="1" applyBorder="1" applyAlignment="1">
      <alignment vertical="top"/>
    </xf>
    <xf numFmtId="0" fontId="0" fillId="0" borderId="125" xfId="0" applyFont="1" applyBorder="1"/>
    <xf numFmtId="3" fontId="0" fillId="0" borderId="125" xfId="0" applyNumberFormat="1" applyFont="1" applyBorder="1"/>
    <xf numFmtId="0" fontId="39" fillId="0" borderId="125" xfId="0" applyFont="1" applyBorder="1"/>
    <xf numFmtId="3" fontId="0" fillId="57" borderId="125" xfId="0" applyNumberFormat="1" applyFont="1" applyFill="1" applyBorder="1"/>
    <xf numFmtId="0" fontId="0" fillId="0" borderId="125" xfId="0" applyFont="1" applyBorder="1" applyAlignment="1">
      <alignment vertical="center"/>
    </xf>
    <xf numFmtId="0" fontId="25" fillId="6" borderId="123" xfId="4" applyFont="1" applyFill="1" applyBorder="1" applyAlignment="1">
      <alignment horizontal="left" vertical="center"/>
    </xf>
    <xf numFmtId="0" fontId="32" fillId="0" borderId="123" xfId="0" applyFont="1" applyBorder="1"/>
    <xf numFmtId="3" fontId="31" fillId="24" borderId="123" xfId="0" applyNumberFormat="1" applyFont="1" applyFill="1" applyBorder="1" applyAlignment="1">
      <alignment vertical="center"/>
    </xf>
    <xf numFmtId="3" fontId="21" fillId="0" borderId="0" xfId="0" applyNumberFormat="1" applyFont="1" applyBorder="1" applyAlignment="1">
      <alignment vertical="top"/>
    </xf>
    <xf numFmtId="0" fontId="59" fillId="0" borderId="0" xfId="0" applyFont="1" applyFill="1" applyBorder="1" applyAlignment="1">
      <alignment vertical="top"/>
    </xf>
    <xf numFmtId="0" fontId="59" fillId="31" borderId="0" xfId="0" applyFont="1" applyFill="1" applyBorder="1" applyAlignment="1">
      <alignment vertical="top"/>
    </xf>
    <xf numFmtId="0" fontId="21" fillId="0" borderId="0" xfId="0" applyFont="1" applyBorder="1" applyAlignment="1">
      <alignment horizontal="center" vertical="top" wrapText="1"/>
    </xf>
    <xf numFmtId="0" fontId="25" fillId="6" borderId="117" xfId="4" applyFont="1" applyFill="1" applyBorder="1" applyAlignment="1">
      <alignment horizontal="left" vertical="center"/>
    </xf>
    <xf numFmtId="0" fontId="21" fillId="0" borderId="67" xfId="0" applyFont="1" applyBorder="1" applyAlignment="1">
      <alignment vertical="top"/>
    </xf>
    <xf numFmtId="0" fontId="0" fillId="0" borderId="68" xfId="0" applyFont="1" applyBorder="1" applyAlignment="1">
      <alignment horizontal="center" vertical="center"/>
    </xf>
    <xf numFmtId="0" fontId="31" fillId="0" borderId="24" xfId="4" applyFont="1" applyFill="1" applyBorder="1" applyAlignment="1">
      <alignment vertical="center"/>
    </xf>
    <xf numFmtId="0" fontId="23" fillId="0" borderId="24" xfId="0" applyFont="1" applyBorder="1" applyAlignment="1">
      <alignment horizontal="center" vertical="center" wrapText="1"/>
    </xf>
    <xf numFmtId="3" fontId="31" fillId="0" borderId="24" xfId="0" applyNumberFormat="1" applyFont="1" applyFill="1" applyBorder="1" applyAlignment="1">
      <alignment vertical="top"/>
    </xf>
    <xf numFmtId="3" fontId="31" fillId="0" borderId="24" xfId="0" applyNumberFormat="1" applyFont="1" applyFill="1" applyBorder="1" applyAlignment="1">
      <alignment horizontal="right" vertical="center"/>
    </xf>
    <xf numFmtId="3" fontId="25" fillId="23" borderId="24" xfId="0" applyNumberFormat="1" applyFont="1" applyFill="1" applyBorder="1" applyAlignment="1">
      <alignment horizontal="center" vertical="center"/>
    </xf>
    <xf numFmtId="0" fontId="23" fillId="0" borderId="69" xfId="0" applyFont="1" applyBorder="1" applyAlignment="1">
      <alignment horizontal="center" wrapText="1"/>
    </xf>
    <xf numFmtId="0" fontId="59" fillId="2" borderId="0" xfId="0" applyFont="1" applyFill="1" applyBorder="1" applyAlignment="1">
      <alignment vertical="top"/>
    </xf>
    <xf numFmtId="0" fontId="59" fillId="2" borderId="0" xfId="0" applyFont="1" applyFill="1" applyBorder="1" applyAlignment="1"/>
    <xf numFmtId="0" fontId="40" fillId="2" borderId="0" xfId="0" applyFont="1" applyFill="1" applyBorder="1" applyAlignment="1"/>
    <xf numFmtId="3" fontId="59" fillId="2" borderId="0" xfId="0" applyNumberFormat="1" applyFont="1" applyFill="1" applyBorder="1" applyAlignment="1">
      <alignment vertical="top"/>
    </xf>
    <xf numFmtId="0" fontId="20" fillId="2" borderId="1" xfId="0" applyFont="1" applyFill="1" applyBorder="1" applyAlignment="1">
      <alignment horizontal="center" vertical="top"/>
    </xf>
    <xf numFmtId="0" fontId="20" fillId="2" borderId="26" xfId="0" applyFont="1" applyFill="1" applyBorder="1" applyAlignment="1">
      <alignment horizontal="center" vertical="top"/>
    </xf>
    <xf numFmtId="0" fontId="21" fillId="8" borderId="43" xfId="0" quotePrefix="1" applyFont="1" applyFill="1" applyBorder="1" applyAlignment="1">
      <alignment horizontal="center" vertical="top"/>
    </xf>
    <xf numFmtId="3" fontId="31" fillId="24" borderId="123" xfId="0" applyNumberFormat="1" applyFont="1" applyFill="1" applyBorder="1" applyAlignment="1">
      <alignment vertical="top"/>
    </xf>
    <xf numFmtId="3" fontId="31" fillId="24" borderId="123" xfId="0" applyNumberFormat="1" applyFont="1" applyFill="1" applyBorder="1" applyAlignment="1">
      <alignment horizontal="center" vertical="top"/>
    </xf>
    <xf numFmtId="3" fontId="25" fillId="6" borderId="123" xfId="0" applyNumberFormat="1" applyFont="1" applyFill="1" applyBorder="1" applyAlignment="1">
      <alignment vertical="top"/>
    </xf>
    <xf numFmtId="3" fontId="31" fillId="8" borderId="35" xfId="0" applyNumberFormat="1" applyFont="1" applyFill="1" applyBorder="1" applyAlignment="1">
      <alignment vertical="top"/>
    </xf>
    <xf numFmtId="3" fontId="31" fillId="24" borderId="10" xfId="0" applyNumberFormat="1" applyFont="1" applyFill="1" applyBorder="1" applyAlignment="1">
      <alignment vertical="top"/>
    </xf>
    <xf numFmtId="3" fontId="25" fillId="23" borderId="123" xfId="0" applyNumberFormat="1" applyFont="1" applyFill="1" applyBorder="1" applyAlignment="1">
      <alignment vertical="top"/>
    </xf>
    <xf numFmtId="3" fontId="27" fillId="2" borderId="123" xfId="4" applyNumberFormat="1" applyFont="1" applyFill="1" applyBorder="1" applyAlignment="1">
      <alignment vertical="top" wrapText="1"/>
    </xf>
    <xf numFmtId="3" fontId="25" fillId="26" borderId="123" xfId="0" applyNumberFormat="1" applyFont="1" applyFill="1" applyBorder="1" applyAlignment="1">
      <alignment vertical="top"/>
    </xf>
    <xf numFmtId="3" fontId="31" fillId="0" borderId="119" xfId="0" applyNumberFormat="1" applyFont="1" applyFill="1" applyBorder="1" applyAlignment="1">
      <alignment vertical="top"/>
    </xf>
    <xf numFmtId="0" fontId="27" fillId="2" borderId="35" xfId="4" applyFont="1" applyFill="1" applyBorder="1" applyAlignment="1">
      <alignment vertical="top"/>
    </xf>
    <xf numFmtId="3" fontId="27" fillId="0" borderId="35" xfId="0" applyNumberFormat="1" applyFont="1" applyFill="1" applyBorder="1" applyAlignment="1">
      <alignment vertical="top"/>
    </xf>
    <xf numFmtId="0" fontId="31" fillId="0" borderId="119" xfId="4" applyFont="1" applyFill="1" applyBorder="1" applyAlignment="1">
      <alignment vertical="center"/>
    </xf>
    <xf numFmtId="0" fontId="20" fillId="0" borderId="0" xfId="0" applyFont="1" applyFill="1" applyBorder="1" applyAlignment="1">
      <alignment vertical="top"/>
    </xf>
    <xf numFmtId="0" fontId="25" fillId="8" borderId="70" xfId="0" applyFont="1" applyFill="1" applyBorder="1" applyAlignment="1">
      <alignment vertical="center" wrapText="1"/>
    </xf>
    <xf numFmtId="0" fontId="25" fillId="8" borderId="70" xfId="0" applyFont="1" applyFill="1" applyBorder="1" applyAlignment="1">
      <alignment horizontal="center" vertical="center" wrapText="1"/>
    </xf>
    <xf numFmtId="0" fontId="31" fillId="6" borderId="123" xfId="0" applyFont="1" applyFill="1" applyBorder="1" applyAlignment="1">
      <alignment vertical="top"/>
    </xf>
    <xf numFmtId="3" fontId="31" fillId="2" borderId="123" xfId="0" applyNumberFormat="1" applyFont="1" applyFill="1" applyBorder="1" applyAlignment="1">
      <alignment vertical="top"/>
    </xf>
    <xf numFmtId="3" fontId="27" fillId="26" borderId="35" xfId="0" applyNumberFormat="1" applyFont="1" applyFill="1" applyBorder="1" applyAlignment="1">
      <alignment horizontal="center" vertical="top"/>
    </xf>
    <xf numFmtId="0" fontId="20" fillId="0" borderId="0" xfId="0" applyFont="1" applyFill="1" applyBorder="1" applyAlignment="1">
      <alignment vertical="center"/>
    </xf>
    <xf numFmtId="3" fontId="20" fillId="0" borderId="0" xfId="0" applyNumberFormat="1" applyFont="1" applyFill="1" applyBorder="1" applyAlignment="1">
      <alignment vertical="center"/>
    </xf>
    <xf numFmtId="3" fontId="31" fillId="0" borderId="119" xfId="0" applyNumberFormat="1" applyFont="1" applyFill="1" applyBorder="1" applyAlignment="1">
      <alignment vertical="center"/>
    </xf>
    <xf numFmtId="0" fontId="31" fillId="8" borderId="70" xfId="0" applyFont="1" applyFill="1" applyBorder="1" applyAlignment="1">
      <alignment vertical="top"/>
    </xf>
    <xf numFmtId="3" fontId="31" fillId="8" borderId="70" xfId="0" applyNumberFormat="1" applyFont="1" applyFill="1" applyBorder="1" applyAlignment="1">
      <alignment vertical="top"/>
    </xf>
    <xf numFmtId="3" fontId="31" fillId="8" borderId="2" xfId="0" applyNumberFormat="1" applyFont="1" applyFill="1" applyBorder="1" applyAlignment="1">
      <alignment vertical="top"/>
    </xf>
    <xf numFmtId="3" fontId="31" fillId="26" borderId="123" xfId="0" applyNumberFormat="1" applyFont="1" applyFill="1" applyBorder="1" applyAlignment="1">
      <alignment horizontal="center" vertical="top"/>
    </xf>
    <xf numFmtId="3" fontId="25" fillId="0" borderId="123" xfId="0" applyNumberFormat="1" applyFont="1" applyFill="1" applyBorder="1" applyAlignment="1">
      <alignment vertical="top"/>
    </xf>
    <xf numFmtId="3" fontId="20" fillId="0" borderId="0" xfId="0" applyNumberFormat="1" applyFont="1" applyFill="1" applyBorder="1" applyAlignment="1">
      <alignment vertical="top"/>
    </xf>
    <xf numFmtId="3" fontId="31" fillId="24" borderId="2" xfId="0" applyNumberFormat="1" applyFont="1" applyFill="1" applyBorder="1" applyAlignment="1">
      <alignment vertical="top"/>
    </xf>
    <xf numFmtId="3" fontId="27" fillId="26" borderId="123" xfId="0" applyNumberFormat="1" applyFont="1" applyFill="1" applyBorder="1" applyAlignment="1">
      <alignment vertical="top"/>
    </xf>
    <xf numFmtId="0" fontId="31" fillId="0" borderId="123" xfId="0" applyFont="1" applyFill="1" applyBorder="1" applyAlignment="1">
      <alignment vertical="top" wrapText="1"/>
    </xf>
    <xf numFmtId="3" fontId="25" fillId="0" borderId="35" xfId="0" applyNumberFormat="1" applyFont="1" applyFill="1" applyBorder="1" applyAlignment="1">
      <alignment vertical="top"/>
    </xf>
    <xf numFmtId="0" fontId="31" fillId="2" borderId="123" xfId="4" applyFont="1" applyFill="1" applyBorder="1" applyAlignment="1">
      <alignment vertical="center"/>
    </xf>
    <xf numFmtId="0" fontId="23" fillId="6" borderId="123" xfId="0" applyFont="1" applyFill="1" applyBorder="1" applyAlignment="1">
      <alignment horizontal="center" vertical="center"/>
    </xf>
    <xf numFmtId="0" fontId="27" fillId="2" borderId="35" xfId="4" applyFont="1" applyFill="1" applyBorder="1" applyAlignment="1">
      <alignment vertical="center"/>
    </xf>
    <xf numFmtId="0" fontId="31" fillId="2" borderId="119" xfId="4" applyFont="1" applyFill="1" applyBorder="1" applyAlignment="1">
      <alignment vertical="center"/>
    </xf>
    <xf numFmtId="0" fontId="31" fillId="0" borderId="123" xfId="0" applyFont="1" applyFill="1" applyBorder="1" applyAlignment="1">
      <alignment horizontal="left" vertical="center" wrapText="1"/>
    </xf>
    <xf numFmtId="0" fontId="23" fillId="0" borderId="13" xfId="0" applyFont="1" applyBorder="1" applyAlignment="1">
      <alignment horizontal="center" vertical="center" wrapText="1"/>
    </xf>
    <xf numFmtId="0" fontId="27" fillId="0" borderId="123" xfId="0" applyFont="1" applyFill="1" applyBorder="1" applyAlignment="1">
      <alignment vertical="top" wrapText="1"/>
    </xf>
    <xf numFmtId="3" fontId="25" fillId="2" borderId="123" xfId="0" applyNumberFormat="1" applyFont="1" applyFill="1" applyBorder="1" applyAlignment="1">
      <alignment vertical="top"/>
    </xf>
    <xf numFmtId="0" fontId="21" fillId="31" borderId="0" xfId="0" applyFont="1" applyFill="1" applyBorder="1" applyAlignment="1">
      <alignment vertical="top"/>
    </xf>
    <xf numFmtId="0" fontId="20" fillId="0" borderId="1" xfId="0" applyFont="1" applyBorder="1" applyAlignment="1">
      <alignment vertical="top"/>
    </xf>
    <xf numFmtId="0" fontId="21" fillId="0" borderId="3" xfId="0" applyFont="1" applyBorder="1" applyAlignment="1">
      <alignment vertical="top"/>
    </xf>
    <xf numFmtId="0" fontId="21" fillId="0" borderId="66" xfId="0" applyFont="1" applyBorder="1" applyAlignment="1">
      <alignment vertical="top"/>
    </xf>
    <xf numFmtId="0" fontId="21" fillId="0" borderId="66" xfId="0" applyFont="1" applyBorder="1" applyAlignment="1">
      <alignment horizontal="center" vertical="top" wrapText="1"/>
    </xf>
    <xf numFmtId="0" fontId="20" fillId="0" borderId="26" xfId="0" applyFont="1" applyBorder="1" applyAlignment="1">
      <alignment vertical="top"/>
    </xf>
    <xf numFmtId="0" fontId="21" fillId="0" borderId="67" xfId="0" applyFont="1" applyBorder="1" applyAlignment="1">
      <alignment horizontal="center" vertical="top" wrapText="1"/>
    </xf>
    <xf numFmtId="0" fontId="20" fillId="0" borderId="68" xfId="0" applyFont="1" applyBorder="1" applyAlignment="1">
      <alignment vertical="top"/>
    </xf>
    <xf numFmtId="0" fontId="21" fillId="0" borderId="24" xfId="0" applyFont="1" applyBorder="1" applyAlignment="1">
      <alignment vertical="top"/>
    </xf>
    <xf numFmtId="0" fontId="21" fillId="0" borderId="69" xfId="0" applyFont="1" applyBorder="1" applyAlignment="1">
      <alignment vertical="top"/>
    </xf>
    <xf numFmtId="0" fontId="21" fillId="0" borderId="69" xfId="0" applyFont="1" applyBorder="1" applyAlignment="1">
      <alignment horizontal="center" vertical="top" wrapText="1"/>
    </xf>
    <xf numFmtId="0" fontId="7" fillId="2" borderId="21" xfId="4" applyFont="1" applyFill="1" applyBorder="1" applyAlignment="1">
      <alignment vertical="center"/>
    </xf>
    <xf numFmtId="3" fontId="27" fillId="22" borderId="124" xfId="4" applyNumberFormat="1" applyFont="1" applyFill="1" applyBorder="1" applyAlignment="1">
      <alignment horizontal="right" vertical="center"/>
    </xf>
    <xf numFmtId="3" fontId="27" fillId="2" borderId="122" xfId="4" applyNumberFormat="1" applyFont="1" applyFill="1" applyBorder="1" applyAlignment="1">
      <alignment vertical="center" wrapText="1"/>
    </xf>
    <xf numFmtId="43" fontId="31" fillId="0" borderId="119" xfId="1" applyFont="1" applyFill="1" applyBorder="1" applyAlignment="1">
      <alignment vertical="center"/>
    </xf>
    <xf numFmtId="0" fontId="0" fillId="0" borderId="24" xfId="0" applyFont="1" applyBorder="1"/>
    <xf numFmtId="3" fontId="27" fillId="2" borderId="34" xfId="4" applyNumberFormat="1" applyFont="1" applyFill="1" applyBorder="1" applyAlignment="1">
      <alignment vertical="center" wrapText="1"/>
    </xf>
    <xf numFmtId="0" fontId="20" fillId="6" borderId="20" xfId="4" applyFont="1" applyFill="1" applyBorder="1" applyAlignment="1">
      <alignment horizontal="center" vertical="center" wrapText="1"/>
    </xf>
    <xf numFmtId="43" fontId="24" fillId="8" borderId="70" xfId="1" applyFont="1" applyFill="1" applyBorder="1" applyAlignment="1">
      <alignment horizontal="right" vertical="center"/>
    </xf>
    <xf numFmtId="3" fontId="25" fillId="23" borderId="156" xfId="4" applyNumberFormat="1" applyFont="1" applyFill="1" applyBorder="1" applyAlignment="1">
      <alignment horizontal="right" vertical="center"/>
    </xf>
    <xf numFmtId="3" fontId="27" fillId="26" borderId="156" xfId="4" applyNumberFormat="1" applyFont="1" applyFill="1" applyBorder="1" applyAlignment="1">
      <alignment horizontal="right" vertical="center"/>
    </xf>
    <xf numFmtId="3" fontId="33" fillId="0" borderId="156" xfId="6" applyNumberFormat="1" applyFont="1" applyFill="1" applyBorder="1" applyAlignment="1">
      <alignment vertical="center"/>
    </xf>
    <xf numFmtId="0" fontId="24" fillId="8" borderId="19" xfId="0" applyFont="1" applyFill="1" applyBorder="1" applyAlignment="1">
      <alignment horizontal="left" vertical="center" wrapText="1"/>
    </xf>
    <xf numFmtId="3" fontId="24" fillId="8" borderId="3" xfId="0" applyNumberFormat="1" applyFont="1" applyFill="1" applyBorder="1" applyAlignment="1">
      <alignment vertical="center"/>
    </xf>
    <xf numFmtId="3" fontId="31" fillId="0" borderId="30" xfId="0" applyNumberFormat="1" applyFont="1" applyFill="1" applyBorder="1" applyAlignment="1">
      <alignment horizontal="right" vertical="center"/>
    </xf>
    <xf numFmtId="3" fontId="31" fillId="0" borderId="29" xfId="0" applyNumberFormat="1" applyFont="1" applyFill="1" applyBorder="1" applyAlignment="1">
      <alignment horizontal="right" vertical="center"/>
    </xf>
    <xf numFmtId="0" fontId="33" fillId="0" borderId="6" xfId="0" applyFont="1" applyBorder="1" applyAlignment="1">
      <alignment horizontal="center" vertical="center"/>
    </xf>
    <xf numFmtId="3" fontId="29" fillId="0" borderId="29" xfId="4" applyNumberFormat="1" applyFont="1" applyFill="1" applyBorder="1" applyAlignment="1">
      <alignment horizontal="right" vertical="center"/>
    </xf>
    <xf numFmtId="3" fontId="31" fillId="0" borderId="71" xfId="0" applyNumberFormat="1" applyFont="1" applyFill="1" applyBorder="1" applyAlignment="1">
      <alignment horizontal="right" vertical="center"/>
    </xf>
    <xf numFmtId="3" fontId="31" fillId="0" borderId="74" xfId="0" applyNumberFormat="1" applyFont="1" applyFill="1" applyBorder="1" applyAlignment="1">
      <alignment horizontal="right" vertical="center"/>
    </xf>
    <xf numFmtId="3" fontId="31" fillId="0" borderId="75" xfId="0" applyNumberFormat="1" applyFont="1" applyFill="1" applyBorder="1" applyAlignment="1">
      <alignment horizontal="right" vertical="center"/>
    </xf>
    <xf numFmtId="3" fontId="24" fillId="23" borderId="70" xfId="4" applyNumberFormat="1" applyFont="1" applyFill="1" applyBorder="1" applyAlignment="1">
      <alignment horizontal="right" vertical="center"/>
    </xf>
    <xf numFmtId="0" fontId="7" fillId="0" borderId="119" xfId="4" applyFont="1" applyFill="1" applyBorder="1" applyAlignment="1">
      <alignment vertical="top"/>
    </xf>
    <xf numFmtId="3" fontId="31" fillId="0" borderId="119" xfId="0" applyNumberFormat="1" applyFont="1" applyFill="1" applyBorder="1" applyAlignment="1">
      <alignment horizontal="right" vertical="center"/>
    </xf>
    <xf numFmtId="0" fontId="25" fillId="6" borderId="122" xfId="4" applyFont="1" applyFill="1" applyBorder="1" applyAlignment="1">
      <alignment horizontal="left" vertical="center"/>
    </xf>
    <xf numFmtId="3" fontId="25" fillId="6" borderId="155" xfId="0" applyNumberFormat="1" applyFont="1" applyFill="1" applyBorder="1" applyAlignment="1">
      <alignment vertical="top"/>
    </xf>
    <xf numFmtId="43" fontId="25" fillId="6" borderId="155" xfId="1" applyFont="1" applyFill="1" applyBorder="1" applyAlignment="1">
      <alignment vertical="top"/>
    </xf>
    <xf numFmtId="0" fontId="24" fillId="6" borderId="161" xfId="4" applyFont="1" applyFill="1" applyBorder="1" applyAlignment="1">
      <alignment horizontal="left" vertical="center"/>
    </xf>
    <xf numFmtId="3" fontId="29" fillId="2" borderId="122" xfId="4" applyNumberFormat="1" applyFont="1" applyFill="1" applyBorder="1" applyAlignment="1">
      <alignment vertical="center" wrapText="1"/>
    </xf>
    <xf numFmtId="3" fontId="31" fillId="0" borderId="155" xfId="0" applyNumberFormat="1" applyFont="1" applyFill="1" applyBorder="1" applyAlignment="1">
      <alignment vertical="top"/>
    </xf>
    <xf numFmtId="0" fontId="29" fillId="2" borderId="122" xfId="4" applyFont="1" applyFill="1" applyBorder="1" applyAlignment="1">
      <alignment vertical="center"/>
    </xf>
    <xf numFmtId="3" fontId="27" fillId="0" borderId="155" xfId="0" applyNumberFormat="1" applyFont="1" applyFill="1" applyBorder="1" applyAlignment="1">
      <alignment vertical="top"/>
    </xf>
    <xf numFmtId="43" fontId="31" fillId="0" borderId="155" xfId="1" applyFont="1" applyFill="1" applyBorder="1" applyAlignment="1">
      <alignment vertical="center"/>
    </xf>
    <xf numFmtId="43" fontId="31" fillId="0" borderId="156" xfId="1" applyFont="1" applyFill="1" applyBorder="1" applyAlignment="1">
      <alignment vertical="center"/>
    </xf>
    <xf numFmtId="0" fontId="29" fillId="2" borderId="161" xfId="4" applyFont="1" applyFill="1" applyBorder="1" applyAlignment="1">
      <alignment vertical="center"/>
    </xf>
    <xf numFmtId="0" fontId="7" fillId="0" borderId="128" xfId="4" applyFont="1" applyFill="1" applyBorder="1" applyAlignment="1">
      <alignment vertical="center"/>
    </xf>
    <xf numFmtId="43" fontId="31" fillId="0" borderId="132" xfId="1" applyFont="1" applyFill="1" applyBorder="1" applyAlignment="1">
      <alignment vertical="center"/>
    </xf>
    <xf numFmtId="43" fontId="31" fillId="0" borderId="119" xfId="1" applyFont="1" applyFill="1" applyBorder="1" applyAlignment="1">
      <alignment vertical="top"/>
    </xf>
    <xf numFmtId="43" fontId="27" fillId="2" borderId="156" xfId="1" applyFont="1" applyFill="1" applyBorder="1" applyAlignment="1">
      <alignment vertical="center"/>
    </xf>
    <xf numFmtId="0" fontId="7" fillId="8" borderId="37" xfId="0" applyFont="1" applyFill="1" applyBorder="1" applyAlignment="1">
      <alignment vertical="center" wrapText="1"/>
    </xf>
    <xf numFmtId="3" fontId="25" fillId="6" borderId="156" xfId="0" applyNumberFormat="1" applyFont="1" applyFill="1" applyBorder="1" applyAlignment="1">
      <alignment vertical="top"/>
    </xf>
    <xf numFmtId="3" fontId="25" fillId="26" borderId="155" xfId="0" applyNumberFormat="1" applyFont="1" applyFill="1" applyBorder="1" applyAlignment="1">
      <alignment vertical="top"/>
    </xf>
    <xf numFmtId="0" fontId="27" fillId="2" borderId="122" xfId="4" applyFont="1" applyFill="1" applyBorder="1" applyAlignment="1">
      <alignment vertical="top"/>
    </xf>
    <xf numFmtId="0" fontId="31" fillId="0" borderId="130" xfId="0" applyFont="1" applyFill="1" applyBorder="1" applyAlignment="1">
      <alignment horizontal="left" vertical="center" wrapText="1"/>
    </xf>
    <xf numFmtId="0" fontId="7" fillId="6" borderId="160" xfId="0" applyFont="1" applyFill="1" applyBorder="1" applyAlignment="1">
      <alignment horizontal="left" vertical="center" wrapText="1"/>
    </xf>
    <xf numFmtId="3" fontId="27" fillId="2" borderId="162" xfId="4" applyNumberFormat="1" applyFont="1" applyFill="1" applyBorder="1" applyAlignment="1">
      <alignment vertical="center" wrapText="1"/>
    </xf>
    <xf numFmtId="3" fontId="27" fillId="2" borderId="155" xfId="0" applyNumberFormat="1" applyFont="1" applyFill="1" applyBorder="1" applyAlignment="1">
      <alignment vertical="top"/>
    </xf>
    <xf numFmtId="0" fontId="27" fillId="2" borderId="129" xfId="4" applyFont="1" applyFill="1" applyBorder="1" applyAlignment="1">
      <alignment vertical="top"/>
    </xf>
    <xf numFmtId="0" fontId="31" fillId="6" borderId="160" xfId="0" applyFont="1" applyFill="1" applyBorder="1" applyAlignment="1">
      <alignment vertical="top"/>
    </xf>
    <xf numFmtId="43" fontId="25" fillId="6" borderId="156" xfId="1" applyFont="1" applyFill="1" applyBorder="1" applyAlignment="1">
      <alignment vertical="top"/>
    </xf>
    <xf numFmtId="3" fontId="31" fillId="0" borderId="132" xfId="0" applyNumberFormat="1" applyFont="1" applyFill="1" applyBorder="1" applyAlignment="1">
      <alignment vertical="top"/>
    </xf>
    <xf numFmtId="3" fontId="25" fillId="6" borderId="155" xfId="4" applyNumberFormat="1" applyFont="1" applyFill="1" applyBorder="1" applyAlignment="1">
      <alignment horizontal="right" vertical="center"/>
    </xf>
    <xf numFmtId="3" fontId="31" fillId="26" borderId="123" xfId="0" applyNumberFormat="1" applyFont="1" applyFill="1" applyBorder="1" applyAlignment="1">
      <alignment vertical="top"/>
    </xf>
    <xf numFmtId="43" fontId="27" fillId="2" borderId="35" xfId="1" applyFont="1" applyFill="1" applyBorder="1" applyAlignment="1">
      <alignment vertical="center"/>
    </xf>
    <xf numFmtId="43" fontId="27" fillId="2" borderId="9" xfId="1" applyFont="1" applyFill="1" applyBorder="1" applyAlignment="1">
      <alignment vertical="center"/>
    </xf>
    <xf numFmtId="43" fontId="32" fillId="0" borderId="119" xfId="1" applyFont="1" applyBorder="1"/>
    <xf numFmtId="43" fontId="32" fillId="0" borderId="12" xfId="1" applyFont="1" applyBorder="1"/>
    <xf numFmtId="0" fontId="20" fillId="2" borderId="6" xfId="0" applyFont="1" applyFill="1" applyBorder="1" applyAlignment="1">
      <alignment vertical="top"/>
    </xf>
    <xf numFmtId="0" fontId="20" fillId="2" borderId="22" xfId="0" applyFont="1" applyFill="1" applyBorder="1" applyAlignment="1">
      <alignment vertical="top"/>
    </xf>
    <xf numFmtId="3" fontId="24" fillId="6" borderId="156" xfId="4" applyNumberFormat="1" applyFont="1" applyFill="1" applyBorder="1" applyAlignment="1">
      <alignment vertical="center"/>
    </xf>
    <xf numFmtId="3" fontId="24" fillId="6" borderId="155" xfId="4" applyNumberFormat="1" applyFont="1" applyFill="1" applyBorder="1" applyAlignment="1">
      <alignment vertical="center"/>
    </xf>
    <xf numFmtId="3" fontId="29" fillId="0" borderId="156" xfId="4" applyNumberFormat="1" applyFont="1" applyFill="1" applyBorder="1" applyAlignment="1">
      <alignment horizontal="right" vertical="center"/>
    </xf>
    <xf numFmtId="0" fontId="7" fillId="0" borderId="122" xfId="4" applyFont="1" applyFill="1" applyBorder="1" applyAlignment="1">
      <alignment vertical="top"/>
    </xf>
    <xf numFmtId="3" fontId="7" fillId="0" borderId="156" xfId="4" applyNumberFormat="1" applyFont="1" applyFill="1" applyBorder="1" applyAlignment="1">
      <alignment horizontal="right" vertical="center"/>
    </xf>
    <xf numFmtId="3" fontId="7" fillId="0" borderId="155" xfId="4" applyNumberFormat="1" applyFont="1" applyFill="1" applyBorder="1" applyAlignment="1">
      <alignment horizontal="right" vertical="center"/>
    </xf>
    <xf numFmtId="3" fontId="31" fillId="0" borderId="155" xfId="4" applyNumberFormat="1" applyFont="1" applyFill="1" applyBorder="1" applyAlignment="1">
      <alignment horizontal="right" vertical="center"/>
    </xf>
    <xf numFmtId="43" fontId="24" fillId="6" borderId="155" xfId="1" applyFont="1" applyFill="1" applyBorder="1" applyAlignment="1">
      <alignment vertical="center"/>
    </xf>
    <xf numFmtId="43" fontId="7" fillId="0" borderId="155" xfId="1" applyFont="1" applyFill="1" applyBorder="1" applyAlignment="1">
      <alignment horizontal="right" vertical="center"/>
    </xf>
    <xf numFmtId="3" fontId="7" fillId="8" borderId="155" xfId="4" applyNumberFormat="1" applyFont="1" applyFill="1" applyBorder="1" applyAlignment="1">
      <alignment horizontal="right" vertical="center"/>
    </xf>
    <xf numFmtId="3" fontId="25" fillId="6" borderId="156" xfId="4" applyNumberFormat="1" applyFont="1" applyFill="1" applyBorder="1" applyAlignment="1">
      <alignment vertical="center"/>
    </xf>
    <xf numFmtId="3" fontId="27" fillId="26" borderId="155" xfId="4" applyNumberFormat="1" applyFont="1" applyFill="1" applyBorder="1" applyAlignment="1">
      <alignment horizontal="right" vertical="center"/>
    </xf>
    <xf numFmtId="0" fontId="7" fillId="0" borderId="122" xfId="4" applyFont="1" applyFill="1" applyBorder="1" applyAlignment="1">
      <alignment vertical="center"/>
    </xf>
    <xf numFmtId="3" fontId="27" fillId="0" borderId="155" xfId="4" applyNumberFormat="1" applyFont="1" applyFill="1" applyBorder="1" applyAlignment="1">
      <alignment horizontal="right" vertical="center"/>
    </xf>
    <xf numFmtId="3" fontId="27" fillId="0" borderId="156" xfId="4" applyNumberFormat="1" applyFont="1" applyFill="1" applyBorder="1" applyAlignment="1">
      <alignment horizontal="right" vertical="center"/>
    </xf>
    <xf numFmtId="3" fontId="29" fillId="26" borderId="156" xfId="4" applyNumberFormat="1" applyFont="1" applyFill="1" applyBorder="1" applyAlignment="1">
      <alignment horizontal="right" vertical="center"/>
    </xf>
    <xf numFmtId="0" fontId="25" fillId="6" borderId="160" xfId="4" applyFont="1" applyFill="1" applyBorder="1" applyAlignment="1">
      <alignment horizontal="left" vertical="center"/>
    </xf>
    <xf numFmtId="43" fontId="24" fillId="6" borderId="156" xfId="1" applyFont="1" applyFill="1" applyBorder="1" applyAlignment="1">
      <alignment vertical="center"/>
    </xf>
    <xf numFmtId="3" fontId="18" fillId="8" borderId="43" xfId="4" applyNumberFormat="1" applyFont="1" applyFill="1" applyBorder="1" applyAlignment="1">
      <alignment vertical="center" wrapText="1"/>
    </xf>
    <xf numFmtId="3" fontId="27" fillId="2" borderId="29" xfId="4" applyNumberFormat="1" applyFont="1" applyFill="1" applyBorder="1" applyAlignment="1">
      <alignment vertical="center"/>
    </xf>
    <xf numFmtId="0" fontId="7" fillId="0" borderId="34" xfId="4" applyFont="1" applyFill="1" applyBorder="1" applyAlignment="1">
      <alignment vertical="center"/>
    </xf>
    <xf numFmtId="3" fontId="27" fillId="2" borderId="30" xfId="4" applyNumberFormat="1" applyFont="1" applyFill="1" applyBorder="1" applyAlignment="1">
      <alignment vertical="center"/>
    </xf>
    <xf numFmtId="3" fontId="7" fillId="24" borderId="35" xfId="0" applyNumberFormat="1" applyFont="1" applyFill="1" applyBorder="1" applyAlignment="1">
      <alignment vertical="center"/>
    </xf>
    <xf numFmtId="0" fontId="31" fillId="0" borderId="128" xfId="4" applyFont="1" applyFill="1" applyBorder="1" applyAlignment="1">
      <alignment vertical="center"/>
    </xf>
    <xf numFmtId="3" fontId="24" fillId="33" borderId="9" xfId="4" applyNumberFormat="1" applyFont="1" applyFill="1" applyBorder="1" applyAlignment="1">
      <alignment vertical="center"/>
    </xf>
    <xf numFmtId="3" fontId="24" fillId="8" borderId="4" xfId="4" applyNumberFormat="1" applyFont="1" applyFill="1" applyBorder="1" applyAlignment="1">
      <alignment vertical="center"/>
    </xf>
    <xf numFmtId="0" fontId="31" fillId="0" borderId="134" xfId="4" applyFont="1" applyFill="1" applyBorder="1" applyAlignment="1">
      <alignment vertical="center"/>
    </xf>
    <xf numFmtId="0" fontId="27" fillId="56" borderId="46" xfId="0" applyFont="1" applyFill="1" applyBorder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0" fillId="0" borderId="66" xfId="0" applyFont="1" applyBorder="1" applyAlignment="1">
      <alignment vertical="center"/>
    </xf>
    <xf numFmtId="3" fontId="18" fillId="8" borderId="67" xfId="4" applyNumberFormat="1" applyFont="1" applyFill="1" applyBorder="1" applyAlignment="1">
      <alignment vertical="center" wrapText="1"/>
    </xf>
    <xf numFmtId="0" fontId="27" fillId="56" borderId="67" xfId="0" applyFont="1" applyFill="1" applyBorder="1" applyAlignment="1">
      <alignment horizontal="left" vertical="center"/>
    </xf>
    <xf numFmtId="0" fontId="28" fillId="56" borderId="6" xfId="0" quotePrefix="1" applyFont="1" applyFill="1" applyBorder="1" applyAlignment="1">
      <alignment horizontal="center" vertical="center"/>
    </xf>
    <xf numFmtId="3" fontId="27" fillId="56" borderId="27" xfId="0" quotePrefix="1" applyNumberFormat="1" applyFont="1" applyFill="1" applyBorder="1" applyAlignment="1">
      <alignment horizontal="right" vertical="center"/>
    </xf>
    <xf numFmtId="3" fontId="24" fillId="6" borderId="70" xfId="4" applyNumberFormat="1" applyFont="1" applyFill="1" applyBorder="1" applyAlignment="1">
      <alignment vertical="center"/>
    </xf>
    <xf numFmtId="3" fontId="24" fillId="23" borderId="70" xfId="4" applyNumberFormat="1" applyFont="1" applyFill="1" applyBorder="1" applyAlignment="1">
      <alignment vertical="center"/>
    </xf>
    <xf numFmtId="3" fontId="39" fillId="0" borderId="0" xfId="0" applyNumberFormat="1" applyFont="1" applyAlignment="1">
      <alignment vertical="center"/>
    </xf>
    <xf numFmtId="3" fontId="30" fillId="8" borderId="43" xfId="4" applyNumberFormat="1" applyFont="1" applyFill="1" applyBorder="1" applyAlignment="1">
      <alignment vertical="center" wrapText="1"/>
    </xf>
    <xf numFmtId="3" fontId="60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7" fillId="8" borderId="20" xfId="4" applyFont="1" applyFill="1" applyBorder="1" applyAlignment="1">
      <alignment vertical="center"/>
    </xf>
    <xf numFmtId="3" fontId="7" fillId="8" borderId="34" xfId="4" applyNumberFormat="1" applyFont="1" applyFill="1" applyBorder="1" applyAlignment="1">
      <alignment vertical="center" wrapText="1"/>
    </xf>
    <xf numFmtId="3" fontId="7" fillId="8" borderId="28" xfId="4" applyNumberFormat="1" applyFont="1" applyFill="1" applyBorder="1" applyAlignment="1">
      <alignment vertical="center" wrapText="1"/>
    </xf>
    <xf numFmtId="0" fontId="18" fillId="8" borderId="43" xfId="4" applyFont="1" applyFill="1" applyBorder="1" applyAlignment="1">
      <alignment vertical="center" wrapText="1"/>
    </xf>
    <xf numFmtId="0" fontId="29" fillId="8" borderId="20" xfId="4" applyFont="1" applyFill="1" applyBorder="1" applyAlignment="1">
      <alignment vertical="center"/>
    </xf>
    <xf numFmtId="0" fontId="30" fillId="8" borderId="43" xfId="4" applyFont="1" applyFill="1" applyBorder="1" applyAlignment="1">
      <alignment vertical="center" wrapText="1"/>
    </xf>
    <xf numFmtId="3" fontId="27" fillId="8" borderId="20" xfId="4" applyNumberFormat="1" applyFont="1" applyFill="1" applyBorder="1" applyAlignment="1">
      <alignment vertical="center" wrapText="1"/>
    </xf>
    <xf numFmtId="0" fontId="27" fillId="8" borderId="28" xfId="4" applyFont="1" applyFill="1" applyBorder="1" applyAlignment="1">
      <alignment vertical="center"/>
    </xf>
    <xf numFmtId="3" fontId="7" fillId="8" borderId="12" xfId="4" applyNumberFormat="1" applyFont="1" applyFill="1" applyBorder="1" applyAlignment="1">
      <alignment vertical="center"/>
    </xf>
    <xf numFmtId="0" fontId="17" fillId="13" borderId="11" xfId="4" applyFont="1" applyFill="1" applyBorder="1" applyAlignment="1">
      <alignment horizontal="center" vertical="center"/>
    </xf>
    <xf numFmtId="3" fontId="18" fillId="13" borderId="43" xfId="4" applyNumberFormat="1" applyFont="1" applyFill="1" applyBorder="1" applyAlignment="1">
      <alignment horizontal="center" vertical="center"/>
    </xf>
    <xf numFmtId="3" fontId="7" fillId="13" borderId="34" xfId="4" applyNumberFormat="1" applyFont="1" applyFill="1" applyBorder="1" applyAlignment="1">
      <alignment vertical="center" wrapText="1"/>
    </xf>
    <xf numFmtId="3" fontId="7" fillId="13" borderId="28" xfId="4" applyNumberFormat="1" applyFont="1" applyFill="1" applyBorder="1" applyAlignment="1">
      <alignment vertical="center" wrapText="1"/>
    </xf>
    <xf numFmtId="0" fontId="18" fillId="13" borderId="43" xfId="4" applyFont="1" applyFill="1" applyBorder="1" applyAlignment="1">
      <alignment horizontal="center" vertical="center"/>
    </xf>
    <xf numFmtId="0" fontId="29" fillId="13" borderId="34" xfId="4" applyFont="1" applyFill="1" applyBorder="1" applyAlignment="1">
      <alignment vertical="center"/>
    </xf>
    <xf numFmtId="3" fontId="7" fillId="13" borderId="80" xfId="4" applyNumberFormat="1" applyFont="1" applyFill="1" applyBorder="1" applyAlignment="1">
      <alignment vertical="center" wrapText="1"/>
    </xf>
    <xf numFmtId="3" fontId="27" fillId="13" borderId="20" xfId="4" applyNumberFormat="1" applyFont="1" applyFill="1" applyBorder="1" applyAlignment="1">
      <alignment vertical="center" wrapText="1"/>
    </xf>
    <xf numFmtId="0" fontId="17" fillId="13" borderId="25" xfId="4" applyFont="1" applyFill="1" applyBorder="1" applyAlignment="1">
      <alignment horizontal="center" vertical="center"/>
    </xf>
    <xf numFmtId="3" fontId="18" fillId="13" borderId="41" xfId="4" applyNumberFormat="1" applyFont="1" applyFill="1" applyBorder="1" applyAlignment="1">
      <alignment horizontal="center" vertical="center"/>
    </xf>
    <xf numFmtId="3" fontId="29" fillId="2" borderId="34" xfId="4" applyNumberFormat="1" applyFont="1" applyFill="1" applyBorder="1" applyAlignment="1">
      <alignment vertical="center" wrapText="1"/>
    </xf>
    <xf numFmtId="0" fontId="29" fillId="2" borderId="32" xfId="4" applyFont="1" applyFill="1" applyBorder="1" applyAlignment="1">
      <alignment vertical="center"/>
    </xf>
    <xf numFmtId="3" fontId="29" fillId="2" borderId="29" xfId="4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7" fillId="0" borderId="33" xfId="4" applyFont="1" applyFill="1" applyBorder="1" applyAlignment="1">
      <alignment vertical="center"/>
    </xf>
    <xf numFmtId="3" fontId="25" fillId="8" borderId="4" xfId="4" applyNumberFormat="1" applyFont="1" applyFill="1" applyBorder="1" applyAlignment="1">
      <alignment vertical="center"/>
    </xf>
    <xf numFmtId="3" fontId="31" fillId="0" borderId="72" xfId="4" applyNumberFormat="1" applyFont="1" applyFill="1" applyBorder="1" applyAlignment="1">
      <alignment vertical="center"/>
    </xf>
    <xf numFmtId="0" fontId="31" fillId="0" borderId="80" xfId="4" applyFont="1" applyFill="1" applyBorder="1" applyAlignment="1">
      <alignment vertical="center"/>
    </xf>
    <xf numFmtId="3" fontId="28" fillId="0" borderId="50" xfId="4" applyNumberFormat="1" applyFont="1" applyFill="1" applyBorder="1" applyAlignment="1">
      <alignment vertical="center"/>
    </xf>
    <xf numFmtId="3" fontId="28" fillId="2" borderId="77" xfId="4" applyNumberFormat="1" applyFont="1" applyFill="1" applyBorder="1" applyAlignment="1">
      <alignment vertical="center"/>
    </xf>
    <xf numFmtId="3" fontId="0" fillId="2" borderId="0" xfId="0" applyNumberFormat="1" applyFont="1" applyFill="1" applyAlignment="1">
      <alignment vertical="center"/>
    </xf>
    <xf numFmtId="43" fontId="24" fillId="6" borderId="9" xfId="1" applyFont="1" applyFill="1" applyBorder="1" applyAlignment="1">
      <alignment vertical="center"/>
    </xf>
    <xf numFmtId="0" fontId="24" fillId="13" borderId="16" xfId="4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7" fillId="13" borderId="25" xfId="4" applyFont="1" applyFill="1" applyBorder="1" applyAlignment="1">
      <alignment vertical="center"/>
    </xf>
    <xf numFmtId="0" fontId="7" fillId="13" borderId="22" xfId="4" applyFont="1" applyFill="1" applyBorder="1" applyAlignment="1">
      <alignment vertical="center"/>
    </xf>
    <xf numFmtId="3" fontId="31" fillId="0" borderId="51" xfId="4" applyNumberFormat="1" applyFont="1" applyFill="1" applyBorder="1" applyAlignment="1">
      <alignment vertical="center"/>
    </xf>
    <xf numFmtId="3" fontId="7" fillId="0" borderId="77" xfId="4" applyNumberFormat="1" applyFont="1" applyFill="1" applyBorder="1" applyAlignment="1">
      <alignment horizontal="right" vertical="center"/>
    </xf>
    <xf numFmtId="3" fontId="7" fillId="0" borderId="51" xfId="4" applyNumberFormat="1" applyFont="1" applyFill="1" applyBorder="1" applyAlignment="1">
      <alignment horizontal="right" vertical="center"/>
    </xf>
    <xf numFmtId="3" fontId="27" fillId="2" borderId="156" xfId="4" applyNumberFormat="1" applyFont="1" applyFill="1" applyBorder="1" applyAlignment="1">
      <alignment vertical="center"/>
    </xf>
    <xf numFmtId="0" fontId="24" fillId="28" borderId="14" xfId="4" applyFont="1" applyFill="1" applyBorder="1" applyAlignment="1">
      <alignment vertical="center" wrapText="1"/>
    </xf>
    <xf numFmtId="0" fontId="7" fillId="28" borderId="4" xfId="4" applyFont="1" applyFill="1" applyBorder="1" applyAlignment="1">
      <alignment vertical="center"/>
    </xf>
    <xf numFmtId="3" fontId="7" fillId="28" borderId="70" xfId="4" applyNumberFormat="1" applyFont="1" applyFill="1" applyBorder="1" applyAlignment="1">
      <alignment vertical="center"/>
    </xf>
    <xf numFmtId="3" fontId="7" fillId="28" borderId="2" xfId="4" applyNumberFormat="1" applyFont="1" applyFill="1" applyBorder="1" applyAlignment="1">
      <alignment vertical="center"/>
    </xf>
    <xf numFmtId="3" fontId="7" fillId="25" borderId="2" xfId="4" applyNumberFormat="1" applyFont="1" applyFill="1" applyBorder="1" applyAlignment="1">
      <alignment vertical="center"/>
    </xf>
    <xf numFmtId="0" fontId="29" fillId="28" borderId="34" xfId="4" applyFont="1" applyFill="1" applyBorder="1" applyAlignment="1">
      <alignment vertical="center" wrapText="1"/>
    </xf>
    <xf numFmtId="3" fontId="29" fillId="28" borderId="28" xfId="4" applyNumberFormat="1" applyFont="1" applyFill="1" applyBorder="1" applyAlignment="1">
      <alignment vertical="center" wrapText="1"/>
    </xf>
    <xf numFmtId="0" fontId="7" fillId="28" borderId="34" xfId="4" applyFont="1" applyFill="1" applyBorder="1" applyAlignment="1">
      <alignment vertical="center" wrapText="1"/>
    </xf>
    <xf numFmtId="0" fontId="7" fillId="28" borderId="28" xfId="4" applyFont="1" applyFill="1" applyBorder="1" applyAlignment="1">
      <alignment vertical="center" wrapText="1"/>
    </xf>
    <xf numFmtId="0" fontId="7" fillId="13" borderId="36" xfId="4" applyFont="1" applyFill="1" applyBorder="1" applyAlignment="1">
      <alignment vertical="center"/>
    </xf>
    <xf numFmtId="0" fontId="7" fillId="13" borderId="20" xfId="4" applyFont="1" applyFill="1" applyBorder="1" applyAlignment="1">
      <alignment vertical="center"/>
    </xf>
    <xf numFmtId="0" fontId="29" fillId="13" borderId="20" xfId="4" applyFont="1" applyFill="1" applyBorder="1" applyAlignment="1">
      <alignment vertical="center"/>
    </xf>
    <xf numFmtId="0" fontId="60" fillId="0" borderId="0" xfId="0" applyFont="1" applyAlignment="1">
      <alignment vertical="center"/>
    </xf>
    <xf numFmtId="3" fontId="27" fillId="13" borderId="32" xfId="4" applyNumberFormat="1" applyFont="1" applyFill="1" applyBorder="1" applyAlignment="1">
      <alignment vertical="center" wrapText="1"/>
    </xf>
    <xf numFmtId="3" fontId="27" fillId="13" borderId="28" xfId="4" applyNumberFormat="1" applyFont="1" applyFill="1" applyBorder="1" applyAlignment="1">
      <alignment vertical="center" wrapText="1"/>
    </xf>
    <xf numFmtId="0" fontId="7" fillId="13" borderId="32" xfId="4" applyFont="1" applyFill="1" applyBorder="1" applyAlignment="1">
      <alignment vertical="center"/>
    </xf>
    <xf numFmtId="0" fontId="29" fillId="13" borderId="36" xfId="4" applyFont="1" applyFill="1" applyBorder="1" applyAlignment="1">
      <alignment vertical="center"/>
    </xf>
    <xf numFmtId="3" fontId="7" fillId="13" borderId="32" xfId="4" applyNumberFormat="1" applyFont="1" applyFill="1" applyBorder="1" applyAlignment="1">
      <alignment vertical="center" wrapText="1"/>
    </xf>
    <xf numFmtId="3" fontId="7" fillId="13" borderId="69" xfId="4" applyNumberFormat="1" applyFont="1" applyFill="1" applyBorder="1" applyAlignment="1">
      <alignment vertical="center" wrapText="1"/>
    </xf>
    <xf numFmtId="3" fontId="18" fillId="28" borderId="41" xfId="4" applyNumberFormat="1" applyFont="1" applyFill="1" applyBorder="1" applyAlignment="1">
      <alignment horizontal="center" vertical="center" wrapText="1"/>
    </xf>
    <xf numFmtId="0" fontId="60" fillId="2" borderId="0" xfId="0" applyFont="1" applyFill="1" applyAlignment="1">
      <alignment vertical="center"/>
    </xf>
    <xf numFmtId="3" fontId="31" fillId="2" borderId="65" xfId="4" applyNumberFormat="1" applyFont="1" applyFill="1" applyBorder="1" applyAlignment="1">
      <alignment vertical="center"/>
    </xf>
    <xf numFmtId="0" fontId="31" fillId="2" borderId="36" xfId="4" applyFont="1" applyFill="1" applyBorder="1" applyAlignment="1">
      <alignment vertical="center"/>
    </xf>
    <xf numFmtId="0" fontId="27" fillId="2" borderId="36" xfId="4" applyFont="1" applyFill="1" applyBorder="1" applyAlignment="1">
      <alignment vertical="center"/>
    </xf>
    <xf numFmtId="3" fontId="27" fillId="2" borderId="71" xfId="4" applyNumberFormat="1" applyFont="1" applyFill="1" applyBorder="1" applyAlignment="1">
      <alignment vertical="center"/>
    </xf>
    <xf numFmtId="0" fontId="7" fillId="28" borderId="14" xfId="4" applyFont="1" applyFill="1" applyBorder="1" applyAlignment="1">
      <alignment vertical="center"/>
    </xf>
    <xf numFmtId="3" fontId="29" fillId="28" borderId="32" xfId="4" applyNumberFormat="1" applyFont="1" applyFill="1" applyBorder="1" applyAlignment="1">
      <alignment vertical="center" wrapText="1"/>
    </xf>
    <xf numFmtId="3" fontId="29" fillId="13" borderId="32" xfId="4" applyNumberFormat="1" applyFont="1" applyFill="1" applyBorder="1" applyAlignment="1">
      <alignment vertical="center" wrapText="1"/>
    </xf>
    <xf numFmtId="0" fontId="27" fillId="13" borderId="21" xfId="4" applyFont="1" applyFill="1" applyBorder="1" applyAlignment="1">
      <alignment vertical="center"/>
    </xf>
    <xf numFmtId="43" fontId="31" fillId="2" borderId="74" xfId="1" applyFont="1" applyFill="1" applyBorder="1" applyAlignment="1">
      <alignment vertical="center"/>
    </xf>
    <xf numFmtId="3" fontId="7" fillId="8" borderId="43" xfId="4" applyNumberFormat="1" applyFont="1" applyFill="1" applyBorder="1" applyAlignment="1">
      <alignment vertical="center" wrapText="1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28" fillId="56" borderId="20" xfId="0" quotePrefix="1" applyFont="1" applyFill="1" applyBorder="1" applyAlignment="1">
      <alignment horizontal="center" vertical="center"/>
    </xf>
    <xf numFmtId="3" fontId="27" fillId="56" borderId="9" xfId="0" quotePrefix="1" applyNumberFormat="1" applyFont="1" applyFill="1" applyBorder="1" applyAlignment="1">
      <alignment horizontal="right" vertical="center"/>
    </xf>
    <xf numFmtId="3" fontId="7" fillId="8" borderId="43" xfId="4" applyNumberFormat="1" applyFont="1" applyFill="1" applyBorder="1" applyAlignment="1">
      <alignment horizontal="center" vertical="center"/>
    </xf>
    <xf numFmtId="3" fontId="29" fillId="8" borderId="34" xfId="4" applyNumberFormat="1" applyFont="1" applyFill="1" applyBorder="1" applyAlignment="1">
      <alignment vertical="center" wrapText="1"/>
    </xf>
    <xf numFmtId="3" fontId="29" fillId="8" borderId="28" xfId="4" applyNumberFormat="1" applyFont="1" applyFill="1" applyBorder="1" applyAlignment="1">
      <alignment vertical="center" wrapText="1"/>
    </xf>
    <xf numFmtId="3" fontId="63" fillId="0" borderId="0" xfId="0" applyNumberFormat="1" applyFont="1" applyAlignment="1">
      <alignment vertical="center"/>
    </xf>
    <xf numFmtId="0" fontId="63" fillId="0" borderId="0" xfId="0" applyFont="1" applyAlignment="1">
      <alignment vertical="center"/>
    </xf>
    <xf numFmtId="0" fontId="24" fillId="8" borderId="6" xfId="4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/>
    </xf>
    <xf numFmtId="0" fontId="32" fillId="0" borderId="3" xfId="0" applyFont="1" applyFill="1" applyBorder="1" applyAlignment="1">
      <alignment vertical="center"/>
    </xf>
    <xf numFmtId="3" fontId="32" fillId="0" borderId="0" xfId="0" applyNumberFormat="1" applyFont="1" applyFill="1" applyBorder="1" applyAlignment="1">
      <alignment vertical="center"/>
    </xf>
    <xf numFmtId="3" fontId="62" fillId="6" borderId="30" xfId="0" applyNumberFormat="1" applyFont="1" applyFill="1" applyBorder="1" applyAlignment="1">
      <alignment vertical="center" wrapText="1"/>
    </xf>
    <xf numFmtId="3" fontId="68" fillId="8" borderId="29" xfId="0" applyNumberFormat="1" applyFont="1" applyFill="1" applyBorder="1" applyAlignment="1">
      <alignment vertical="center" wrapText="1"/>
    </xf>
    <xf numFmtId="3" fontId="6" fillId="2" borderId="9" xfId="0" applyNumberFormat="1" applyFont="1" applyFill="1" applyBorder="1" applyAlignment="1">
      <alignment vertical="center" wrapText="1"/>
    </xf>
    <xf numFmtId="3" fontId="6" fillId="0" borderId="9" xfId="0" applyNumberFormat="1" applyFont="1" applyFill="1" applyBorder="1" applyAlignment="1">
      <alignment vertical="center" wrapText="1"/>
    </xf>
    <xf numFmtId="3" fontId="68" fillId="8" borderId="30" xfId="0" applyNumberFormat="1" applyFont="1" applyFill="1" applyBorder="1" applyAlignment="1">
      <alignment vertical="center" wrapText="1"/>
    </xf>
    <xf numFmtId="3" fontId="31" fillId="0" borderId="155" xfId="4" applyNumberFormat="1" applyFont="1" applyFill="1" applyBorder="1" applyAlignment="1">
      <alignment vertical="center"/>
    </xf>
    <xf numFmtId="3" fontId="31" fillId="0" borderId="119" xfId="4" applyNumberFormat="1" applyFont="1" applyFill="1" applyBorder="1" applyAlignment="1">
      <alignment vertical="center"/>
    </xf>
    <xf numFmtId="3" fontId="31" fillId="0" borderId="132" xfId="4" applyNumberFormat="1" applyFont="1" applyFill="1" applyBorder="1" applyAlignment="1">
      <alignment vertical="center"/>
    </xf>
    <xf numFmtId="0" fontId="40" fillId="2" borderId="24" xfId="0" applyFont="1" applyFill="1" applyBorder="1" applyAlignment="1"/>
    <xf numFmtId="0" fontId="59" fillId="2" borderId="24" xfId="0" applyFont="1" applyFill="1" applyBorder="1" applyAlignment="1"/>
    <xf numFmtId="3" fontId="31" fillId="0" borderId="157" xfId="4" applyNumberFormat="1" applyFont="1" applyFill="1" applyBorder="1" applyAlignment="1">
      <alignment vertical="center"/>
    </xf>
    <xf numFmtId="3" fontId="25" fillId="6" borderId="125" xfId="0" applyNumberFormat="1" applyFont="1" applyFill="1" applyBorder="1" applyAlignment="1">
      <alignment vertical="top"/>
    </xf>
    <xf numFmtId="3" fontId="25" fillId="23" borderId="125" xfId="0" applyNumberFormat="1" applyFont="1" applyFill="1" applyBorder="1" applyAlignment="1">
      <alignment vertical="top"/>
    </xf>
    <xf numFmtId="3" fontId="27" fillId="2" borderId="125" xfId="0" applyNumberFormat="1" applyFont="1" applyFill="1" applyBorder="1" applyAlignment="1">
      <alignment vertical="top"/>
    </xf>
    <xf numFmtId="3" fontId="27" fillId="0" borderId="125" xfId="0" applyNumberFormat="1" applyFont="1" applyFill="1" applyBorder="1" applyAlignment="1">
      <alignment vertical="top"/>
    </xf>
    <xf numFmtId="3" fontId="24" fillId="23" borderId="155" xfId="4" applyNumberFormat="1" applyFont="1" applyFill="1" applyBorder="1" applyAlignment="1">
      <alignment horizontal="right" vertical="center"/>
    </xf>
    <xf numFmtId="0" fontId="24" fillId="6" borderId="155" xfId="4" applyFont="1" applyFill="1" applyBorder="1" applyAlignment="1">
      <alignment horizontal="left" vertical="center"/>
    </xf>
    <xf numFmtId="0" fontId="25" fillId="6" borderId="155" xfId="4" applyFont="1" applyFill="1" applyBorder="1" applyAlignment="1">
      <alignment horizontal="left" vertical="center"/>
    </xf>
    <xf numFmtId="3" fontId="25" fillId="23" borderId="155" xfId="4" applyNumberFormat="1" applyFont="1" applyFill="1" applyBorder="1" applyAlignment="1">
      <alignment horizontal="right" vertical="center"/>
    </xf>
    <xf numFmtId="3" fontId="29" fillId="2" borderId="155" xfId="4" applyNumberFormat="1" applyFont="1" applyFill="1" applyBorder="1" applyAlignment="1">
      <alignment vertical="top" wrapText="1"/>
    </xf>
    <xf numFmtId="0" fontId="7" fillId="0" borderId="155" xfId="4" applyFont="1" applyFill="1" applyBorder="1" applyAlignment="1">
      <alignment vertical="top"/>
    </xf>
    <xf numFmtId="3" fontId="7" fillId="26" borderId="155" xfId="4" applyNumberFormat="1" applyFont="1" applyFill="1" applyBorder="1" applyAlignment="1">
      <alignment horizontal="right" vertical="center"/>
    </xf>
    <xf numFmtId="3" fontId="32" fillId="0" borderId="155" xfId="6" applyNumberFormat="1" applyFont="1" applyFill="1" applyBorder="1" applyAlignment="1">
      <alignment vertical="center"/>
    </xf>
    <xf numFmtId="3" fontId="33" fillId="0" borderId="155" xfId="6" applyNumberFormat="1" applyFont="1" applyFill="1" applyBorder="1" applyAlignment="1">
      <alignment vertical="center"/>
    </xf>
    <xf numFmtId="3" fontId="24" fillId="6" borderId="155" xfId="4" applyNumberFormat="1" applyFont="1" applyFill="1" applyBorder="1" applyAlignment="1"/>
    <xf numFmtId="3" fontId="31" fillId="0" borderId="156" xfId="4" applyNumberFormat="1" applyFont="1" applyFill="1" applyBorder="1" applyAlignment="1">
      <alignment vertical="center"/>
    </xf>
    <xf numFmtId="3" fontId="24" fillId="6" borderId="156" xfId="4" applyNumberFormat="1" applyFont="1" applyFill="1" applyBorder="1" applyAlignment="1">
      <alignment horizontal="right" vertical="center"/>
    </xf>
    <xf numFmtId="3" fontId="27" fillId="13" borderId="161" xfId="4" applyNumberFormat="1" applyFont="1" applyFill="1" applyBorder="1" applyAlignment="1">
      <alignment vertical="center" wrapText="1"/>
    </xf>
    <xf numFmtId="3" fontId="32" fillId="13" borderId="156" xfId="6" applyNumberFormat="1" applyFont="1" applyFill="1" applyBorder="1" applyAlignment="1">
      <alignment vertical="center"/>
    </xf>
    <xf numFmtId="0" fontId="7" fillId="13" borderId="161" xfId="4" applyFont="1" applyFill="1" applyBorder="1" applyAlignment="1">
      <alignment vertical="center"/>
    </xf>
    <xf numFmtId="0" fontId="27" fillId="13" borderId="161" xfId="4" applyFont="1" applyFill="1" applyBorder="1" applyAlignment="1">
      <alignment vertical="center"/>
    </xf>
    <xf numFmtId="3" fontId="33" fillId="13" borderId="156" xfId="6" applyNumberFormat="1" applyFont="1" applyFill="1" applyBorder="1" applyAlignment="1">
      <alignment vertical="center"/>
    </xf>
    <xf numFmtId="3" fontId="25" fillId="6" borderId="156" xfId="4" applyNumberFormat="1" applyFont="1" applyFill="1" applyBorder="1" applyAlignment="1">
      <alignment horizontal="right" vertical="center"/>
    </xf>
    <xf numFmtId="3" fontId="31" fillId="26" borderId="156" xfId="4" applyNumberFormat="1" applyFont="1" applyFill="1" applyBorder="1" applyAlignment="1">
      <alignment horizontal="right" vertical="center"/>
    </xf>
    <xf numFmtId="43" fontId="7" fillId="0" borderId="156" xfId="1" applyFont="1" applyFill="1" applyBorder="1" applyAlignment="1">
      <alignment horizontal="right" vertical="center"/>
    </xf>
    <xf numFmtId="0" fontId="27" fillId="2" borderId="122" xfId="4" applyFont="1" applyFill="1" applyBorder="1" applyAlignment="1">
      <alignment vertical="center"/>
    </xf>
    <xf numFmtId="43" fontId="33" fillId="0" borderId="156" xfId="1" applyFont="1" applyFill="1" applyBorder="1" applyAlignment="1">
      <alignment vertical="center"/>
    </xf>
    <xf numFmtId="3" fontId="27" fillId="2" borderId="161" xfId="4" applyNumberFormat="1" applyFont="1" applyFill="1" applyBorder="1" applyAlignment="1">
      <alignment vertical="center" wrapText="1"/>
    </xf>
    <xf numFmtId="0" fontId="7" fillId="0" borderId="134" xfId="4" applyFont="1" applyFill="1" applyBorder="1" applyAlignment="1">
      <alignment vertical="center"/>
    </xf>
    <xf numFmtId="0" fontId="31" fillId="0" borderId="122" xfId="4" applyFont="1" applyFill="1" applyBorder="1" applyAlignment="1">
      <alignment vertical="center"/>
    </xf>
    <xf numFmtId="3" fontId="7" fillId="0" borderId="165" xfId="4" applyNumberFormat="1" applyFont="1" applyFill="1" applyBorder="1" applyAlignment="1">
      <alignment horizontal="right" vertical="center"/>
    </xf>
    <xf numFmtId="43" fontId="33" fillId="0" borderId="155" xfId="1" applyFont="1" applyFill="1" applyBorder="1" applyAlignment="1">
      <alignment vertical="center"/>
    </xf>
    <xf numFmtId="43" fontId="7" fillId="0" borderId="119" xfId="1" applyFont="1" applyFill="1" applyBorder="1" applyAlignment="1">
      <alignment horizontal="right" vertical="center"/>
    </xf>
    <xf numFmtId="3" fontId="7" fillId="0" borderId="157" xfId="4" applyNumberFormat="1" applyFont="1" applyFill="1" applyBorder="1" applyAlignment="1">
      <alignment horizontal="right" vertical="center"/>
    </xf>
    <xf numFmtId="43" fontId="31" fillId="0" borderId="132" xfId="1" applyFont="1" applyFill="1" applyBorder="1" applyAlignment="1">
      <alignment horizontal="right" vertical="center"/>
    </xf>
    <xf numFmtId="0" fontId="7" fillId="0" borderId="155" xfId="4" applyFont="1" applyFill="1" applyBorder="1" applyAlignment="1">
      <alignment vertical="center"/>
    </xf>
    <xf numFmtId="0" fontId="32" fillId="66" borderId="155" xfId="0" applyFont="1" applyFill="1" applyBorder="1" applyAlignment="1">
      <alignment horizontal="center" vertical="center" wrapText="1"/>
    </xf>
    <xf numFmtId="3" fontId="37" fillId="0" borderId="0" xfId="0" applyNumberFormat="1" applyFont="1" applyAlignment="1">
      <alignment vertical="center"/>
    </xf>
    <xf numFmtId="3" fontId="7" fillId="0" borderId="9" xfId="4" applyNumberFormat="1" applyFont="1" applyFill="1" applyBorder="1" applyAlignment="1">
      <alignment horizontal="right" vertical="center"/>
    </xf>
    <xf numFmtId="0" fontId="25" fillId="6" borderId="161" xfId="4" applyFont="1" applyFill="1" applyBorder="1" applyAlignment="1">
      <alignment horizontal="left" vertical="center"/>
    </xf>
    <xf numFmtId="3" fontId="29" fillId="13" borderId="156" xfId="4" applyNumberFormat="1" applyFont="1" applyFill="1" applyBorder="1" applyAlignment="1">
      <alignment horizontal="right" vertical="center"/>
    </xf>
    <xf numFmtId="3" fontId="7" fillId="13" borderId="156" xfId="4" applyNumberFormat="1" applyFont="1" applyFill="1" applyBorder="1" applyAlignment="1">
      <alignment horizontal="right" vertical="center"/>
    </xf>
    <xf numFmtId="0" fontId="29" fillId="13" borderId="161" xfId="4" applyFont="1" applyFill="1" applyBorder="1" applyAlignment="1">
      <alignment vertical="center"/>
    </xf>
    <xf numFmtId="0" fontId="29" fillId="13" borderId="160" xfId="4" applyFont="1" applyFill="1" applyBorder="1" applyAlignment="1">
      <alignment vertical="center"/>
    </xf>
    <xf numFmtId="3" fontId="27" fillId="13" borderId="156" xfId="4" applyNumberFormat="1" applyFont="1" applyFill="1" applyBorder="1" applyAlignment="1">
      <alignment horizontal="right" vertical="center"/>
    </xf>
    <xf numFmtId="0" fontId="31" fillId="6" borderId="156" xfId="0" applyFont="1" applyFill="1" applyBorder="1" applyAlignment="1">
      <alignment vertical="top"/>
    </xf>
    <xf numFmtId="3" fontId="27" fillId="2" borderId="156" xfId="0" applyNumberFormat="1" applyFont="1" applyFill="1" applyBorder="1" applyAlignment="1">
      <alignment vertical="center"/>
    </xf>
    <xf numFmtId="0" fontId="17" fillId="0" borderId="11" xfId="0" applyFont="1" applyFill="1" applyBorder="1" applyAlignment="1">
      <alignment vertical="center"/>
    </xf>
    <xf numFmtId="0" fontId="25" fillId="2" borderId="20" xfId="0" applyFont="1" applyFill="1" applyBorder="1" applyAlignment="1">
      <alignment vertical="center" wrapText="1"/>
    </xf>
    <xf numFmtId="3" fontId="31" fillId="0" borderId="27" xfId="4" applyNumberFormat="1" applyFont="1" applyFill="1" applyBorder="1" applyAlignment="1">
      <alignment vertical="center"/>
    </xf>
    <xf numFmtId="3" fontId="31" fillId="0" borderId="9" xfId="4" applyNumberFormat="1" applyFont="1" applyFill="1" applyBorder="1" applyAlignment="1">
      <alignment vertical="center"/>
    </xf>
    <xf numFmtId="43" fontId="32" fillId="0" borderId="35" xfId="1" applyFont="1" applyBorder="1"/>
    <xf numFmtId="3" fontId="27" fillId="22" borderId="165" xfId="4" applyNumberFormat="1" applyFont="1" applyFill="1" applyBorder="1" applyAlignment="1">
      <alignment horizontal="right" vertical="center"/>
    </xf>
    <xf numFmtId="3" fontId="29" fillId="8" borderId="156" xfId="4" applyNumberFormat="1" applyFont="1" applyFill="1" applyBorder="1" applyAlignment="1">
      <alignment vertical="center"/>
    </xf>
    <xf numFmtId="3" fontId="7" fillId="8" borderId="156" xfId="4" applyNumberFormat="1" applyFont="1" applyFill="1" applyBorder="1" applyAlignment="1">
      <alignment vertical="center"/>
    </xf>
    <xf numFmtId="3" fontId="31" fillId="24" borderId="155" xfId="4" applyNumberFormat="1" applyFont="1" applyFill="1" applyBorder="1" applyAlignment="1">
      <alignment horizontal="right" vertical="center"/>
    </xf>
    <xf numFmtId="3" fontId="7" fillId="8" borderId="161" xfId="4" applyNumberFormat="1" applyFont="1" applyFill="1" applyBorder="1" applyAlignment="1">
      <alignment vertical="center" wrapText="1"/>
    </xf>
    <xf numFmtId="0" fontId="7" fillId="8" borderId="161" xfId="4" applyFont="1" applyFill="1" applyBorder="1" applyAlignment="1">
      <alignment vertical="center" wrapText="1"/>
    </xf>
    <xf numFmtId="3" fontId="27" fillId="8" borderId="156" xfId="4" applyNumberFormat="1" applyFont="1" applyFill="1" applyBorder="1" applyAlignment="1">
      <alignment vertical="center"/>
    </xf>
    <xf numFmtId="3" fontId="31" fillId="8" borderId="156" xfId="4" applyNumberFormat="1" applyFont="1" applyFill="1" applyBorder="1" applyAlignment="1">
      <alignment vertical="center"/>
    </xf>
    <xf numFmtId="0" fontId="7" fillId="8" borderId="161" xfId="4" applyFont="1" applyFill="1" applyBorder="1" applyAlignment="1">
      <alignment vertical="center"/>
    </xf>
    <xf numFmtId="3" fontId="29" fillId="13" borderId="161" xfId="4" applyNumberFormat="1" applyFont="1" applyFill="1" applyBorder="1" applyAlignment="1">
      <alignment vertical="center" wrapText="1"/>
    </xf>
    <xf numFmtId="3" fontId="29" fillId="25" borderId="156" xfId="4" applyNumberFormat="1" applyFont="1" applyFill="1" applyBorder="1" applyAlignment="1">
      <alignment horizontal="right" vertical="center"/>
    </xf>
    <xf numFmtId="3" fontId="7" fillId="13" borderId="161" xfId="4" applyNumberFormat="1" applyFont="1" applyFill="1" applyBorder="1" applyAlignment="1">
      <alignment vertical="center" wrapText="1"/>
    </xf>
    <xf numFmtId="3" fontId="7" fillId="13" borderId="128" xfId="4" applyNumberFormat="1" applyFont="1" applyFill="1" applyBorder="1" applyAlignment="1">
      <alignment vertical="center" wrapText="1"/>
    </xf>
    <xf numFmtId="3" fontId="7" fillId="13" borderId="127" xfId="4" applyNumberFormat="1" applyFont="1" applyFill="1" applyBorder="1" applyAlignment="1">
      <alignment vertical="center" wrapText="1"/>
    </xf>
    <xf numFmtId="3" fontId="32" fillId="13" borderId="157" xfId="6" applyNumberFormat="1" applyFont="1" applyFill="1" applyBorder="1" applyAlignment="1">
      <alignment vertical="center"/>
    </xf>
    <xf numFmtId="0" fontId="21" fillId="2" borderId="160" xfId="0" applyFont="1" applyFill="1" applyBorder="1" applyAlignment="1">
      <alignment horizontal="center" vertical="top"/>
    </xf>
    <xf numFmtId="0" fontId="21" fillId="2" borderId="155" xfId="0" applyFont="1" applyFill="1" applyBorder="1" applyAlignment="1">
      <alignment horizontal="center" vertical="top"/>
    </xf>
    <xf numFmtId="0" fontId="21" fillId="2" borderId="155" xfId="0" quotePrefix="1" applyFont="1" applyFill="1" applyBorder="1" applyAlignment="1">
      <alignment horizontal="center" vertical="top"/>
    </xf>
    <xf numFmtId="0" fontId="21" fillId="27" borderId="155" xfId="0" quotePrefix="1" applyFont="1" applyFill="1" applyBorder="1" applyAlignment="1">
      <alignment horizontal="center" vertical="top"/>
    </xf>
    <xf numFmtId="0" fontId="21" fillId="2" borderId="158" xfId="0" quotePrefix="1" applyFont="1" applyFill="1" applyBorder="1" applyAlignment="1">
      <alignment horizontal="center" vertical="top"/>
    </xf>
    <xf numFmtId="3" fontId="24" fillId="6" borderId="155" xfId="4" applyNumberFormat="1" applyFont="1" applyFill="1" applyBorder="1" applyAlignment="1">
      <alignment horizontal="right" vertical="center"/>
    </xf>
    <xf numFmtId="3" fontId="28" fillId="24" borderId="155" xfId="4" applyNumberFormat="1" applyFont="1" applyFill="1" applyBorder="1" applyAlignment="1">
      <alignment horizontal="right" vertical="center"/>
    </xf>
    <xf numFmtId="3" fontId="27" fillId="24" borderId="155" xfId="4" applyNumberFormat="1" applyFont="1" applyFill="1" applyBorder="1" applyAlignment="1">
      <alignment horizontal="right" vertical="center"/>
    </xf>
    <xf numFmtId="3" fontId="33" fillId="24" borderId="155" xfId="6" applyNumberFormat="1" applyFont="1" applyFill="1" applyBorder="1" applyAlignment="1">
      <alignment vertical="center"/>
    </xf>
    <xf numFmtId="0" fontId="34" fillId="0" borderId="51" xfId="0" applyFont="1" applyFill="1" applyBorder="1" applyAlignment="1">
      <alignment vertical="top"/>
    </xf>
    <xf numFmtId="0" fontId="75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11" fillId="0" borderId="0" xfId="0" applyFont="1" applyFill="1" applyAlignment="1"/>
    <xf numFmtId="0" fontId="0" fillId="0" borderId="0" xfId="0" applyFont="1"/>
    <xf numFmtId="0" fontId="13" fillId="0" borderId="0" xfId="0" applyFont="1" applyFill="1" applyAlignment="1">
      <alignment horizontal="left"/>
    </xf>
    <xf numFmtId="0" fontId="28" fillId="0" borderId="0" xfId="0" applyFont="1" applyFill="1" applyAlignment="1">
      <alignment horizontal="left"/>
    </xf>
    <xf numFmtId="0" fontId="77" fillId="2" borderId="0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/>
    </xf>
    <xf numFmtId="3" fontId="8" fillId="0" borderId="0" xfId="0" applyNumberFormat="1" applyFont="1" applyBorder="1"/>
    <xf numFmtId="0" fontId="19" fillId="2" borderId="6" xfId="0" applyFont="1" applyFill="1" applyBorder="1" applyAlignment="1">
      <alignment horizontal="center"/>
    </xf>
    <xf numFmtId="0" fontId="36" fillId="0" borderId="13" xfId="4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3" fontId="8" fillId="0" borderId="0" xfId="0" applyNumberFormat="1" applyFont="1"/>
    <xf numFmtId="0" fontId="7" fillId="0" borderId="14" xfId="0" applyFont="1" applyBorder="1" applyAlignment="1">
      <alignment horizontal="center"/>
    </xf>
    <xf numFmtId="3" fontId="7" fillId="0" borderId="15" xfId="0" quotePrefix="1" applyNumberFormat="1" applyFont="1" applyBorder="1" applyAlignment="1">
      <alignment horizontal="center"/>
    </xf>
    <xf numFmtId="3" fontId="7" fillId="0" borderId="2" xfId="0" quotePrefix="1" applyNumberFormat="1" applyFont="1" applyBorder="1" applyAlignment="1">
      <alignment horizontal="center"/>
    </xf>
    <xf numFmtId="3" fontId="7" fillId="0" borderId="39" xfId="0" quotePrefix="1" applyNumberFormat="1" applyFont="1" applyBorder="1" applyAlignment="1">
      <alignment horizontal="center"/>
    </xf>
    <xf numFmtId="3" fontId="7" fillId="0" borderId="50" xfId="0" quotePrefix="1" applyNumberFormat="1" applyFont="1" applyBorder="1" applyAlignment="1">
      <alignment horizontal="center"/>
    </xf>
    <xf numFmtId="3" fontId="7" fillId="0" borderId="4" xfId="0" quotePrefix="1" applyNumberFormat="1" applyFont="1" applyBorder="1" applyAlignment="1">
      <alignment horizontal="center"/>
    </xf>
    <xf numFmtId="0" fontId="7" fillId="3" borderId="5" xfId="0" quotePrefix="1" applyFont="1" applyFill="1" applyBorder="1" applyAlignment="1">
      <alignment horizontal="center"/>
    </xf>
    <xf numFmtId="0" fontId="69" fillId="4" borderId="16" xfId="4" applyFont="1" applyFill="1" applyBorder="1" applyAlignment="1">
      <alignment horizontal="left" vertical="center"/>
    </xf>
    <xf numFmtId="3" fontId="69" fillId="4" borderId="17" xfId="0" applyNumberFormat="1" applyFont="1" applyFill="1" applyBorder="1" applyAlignment="1">
      <alignment horizontal="right" vertical="center" wrapText="1"/>
    </xf>
    <xf numFmtId="3" fontId="69" fillId="5" borderId="19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36" fillId="4" borderId="20" xfId="0" applyFont="1" applyFill="1" applyBorder="1" applyAlignment="1">
      <alignment horizontal="left" vertical="center"/>
    </xf>
    <xf numFmtId="3" fontId="36" fillId="4" borderId="9" xfId="0" quotePrefix="1" applyNumberFormat="1" applyFont="1" applyFill="1" applyBorder="1" applyAlignment="1">
      <alignment horizontal="right" vertical="center"/>
    </xf>
    <xf numFmtId="3" fontId="6" fillId="3" borderId="21" xfId="0" applyNumberFormat="1" applyFont="1" applyFill="1" applyBorder="1" applyAlignment="1">
      <alignment vertical="center" wrapText="1"/>
    </xf>
    <xf numFmtId="0" fontId="36" fillId="4" borderId="22" xfId="0" applyFont="1" applyFill="1" applyBorder="1" applyAlignment="1">
      <alignment horizontal="left" vertical="center"/>
    </xf>
    <xf numFmtId="3" fontId="36" fillId="4" borderId="23" xfId="0" quotePrefix="1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0" fontId="69" fillId="6" borderId="28" xfId="4" applyFont="1" applyFill="1" applyBorder="1" applyAlignment="1">
      <alignment horizontal="left" vertical="center"/>
    </xf>
    <xf numFmtId="3" fontId="69" fillId="6" borderId="30" xfId="0" applyNumberFormat="1" applyFont="1" applyFill="1" applyBorder="1" applyAlignment="1">
      <alignment horizontal="right" vertical="center" wrapText="1"/>
    </xf>
    <xf numFmtId="0" fontId="78" fillId="0" borderId="0" xfId="0" applyFont="1" applyFill="1" applyBorder="1" applyAlignment="1">
      <alignment vertical="center"/>
    </xf>
    <xf numFmtId="0" fontId="64" fillId="8" borderId="20" xfId="4" applyFont="1" applyFill="1" applyBorder="1" applyAlignment="1">
      <alignment vertical="center"/>
    </xf>
    <xf numFmtId="3" fontId="64" fillId="8" borderId="9" xfId="0" applyNumberFormat="1" applyFont="1" applyFill="1" applyBorder="1" applyAlignment="1">
      <alignment horizontal="right" vertical="center" wrapText="1"/>
    </xf>
    <xf numFmtId="3" fontId="64" fillId="9" borderId="2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/>
    <xf numFmtId="0" fontId="8" fillId="0" borderId="20" xfId="0" applyFont="1" applyFill="1" applyBorder="1" applyAlignment="1">
      <alignment vertical="center" wrapText="1"/>
    </xf>
    <xf numFmtId="3" fontId="8" fillId="0" borderId="9" xfId="0" applyNumberFormat="1" applyFont="1" applyFill="1" applyBorder="1" applyAlignment="1">
      <alignment vertical="center" wrapText="1"/>
    </xf>
    <xf numFmtId="43" fontId="8" fillId="0" borderId="9" xfId="1" applyFont="1" applyFill="1" applyBorder="1" applyAlignment="1">
      <alignment vertical="center" wrapText="1"/>
    </xf>
    <xf numFmtId="43" fontId="8" fillId="0" borderId="29" xfId="1" applyFont="1" applyFill="1" applyBorder="1" applyAlignment="1">
      <alignment vertical="center" wrapText="1"/>
    </xf>
    <xf numFmtId="3" fontId="8" fillId="0" borderId="30" xfId="0" applyNumberFormat="1" applyFont="1" applyFill="1" applyBorder="1" applyAlignment="1">
      <alignment vertical="center" wrapText="1"/>
    </xf>
    <xf numFmtId="43" fontId="8" fillId="0" borderId="27" xfId="1" applyFont="1" applyFill="1" applyBorder="1" applyAlignment="1">
      <alignment vertical="center" wrapText="1"/>
    </xf>
    <xf numFmtId="3" fontId="8" fillId="0" borderId="27" xfId="0" applyNumberFormat="1" applyFont="1" applyFill="1" applyBorder="1" applyAlignment="1">
      <alignment vertical="center" wrapText="1"/>
    </xf>
    <xf numFmtId="3" fontId="8" fillId="0" borderId="101" xfId="0" applyNumberFormat="1" applyFont="1" applyFill="1" applyBorder="1" applyAlignment="1">
      <alignment vertical="center" wrapText="1"/>
    </xf>
    <xf numFmtId="0" fontId="78" fillId="0" borderId="0" xfId="0" applyFont="1" applyFill="1" applyBorder="1" applyAlignment="1"/>
    <xf numFmtId="43" fontId="6" fillId="2" borderId="9" xfId="1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 wrapText="1"/>
    </xf>
    <xf numFmtId="3" fontId="7" fillId="0" borderId="13" xfId="0" applyNumberFormat="1" applyFont="1" applyFill="1" applyBorder="1" applyAlignment="1">
      <alignment vertical="center" wrapText="1"/>
    </xf>
    <xf numFmtId="3" fontId="7" fillId="0" borderId="27" xfId="0" applyNumberFormat="1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0" fontId="74" fillId="58" borderId="38" xfId="0" applyFont="1" applyFill="1" applyBorder="1" applyAlignment="1">
      <alignment vertical="center"/>
    </xf>
    <xf numFmtId="3" fontId="62" fillId="58" borderId="39" xfId="0" applyNumberFormat="1" applyFont="1" applyFill="1" applyBorder="1" applyAlignment="1">
      <alignment vertical="center" wrapText="1"/>
    </xf>
    <xf numFmtId="3" fontId="62" fillId="58" borderId="40" xfId="0" applyNumberFormat="1" applyFont="1" applyFill="1" applyBorder="1" applyAlignment="1">
      <alignment vertical="center" wrapText="1"/>
    </xf>
    <xf numFmtId="3" fontId="78" fillId="0" borderId="0" xfId="0" applyNumberFormat="1" applyFont="1" applyFill="1" applyAlignment="1">
      <alignment vertical="center"/>
    </xf>
    <xf numFmtId="3" fontId="78" fillId="0" borderId="0" xfId="0" applyNumberFormat="1" applyFont="1" applyFill="1" applyBorder="1" applyAlignment="1">
      <alignment vertical="center"/>
    </xf>
    <xf numFmtId="3" fontId="62" fillId="58" borderId="12" xfId="0" applyNumberFormat="1" applyFont="1" applyFill="1" applyBorder="1" applyAlignment="1">
      <alignment vertical="center" wrapText="1"/>
    </xf>
    <xf numFmtId="3" fontId="62" fillId="58" borderId="4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0" fontId="40" fillId="2" borderId="0" xfId="0" applyFont="1" applyFill="1" applyBorder="1" applyAlignment="1">
      <alignment horizontal="center" vertical="center"/>
    </xf>
    <xf numFmtId="0" fontId="36" fillId="4" borderId="22" xfId="0" applyFont="1" applyFill="1" applyBorder="1" applyAlignment="1">
      <alignment horizontal="left"/>
    </xf>
    <xf numFmtId="3" fontId="36" fillId="4" borderId="47" xfId="0" quotePrefix="1" applyNumberFormat="1" applyFont="1" applyFill="1" applyBorder="1" applyAlignment="1">
      <alignment horizontal="right"/>
    </xf>
    <xf numFmtId="3" fontId="68" fillId="8" borderId="35" xfId="0" applyNumberFormat="1" applyFont="1" applyFill="1" applyBorder="1" applyAlignment="1">
      <alignment horizontal="right" vertical="center" wrapText="1"/>
    </xf>
    <xf numFmtId="0" fontId="8" fillId="0" borderId="28" xfId="0" applyFont="1" applyFill="1" applyBorder="1" applyAlignment="1">
      <alignment vertical="center"/>
    </xf>
    <xf numFmtId="43" fontId="8" fillId="2" borderId="9" xfId="1" applyFont="1" applyFill="1" applyBorder="1" applyAlignment="1">
      <alignment vertical="center" wrapText="1"/>
    </xf>
    <xf numFmtId="43" fontId="68" fillId="8" borderId="29" xfId="1" applyFont="1" applyFill="1" applyBorder="1" applyAlignment="1">
      <alignment vertical="center" wrapText="1"/>
    </xf>
    <xf numFmtId="43" fontId="68" fillId="8" borderId="30" xfId="1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43" fontId="8" fillId="0" borderId="47" xfId="1" applyFont="1" applyFill="1" applyBorder="1" applyAlignment="1">
      <alignment vertical="center" wrapText="1"/>
    </xf>
    <xf numFmtId="3" fontId="8" fillId="0" borderId="47" xfId="0" applyNumberFormat="1" applyFont="1" applyFill="1" applyBorder="1" applyAlignment="1">
      <alignment vertical="center" wrapText="1"/>
    </xf>
    <xf numFmtId="0" fontId="74" fillId="4" borderId="38" xfId="0" applyFont="1" applyFill="1" applyBorder="1" applyAlignment="1">
      <alignment vertical="center"/>
    </xf>
    <xf numFmtId="3" fontId="62" fillId="4" borderId="39" xfId="0" applyNumberFormat="1" applyFont="1" applyFill="1" applyBorder="1" applyAlignment="1">
      <alignment vertical="center" wrapText="1"/>
    </xf>
    <xf numFmtId="3" fontId="62" fillId="4" borderId="50" xfId="0" applyNumberFormat="1" applyFont="1" applyFill="1" applyBorder="1" applyAlignment="1">
      <alignment vertical="center" wrapText="1"/>
    </xf>
    <xf numFmtId="3" fontId="62" fillId="4" borderId="51" xfId="0" applyNumberFormat="1" applyFont="1" applyFill="1" applyBorder="1" applyAlignment="1">
      <alignment vertical="center" wrapText="1"/>
    </xf>
    <xf numFmtId="3" fontId="62" fillId="4" borderId="52" xfId="0" applyNumberFormat="1" applyFont="1" applyFill="1" applyBorder="1" applyAlignment="1">
      <alignment vertical="center" wrapText="1"/>
    </xf>
    <xf numFmtId="3" fontId="62" fillId="4" borderId="12" xfId="0" applyNumberFormat="1" applyFont="1" applyFill="1" applyBorder="1" applyAlignment="1">
      <alignment vertical="center" wrapText="1"/>
    </xf>
    <xf numFmtId="3" fontId="62" fillId="4" borderId="23" xfId="0" applyNumberFormat="1" applyFont="1" applyFill="1" applyBorder="1" applyAlignment="1">
      <alignment vertical="center" wrapText="1"/>
    </xf>
    <xf numFmtId="3" fontId="62" fillId="4" borderId="25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3" fontId="62" fillId="2" borderId="0" xfId="0" applyNumberFormat="1" applyFont="1" applyFill="1" applyBorder="1" applyAlignment="1">
      <alignment vertical="center" wrapText="1"/>
    </xf>
    <xf numFmtId="3" fontId="78" fillId="2" borderId="0" xfId="0" applyNumberFormat="1" applyFont="1" applyFill="1" applyAlignment="1">
      <alignment vertical="center"/>
    </xf>
    <xf numFmtId="0" fontId="78" fillId="2" borderId="0" xfId="0" applyFont="1" applyFill="1" applyBorder="1" applyAlignment="1">
      <alignment vertical="center"/>
    </xf>
    <xf numFmtId="0" fontId="69" fillId="13" borderId="53" xfId="4" applyFont="1" applyFill="1" applyBorder="1" applyAlignment="1">
      <alignment horizontal="left" vertical="center"/>
    </xf>
    <xf numFmtId="3" fontId="62" fillId="13" borderId="54" xfId="0" applyNumberFormat="1" applyFont="1" applyFill="1" applyBorder="1" applyAlignment="1">
      <alignment vertical="center" wrapText="1"/>
    </xf>
    <xf numFmtId="3" fontId="62" fillId="13" borderId="55" xfId="0" applyNumberFormat="1" applyFont="1" applyFill="1" applyBorder="1" applyAlignment="1">
      <alignment vertical="center" wrapText="1"/>
    </xf>
    <xf numFmtId="3" fontId="62" fillId="13" borderId="56" xfId="0" applyNumberFormat="1" applyFont="1" applyFill="1" applyBorder="1" applyAlignment="1">
      <alignment vertical="center" wrapText="1"/>
    </xf>
    <xf numFmtId="0" fontId="60" fillId="13" borderId="20" xfId="0" applyFont="1" applyFill="1" applyBorder="1" applyAlignment="1">
      <alignment vertical="center"/>
    </xf>
    <xf numFmtId="3" fontId="79" fillId="13" borderId="35" xfId="0" applyNumberFormat="1" applyFont="1" applyFill="1" applyBorder="1" applyAlignment="1">
      <alignment vertical="center" wrapText="1"/>
    </xf>
    <xf numFmtId="3" fontId="79" fillId="13" borderId="7" xfId="0" applyNumberFormat="1" applyFont="1" applyFill="1" applyBorder="1" applyAlignment="1">
      <alignment vertical="center" wrapText="1"/>
    </xf>
    <xf numFmtId="3" fontId="79" fillId="13" borderId="21" xfId="0" applyNumberFormat="1" applyFont="1" applyFill="1" applyBorder="1" applyAlignment="1">
      <alignment vertical="center" wrapText="1"/>
    </xf>
    <xf numFmtId="0" fontId="69" fillId="13" borderId="57" xfId="4" applyFont="1" applyFill="1" applyBorder="1" applyAlignment="1">
      <alignment horizontal="left" vertical="center"/>
    </xf>
    <xf numFmtId="3" fontId="62" fillId="13" borderId="58" xfId="0" applyNumberFormat="1" applyFont="1" applyFill="1" applyBorder="1" applyAlignment="1">
      <alignment vertical="center" wrapText="1"/>
    </xf>
    <xf numFmtId="3" fontId="62" fillId="13" borderId="59" xfId="0" applyNumberFormat="1" applyFont="1" applyFill="1" applyBorder="1" applyAlignment="1">
      <alignment horizontal="center" vertical="center" wrapText="1"/>
    </xf>
    <xf numFmtId="3" fontId="62" fillId="13" borderId="60" xfId="0" applyNumberFormat="1" applyFont="1" applyFill="1" applyBorder="1" applyAlignment="1">
      <alignment horizontal="center" vertical="center" wrapText="1"/>
    </xf>
    <xf numFmtId="3" fontId="78" fillId="2" borderId="0" xfId="0" applyNumberFormat="1" applyFont="1" applyFill="1" applyBorder="1" applyAlignment="1">
      <alignment vertical="center"/>
    </xf>
    <xf numFmtId="0" fontId="60" fillId="13" borderId="37" xfId="0" applyFont="1" applyFill="1" applyBorder="1" applyAlignment="1">
      <alignment vertical="center"/>
    </xf>
    <xf numFmtId="3" fontId="79" fillId="13" borderId="47" xfId="0" applyNumberFormat="1" applyFont="1" applyFill="1" applyBorder="1" applyAlignment="1">
      <alignment vertical="center" wrapText="1"/>
    </xf>
    <xf numFmtId="3" fontId="62" fillId="13" borderId="76" xfId="0" applyNumberFormat="1" applyFont="1" applyFill="1" applyBorder="1" applyAlignment="1">
      <alignment horizontal="center" vertical="center" wrapText="1"/>
    </xf>
    <xf numFmtId="0" fontId="80" fillId="13" borderId="0" xfId="4" applyFont="1" applyFill="1" applyBorder="1" applyAlignment="1">
      <alignment horizontal="center" vertical="center"/>
    </xf>
    <xf numFmtId="3" fontId="62" fillId="13" borderId="0" xfId="0" applyNumberFormat="1" applyFont="1" applyFill="1" applyBorder="1" applyAlignment="1">
      <alignment vertical="center" wrapText="1"/>
    </xf>
    <xf numFmtId="0" fontId="69" fillId="13" borderId="0" xfId="4" applyFont="1" applyFill="1" applyBorder="1" applyAlignment="1">
      <alignment horizontal="left" vertical="center"/>
    </xf>
    <xf numFmtId="0" fontId="69" fillId="0" borderId="0" xfId="4" applyFont="1" applyFill="1" applyBorder="1" applyAlignment="1">
      <alignment horizontal="left" vertical="center"/>
    </xf>
    <xf numFmtId="3" fontId="62" fillId="0" borderId="0" xfId="0" applyNumberFormat="1" applyFont="1" applyFill="1" applyBorder="1" applyAlignment="1">
      <alignment vertical="center" wrapText="1"/>
    </xf>
    <xf numFmtId="0" fontId="69" fillId="0" borderId="53" xfId="4" applyFont="1" applyFill="1" applyBorder="1" applyAlignment="1">
      <alignment horizontal="left" vertical="center"/>
    </xf>
    <xf numFmtId="3" fontId="62" fillId="0" borderId="54" xfId="0" applyNumberFormat="1" applyFont="1" applyFill="1" applyBorder="1" applyAlignment="1">
      <alignment vertical="center" wrapText="1"/>
    </xf>
    <xf numFmtId="3" fontId="62" fillId="0" borderId="55" xfId="0" applyNumberFormat="1" applyFont="1" applyFill="1" applyBorder="1" applyAlignment="1">
      <alignment vertical="center" wrapText="1"/>
    </xf>
    <xf numFmtId="0" fontId="39" fillId="0" borderId="20" xfId="0" applyFont="1" applyFill="1" applyBorder="1" applyAlignment="1">
      <alignment vertical="center"/>
    </xf>
    <xf numFmtId="3" fontId="81" fillId="0" borderId="35" xfId="0" applyNumberFormat="1" applyFont="1" applyFill="1" applyBorder="1" applyAlignment="1">
      <alignment vertical="center" wrapText="1"/>
    </xf>
    <xf numFmtId="3" fontId="79" fillId="0" borderId="7" xfId="0" applyNumberFormat="1" applyFont="1" applyFill="1" applyBorder="1" applyAlignment="1">
      <alignment vertical="center" wrapText="1"/>
    </xf>
    <xf numFmtId="0" fontId="69" fillId="13" borderId="61" xfId="4" applyFont="1" applyFill="1" applyBorder="1" applyAlignment="1">
      <alignment horizontal="left" vertical="center"/>
    </xf>
    <xf numFmtId="3" fontId="62" fillId="13" borderId="61" xfId="0" applyNumberFormat="1" applyFont="1" applyFill="1" applyBorder="1" applyAlignment="1">
      <alignment vertical="center" wrapText="1"/>
    </xf>
    <xf numFmtId="0" fontId="68" fillId="0" borderId="63" xfId="0" applyFont="1" applyBorder="1" applyAlignment="1">
      <alignment horizontal="center" vertical="center"/>
    </xf>
    <xf numFmtId="0" fontId="68" fillId="0" borderId="63" xfId="0" applyFont="1" applyBorder="1" applyAlignment="1">
      <alignment horizontal="center"/>
    </xf>
    <xf numFmtId="3" fontId="62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3" fontId="19" fillId="2" borderId="3" xfId="0" applyNumberFormat="1" applyFont="1" applyFill="1" applyBorder="1" applyAlignment="1">
      <alignment vertical="center" wrapText="1"/>
    </xf>
    <xf numFmtId="3" fontId="19" fillId="14" borderId="3" xfId="0" applyNumberFormat="1" applyFont="1" applyFill="1" applyBorder="1" applyAlignment="1">
      <alignment vertical="center" wrapText="1"/>
    </xf>
    <xf numFmtId="3" fontId="19" fillId="2" borderId="66" xfId="0" applyNumberFormat="1" applyFont="1" applyFill="1" applyBorder="1" applyAlignment="1">
      <alignment vertical="center" wrapText="1"/>
    </xf>
    <xf numFmtId="3" fontId="24" fillId="2" borderId="0" xfId="0" applyNumberFormat="1" applyFont="1" applyFill="1" applyBorder="1" applyAlignment="1">
      <alignment vertical="center" wrapText="1"/>
    </xf>
    <xf numFmtId="3" fontId="24" fillId="14" borderId="0" xfId="0" applyNumberFormat="1" applyFont="1" applyFill="1" applyBorder="1" applyAlignment="1">
      <alignment vertical="center" wrapText="1"/>
    </xf>
    <xf numFmtId="3" fontId="24" fillId="2" borderId="67" xfId="0" applyNumberFormat="1" applyFont="1" applyFill="1" applyBorder="1" applyAlignment="1">
      <alignment vertical="center" wrapText="1"/>
    </xf>
    <xf numFmtId="3" fontId="24" fillId="2" borderId="24" xfId="0" applyNumberFormat="1" applyFont="1" applyFill="1" applyBorder="1" applyAlignment="1">
      <alignment vertical="center" wrapText="1"/>
    </xf>
    <xf numFmtId="3" fontId="24" fillId="14" borderId="24" xfId="0" applyNumberFormat="1" applyFont="1" applyFill="1" applyBorder="1" applyAlignment="1">
      <alignment vertical="center" wrapText="1"/>
    </xf>
    <xf numFmtId="3" fontId="24" fillId="2" borderId="69" xfId="0" applyNumberFormat="1" applyFont="1" applyFill="1" applyBorder="1" applyAlignment="1">
      <alignment vertical="center" wrapText="1"/>
    </xf>
    <xf numFmtId="3" fontId="25" fillId="0" borderId="0" xfId="0" applyNumberFormat="1" applyFont="1" applyFill="1" applyBorder="1" applyAlignment="1">
      <alignment vertical="center" wrapText="1"/>
    </xf>
    <xf numFmtId="3" fontId="78" fillId="0" borderId="0" xfId="0" applyNumberFormat="1" applyFont="1" applyFill="1" applyBorder="1" applyAlignment="1">
      <alignment vertical="center" wrapText="1"/>
    </xf>
    <xf numFmtId="3" fontId="78" fillId="2" borderId="0" xfId="0" applyNumberFormat="1" applyFont="1" applyFill="1" applyBorder="1" applyAlignment="1">
      <alignment vertical="center" wrapText="1"/>
    </xf>
    <xf numFmtId="0" fontId="8" fillId="15" borderId="15" xfId="0" applyFont="1" applyFill="1" applyBorder="1"/>
    <xf numFmtId="0" fontId="8" fillId="15" borderId="4" xfId="0" applyFont="1" applyFill="1" applyBorder="1"/>
    <xf numFmtId="0" fontId="8" fillId="15" borderId="3" xfId="0" applyFont="1" applyFill="1" applyBorder="1"/>
    <xf numFmtId="3" fontId="36" fillId="15" borderId="12" xfId="0" applyNumberFormat="1" applyFont="1" applyFill="1" applyBorder="1" applyAlignment="1">
      <alignment vertical="center"/>
    </xf>
    <xf numFmtId="3" fontId="36" fillId="15" borderId="23" xfId="0" applyNumberFormat="1" applyFont="1" applyFill="1" applyBorder="1" applyAlignment="1">
      <alignment vertical="center"/>
    </xf>
    <xf numFmtId="3" fontId="36" fillId="15" borderId="24" xfId="0" applyNumberFormat="1" applyFont="1" applyFill="1" applyBorder="1" applyAlignment="1">
      <alignment vertical="center"/>
    </xf>
    <xf numFmtId="3" fontId="6" fillId="6" borderId="70" xfId="0" applyNumberFormat="1" applyFont="1" applyFill="1" applyBorder="1"/>
    <xf numFmtId="0" fontId="7" fillId="6" borderId="37" xfId="0" applyFont="1" applyFill="1" applyBorder="1" applyAlignment="1">
      <alignment vertical="center" wrapText="1"/>
    </xf>
    <xf numFmtId="3" fontId="36" fillId="12" borderId="0" xfId="0" applyNumberFormat="1" applyFont="1" applyFill="1" applyBorder="1" applyAlignment="1">
      <alignment horizontal="right" vertical="center"/>
    </xf>
    <xf numFmtId="3" fontId="82" fillId="12" borderId="0" xfId="0" applyNumberFormat="1" applyFont="1" applyFill="1" applyBorder="1" applyAlignment="1">
      <alignment vertical="center"/>
    </xf>
    <xf numFmtId="3" fontId="82" fillId="12" borderId="13" xfId="0" applyNumberFormat="1" applyFont="1" applyFill="1" applyBorder="1" applyAlignment="1">
      <alignment vertical="center"/>
    </xf>
    <xf numFmtId="0" fontId="36" fillId="8" borderId="0" xfId="0" applyFont="1" applyFill="1" applyBorder="1" applyAlignment="1">
      <alignment horizontal="right"/>
    </xf>
    <xf numFmtId="3" fontId="82" fillId="8" borderId="0" xfId="0" applyNumberFormat="1" applyFont="1" applyFill="1" applyBorder="1"/>
    <xf numFmtId="0" fontId="36" fillId="15" borderId="51" xfId="0" applyFont="1" applyFill="1" applyBorder="1" applyAlignment="1">
      <alignment horizontal="center" wrapText="1"/>
    </xf>
    <xf numFmtId="3" fontId="36" fillId="15" borderId="39" xfId="0" applyNumberFormat="1" applyFont="1" applyFill="1" applyBorder="1" applyAlignment="1">
      <alignment vertical="center"/>
    </xf>
    <xf numFmtId="3" fontId="36" fillId="15" borderId="50" xfId="0" applyNumberFormat="1" applyFont="1" applyFill="1" applyBorder="1" applyAlignment="1">
      <alignment vertical="center"/>
    </xf>
    <xf numFmtId="3" fontId="36" fillId="15" borderId="51" xfId="0" applyNumberFormat="1" applyFont="1" applyFill="1" applyBorder="1" applyAlignment="1">
      <alignment horizontal="center"/>
    </xf>
    <xf numFmtId="3" fontId="36" fillId="6" borderId="70" xfId="0" applyNumberFormat="1" applyFont="1" applyFill="1" applyBorder="1"/>
    <xf numFmtId="3" fontId="36" fillId="6" borderId="35" xfId="0" applyNumberFormat="1" applyFont="1" applyFill="1" applyBorder="1"/>
    <xf numFmtId="0" fontId="7" fillId="6" borderId="73" xfId="0" applyFont="1" applyFill="1" applyBorder="1" applyAlignment="1">
      <alignment vertical="center" wrapText="1"/>
    </xf>
    <xf numFmtId="3" fontId="8" fillId="6" borderId="47" xfId="0" applyNumberFormat="1" applyFont="1" applyFill="1" applyBorder="1"/>
    <xf numFmtId="3" fontId="8" fillId="6" borderId="72" xfId="0" applyNumberFormat="1" applyFont="1" applyFill="1" applyBorder="1"/>
    <xf numFmtId="3" fontId="36" fillId="6" borderId="12" xfId="0" applyNumberFormat="1" applyFont="1" applyFill="1" applyBorder="1"/>
    <xf numFmtId="3" fontId="8" fillId="12" borderId="0" xfId="0" applyNumberFormat="1" applyFont="1" applyFill="1" applyBorder="1" applyAlignment="1">
      <alignment horizontal="right"/>
    </xf>
    <xf numFmtId="3" fontId="82" fillId="12" borderId="0" xfId="0" applyNumberFormat="1" applyFont="1" applyFill="1" applyBorder="1"/>
    <xf numFmtId="0" fontId="8" fillId="12" borderId="8" xfId="0" applyFont="1" applyFill="1" applyBorder="1" applyAlignment="1">
      <alignment horizontal="right"/>
    </xf>
    <xf numFmtId="3" fontId="82" fillId="12" borderId="8" xfId="0" applyNumberFormat="1" applyFont="1" applyFill="1" applyBorder="1"/>
    <xf numFmtId="0" fontId="68" fillId="0" borderId="0" xfId="0" applyFont="1" applyBorder="1" applyAlignment="1">
      <alignment horizontal="center" vertical="center"/>
    </xf>
    <xf numFmtId="0" fontId="68" fillId="0" borderId="119" xfId="0" applyFont="1" applyBorder="1" applyAlignment="1">
      <alignment horizontal="center"/>
    </xf>
    <xf numFmtId="0" fontId="8" fillId="16" borderId="15" xfId="0" applyFont="1" applyFill="1" applyBorder="1"/>
    <xf numFmtId="0" fontId="8" fillId="16" borderId="3" xfId="0" applyFont="1" applyFill="1" applyBorder="1"/>
    <xf numFmtId="0" fontId="8" fillId="16" borderId="4" xfId="0" applyFont="1" applyFill="1" applyBorder="1"/>
    <xf numFmtId="0" fontId="8" fillId="16" borderId="0" xfId="0" applyFont="1" applyFill="1" applyBorder="1"/>
    <xf numFmtId="3" fontId="36" fillId="16" borderId="12" xfId="5" applyNumberFormat="1" applyFont="1" applyFill="1" applyBorder="1" applyAlignment="1">
      <alignment vertical="center"/>
    </xf>
    <xf numFmtId="3" fontId="36" fillId="16" borderId="23" xfId="5" applyNumberFormat="1" applyFont="1" applyFill="1" applyBorder="1" applyAlignment="1">
      <alignment vertical="center"/>
    </xf>
    <xf numFmtId="3" fontId="36" fillId="16" borderId="24" xfId="5" applyNumberFormat="1" applyFont="1" applyFill="1" applyBorder="1" applyAlignment="1">
      <alignment vertical="center"/>
    </xf>
    <xf numFmtId="0" fontId="7" fillId="8" borderId="20" xfId="0" applyFont="1" applyFill="1" applyBorder="1" applyAlignment="1">
      <alignment vertical="center" wrapText="1"/>
    </xf>
    <xf numFmtId="3" fontId="8" fillId="8" borderId="30" xfId="0" applyNumberFormat="1" applyFont="1" applyFill="1" applyBorder="1"/>
    <xf numFmtId="3" fontId="8" fillId="8" borderId="71" xfId="0" applyNumberFormat="1" applyFont="1" applyFill="1" applyBorder="1"/>
    <xf numFmtId="3" fontId="8" fillId="8" borderId="31" xfId="0" applyNumberFormat="1" applyFont="1" applyFill="1" applyBorder="1"/>
    <xf numFmtId="0" fontId="7" fillId="8" borderId="28" xfId="0" applyFont="1" applyFill="1" applyBorder="1" applyAlignment="1">
      <alignment vertical="center"/>
    </xf>
    <xf numFmtId="0" fontId="7" fillId="8" borderId="73" xfId="0" applyFont="1" applyFill="1" applyBorder="1" applyAlignment="1">
      <alignment vertical="center"/>
    </xf>
    <xf numFmtId="3" fontId="8" fillId="8" borderId="63" xfId="0" applyNumberFormat="1" applyFont="1" applyFill="1" applyBorder="1"/>
    <xf numFmtId="3" fontId="8" fillId="8" borderId="47" xfId="0" applyNumberFormat="1" applyFont="1" applyFill="1" applyBorder="1"/>
    <xf numFmtId="3" fontId="8" fillId="8" borderId="75" xfId="0" applyNumberFormat="1" applyFont="1" applyFill="1" applyBorder="1"/>
    <xf numFmtId="3" fontId="8" fillId="8" borderId="133" xfId="0" applyNumberFormat="1" applyFont="1" applyFill="1" applyBorder="1"/>
    <xf numFmtId="0" fontId="7" fillId="17" borderId="0" xfId="0" applyFont="1" applyFill="1" applyBorder="1" applyAlignment="1">
      <alignment vertical="center" wrapText="1"/>
    </xf>
    <xf numFmtId="3" fontId="83" fillId="17" borderId="0" xfId="0" applyNumberFormat="1" applyFont="1" applyFill="1" applyBorder="1"/>
    <xf numFmtId="3" fontId="83" fillId="17" borderId="13" xfId="0" applyNumberFormat="1" applyFont="1" applyFill="1" applyBorder="1"/>
    <xf numFmtId="0" fontId="28" fillId="8" borderId="0" xfId="0" applyFont="1" applyFill="1" applyBorder="1" applyAlignment="1">
      <alignment horizontal="right" vertical="center" wrapText="1"/>
    </xf>
    <xf numFmtId="3" fontId="83" fillId="8" borderId="0" xfId="0" applyNumberFormat="1" applyFont="1" applyFill="1" applyBorder="1"/>
    <xf numFmtId="3" fontId="83" fillId="8" borderId="13" xfId="0" applyNumberFormat="1" applyFont="1" applyFill="1" applyBorder="1"/>
    <xf numFmtId="3" fontId="19" fillId="8" borderId="0" xfId="0" applyNumberFormat="1" applyFont="1" applyFill="1" applyBorder="1"/>
    <xf numFmtId="0" fontId="36" fillId="16" borderId="51" xfId="0" applyFont="1" applyFill="1" applyBorder="1" applyAlignment="1">
      <alignment horizontal="center" wrapText="1"/>
    </xf>
    <xf numFmtId="3" fontId="19" fillId="16" borderId="39" xfId="5" applyNumberFormat="1" applyFont="1" applyFill="1" applyBorder="1"/>
    <xf numFmtId="3" fontId="19" fillId="16" borderId="50" xfId="5" applyNumberFormat="1" applyFont="1" applyFill="1" applyBorder="1"/>
    <xf numFmtId="3" fontId="19" fillId="16" borderId="0" xfId="0" applyNumberFormat="1" applyFont="1" applyFill="1" applyBorder="1" applyAlignment="1">
      <alignment horizontal="center"/>
    </xf>
    <xf numFmtId="3" fontId="8" fillId="8" borderId="70" xfId="0" applyNumberFormat="1" applyFont="1" applyFill="1" applyBorder="1"/>
    <xf numFmtId="3" fontId="8" fillId="8" borderId="17" xfId="0" applyNumberFormat="1" applyFont="1" applyFill="1" applyBorder="1"/>
    <xf numFmtId="3" fontId="8" fillId="8" borderId="35" xfId="0" applyNumberFormat="1" applyFont="1" applyFill="1" applyBorder="1"/>
    <xf numFmtId="3" fontId="8" fillId="8" borderId="0" xfId="0" applyNumberFormat="1" applyFont="1" applyFill="1" applyBorder="1"/>
    <xf numFmtId="3" fontId="8" fillId="8" borderId="30" xfId="0" applyNumberFormat="1" applyFont="1" applyFill="1" applyBorder="1" applyAlignment="1">
      <alignment vertical="center"/>
    </xf>
    <xf numFmtId="3" fontId="8" fillId="8" borderId="0" xfId="0" applyNumberFormat="1" applyFont="1" applyFill="1" applyBorder="1" applyAlignment="1">
      <alignment vertical="center"/>
    </xf>
    <xf numFmtId="0" fontId="7" fillId="8" borderId="73" xfId="0" applyFont="1" applyFill="1" applyBorder="1" applyAlignment="1">
      <alignment vertical="center" wrapText="1"/>
    </xf>
    <xf numFmtId="0" fontId="8" fillId="17" borderId="0" xfId="0" applyFont="1" applyFill="1" applyBorder="1" applyAlignment="1">
      <alignment horizontal="right"/>
    </xf>
    <xf numFmtId="3" fontId="68" fillId="17" borderId="0" xfId="0" applyNumberFormat="1" applyFont="1" applyFill="1" applyBorder="1"/>
    <xf numFmtId="3" fontId="8" fillId="17" borderId="0" xfId="0" applyNumberFormat="1" applyFont="1" applyFill="1" applyBorder="1"/>
    <xf numFmtId="0" fontId="36" fillId="0" borderId="27" xfId="0" applyFont="1" applyBorder="1" applyAlignment="1">
      <alignment horizontal="center" vertical="center"/>
    </xf>
    <xf numFmtId="0" fontId="36" fillId="18" borderId="3" xfId="0" applyFont="1" applyFill="1" applyBorder="1" applyAlignment="1">
      <alignment horizontal="center" vertical="center"/>
    </xf>
    <xf numFmtId="0" fontId="8" fillId="18" borderId="15" xfId="0" applyFont="1" applyFill="1" applyBorder="1" applyAlignment="1">
      <alignment vertical="center"/>
    </xf>
    <xf numFmtId="0" fontId="8" fillId="18" borderId="3" xfId="0" applyFont="1" applyFill="1" applyBorder="1" applyAlignment="1">
      <alignment vertical="center"/>
    </xf>
    <xf numFmtId="0" fontId="8" fillId="18" borderId="4" xfId="0" applyFont="1" applyFill="1" applyBorder="1" applyAlignment="1">
      <alignment vertical="center"/>
    </xf>
    <xf numFmtId="0" fontId="8" fillId="18" borderId="0" xfId="0" applyFont="1" applyFill="1" applyBorder="1" applyAlignment="1">
      <alignment vertical="center"/>
    </xf>
    <xf numFmtId="0" fontId="36" fillId="18" borderId="24" xfId="0" applyFont="1" applyFill="1" applyBorder="1" applyAlignment="1">
      <alignment horizontal="center" vertical="center"/>
    </xf>
    <xf numFmtId="3" fontId="36" fillId="18" borderId="12" xfId="0" applyNumberFormat="1" applyFont="1" applyFill="1" applyBorder="1" applyAlignment="1">
      <alignment vertical="center"/>
    </xf>
    <xf numFmtId="3" fontId="36" fillId="18" borderId="23" xfId="0" applyNumberFormat="1" applyFont="1" applyFill="1" applyBorder="1" applyAlignment="1">
      <alignment vertical="center"/>
    </xf>
    <xf numFmtId="3" fontId="36" fillId="18" borderId="0" xfId="0" applyNumberFormat="1" applyFont="1" applyFill="1" applyBorder="1" applyAlignment="1">
      <alignment vertical="center"/>
    </xf>
    <xf numFmtId="0" fontId="7" fillId="11" borderId="20" xfId="0" applyFont="1" applyFill="1" applyBorder="1" applyAlignment="1">
      <alignment vertical="center" wrapText="1"/>
    </xf>
    <xf numFmtId="3" fontId="6" fillId="11" borderId="70" xfId="0" applyNumberFormat="1" applyFont="1" applyFill="1" applyBorder="1"/>
    <xf numFmtId="3" fontId="6" fillId="11" borderId="17" xfId="0" applyNumberFormat="1" applyFont="1" applyFill="1" applyBorder="1"/>
    <xf numFmtId="3" fontId="6" fillId="11" borderId="30" xfId="0" applyNumberFormat="1" applyFont="1" applyFill="1" applyBorder="1"/>
    <xf numFmtId="3" fontId="6" fillId="11" borderId="0" xfId="0" applyNumberFormat="1" applyFont="1" applyFill="1" applyBorder="1"/>
    <xf numFmtId="0" fontId="7" fillId="11" borderId="28" xfId="0" applyFont="1" applyFill="1" applyBorder="1" applyAlignment="1">
      <alignment vertical="center" wrapText="1"/>
    </xf>
    <xf numFmtId="0" fontId="7" fillId="11" borderId="73" xfId="0" applyFont="1" applyFill="1" applyBorder="1" applyAlignment="1">
      <alignment vertical="center" wrapText="1"/>
    </xf>
    <xf numFmtId="0" fontId="7" fillId="11" borderId="37" xfId="0" applyFont="1" applyFill="1" applyBorder="1" applyAlignment="1">
      <alignment vertical="center" wrapText="1"/>
    </xf>
    <xf numFmtId="3" fontId="6" fillId="11" borderId="47" xfId="0" applyNumberFormat="1" applyFont="1" applyFill="1" applyBorder="1"/>
    <xf numFmtId="0" fontId="36" fillId="18" borderId="51" xfId="0" applyFont="1" applyFill="1" applyBorder="1" applyAlignment="1">
      <alignment horizontal="right"/>
    </xf>
    <xf numFmtId="3" fontId="82" fillId="18" borderId="39" xfId="0" applyNumberFormat="1" applyFont="1" applyFill="1" applyBorder="1" applyAlignment="1">
      <alignment vertical="top"/>
    </xf>
    <xf numFmtId="3" fontId="82" fillId="18" borderId="50" xfId="0" applyNumberFormat="1" applyFont="1" applyFill="1" applyBorder="1" applyAlignment="1">
      <alignment vertical="top"/>
    </xf>
    <xf numFmtId="3" fontId="82" fillId="18" borderId="0" xfId="0" applyNumberFormat="1" applyFont="1" applyFill="1" applyBorder="1" applyAlignment="1">
      <alignment vertical="top"/>
    </xf>
    <xf numFmtId="0" fontId="82" fillId="0" borderId="0" xfId="0" applyFont="1" applyBorder="1" applyAlignment="1">
      <alignment horizontal="right"/>
    </xf>
    <xf numFmtId="3" fontId="82" fillId="2" borderId="0" xfId="0" applyNumberFormat="1" applyFont="1" applyFill="1" applyBorder="1" applyAlignment="1">
      <alignment vertical="top"/>
    </xf>
    <xf numFmtId="3" fontId="82" fillId="2" borderId="13" xfId="0" applyNumberFormat="1" applyFont="1" applyFill="1" applyBorder="1" applyAlignment="1">
      <alignment vertical="top"/>
    </xf>
    <xf numFmtId="0" fontId="36" fillId="18" borderId="51" xfId="0" applyFont="1" applyFill="1" applyBorder="1" applyAlignment="1">
      <alignment horizontal="center"/>
    </xf>
    <xf numFmtId="3" fontId="36" fillId="18" borderId="39" xfId="0" applyNumberFormat="1" applyFont="1" applyFill="1" applyBorder="1"/>
    <xf numFmtId="3" fontId="36" fillId="18" borderId="50" xfId="0" applyNumberFormat="1" applyFont="1" applyFill="1" applyBorder="1"/>
    <xf numFmtId="3" fontId="36" fillId="18" borderId="0" xfId="0" applyNumberFormat="1" applyFont="1" applyFill="1" applyBorder="1" applyAlignment="1">
      <alignment horizontal="center"/>
    </xf>
    <xf numFmtId="3" fontId="8" fillId="11" borderId="70" xfId="0" applyNumberFormat="1" applyFont="1" applyFill="1" applyBorder="1"/>
    <xf numFmtId="43" fontId="8" fillId="11" borderId="0" xfId="1" applyFont="1" applyFill="1" applyBorder="1"/>
    <xf numFmtId="3" fontId="8" fillId="11" borderId="30" xfId="0" applyNumberFormat="1" applyFont="1" applyFill="1" applyBorder="1"/>
    <xf numFmtId="3" fontId="6" fillId="11" borderId="30" xfId="0" applyNumberFormat="1" applyFont="1" applyFill="1" applyBorder="1" applyAlignment="1">
      <alignment vertical="center"/>
    </xf>
    <xf numFmtId="43" fontId="8" fillId="11" borderId="0" xfId="1" applyFont="1" applyFill="1" applyBorder="1" applyAlignment="1">
      <alignment vertical="center"/>
    </xf>
    <xf numFmtId="0" fontId="8" fillId="18" borderId="24" xfId="0" applyFont="1" applyFill="1" applyBorder="1" applyAlignment="1">
      <alignment horizontal="right"/>
    </xf>
    <xf numFmtId="3" fontId="8" fillId="18" borderId="24" xfId="0" applyNumberFormat="1" applyFont="1" applyFill="1" applyBorder="1"/>
    <xf numFmtId="3" fontId="8" fillId="18" borderId="12" xfId="0" applyNumberFormat="1" applyFont="1" applyFill="1" applyBorder="1"/>
    <xf numFmtId="3" fontId="8" fillId="18" borderId="0" xfId="0" applyNumberFormat="1" applyFont="1" applyFill="1" applyBorder="1"/>
    <xf numFmtId="0" fontId="8" fillId="0" borderId="13" xfId="0" applyFont="1" applyBorder="1"/>
    <xf numFmtId="3" fontId="82" fillId="0" borderId="0" xfId="0" applyNumberFormat="1" applyFont="1" applyBorder="1"/>
    <xf numFmtId="3" fontId="82" fillId="0" borderId="13" xfId="0" applyNumberFormat="1" applyFont="1" applyBorder="1"/>
    <xf numFmtId="0" fontId="20" fillId="0" borderId="3" xfId="0" applyFont="1" applyBorder="1" applyAlignment="1">
      <alignment wrapText="1"/>
    </xf>
    <xf numFmtId="0" fontId="8" fillId="0" borderId="3" xfId="0" applyFont="1" applyBorder="1"/>
    <xf numFmtId="0" fontId="0" fillId="0" borderId="3" xfId="0" applyFont="1" applyBorder="1"/>
    <xf numFmtId="0" fontId="8" fillId="0" borderId="24" xfId="0" applyFont="1" applyBorder="1"/>
    <xf numFmtId="3" fontId="29" fillId="2" borderId="164" xfId="4" applyNumberFormat="1" applyFont="1" applyFill="1" applyBorder="1" applyAlignment="1">
      <alignment vertical="center" wrapText="1"/>
    </xf>
    <xf numFmtId="0" fontId="7" fillId="0" borderId="164" xfId="4" applyFont="1" applyFill="1" applyBorder="1" applyAlignment="1">
      <alignment vertical="center"/>
    </xf>
    <xf numFmtId="43" fontId="31" fillId="26" borderId="156" xfId="1" applyFont="1" applyFill="1" applyBorder="1" applyAlignment="1">
      <alignment horizontal="right" vertical="center"/>
    </xf>
    <xf numFmtId="0" fontId="29" fillId="2" borderId="164" xfId="4" applyFont="1" applyFill="1" applyBorder="1" applyAlignment="1">
      <alignment vertical="center"/>
    </xf>
    <xf numFmtId="0" fontId="7" fillId="0" borderId="162" xfId="4" applyFont="1" applyFill="1" applyBorder="1" applyAlignment="1">
      <alignment vertical="center"/>
    </xf>
    <xf numFmtId="0" fontId="24" fillId="6" borderId="36" xfId="4" applyFont="1" applyFill="1" applyBorder="1" applyAlignment="1">
      <alignment horizontal="left" vertical="center"/>
    </xf>
    <xf numFmtId="43" fontId="24" fillId="33" borderId="9" xfId="1" applyFont="1" applyFill="1" applyBorder="1" applyAlignment="1">
      <alignment vertical="center"/>
    </xf>
    <xf numFmtId="3" fontId="31" fillId="33" borderId="9" xfId="4" applyNumberFormat="1" applyFont="1" applyFill="1" applyBorder="1" applyAlignment="1">
      <alignment vertical="center"/>
    </xf>
    <xf numFmtId="3" fontId="27" fillId="0" borderId="157" xfId="4" applyNumberFormat="1" applyFont="1" applyFill="1" applyBorder="1" applyAlignment="1">
      <alignment horizontal="right" vertical="center"/>
    </xf>
    <xf numFmtId="0" fontId="28" fillId="60" borderId="127" xfId="0" applyFont="1" applyFill="1" applyBorder="1" applyAlignment="1">
      <alignment vertical="top"/>
    </xf>
    <xf numFmtId="3" fontId="28" fillId="58" borderId="9" xfId="0" applyNumberFormat="1" applyFont="1" applyFill="1" applyBorder="1" applyAlignment="1">
      <alignment horizontal="right" vertical="center"/>
    </xf>
    <xf numFmtId="3" fontId="36" fillId="3" borderId="21" xfId="0" applyNumberFormat="1" applyFont="1" applyFill="1" applyBorder="1" applyAlignment="1">
      <alignment vertical="center" wrapText="1"/>
    </xf>
    <xf numFmtId="3" fontId="36" fillId="3" borderId="25" xfId="0" applyNumberFormat="1" applyFont="1" applyFill="1" applyBorder="1" applyAlignment="1">
      <alignment vertical="center" wrapText="1"/>
    </xf>
    <xf numFmtId="0" fontId="24" fillId="8" borderId="45" xfId="0" applyFont="1" applyFill="1" applyBorder="1" applyAlignment="1">
      <alignment horizontal="left" vertical="center" wrapText="1"/>
    </xf>
    <xf numFmtId="3" fontId="29" fillId="0" borderId="29" xfId="0" applyNumberFormat="1" applyFont="1" applyFill="1" applyBorder="1" applyAlignment="1">
      <alignment horizontal="right" vertical="center"/>
    </xf>
    <xf numFmtId="3" fontId="7" fillId="0" borderId="72" xfId="0" applyNumberFormat="1" applyFont="1" applyFill="1" applyBorder="1" applyAlignment="1">
      <alignment horizontal="right" vertical="center"/>
    </xf>
    <xf numFmtId="3" fontId="7" fillId="0" borderId="65" xfId="0" applyNumberFormat="1" applyFont="1" applyFill="1" applyBorder="1" applyAlignment="1">
      <alignment horizontal="right" vertical="center"/>
    </xf>
    <xf numFmtId="3" fontId="28" fillId="57" borderId="35" xfId="0" applyNumberFormat="1" applyFont="1" applyFill="1" applyBorder="1" applyAlignment="1">
      <alignment vertical="center"/>
    </xf>
    <xf numFmtId="3" fontId="31" fillId="56" borderId="9" xfId="0" applyNumberFormat="1" applyFont="1" applyFill="1" applyBorder="1" applyAlignment="1">
      <alignment vertical="top"/>
    </xf>
    <xf numFmtId="3" fontId="31" fillId="56" borderId="35" xfId="0" applyNumberFormat="1" applyFont="1" applyFill="1" applyBorder="1" applyAlignment="1">
      <alignment vertical="top"/>
    </xf>
    <xf numFmtId="3" fontId="28" fillId="58" borderId="9" xfId="0" applyNumberFormat="1" applyFont="1" applyFill="1" applyBorder="1" applyAlignment="1">
      <alignment vertical="top"/>
    </xf>
    <xf numFmtId="3" fontId="28" fillId="61" borderId="35" xfId="0" applyNumberFormat="1" applyFont="1" applyFill="1" applyBorder="1" applyAlignment="1">
      <alignment vertical="center"/>
    </xf>
    <xf numFmtId="3" fontId="28" fillId="57" borderId="9" xfId="0" applyNumberFormat="1" applyFont="1" applyFill="1" applyBorder="1" applyAlignment="1">
      <alignment horizontal="right" vertical="center"/>
    </xf>
    <xf numFmtId="3" fontId="28" fillId="60" borderId="9" xfId="0" applyNumberFormat="1" applyFont="1" applyFill="1" applyBorder="1" applyAlignment="1">
      <alignment vertical="top"/>
    </xf>
    <xf numFmtId="3" fontId="28" fillId="56" borderId="9" xfId="0" applyNumberFormat="1" applyFont="1" applyFill="1" applyBorder="1" applyAlignment="1">
      <alignment horizontal="right" vertical="center"/>
    </xf>
    <xf numFmtId="3" fontId="28" fillId="0" borderId="119" xfId="0" applyNumberFormat="1" applyFont="1" applyFill="1" applyBorder="1" applyAlignment="1">
      <alignment vertical="center"/>
    </xf>
    <xf numFmtId="0" fontId="26" fillId="0" borderId="43" xfId="0" applyFont="1" applyBorder="1" applyAlignment="1"/>
    <xf numFmtId="0" fontId="26" fillId="0" borderId="41" xfId="0" applyFont="1" applyBorder="1" applyAlignment="1"/>
    <xf numFmtId="0" fontId="0" fillId="0" borderId="171" xfId="0" applyFont="1" applyBorder="1" applyAlignment="1">
      <alignment vertical="center"/>
    </xf>
    <xf numFmtId="3" fontId="27" fillId="0" borderId="171" xfId="4" applyNumberFormat="1" applyFont="1" applyFill="1" applyBorder="1" applyAlignment="1">
      <alignment horizontal="right" vertical="center"/>
    </xf>
    <xf numFmtId="3" fontId="27" fillId="26" borderId="171" xfId="4" applyNumberFormat="1" applyFont="1" applyFill="1" applyBorder="1" applyAlignment="1">
      <alignment horizontal="right" vertical="center"/>
    </xf>
    <xf numFmtId="43" fontId="7" fillId="0" borderId="157" xfId="1" applyFont="1" applyFill="1" applyBorder="1" applyAlignment="1">
      <alignment horizontal="right" vertical="center"/>
    </xf>
    <xf numFmtId="43" fontId="31" fillId="0" borderId="9" xfId="1" applyFont="1" applyFill="1" applyBorder="1" applyAlignment="1">
      <alignment horizontal="right" vertical="center"/>
    </xf>
    <xf numFmtId="3" fontId="0" fillId="0" borderId="0" xfId="0" applyNumberFormat="1" applyFont="1" applyBorder="1" applyAlignment="1">
      <alignment wrapText="1"/>
    </xf>
    <xf numFmtId="3" fontId="20" fillId="0" borderId="26" xfId="0" applyNumberFormat="1" applyFont="1" applyFill="1" applyBorder="1" applyAlignment="1">
      <alignment horizontal="center" vertical="top" wrapText="1"/>
    </xf>
    <xf numFmtId="3" fontId="20" fillId="0" borderId="0" xfId="0" applyNumberFormat="1" applyFont="1" applyFill="1" applyBorder="1" applyAlignment="1">
      <alignment horizontal="center" vertical="top" wrapText="1"/>
    </xf>
    <xf numFmtId="3" fontId="0" fillId="0" borderId="26" xfId="0" applyNumberFormat="1" applyFont="1" applyBorder="1" applyAlignment="1">
      <alignment wrapText="1"/>
    </xf>
    <xf numFmtId="3" fontId="25" fillId="6" borderId="26" xfId="0" applyNumberFormat="1" applyFont="1" applyFill="1" applyBorder="1" applyAlignment="1">
      <alignment vertical="center"/>
    </xf>
    <xf numFmtId="3" fontId="25" fillId="6" borderId="0" xfId="0" applyNumberFormat="1" applyFont="1" applyFill="1" applyBorder="1" applyAlignment="1">
      <alignment vertical="center"/>
    </xf>
    <xf numFmtId="3" fontId="27" fillId="33" borderId="26" xfId="0" applyNumberFormat="1" applyFont="1" applyFill="1" applyBorder="1" applyAlignment="1">
      <alignment vertical="center"/>
    </xf>
    <xf numFmtId="3" fontId="27" fillId="33" borderId="0" xfId="0" applyNumberFormat="1" applyFont="1" applyFill="1" applyBorder="1" applyAlignment="1">
      <alignment vertical="center"/>
    </xf>
    <xf numFmtId="0" fontId="0" fillId="0" borderId="171" xfId="0" applyFont="1" applyBorder="1"/>
    <xf numFmtId="3" fontId="0" fillId="0" borderId="171" xfId="0" applyNumberFormat="1" applyFont="1" applyBorder="1" applyAlignment="1">
      <alignment vertical="center"/>
    </xf>
    <xf numFmtId="3" fontId="37" fillId="0" borderId="171" xfId="0" applyNumberFormat="1" applyFont="1" applyBorder="1" applyAlignment="1">
      <alignment vertical="center"/>
    </xf>
    <xf numFmtId="0" fontId="39" fillId="0" borderId="171" xfId="0" applyFont="1" applyBorder="1" applyAlignment="1">
      <alignment vertical="center"/>
    </xf>
    <xf numFmtId="3" fontId="39" fillId="0" borderId="171" xfId="0" applyNumberFormat="1" applyFont="1" applyBorder="1" applyAlignment="1">
      <alignment vertical="center"/>
    </xf>
    <xf numFmtId="0" fontId="18" fillId="0" borderId="171" xfId="0" applyFont="1" applyBorder="1" applyAlignment="1">
      <alignment vertical="top"/>
    </xf>
    <xf numFmtId="3" fontId="0" fillId="0" borderId="171" xfId="0" applyNumberFormat="1" applyFont="1" applyBorder="1"/>
    <xf numFmtId="3" fontId="37" fillId="0" borderId="171" xfId="0" applyNumberFormat="1" applyFont="1" applyBorder="1"/>
    <xf numFmtId="3" fontId="8" fillId="0" borderId="171" xfId="0" applyNumberFormat="1" applyFont="1" applyBorder="1" applyAlignment="1">
      <alignment vertical="top"/>
    </xf>
    <xf numFmtId="0" fontId="37" fillId="0" borderId="171" xfId="0" applyFont="1" applyBorder="1" applyAlignment="1">
      <alignment vertical="center"/>
    </xf>
    <xf numFmtId="3" fontId="24" fillId="6" borderId="171" xfId="4" applyNumberFormat="1" applyFont="1" applyFill="1" applyBorder="1" applyAlignment="1">
      <alignment vertical="center"/>
    </xf>
    <xf numFmtId="0" fontId="40" fillId="2" borderId="0" xfId="0" applyFont="1" applyFill="1" applyBorder="1" applyAlignment="1">
      <alignment horizontal="center" vertical="center" wrapText="1"/>
    </xf>
    <xf numFmtId="0" fontId="80" fillId="2" borderId="0" xfId="0" applyFont="1" applyFill="1" applyBorder="1" applyAlignment="1">
      <alignment vertical="center"/>
    </xf>
    <xf numFmtId="3" fontId="80" fillId="2" borderId="0" xfId="0" applyNumberFormat="1" applyFont="1" applyFill="1" applyAlignment="1">
      <alignment vertical="center"/>
    </xf>
    <xf numFmtId="3" fontId="80" fillId="2" borderId="0" xfId="0" applyNumberFormat="1" applyFont="1" applyFill="1" applyBorder="1" applyAlignment="1">
      <alignment vertical="center"/>
    </xf>
    <xf numFmtId="3" fontId="24" fillId="24" borderId="15" xfId="4" applyNumberFormat="1" applyFont="1" applyFill="1" applyBorder="1" applyAlignment="1">
      <alignment horizontal="right" vertical="center"/>
    </xf>
    <xf numFmtId="0" fontId="7" fillId="33" borderId="21" xfId="4" applyFont="1" applyFill="1" applyBorder="1" applyAlignment="1">
      <alignment horizontal="left" vertical="center"/>
    </xf>
    <xf numFmtId="3" fontId="24" fillId="6" borderId="35" xfId="0" applyNumberFormat="1" applyFont="1" applyFill="1" applyBorder="1" applyAlignment="1">
      <alignment horizontal="right" vertical="center"/>
    </xf>
    <xf numFmtId="43" fontId="24" fillId="6" borderId="35" xfId="1" applyFont="1" applyFill="1" applyBorder="1" applyAlignment="1">
      <alignment horizontal="right" vertical="center"/>
    </xf>
    <xf numFmtId="0" fontId="24" fillId="8" borderId="78" xfId="4" applyFont="1" applyFill="1" applyBorder="1" applyAlignment="1">
      <alignment vertical="center" wrapText="1"/>
    </xf>
    <xf numFmtId="0" fontId="24" fillId="8" borderId="70" xfId="4" applyFont="1" applyFill="1" applyBorder="1" applyAlignment="1">
      <alignment horizontal="center" vertical="center" wrapText="1"/>
    </xf>
    <xf numFmtId="0" fontId="24" fillId="6" borderId="35" xfId="4" applyFont="1" applyFill="1" applyBorder="1" applyAlignment="1">
      <alignment horizontal="left" vertical="center"/>
    </xf>
    <xf numFmtId="3" fontId="28" fillId="2" borderId="125" xfId="0" applyNumberFormat="1" applyFont="1" applyFill="1" applyBorder="1" applyAlignment="1">
      <alignment vertical="top"/>
    </xf>
    <xf numFmtId="0" fontId="31" fillId="0" borderId="122" xfId="0" applyFont="1" applyFill="1" applyBorder="1" applyAlignment="1">
      <alignment horizontal="left" vertical="center" wrapText="1"/>
    </xf>
    <xf numFmtId="3" fontId="25" fillId="23" borderId="101" xfId="0" applyNumberFormat="1" applyFont="1" applyFill="1" applyBorder="1" applyAlignment="1">
      <alignment vertical="top"/>
    </xf>
    <xf numFmtId="3" fontId="25" fillId="26" borderId="100" xfId="0" applyNumberFormat="1" applyFont="1" applyFill="1" applyBorder="1" applyAlignment="1">
      <alignment vertical="top"/>
    </xf>
    <xf numFmtId="0" fontId="31" fillId="0" borderId="76" xfId="0" applyFont="1" applyFill="1" applyBorder="1" applyAlignment="1">
      <alignment vertical="top"/>
    </xf>
    <xf numFmtId="43" fontId="23" fillId="6" borderId="9" xfId="1" applyFont="1" applyFill="1" applyBorder="1" applyAlignment="1">
      <alignment horizontal="right" vertical="center"/>
    </xf>
    <xf numFmtId="43" fontId="62" fillId="6" borderId="30" xfId="1" applyFont="1" applyFill="1" applyBorder="1" applyAlignment="1">
      <alignment vertical="center" wrapText="1"/>
    </xf>
    <xf numFmtId="3" fontId="8" fillId="0" borderId="119" xfId="0" applyNumberFormat="1" applyFont="1" applyFill="1" applyBorder="1" applyAlignment="1">
      <alignment vertical="center" wrapText="1"/>
    </xf>
    <xf numFmtId="0" fontId="7" fillId="33" borderId="25" xfId="4" applyFont="1" applyFill="1" applyBorder="1" applyAlignment="1">
      <alignment horizontal="left" vertical="center"/>
    </xf>
    <xf numFmtId="0" fontId="63" fillId="59" borderId="122" xfId="0" applyFont="1" applyFill="1" applyBorder="1"/>
    <xf numFmtId="0" fontId="8" fillId="0" borderId="160" xfId="0" applyFont="1" applyFill="1" applyBorder="1" applyAlignment="1">
      <alignment vertical="center" wrapText="1"/>
    </xf>
    <xf numFmtId="0" fontId="31" fillId="56" borderId="122" xfId="4" applyFont="1" applyFill="1" applyBorder="1" applyAlignment="1">
      <alignment horizontal="left" vertical="center"/>
    </xf>
    <xf numFmtId="0" fontId="63" fillId="57" borderId="122" xfId="0" applyFont="1" applyFill="1" applyBorder="1" applyAlignment="1">
      <alignment vertical="center"/>
    </xf>
    <xf numFmtId="3" fontId="31" fillId="0" borderId="171" xfId="4" applyNumberFormat="1" applyFont="1" applyFill="1" applyBorder="1" applyAlignment="1">
      <alignment vertical="center"/>
    </xf>
    <xf numFmtId="0" fontId="7" fillId="0" borderId="25" xfId="4" applyFont="1" applyFill="1" applyBorder="1" applyAlignment="1">
      <alignment vertical="center"/>
    </xf>
    <xf numFmtId="3" fontId="32" fillId="0" borderId="12" xfId="6" applyNumberFormat="1" applyFont="1" applyFill="1" applyBorder="1" applyAlignment="1">
      <alignment vertical="center"/>
    </xf>
    <xf numFmtId="3" fontId="32" fillId="0" borderId="74" xfId="6" applyNumberFormat="1" applyFont="1" applyFill="1" applyBorder="1" applyAlignment="1">
      <alignment vertical="center"/>
    </xf>
    <xf numFmtId="3" fontId="25" fillId="24" borderId="2" xfId="4" applyNumberFormat="1" applyFont="1" applyFill="1" applyBorder="1" applyAlignment="1">
      <alignment horizontal="right" vertical="center"/>
    </xf>
    <xf numFmtId="3" fontId="7" fillId="2" borderId="74" xfId="4" applyNumberFormat="1" applyFont="1" applyFill="1" applyBorder="1" applyAlignment="1">
      <alignment vertical="center"/>
    </xf>
    <xf numFmtId="0" fontId="7" fillId="0" borderId="110" xfId="4" applyFont="1" applyFill="1" applyBorder="1" applyAlignment="1">
      <alignment vertical="center"/>
    </xf>
    <xf numFmtId="43" fontId="7" fillId="0" borderId="99" xfId="1" applyFont="1" applyFill="1" applyBorder="1" applyAlignment="1">
      <alignment horizontal="right" vertical="center"/>
    </xf>
    <xf numFmtId="0" fontId="7" fillId="0" borderId="82" xfId="4" applyFont="1" applyFill="1" applyBorder="1" applyAlignment="1">
      <alignment horizontal="left" vertical="center"/>
    </xf>
    <xf numFmtId="3" fontId="7" fillId="0" borderId="47" xfId="4" applyNumberFormat="1" applyFont="1" applyFill="1" applyBorder="1" applyAlignment="1">
      <alignment vertical="center"/>
    </xf>
    <xf numFmtId="0" fontId="31" fillId="0" borderId="21" xfId="4" applyFont="1" applyFill="1" applyBorder="1" applyAlignment="1">
      <alignment horizontal="left" vertical="center"/>
    </xf>
    <xf numFmtId="0" fontId="31" fillId="0" borderId="122" xfId="4" applyFont="1" applyFill="1" applyBorder="1" applyAlignment="1">
      <alignment horizontal="left" vertical="center"/>
    </xf>
    <xf numFmtId="3" fontId="31" fillId="0" borderId="13" xfId="4" applyNumberFormat="1" applyFont="1" applyFill="1" applyBorder="1" applyAlignment="1">
      <alignment horizontal="right" vertical="center"/>
    </xf>
    <xf numFmtId="3" fontId="31" fillId="0" borderId="27" xfId="4" applyNumberFormat="1" applyFont="1" applyFill="1" applyBorder="1" applyAlignment="1">
      <alignment horizontal="right" vertical="center"/>
    </xf>
    <xf numFmtId="0" fontId="31" fillId="6" borderId="102" xfId="0" applyFont="1" applyFill="1" applyBorder="1" applyAlignment="1">
      <alignment vertical="top"/>
    </xf>
    <xf numFmtId="0" fontId="31" fillId="0" borderId="104" xfId="0" applyFont="1" applyFill="1" applyBorder="1" applyAlignment="1">
      <alignment horizontal="left" vertical="center" wrapText="1"/>
    </xf>
    <xf numFmtId="0" fontId="7" fillId="6" borderId="102" xfId="0" applyFont="1" applyFill="1" applyBorder="1" applyAlignment="1">
      <alignment horizontal="left" vertical="center" wrapText="1"/>
    </xf>
    <xf numFmtId="3" fontId="27" fillId="2" borderId="112" xfId="4" applyNumberFormat="1" applyFont="1" applyFill="1" applyBorder="1" applyAlignment="1">
      <alignment vertical="center" wrapText="1"/>
    </xf>
    <xf numFmtId="0" fontId="27" fillId="2" borderId="106" xfId="4" applyFont="1" applyFill="1" applyBorder="1" applyAlignment="1">
      <alignment vertical="top"/>
    </xf>
    <xf numFmtId="0" fontId="24" fillId="8" borderId="5" xfId="0" applyFont="1" applyFill="1" applyBorder="1" applyAlignment="1">
      <alignment vertical="center" wrapText="1"/>
    </xf>
    <xf numFmtId="3" fontId="25" fillId="6" borderId="35" xfId="0" applyNumberFormat="1" applyFont="1" applyFill="1" applyBorder="1" applyAlignment="1">
      <alignment vertical="center"/>
    </xf>
    <xf numFmtId="0" fontId="25" fillId="6" borderId="35" xfId="4" applyFont="1" applyFill="1" applyBorder="1" applyAlignment="1">
      <alignment horizontal="left" vertical="center"/>
    </xf>
    <xf numFmtId="3" fontId="27" fillId="24" borderId="123" xfId="0" applyNumberFormat="1" applyFont="1" applyFill="1" applyBorder="1" applyAlignment="1">
      <alignment vertical="top"/>
    </xf>
    <xf numFmtId="3" fontId="28" fillId="24" borderId="123" xfId="0" applyNumberFormat="1" applyFont="1" applyFill="1" applyBorder="1" applyAlignment="1">
      <alignment horizontal="center" vertical="top"/>
    </xf>
    <xf numFmtId="3" fontId="27" fillId="24" borderId="123" xfId="0" applyNumberFormat="1" applyFont="1" applyFill="1" applyBorder="1" applyAlignment="1">
      <alignment horizontal="center" vertical="top"/>
    </xf>
    <xf numFmtId="3" fontId="31" fillId="8" borderId="119" xfId="0" applyNumberFormat="1" applyFont="1" applyFill="1" applyBorder="1" applyAlignment="1">
      <alignment vertical="top"/>
    </xf>
    <xf numFmtId="0" fontId="25" fillId="8" borderId="35" xfId="0" applyFont="1" applyFill="1" applyBorder="1" applyAlignment="1">
      <alignment horizontal="left" vertical="center" wrapText="1"/>
    </xf>
    <xf numFmtId="0" fontId="25" fillId="8" borderId="35" xfId="0" applyFont="1" applyFill="1" applyBorder="1" applyAlignment="1">
      <alignment horizontal="center" vertical="center" wrapText="1"/>
    </xf>
    <xf numFmtId="0" fontId="31" fillId="8" borderId="35" xfId="0" applyFont="1" applyFill="1" applyBorder="1" applyAlignment="1">
      <alignment vertical="top"/>
    </xf>
    <xf numFmtId="3" fontId="31" fillId="8" borderId="10" xfId="0" applyNumberFormat="1" applyFont="1" applyFill="1" applyBorder="1" applyAlignment="1">
      <alignment vertical="top"/>
    </xf>
    <xf numFmtId="3" fontId="27" fillId="26" borderId="123" xfId="0" applyNumberFormat="1" applyFont="1" applyFill="1" applyBorder="1" applyAlignment="1">
      <alignment horizontal="center" vertical="top"/>
    </xf>
    <xf numFmtId="3" fontId="25" fillId="6" borderId="35" xfId="0" applyNumberFormat="1" applyFont="1" applyFill="1" applyBorder="1" applyAlignment="1">
      <alignment vertical="top"/>
    </xf>
    <xf numFmtId="3" fontId="25" fillId="6" borderId="13" xfId="0" applyNumberFormat="1" applyFont="1" applyFill="1" applyBorder="1" applyAlignment="1">
      <alignment vertical="top"/>
    </xf>
    <xf numFmtId="0" fontId="0" fillId="0" borderId="123" xfId="0" applyFont="1" applyBorder="1"/>
    <xf numFmtId="0" fontId="0" fillId="0" borderId="119" xfId="0" applyFont="1" applyBorder="1"/>
    <xf numFmtId="0" fontId="30" fillId="8" borderId="5" xfId="0" applyFont="1" applyFill="1" applyBorder="1" applyAlignment="1">
      <alignment vertical="top"/>
    </xf>
    <xf numFmtId="3" fontId="27" fillId="2" borderId="166" xfId="0" applyNumberFormat="1" applyFont="1" applyFill="1" applyBorder="1" applyAlignment="1">
      <alignment vertical="center"/>
    </xf>
    <xf numFmtId="3" fontId="31" fillId="0" borderId="166" xfId="0" applyNumberFormat="1" applyFont="1" applyFill="1" applyBorder="1" applyAlignment="1">
      <alignment vertical="center"/>
    </xf>
    <xf numFmtId="0" fontId="25" fillId="33" borderId="35" xfId="4" applyFont="1" applyFill="1" applyBorder="1" applyAlignment="1">
      <alignment horizontal="center" vertical="center" wrapText="1"/>
    </xf>
    <xf numFmtId="3" fontId="31" fillId="8" borderId="17" xfId="0" applyNumberFormat="1" applyFont="1" applyFill="1" applyBorder="1" applyAlignment="1">
      <alignment vertical="top"/>
    </xf>
    <xf numFmtId="4" fontId="0" fillId="0" borderId="125" xfId="0" applyNumberFormat="1" applyFont="1" applyBorder="1"/>
    <xf numFmtId="3" fontId="13" fillId="0" borderId="0" xfId="0" applyNumberFormat="1" applyFont="1" applyFill="1" applyAlignment="1">
      <alignment horizontal="left"/>
    </xf>
    <xf numFmtId="0" fontId="69" fillId="6" borderId="160" xfId="4" applyFont="1" applyFill="1" applyBorder="1" applyAlignment="1">
      <alignment horizontal="left"/>
    </xf>
    <xf numFmtId="3" fontId="62" fillId="6" borderId="171" xfId="0" applyNumberFormat="1" applyFont="1" applyFill="1" applyBorder="1" applyAlignment="1">
      <alignment wrapText="1"/>
    </xf>
    <xf numFmtId="3" fontId="68" fillId="8" borderId="156" xfId="0" applyNumberFormat="1" applyFont="1" applyFill="1" applyBorder="1" applyAlignment="1">
      <alignment vertical="center" wrapText="1"/>
    </xf>
    <xf numFmtId="3" fontId="8" fillId="0" borderId="171" xfId="0" applyNumberFormat="1" applyFont="1" applyFill="1" applyBorder="1" applyAlignment="1">
      <alignment vertical="center" wrapText="1"/>
    </xf>
    <xf numFmtId="3" fontId="68" fillId="8" borderId="171" xfId="0" applyNumberFormat="1" applyFont="1" applyFill="1" applyBorder="1" applyAlignment="1">
      <alignment vertical="center" wrapText="1"/>
    </xf>
    <xf numFmtId="0" fontId="7" fillId="0" borderId="160" xfId="0" applyFont="1" applyFill="1" applyBorder="1" applyAlignment="1">
      <alignment vertical="center" wrapText="1"/>
    </xf>
    <xf numFmtId="3" fontId="8" fillId="0" borderId="156" xfId="0" applyNumberFormat="1" applyFont="1" applyFill="1" applyBorder="1" applyAlignment="1">
      <alignment vertical="center" wrapText="1"/>
    </xf>
    <xf numFmtId="3" fontId="8" fillId="0" borderId="23" xfId="0" applyNumberFormat="1" applyFont="1" applyFill="1" applyBorder="1" applyAlignment="1">
      <alignment vertical="center" wrapText="1"/>
    </xf>
    <xf numFmtId="3" fontId="8" fillId="0" borderId="132" xfId="0" applyNumberFormat="1" applyFont="1" applyFill="1" applyBorder="1" applyAlignment="1">
      <alignment vertical="center" wrapText="1"/>
    </xf>
    <xf numFmtId="3" fontId="38" fillId="0" borderId="77" xfId="4" applyNumberFormat="1" applyFont="1" applyFill="1" applyBorder="1" applyAlignment="1">
      <alignment horizontal="right" vertical="center"/>
    </xf>
    <xf numFmtId="3" fontId="31" fillId="2" borderId="71" xfId="4" applyNumberFormat="1" applyFont="1" applyFill="1" applyBorder="1" applyAlignment="1">
      <alignment vertical="center"/>
    </xf>
    <xf numFmtId="3" fontId="34" fillId="2" borderId="51" xfId="0" applyNumberFormat="1" applyFont="1" applyFill="1" applyBorder="1" applyAlignment="1">
      <alignment vertical="top"/>
    </xf>
    <xf numFmtId="0" fontId="21" fillId="2" borderId="35" xfId="0" quotePrefix="1" applyFont="1" applyFill="1" applyBorder="1" applyAlignment="1">
      <alignment horizontal="center" vertical="top"/>
    </xf>
    <xf numFmtId="3" fontId="31" fillId="0" borderId="172" xfId="4" applyNumberFormat="1" applyFont="1" applyFill="1" applyBorder="1" applyAlignment="1">
      <alignment vertical="center"/>
    </xf>
    <xf numFmtId="3" fontId="6" fillId="6" borderId="175" xfId="0" applyNumberFormat="1" applyFont="1" applyFill="1" applyBorder="1"/>
    <xf numFmtId="3" fontId="6" fillId="6" borderId="177" xfId="0" applyNumberFormat="1" applyFont="1" applyFill="1" applyBorder="1"/>
    <xf numFmtId="3" fontId="6" fillId="6" borderId="119" xfId="0" applyNumberFormat="1" applyFont="1" applyFill="1" applyBorder="1"/>
    <xf numFmtId="0" fontId="24" fillId="6" borderId="175" xfId="4" applyFont="1" applyFill="1" applyBorder="1" applyAlignment="1">
      <alignment horizontal="left" vertical="center"/>
    </xf>
    <xf numFmtId="3" fontId="24" fillId="6" borderId="175" xfId="4" applyNumberFormat="1" applyFont="1" applyFill="1" applyBorder="1" applyAlignment="1">
      <alignment horizontal="right" vertical="center"/>
    </xf>
    <xf numFmtId="3" fontId="25" fillId="6" borderId="175" xfId="4" applyNumberFormat="1" applyFont="1" applyFill="1" applyBorder="1" applyAlignment="1">
      <alignment horizontal="right" vertical="center"/>
    </xf>
    <xf numFmtId="3" fontId="25" fillId="23" borderId="175" xfId="4" applyNumberFormat="1" applyFont="1" applyFill="1" applyBorder="1" applyAlignment="1">
      <alignment horizontal="right" vertical="center"/>
    </xf>
    <xf numFmtId="3" fontId="29" fillId="2" borderId="175" xfId="4" applyNumberFormat="1" applyFont="1" applyFill="1" applyBorder="1" applyAlignment="1">
      <alignment vertical="top" wrapText="1"/>
    </xf>
    <xf numFmtId="3" fontId="27" fillId="0" borderId="175" xfId="4" applyNumberFormat="1" applyFont="1" applyFill="1" applyBorder="1" applyAlignment="1">
      <alignment horizontal="right" vertical="center"/>
    </xf>
    <xf numFmtId="3" fontId="27" fillId="24" borderId="175" xfId="4" applyNumberFormat="1" applyFont="1" applyFill="1" applyBorder="1" applyAlignment="1">
      <alignment horizontal="right" vertical="center"/>
    </xf>
    <xf numFmtId="0" fontId="7" fillId="0" borderId="175" xfId="4" applyFont="1" applyFill="1" applyBorder="1" applyAlignment="1">
      <alignment vertical="top"/>
    </xf>
    <xf numFmtId="3" fontId="31" fillId="0" borderId="174" xfId="4" applyNumberFormat="1" applyFont="1" applyFill="1" applyBorder="1" applyAlignment="1">
      <alignment vertical="center"/>
    </xf>
    <xf numFmtId="3" fontId="31" fillId="0" borderId="175" xfId="4" applyNumberFormat="1" applyFont="1" applyFill="1" applyBorder="1" applyAlignment="1">
      <alignment horizontal="right" vertical="center"/>
    </xf>
    <xf numFmtId="3" fontId="7" fillId="0" borderId="175" xfId="4" applyNumberFormat="1" applyFont="1" applyFill="1" applyBorder="1" applyAlignment="1">
      <alignment horizontal="right" vertical="center"/>
    </xf>
    <xf numFmtId="3" fontId="7" fillId="26" borderId="175" xfId="4" applyNumberFormat="1" applyFont="1" applyFill="1" applyBorder="1" applyAlignment="1">
      <alignment horizontal="right" vertical="center"/>
    </xf>
    <xf numFmtId="3" fontId="32" fillId="0" borderId="175" xfId="6" applyNumberFormat="1" applyFont="1" applyFill="1" applyBorder="1" applyAlignment="1">
      <alignment vertical="center"/>
    </xf>
    <xf numFmtId="3" fontId="33" fillId="0" borderId="175" xfId="6" applyNumberFormat="1" applyFont="1" applyFill="1" applyBorder="1" applyAlignment="1">
      <alignment vertical="center"/>
    </xf>
    <xf numFmtId="3" fontId="33" fillId="24" borderId="175" xfId="6" applyNumberFormat="1" applyFont="1" applyFill="1" applyBorder="1" applyAlignment="1">
      <alignment vertical="center"/>
    </xf>
    <xf numFmtId="0" fontId="25" fillId="6" borderId="175" xfId="4" applyFont="1" applyFill="1" applyBorder="1" applyAlignment="1">
      <alignment horizontal="left" vertical="center"/>
    </xf>
    <xf numFmtId="3" fontId="24" fillId="6" borderId="175" xfId="4" applyNumberFormat="1" applyFont="1" applyFill="1" applyBorder="1" applyAlignment="1"/>
    <xf numFmtId="0" fontId="31" fillId="6" borderId="173" xfId="0" applyFont="1" applyFill="1" applyBorder="1" applyAlignment="1">
      <alignment vertical="top"/>
    </xf>
    <xf numFmtId="3" fontId="27" fillId="2" borderId="180" xfId="0" applyNumberFormat="1" applyFont="1" applyFill="1" applyBorder="1" applyAlignment="1">
      <alignment vertical="top"/>
    </xf>
    <xf numFmtId="3" fontId="25" fillId="26" borderId="181" xfId="0" applyNumberFormat="1" applyFont="1" applyFill="1" applyBorder="1" applyAlignment="1">
      <alignment vertical="top"/>
    </xf>
    <xf numFmtId="3" fontId="28" fillId="2" borderId="180" xfId="0" applyNumberFormat="1" applyFont="1" applyFill="1" applyBorder="1" applyAlignment="1">
      <alignment vertical="top"/>
    </xf>
    <xf numFmtId="3" fontId="31" fillId="0" borderId="180" xfId="0" applyNumberFormat="1" applyFont="1" applyFill="1" applyBorder="1" applyAlignment="1">
      <alignment vertical="top"/>
    </xf>
    <xf numFmtId="3" fontId="31" fillId="26" borderId="181" xfId="0" applyNumberFormat="1" applyFont="1" applyFill="1" applyBorder="1" applyAlignment="1">
      <alignment vertical="top"/>
    </xf>
    <xf numFmtId="3" fontId="27" fillId="0" borderId="180" xfId="0" applyNumberFormat="1" applyFont="1" applyFill="1" applyBorder="1" applyAlignment="1">
      <alignment vertical="top"/>
    </xf>
    <xf numFmtId="43" fontId="27" fillId="0" borderId="180" xfId="1" applyFont="1" applyFill="1" applyBorder="1" applyAlignment="1">
      <alignment vertical="top"/>
    </xf>
    <xf numFmtId="3" fontId="31" fillId="0" borderId="180" xfId="0" applyNumberFormat="1" applyFont="1" applyFill="1" applyBorder="1" applyAlignment="1">
      <alignment horizontal="right" vertical="center"/>
    </xf>
    <xf numFmtId="43" fontId="31" fillId="0" borderId="180" xfId="1" applyFont="1" applyFill="1" applyBorder="1" applyAlignment="1">
      <alignment horizontal="right" vertical="center"/>
    </xf>
    <xf numFmtId="0" fontId="7" fillId="6" borderId="182" xfId="0" applyFont="1" applyFill="1" applyBorder="1" applyAlignment="1">
      <alignment horizontal="left" vertical="center" wrapText="1"/>
    </xf>
    <xf numFmtId="3" fontId="25" fillId="6" borderId="180" xfId="0" applyNumberFormat="1" applyFont="1" applyFill="1" applyBorder="1" applyAlignment="1">
      <alignment vertical="top"/>
    </xf>
    <xf numFmtId="3" fontId="27" fillId="2" borderId="183" xfId="4" applyNumberFormat="1" applyFont="1" applyFill="1" applyBorder="1" applyAlignment="1">
      <alignment vertical="center" wrapText="1"/>
    </xf>
    <xf numFmtId="3" fontId="31" fillId="0" borderId="181" xfId="0" applyNumberFormat="1" applyFont="1" applyFill="1" applyBorder="1" applyAlignment="1">
      <alignment vertical="top"/>
    </xf>
    <xf numFmtId="0" fontId="27" fillId="2" borderId="184" xfId="4" applyFont="1" applyFill="1" applyBorder="1" applyAlignment="1">
      <alignment vertical="top"/>
    </xf>
    <xf numFmtId="3" fontId="28" fillId="2" borderId="132" xfId="0" applyNumberFormat="1" applyFont="1" applyFill="1" applyBorder="1" applyAlignment="1">
      <alignment vertical="top"/>
    </xf>
    <xf numFmtId="0" fontId="31" fillId="6" borderId="182" xfId="0" applyFont="1" applyFill="1" applyBorder="1" applyAlignment="1">
      <alignment vertical="top"/>
    </xf>
    <xf numFmtId="3" fontId="25" fillId="6" borderId="180" xfId="0" applyNumberFormat="1" applyFont="1" applyFill="1" applyBorder="1" applyAlignment="1">
      <alignment vertical="center"/>
    </xf>
    <xf numFmtId="3" fontId="25" fillId="23" borderId="181" xfId="0" applyNumberFormat="1" applyFont="1" applyFill="1" applyBorder="1" applyAlignment="1">
      <alignment vertical="center"/>
    </xf>
    <xf numFmtId="3" fontId="27" fillId="33" borderId="180" xfId="0" applyNumberFormat="1" applyFont="1" applyFill="1" applyBorder="1" applyAlignment="1">
      <alignment vertical="center"/>
    </xf>
    <xf numFmtId="3" fontId="27" fillId="26" borderId="181" xfId="0" applyNumberFormat="1" applyFont="1" applyFill="1" applyBorder="1" applyAlignment="1">
      <alignment vertical="center"/>
    </xf>
    <xf numFmtId="3" fontId="31" fillId="2" borderId="180" xfId="0" applyNumberFormat="1" applyFont="1" applyFill="1" applyBorder="1" applyAlignment="1">
      <alignment vertical="top"/>
    </xf>
    <xf numFmtId="3" fontId="25" fillId="33" borderId="180" xfId="0" applyNumberFormat="1" applyFont="1" applyFill="1" applyBorder="1" applyAlignment="1">
      <alignment vertical="top"/>
    </xf>
    <xf numFmtId="3" fontId="27" fillId="26" borderId="181" xfId="0" applyNumberFormat="1" applyFont="1" applyFill="1" applyBorder="1" applyAlignment="1">
      <alignment vertical="top"/>
    </xf>
    <xf numFmtId="3" fontId="28" fillId="58" borderId="180" xfId="0" applyNumberFormat="1" applyFont="1" applyFill="1" applyBorder="1" applyAlignment="1">
      <alignment vertical="top"/>
    </xf>
    <xf numFmtId="3" fontId="28" fillId="59" borderId="180" xfId="0" applyNumberFormat="1" applyFont="1" applyFill="1" applyBorder="1" applyAlignment="1">
      <alignment vertical="top"/>
    </xf>
    <xf numFmtId="3" fontId="31" fillId="0" borderId="180" xfId="4" applyNumberFormat="1" applyFont="1" applyFill="1" applyBorder="1" applyAlignment="1">
      <alignment vertical="center"/>
    </xf>
    <xf numFmtId="3" fontId="28" fillId="60" borderId="180" xfId="0" applyNumberFormat="1" applyFont="1" applyFill="1" applyBorder="1" applyAlignment="1">
      <alignment vertical="top"/>
    </xf>
    <xf numFmtId="0" fontId="8" fillId="0" borderId="182" xfId="0" applyFont="1" applyFill="1" applyBorder="1" applyAlignment="1">
      <alignment vertical="center" wrapText="1"/>
    </xf>
    <xf numFmtId="43" fontId="31" fillId="26" borderId="181" xfId="1" applyFont="1" applyFill="1" applyBorder="1" applyAlignment="1">
      <alignment vertical="top"/>
    </xf>
    <xf numFmtId="3" fontId="28" fillId="56" borderId="180" xfId="0" applyNumberFormat="1" applyFont="1" applyFill="1" applyBorder="1" applyAlignment="1">
      <alignment vertical="top"/>
    </xf>
    <xf numFmtId="43" fontId="28" fillId="26" borderId="181" xfId="1" applyFont="1" applyFill="1" applyBorder="1" applyAlignment="1">
      <alignment vertical="center"/>
    </xf>
    <xf numFmtId="3" fontId="27" fillId="0" borderId="181" xfId="0" applyNumberFormat="1" applyFont="1" applyFill="1" applyBorder="1" applyAlignment="1">
      <alignment vertical="top"/>
    </xf>
    <xf numFmtId="3" fontId="31" fillId="0" borderId="181" xfId="4" applyNumberFormat="1" applyFont="1" applyFill="1" applyBorder="1" applyAlignment="1">
      <alignment vertical="center"/>
    </xf>
    <xf numFmtId="0" fontId="23" fillId="0" borderId="182" xfId="0" applyFont="1" applyBorder="1" applyAlignment="1">
      <alignment horizontal="center" vertical="center" wrapText="1"/>
    </xf>
    <xf numFmtId="3" fontId="31" fillId="24" borderId="181" xfId="0" applyNumberFormat="1" applyFont="1" applyFill="1" applyBorder="1" applyAlignment="1">
      <alignment vertical="center"/>
    </xf>
    <xf numFmtId="0" fontId="28" fillId="59" borderId="182" xfId="0" applyFont="1" applyFill="1" applyBorder="1" applyAlignment="1">
      <alignment vertical="top"/>
    </xf>
    <xf numFmtId="0" fontId="28" fillId="57" borderId="179" xfId="0" applyFont="1" applyFill="1" applyBorder="1" applyAlignment="1">
      <alignment vertical="center"/>
    </xf>
    <xf numFmtId="3" fontId="28" fillId="57" borderId="180" xfId="0" applyNumberFormat="1" applyFont="1" applyFill="1" applyBorder="1" applyAlignment="1">
      <alignment vertical="center"/>
    </xf>
    <xf numFmtId="0" fontId="28" fillId="60" borderId="182" xfId="0" applyFont="1" applyFill="1" applyBorder="1" applyAlignment="1">
      <alignment vertical="top"/>
    </xf>
    <xf numFmtId="0" fontId="28" fillId="60" borderId="179" xfId="0" applyFont="1" applyFill="1" applyBorder="1" applyAlignment="1">
      <alignment vertical="top"/>
    </xf>
    <xf numFmtId="0" fontId="31" fillId="56" borderId="179" xfId="0" applyFont="1" applyFill="1" applyBorder="1" applyAlignment="1">
      <alignment vertical="top"/>
    </xf>
    <xf numFmtId="0" fontId="31" fillId="56" borderId="182" xfId="0" applyFont="1" applyFill="1" applyBorder="1" applyAlignment="1">
      <alignment vertical="top"/>
    </xf>
    <xf numFmtId="3" fontId="25" fillId="6" borderId="181" xfId="0" applyNumberFormat="1" applyFont="1" applyFill="1" applyBorder="1" applyAlignment="1">
      <alignment vertical="center"/>
    </xf>
    <xf numFmtId="0" fontId="27" fillId="2" borderId="185" xfId="4" applyFont="1" applyFill="1" applyBorder="1" applyAlignment="1">
      <alignment vertical="top"/>
    </xf>
    <xf numFmtId="0" fontId="31" fillId="6" borderId="182" xfId="0" applyFont="1" applyFill="1" applyBorder="1" applyAlignment="1">
      <alignment vertical="center"/>
    </xf>
    <xf numFmtId="3" fontId="25" fillId="23" borderId="180" xfId="0" applyNumberFormat="1" applyFont="1" applyFill="1" applyBorder="1" applyAlignment="1">
      <alignment vertical="center"/>
    </xf>
    <xf numFmtId="0" fontId="31" fillId="0" borderId="186" xfId="0" applyFont="1" applyFill="1" applyBorder="1" applyAlignment="1">
      <alignment horizontal="left" vertical="center" wrapText="1"/>
    </xf>
    <xf numFmtId="3" fontId="25" fillId="6" borderId="181" xfId="0" applyNumberFormat="1" applyFont="1" applyFill="1" applyBorder="1" applyAlignment="1">
      <alignment vertical="top"/>
    </xf>
    <xf numFmtId="3" fontId="27" fillId="2" borderId="181" xfId="0" applyNumberFormat="1" applyFont="1" applyFill="1" applyBorder="1" applyAlignment="1">
      <alignment vertical="top"/>
    </xf>
    <xf numFmtId="0" fontId="25" fillId="6" borderId="185" xfId="4" applyFont="1" applyFill="1" applyBorder="1" applyAlignment="1">
      <alignment horizontal="left" vertical="center"/>
    </xf>
    <xf numFmtId="0" fontId="25" fillId="6" borderId="182" xfId="4" applyFont="1" applyFill="1" applyBorder="1" applyAlignment="1">
      <alignment horizontal="left" vertical="center"/>
    </xf>
    <xf numFmtId="3" fontId="24" fillId="6" borderId="180" xfId="4" applyNumberFormat="1" applyFont="1" applyFill="1" applyBorder="1" applyAlignment="1">
      <alignment vertical="center"/>
    </xf>
    <xf numFmtId="3" fontId="25" fillId="23" borderId="181" xfId="4" applyNumberFormat="1" applyFont="1" applyFill="1" applyBorder="1" applyAlignment="1">
      <alignment horizontal="right" vertical="center"/>
    </xf>
    <xf numFmtId="3" fontId="33" fillId="0" borderId="180" xfId="6" applyNumberFormat="1" applyFont="1" applyFill="1" applyBorder="1" applyAlignment="1">
      <alignment vertical="center"/>
    </xf>
    <xf numFmtId="3" fontId="27" fillId="26" borderId="180" xfId="4" applyNumberFormat="1" applyFont="1" applyFill="1" applyBorder="1" applyAlignment="1">
      <alignment horizontal="right" vertical="center"/>
    </xf>
    <xf numFmtId="3" fontId="7" fillId="0" borderId="172" xfId="4" applyNumberFormat="1" applyFont="1" applyFill="1" applyBorder="1" applyAlignment="1">
      <alignment horizontal="right" vertical="center"/>
    </xf>
    <xf numFmtId="3" fontId="27" fillId="2" borderId="185" xfId="4" applyNumberFormat="1" applyFont="1" applyFill="1" applyBorder="1" applyAlignment="1">
      <alignment vertical="center" wrapText="1"/>
    </xf>
    <xf numFmtId="3" fontId="33" fillId="0" borderId="181" xfId="6" applyNumberFormat="1" applyFont="1" applyFill="1" applyBorder="1" applyAlignment="1">
      <alignment vertical="center"/>
    </xf>
    <xf numFmtId="3" fontId="7" fillId="0" borderId="181" xfId="4" applyNumberFormat="1" applyFont="1" applyFill="1" applyBorder="1" applyAlignment="1">
      <alignment horizontal="right" vertical="center"/>
    </xf>
    <xf numFmtId="3" fontId="25" fillId="6" borderId="180" xfId="4" applyNumberFormat="1" applyFont="1" applyFill="1" applyBorder="1" applyAlignment="1">
      <alignment horizontal="right" vertical="center"/>
    </xf>
    <xf numFmtId="3" fontId="27" fillId="0" borderId="180" xfId="4" applyNumberFormat="1" applyFont="1" applyFill="1" applyBorder="1" applyAlignment="1">
      <alignment horizontal="right" vertical="center"/>
    </xf>
    <xf numFmtId="3" fontId="31" fillId="0" borderId="180" xfId="4" applyNumberFormat="1" applyFont="1" applyFill="1" applyBorder="1" applyAlignment="1">
      <alignment horizontal="right" vertical="center"/>
    </xf>
    <xf numFmtId="3" fontId="7" fillId="0" borderId="180" xfId="4" applyNumberFormat="1" applyFont="1" applyFill="1" applyBorder="1" applyAlignment="1">
      <alignment horizontal="right" vertical="center"/>
    </xf>
    <xf numFmtId="3" fontId="31" fillId="26" borderId="180" xfId="4" applyNumberFormat="1" applyFont="1" applyFill="1" applyBorder="1" applyAlignment="1">
      <alignment horizontal="right" vertical="center"/>
    </xf>
    <xf numFmtId="0" fontId="7" fillId="0" borderId="178" xfId="4" applyFont="1" applyFill="1" applyBorder="1" applyAlignment="1">
      <alignment vertical="center"/>
    </xf>
    <xf numFmtId="3" fontId="29" fillId="2" borderId="185" xfId="4" applyNumberFormat="1" applyFont="1" applyFill="1" applyBorder="1" applyAlignment="1">
      <alignment vertical="center" wrapText="1"/>
    </xf>
    <xf numFmtId="3" fontId="32" fillId="0" borderId="181" xfId="6" applyNumberFormat="1" applyFont="1" applyFill="1" applyBorder="1" applyAlignment="1">
      <alignment vertical="center"/>
    </xf>
    <xf numFmtId="3" fontId="27" fillId="2" borderId="180" xfId="4" applyNumberFormat="1" applyFont="1" applyFill="1" applyBorder="1" applyAlignment="1">
      <alignment vertical="center"/>
    </xf>
    <xf numFmtId="3" fontId="36" fillId="6" borderId="30" xfId="0" applyNumberFormat="1" applyFont="1" applyFill="1" applyBorder="1"/>
    <xf numFmtId="0" fontId="25" fillId="6" borderId="173" xfId="4" applyFont="1" applyFill="1" applyBorder="1" applyAlignment="1">
      <alignment horizontal="left" vertical="center"/>
    </xf>
    <xf numFmtId="3" fontId="23" fillId="6" borderId="180" xfId="6" applyNumberFormat="1" applyFont="1" applyFill="1" applyBorder="1" applyAlignment="1">
      <alignment horizontal="right" vertical="center"/>
    </xf>
    <xf numFmtId="3" fontId="33" fillId="0" borderId="180" xfId="6" applyNumberFormat="1" applyFont="1" applyFill="1" applyBorder="1" applyAlignment="1">
      <alignment horizontal="right" vertical="center"/>
    </xf>
    <xf numFmtId="43" fontId="31" fillId="0" borderId="172" xfId="1" applyFont="1" applyFill="1" applyBorder="1" applyAlignment="1">
      <alignment horizontal="right" vertical="center"/>
    </xf>
    <xf numFmtId="43" fontId="33" fillId="0" borderId="180" xfId="1" applyFont="1" applyFill="1" applyBorder="1" applyAlignment="1">
      <alignment horizontal="right" vertical="center"/>
    </xf>
    <xf numFmtId="3" fontId="29" fillId="2" borderId="180" xfId="4" applyNumberFormat="1" applyFont="1" applyFill="1" applyBorder="1" applyAlignment="1">
      <alignment vertical="center"/>
    </xf>
    <xf numFmtId="43" fontId="23" fillId="6" borderId="180" xfId="1" applyFont="1" applyFill="1" applyBorder="1" applyAlignment="1">
      <alignment horizontal="right" vertical="center"/>
    </xf>
    <xf numFmtId="0" fontId="7" fillId="0" borderId="185" xfId="4" applyFont="1" applyFill="1" applyBorder="1" applyAlignment="1">
      <alignment vertical="center"/>
    </xf>
    <xf numFmtId="0" fontId="0" fillId="0" borderId="0" xfId="0" applyFont="1" applyBorder="1"/>
    <xf numFmtId="0" fontId="25" fillId="6" borderId="173" xfId="4" applyFont="1" applyFill="1" applyBorder="1" applyAlignment="1">
      <alignment horizontal="center" vertical="center"/>
    </xf>
    <xf numFmtId="43" fontId="7" fillId="0" borderId="177" xfId="1" applyFont="1" applyFill="1" applyBorder="1" applyAlignment="1">
      <alignment horizontal="right" vertical="center"/>
    </xf>
    <xf numFmtId="3" fontId="7" fillId="0" borderId="177" xfId="4" applyNumberFormat="1" applyFont="1" applyFill="1" applyBorder="1" applyAlignment="1">
      <alignment horizontal="right" vertical="center"/>
    </xf>
    <xf numFmtId="3" fontId="31" fillId="0" borderId="175" xfId="4" applyNumberFormat="1" applyFont="1" applyFill="1" applyBorder="1" applyAlignment="1">
      <alignment vertical="center"/>
    </xf>
    <xf numFmtId="43" fontId="32" fillId="0" borderId="175" xfId="1" applyFont="1" applyFill="1" applyBorder="1" applyAlignment="1">
      <alignment vertical="center"/>
    </xf>
    <xf numFmtId="0" fontId="27" fillId="2" borderId="185" xfId="4" applyFont="1" applyFill="1" applyBorder="1" applyAlignment="1">
      <alignment vertical="center"/>
    </xf>
    <xf numFmtId="3" fontId="24" fillId="6" borderId="180" xfId="4" applyNumberFormat="1" applyFont="1" applyFill="1" applyBorder="1" applyAlignment="1">
      <alignment horizontal="right" vertical="center"/>
    </xf>
    <xf numFmtId="3" fontId="29" fillId="0" borderId="180" xfId="4" applyNumberFormat="1" applyFont="1" applyFill="1" applyBorder="1" applyAlignment="1">
      <alignment horizontal="right" vertical="center"/>
    </xf>
    <xf numFmtId="3" fontId="29" fillId="26" borderId="180" xfId="4" applyNumberFormat="1" applyFont="1" applyFill="1" applyBorder="1" applyAlignment="1">
      <alignment horizontal="right" vertical="center"/>
    </xf>
    <xf numFmtId="43" fontId="7" fillId="0" borderId="180" xfId="1" applyFont="1" applyFill="1" applyBorder="1" applyAlignment="1">
      <alignment horizontal="right" vertical="center"/>
    </xf>
    <xf numFmtId="0" fontId="0" fillId="0" borderId="175" xfId="0" applyFont="1" applyBorder="1"/>
    <xf numFmtId="3" fontId="6" fillId="3" borderId="21" xfId="0" applyNumberFormat="1" applyFont="1" applyFill="1" applyBorder="1" applyAlignment="1">
      <alignment horizontal="center" vertical="center" wrapText="1"/>
    </xf>
    <xf numFmtId="3" fontId="6" fillId="3" borderId="21" xfId="0" applyNumberFormat="1" applyFont="1" applyFill="1" applyBorder="1" applyAlignment="1">
      <alignment horizontal="right" vertical="center" wrapText="1"/>
    </xf>
    <xf numFmtId="43" fontId="6" fillId="3" borderId="21" xfId="1" applyFont="1" applyFill="1" applyBorder="1" applyAlignment="1">
      <alignment horizontal="center" vertical="center" wrapText="1"/>
    </xf>
    <xf numFmtId="3" fontId="31" fillId="26" borderId="119" xfId="0" applyNumberFormat="1" applyFont="1" applyFill="1" applyBorder="1" applyAlignment="1">
      <alignment vertical="top"/>
    </xf>
    <xf numFmtId="43" fontId="8" fillId="0" borderId="30" xfId="1" applyFont="1" applyFill="1" applyBorder="1" applyAlignment="1">
      <alignment vertical="center" wrapText="1"/>
    </xf>
    <xf numFmtId="43" fontId="8" fillId="0" borderId="171" xfId="1" applyFont="1" applyFill="1" applyBorder="1" applyAlignment="1">
      <alignment vertical="center" wrapText="1"/>
    </xf>
    <xf numFmtId="3" fontId="68" fillId="17" borderId="70" xfId="0" applyNumberFormat="1" applyFont="1" applyFill="1" applyBorder="1"/>
    <xf numFmtId="3" fontId="68" fillId="17" borderId="35" xfId="0" applyNumberFormat="1" applyFont="1" applyFill="1" applyBorder="1"/>
    <xf numFmtId="3" fontId="8" fillId="8" borderId="119" xfId="0" applyNumberFormat="1" applyFont="1" applyFill="1" applyBorder="1"/>
    <xf numFmtId="0" fontId="24" fillId="8" borderId="16" xfId="4" applyFont="1" applyFill="1" applyBorder="1" applyAlignment="1">
      <alignment horizontal="center" vertical="center" wrapText="1"/>
    </xf>
    <xf numFmtId="3" fontId="33" fillId="8" borderId="18" xfId="6" applyNumberFormat="1" applyFont="1" applyFill="1" applyBorder="1" applyAlignment="1">
      <alignment horizontal="right" vertical="center"/>
    </xf>
    <xf numFmtId="3" fontId="25" fillId="6" borderId="181" xfId="4" applyNumberFormat="1" applyFont="1" applyFill="1" applyBorder="1" applyAlignment="1">
      <alignment horizontal="right" vertical="center"/>
    </xf>
    <xf numFmtId="3" fontId="24" fillId="23" borderId="181" xfId="4" applyNumberFormat="1" applyFont="1" applyFill="1" applyBorder="1" applyAlignment="1">
      <alignment horizontal="right" vertical="center"/>
    </xf>
    <xf numFmtId="43" fontId="31" fillId="0" borderId="157" xfId="1" applyFont="1" applyFill="1" applyBorder="1" applyAlignment="1">
      <alignment horizontal="right" vertical="center"/>
    </xf>
    <xf numFmtId="3" fontId="24" fillId="6" borderId="181" xfId="4" applyNumberFormat="1" applyFont="1" applyFill="1" applyBorder="1" applyAlignment="1">
      <alignment vertical="center"/>
    </xf>
    <xf numFmtId="3" fontId="25" fillId="23" borderId="180" xfId="4" applyNumberFormat="1" applyFont="1" applyFill="1" applyBorder="1" applyAlignment="1">
      <alignment horizontal="right" vertical="center"/>
    </xf>
    <xf numFmtId="3" fontId="23" fillId="6" borderId="181" xfId="6" applyNumberFormat="1" applyFont="1" applyFill="1" applyBorder="1" applyAlignment="1">
      <alignment horizontal="right" vertical="center"/>
    </xf>
    <xf numFmtId="43" fontId="23" fillId="6" borderId="181" xfId="1" applyFont="1" applyFill="1" applyBorder="1" applyAlignment="1">
      <alignment horizontal="right" vertical="center"/>
    </xf>
    <xf numFmtId="3" fontId="32" fillId="0" borderId="180" xfId="6" applyNumberFormat="1" applyFont="1" applyFill="1" applyBorder="1" applyAlignment="1">
      <alignment vertical="center"/>
    </xf>
    <xf numFmtId="43" fontId="33" fillId="0" borderId="157" xfId="1" applyFont="1" applyFill="1" applyBorder="1" applyAlignment="1">
      <alignment horizontal="right" vertical="center"/>
    </xf>
    <xf numFmtId="43" fontId="31" fillId="0" borderId="119" xfId="1" applyFont="1" applyFill="1" applyBorder="1" applyAlignment="1">
      <alignment horizontal="right" vertical="center"/>
    </xf>
    <xf numFmtId="43" fontId="25" fillId="6" borderId="180" xfId="1" applyFont="1" applyFill="1" applyBorder="1" applyAlignment="1">
      <alignment vertical="top"/>
    </xf>
    <xf numFmtId="3" fontId="25" fillId="23" borderId="180" xfId="0" applyNumberFormat="1" applyFont="1" applyFill="1" applyBorder="1" applyAlignment="1">
      <alignment vertical="top"/>
    </xf>
    <xf numFmtId="3" fontId="27" fillId="2" borderId="188" xfId="4" applyNumberFormat="1" applyFont="1" applyFill="1" applyBorder="1" applyAlignment="1">
      <alignment vertical="center" wrapText="1"/>
    </xf>
    <xf numFmtId="43" fontId="27" fillId="26" borderId="181" xfId="1" applyFont="1" applyFill="1" applyBorder="1" applyAlignment="1">
      <alignment horizontal="center" vertical="top"/>
    </xf>
    <xf numFmtId="43" fontId="31" fillId="26" borderId="181" xfId="1" applyFont="1" applyFill="1" applyBorder="1" applyAlignment="1">
      <alignment horizontal="center" vertical="top"/>
    </xf>
    <xf numFmtId="0" fontId="23" fillId="0" borderId="173" xfId="0" applyFont="1" applyBorder="1" applyAlignment="1">
      <alignment horizontal="center" vertical="center" wrapText="1"/>
    </xf>
    <xf numFmtId="0" fontId="28" fillId="59" borderId="173" xfId="0" applyFont="1" applyFill="1" applyBorder="1" applyAlignment="1">
      <alignment vertical="top"/>
    </xf>
    <xf numFmtId="0" fontId="28" fillId="57" borderId="127" xfId="0" applyFont="1" applyFill="1" applyBorder="1" applyAlignment="1">
      <alignment vertical="center"/>
    </xf>
    <xf numFmtId="0" fontId="39" fillId="60" borderId="188" xfId="0" applyFont="1" applyFill="1" applyBorder="1"/>
    <xf numFmtId="0" fontId="28" fillId="60" borderId="173" xfId="0" applyFont="1" applyFill="1" applyBorder="1" applyAlignment="1">
      <alignment vertical="top"/>
    </xf>
    <xf numFmtId="0" fontId="31" fillId="56" borderId="127" xfId="0" applyFont="1" applyFill="1" applyBorder="1" applyAlignment="1">
      <alignment vertical="top"/>
    </xf>
    <xf numFmtId="0" fontId="31" fillId="56" borderId="173" xfId="0" applyFont="1" applyFill="1" applyBorder="1" applyAlignment="1">
      <alignment vertical="top"/>
    </xf>
    <xf numFmtId="3" fontId="27" fillId="0" borderId="181" xfId="0" applyNumberFormat="1" applyFont="1" applyFill="1" applyBorder="1" applyAlignment="1">
      <alignment vertical="center"/>
    </xf>
    <xf numFmtId="3" fontId="27" fillId="8" borderId="181" xfId="0" applyNumberFormat="1" applyFont="1" applyFill="1" applyBorder="1" applyAlignment="1">
      <alignment vertical="center"/>
    </xf>
    <xf numFmtId="3" fontId="27" fillId="24" borderId="181" xfId="0" applyNumberFormat="1" applyFont="1" applyFill="1" applyBorder="1" applyAlignment="1">
      <alignment vertical="center"/>
    </xf>
    <xf numFmtId="3" fontId="31" fillId="29" borderId="181" xfId="0" applyNumberFormat="1" applyFont="1" applyFill="1" applyBorder="1" applyAlignment="1">
      <alignment vertical="center"/>
    </xf>
    <xf numFmtId="3" fontId="7" fillId="24" borderId="181" xfId="0" applyNumberFormat="1" applyFont="1" applyFill="1" applyBorder="1" applyAlignment="1">
      <alignment vertical="center"/>
    </xf>
    <xf numFmtId="3" fontId="27" fillId="26" borderId="180" xfId="0" applyNumberFormat="1" applyFont="1" applyFill="1" applyBorder="1" applyAlignment="1">
      <alignment vertical="top"/>
    </xf>
    <xf numFmtId="3" fontId="27" fillId="2" borderId="181" xfId="0" applyNumberFormat="1" applyFont="1" applyFill="1" applyBorder="1" applyAlignment="1">
      <alignment vertical="center"/>
    </xf>
    <xf numFmtId="3" fontId="7" fillId="8" borderId="181" xfId="4" applyNumberFormat="1" applyFont="1" applyFill="1" applyBorder="1" applyAlignment="1">
      <alignment horizontal="right" vertical="center"/>
    </xf>
    <xf numFmtId="0" fontId="31" fillId="0" borderId="185" xfId="4" applyFont="1" applyFill="1" applyBorder="1" applyAlignment="1">
      <alignment vertical="center"/>
    </xf>
    <xf numFmtId="3" fontId="33" fillId="26" borderId="181" xfId="6" applyNumberFormat="1" applyFont="1" applyFill="1" applyBorder="1" applyAlignment="1">
      <alignment vertical="center"/>
    </xf>
    <xf numFmtId="0" fontId="25" fillId="6" borderId="181" xfId="4" applyFont="1" applyFill="1" applyBorder="1" applyAlignment="1">
      <alignment horizontal="left" vertical="center"/>
    </xf>
    <xf numFmtId="3" fontId="25" fillId="23" borderId="181" xfId="0" applyNumberFormat="1" applyFont="1" applyFill="1" applyBorder="1" applyAlignment="1">
      <alignment vertical="top"/>
    </xf>
    <xf numFmtId="3" fontId="31" fillId="24" borderId="181" xfId="0" applyNumberFormat="1" applyFont="1" applyFill="1" applyBorder="1" applyAlignment="1">
      <alignment vertical="top"/>
    </xf>
    <xf numFmtId="3" fontId="31" fillId="0" borderId="181" xfId="0" applyNumberFormat="1" applyFont="1" applyFill="1" applyBorder="1" applyAlignment="1">
      <alignment vertical="center"/>
    </xf>
    <xf numFmtId="3" fontId="27" fillId="0" borderId="181" xfId="4" applyNumberFormat="1" applyFont="1" applyFill="1" applyBorder="1" applyAlignment="1">
      <alignment vertical="center" wrapText="1"/>
    </xf>
    <xf numFmtId="0" fontId="32" fillId="0" borderId="191" xfId="0" applyFont="1" applyBorder="1" applyAlignment="1">
      <alignment vertical="center"/>
    </xf>
    <xf numFmtId="3" fontId="31" fillId="0" borderId="192" xfId="4" applyNumberFormat="1" applyFont="1" applyFill="1" applyBorder="1" applyAlignment="1">
      <alignment vertical="center"/>
    </xf>
    <xf numFmtId="3" fontId="31" fillId="0" borderId="191" xfId="0" applyNumberFormat="1" applyFont="1" applyFill="1" applyBorder="1" applyAlignment="1">
      <alignment vertical="center"/>
    </xf>
    <xf numFmtId="3" fontId="31" fillId="26" borderId="35" xfId="0" applyNumberFormat="1" applyFont="1" applyFill="1" applyBorder="1" applyAlignment="1">
      <alignment vertical="top"/>
    </xf>
    <xf numFmtId="3" fontId="31" fillId="0" borderId="191" xfId="0" applyNumberFormat="1" applyFont="1" applyFill="1" applyBorder="1" applyAlignment="1">
      <alignment vertical="top"/>
    </xf>
    <xf numFmtId="3" fontId="31" fillId="0" borderId="191" xfId="0" applyNumberFormat="1" applyFont="1" applyFill="1" applyBorder="1" applyAlignment="1">
      <alignment horizontal="right" vertical="center"/>
    </xf>
    <xf numFmtId="0" fontId="7" fillId="0" borderId="3" xfId="0" quotePrefix="1" applyFont="1" applyBorder="1" applyAlignment="1">
      <alignment horizontal="center"/>
    </xf>
    <xf numFmtId="3" fontId="69" fillId="4" borderId="18" xfId="0" applyNumberFormat="1" applyFont="1" applyFill="1" applyBorder="1" applyAlignment="1">
      <alignment horizontal="right" vertical="center" wrapText="1"/>
    </xf>
    <xf numFmtId="3" fontId="36" fillId="4" borderId="8" xfId="0" applyNumberFormat="1" applyFont="1" applyFill="1" applyBorder="1" applyAlignment="1">
      <alignment horizontal="right" vertical="center" wrapText="1"/>
    </xf>
    <xf numFmtId="3" fontId="36" fillId="4" borderId="24" xfId="0" applyNumberFormat="1" applyFont="1" applyFill="1" applyBorder="1" applyAlignment="1">
      <alignment horizontal="right" vertical="center" wrapText="1"/>
    </xf>
    <xf numFmtId="3" fontId="69" fillId="6" borderId="184" xfId="0" applyNumberFormat="1" applyFont="1" applyFill="1" applyBorder="1" applyAlignment="1">
      <alignment horizontal="right" vertical="center" wrapText="1"/>
    </xf>
    <xf numFmtId="3" fontId="64" fillId="8" borderId="8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vertical="center" wrapText="1"/>
    </xf>
    <xf numFmtId="3" fontId="64" fillId="8" borderId="184" xfId="0" applyNumberFormat="1" applyFont="1" applyFill="1" applyBorder="1" applyAlignment="1">
      <alignment vertical="center" wrapText="1"/>
    </xf>
    <xf numFmtId="3" fontId="62" fillId="6" borderId="184" xfId="0" applyNumberFormat="1" applyFont="1" applyFill="1" applyBorder="1" applyAlignment="1">
      <alignment wrapText="1"/>
    </xf>
    <xf numFmtId="3" fontId="68" fillId="8" borderId="184" xfId="0" applyNumberFormat="1" applyFont="1" applyFill="1" applyBorder="1" applyAlignment="1">
      <alignment vertical="center" wrapText="1"/>
    </xf>
    <xf numFmtId="3" fontId="8" fillId="0" borderId="24" xfId="0" applyNumberFormat="1" applyFont="1" applyFill="1" applyBorder="1" applyAlignment="1">
      <alignment vertical="center" wrapText="1"/>
    </xf>
    <xf numFmtId="3" fontId="62" fillId="58" borderId="51" xfId="0" applyNumberFormat="1" applyFont="1" applyFill="1" applyBorder="1" applyAlignment="1">
      <alignment vertical="center" wrapText="1"/>
    </xf>
    <xf numFmtId="3" fontId="62" fillId="58" borderId="24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3" fontId="69" fillId="7" borderId="122" xfId="0" applyNumberFormat="1" applyFont="1" applyFill="1" applyBorder="1" applyAlignment="1">
      <alignment horizontal="right" vertical="center" wrapText="1"/>
    </xf>
    <xf numFmtId="3" fontId="64" fillId="9" borderId="122" xfId="0" applyNumberFormat="1" applyFont="1" applyFill="1" applyBorder="1" applyAlignment="1">
      <alignment vertical="center" wrapText="1"/>
    </xf>
    <xf numFmtId="3" fontId="62" fillId="58" borderId="52" xfId="0" applyNumberFormat="1" applyFont="1" applyFill="1" applyBorder="1" applyAlignment="1">
      <alignment vertical="center" wrapText="1"/>
    </xf>
    <xf numFmtId="3" fontId="62" fillId="58" borderId="25" xfId="0" applyNumberFormat="1" applyFont="1" applyFill="1" applyBorder="1" applyAlignment="1">
      <alignment horizontal="center" vertical="center" wrapText="1"/>
    </xf>
    <xf numFmtId="3" fontId="69" fillId="4" borderId="78" xfId="0" applyNumberFormat="1" applyFont="1" applyFill="1" applyBorder="1" applyAlignment="1">
      <alignment horizontal="right" vertical="center" wrapText="1"/>
    </xf>
    <xf numFmtId="3" fontId="36" fillId="4" borderId="7" xfId="0" quotePrefix="1" applyNumberFormat="1" applyFont="1" applyFill="1" applyBorder="1" applyAlignment="1">
      <alignment horizontal="right" vertical="center"/>
    </xf>
    <xf numFmtId="3" fontId="36" fillId="4" borderId="133" xfId="0" quotePrefix="1" applyNumberFormat="1" applyFont="1" applyFill="1" applyBorder="1" applyAlignment="1">
      <alignment horizontal="right"/>
    </xf>
    <xf numFmtId="3" fontId="68" fillId="8" borderId="8" xfId="0" applyNumberFormat="1" applyFont="1" applyFill="1" applyBorder="1" applyAlignment="1">
      <alignment horizontal="right" vertical="center" wrapText="1"/>
    </xf>
    <xf numFmtId="3" fontId="62" fillId="6" borderId="184" xfId="0" applyNumberFormat="1" applyFont="1" applyFill="1" applyBorder="1" applyAlignment="1">
      <alignment vertical="center" wrapText="1"/>
    </xf>
    <xf numFmtId="3" fontId="68" fillId="8" borderId="8" xfId="0" applyNumberFormat="1" applyFont="1" applyFill="1" applyBorder="1" applyAlignment="1">
      <alignment vertical="center" wrapText="1"/>
    </xf>
    <xf numFmtId="3" fontId="8" fillId="0" borderId="133" xfId="0" applyNumberFormat="1" applyFont="1" applyFill="1" applyBorder="1" applyAlignment="1">
      <alignment vertical="center" wrapText="1"/>
    </xf>
    <xf numFmtId="3" fontId="7" fillId="2" borderId="11" xfId="0" applyNumberFormat="1" applyFont="1" applyFill="1" applyBorder="1" applyAlignment="1">
      <alignment vertical="center" wrapText="1"/>
    </xf>
    <xf numFmtId="3" fontId="68" fillId="9" borderId="21" xfId="0" applyNumberFormat="1" applyFont="1" applyFill="1" applyBorder="1" applyAlignment="1">
      <alignment horizontal="right" vertical="center" wrapText="1"/>
    </xf>
    <xf numFmtId="43" fontId="64" fillId="9" borderId="122" xfId="1" applyFont="1" applyFill="1" applyBorder="1" applyAlignment="1">
      <alignment horizontal="center" vertical="center" wrapText="1"/>
    </xf>
    <xf numFmtId="43" fontId="32" fillId="0" borderId="155" xfId="1" applyFont="1" applyFill="1" applyBorder="1" applyAlignment="1">
      <alignment vertical="center"/>
    </xf>
    <xf numFmtId="3" fontId="31" fillId="0" borderId="191" xfId="4" applyNumberFormat="1" applyFont="1" applyFill="1" applyBorder="1" applyAlignment="1">
      <alignment vertical="center"/>
    </xf>
    <xf numFmtId="3" fontId="27" fillId="22" borderId="177" xfId="4" applyNumberFormat="1" applyFont="1" applyFill="1" applyBorder="1" applyAlignment="1">
      <alignment horizontal="right" vertical="center"/>
    </xf>
    <xf numFmtId="3" fontId="27" fillId="2" borderId="181" xfId="4" applyNumberFormat="1" applyFont="1" applyFill="1" applyBorder="1" applyAlignment="1">
      <alignment vertical="top" wrapText="1"/>
    </xf>
    <xf numFmtId="0" fontId="31" fillId="0" borderId="181" xfId="0" applyFont="1" applyFill="1" applyBorder="1" applyAlignment="1">
      <alignment horizontal="left" vertical="center" wrapText="1"/>
    </xf>
    <xf numFmtId="0" fontId="31" fillId="0" borderId="181" xfId="4" applyFont="1" applyFill="1" applyBorder="1" applyAlignment="1">
      <alignment vertical="center"/>
    </xf>
    <xf numFmtId="3" fontId="27" fillId="0" borderId="181" xfId="4" applyNumberFormat="1" applyFont="1" applyFill="1" applyBorder="1" applyAlignment="1">
      <alignment horizontal="right" vertical="center"/>
    </xf>
    <xf numFmtId="43" fontId="25" fillId="6" borderId="180" xfId="1" applyFont="1" applyFill="1" applyBorder="1" applyAlignment="1">
      <alignment horizontal="right" vertical="center"/>
    </xf>
    <xf numFmtId="43" fontId="27" fillId="0" borderId="180" xfId="1" applyFont="1" applyFill="1" applyBorder="1" applyAlignment="1">
      <alignment horizontal="right" vertical="center"/>
    </xf>
    <xf numFmtId="43" fontId="33" fillId="0" borderId="180" xfId="1" applyFont="1" applyFill="1" applyBorder="1" applyAlignment="1">
      <alignment vertical="center"/>
    </xf>
    <xf numFmtId="0" fontId="31" fillId="0" borderId="194" xfId="4" applyFont="1" applyFill="1" applyBorder="1" applyAlignment="1">
      <alignment vertical="center"/>
    </xf>
    <xf numFmtId="43" fontId="24" fillId="6" borderId="180" xfId="1" applyFont="1" applyFill="1" applyBorder="1" applyAlignment="1">
      <alignment vertical="center"/>
    </xf>
    <xf numFmtId="43" fontId="27" fillId="2" borderId="180" xfId="1" applyFont="1" applyFill="1" applyBorder="1" applyAlignment="1">
      <alignment vertical="center"/>
    </xf>
    <xf numFmtId="0" fontId="76" fillId="2" borderId="0" xfId="0" applyFont="1" applyFill="1" applyBorder="1" applyAlignment="1">
      <alignment horizontal="center" wrapText="1"/>
    </xf>
    <xf numFmtId="3" fontId="24" fillId="6" borderId="172" xfId="4" applyNumberFormat="1" applyFont="1" applyFill="1" applyBorder="1" applyAlignment="1">
      <alignment vertical="center"/>
    </xf>
    <xf numFmtId="3" fontId="27" fillId="2" borderId="181" xfId="4" applyNumberFormat="1" applyFont="1" applyFill="1" applyBorder="1" applyAlignment="1">
      <alignment vertical="center"/>
    </xf>
    <xf numFmtId="3" fontId="32" fillId="0" borderId="191" xfId="6" applyNumberFormat="1" applyFont="1" applyFill="1" applyBorder="1" applyAlignment="1">
      <alignment vertical="center"/>
    </xf>
    <xf numFmtId="3" fontId="27" fillId="26" borderId="181" xfId="4" applyNumberFormat="1" applyFont="1" applyFill="1" applyBorder="1" applyAlignment="1">
      <alignment horizontal="right" vertical="center"/>
    </xf>
    <xf numFmtId="0" fontId="7" fillId="0" borderId="194" xfId="4" applyFont="1" applyFill="1" applyBorder="1" applyAlignment="1">
      <alignment vertical="center"/>
    </xf>
    <xf numFmtId="3" fontId="7" fillId="0" borderId="191" xfId="4" applyNumberFormat="1" applyFont="1" applyFill="1" applyBorder="1" applyAlignment="1">
      <alignment horizontal="right" vertical="center"/>
    </xf>
    <xf numFmtId="43" fontId="7" fillId="0" borderId="191" xfId="1" applyFont="1" applyFill="1" applyBorder="1" applyAlignment="1">
      <alignment horizontal="right" vertical="center"/>
    </xf>
    <xf numFmtId="3" fontId="24" fillId="6" borderId="181" xfId="0" applyNumberFormat="1" applyFont="1" applyFill="1" applyBorder="1" applyAlignment="1">
      <alignment horizontal="right" vertical="center"/>
    </xf>
    <xf numFmtId="3" fontId="29" fillId="0" borderId="181" xfId="0" applyNumberFormat="1" applyFont="1" applyFill="1" applyBorder="1" applyAlignment="1">
      <alignment horizontal="right" vertical="center"/>
    </xf>
    <xf numFmtId="3" fontId="7" fillId="0" borderId="181" xfId="0" applyNumberFormat="1" applyFont="1" applyFill="1" applyBorder="1" applyAlignment="1">
      <alignment horizontal="right" vertical="center"/>
    </xf>
    <xf numFmtId="43" fontId="31" fillId="0" borderId="181" xfId="1" applyFont="1" applyFill="1" applyBorder="1" applyAlignment="1">
      <alignment vertical="center"/>
    </xf>
    <xf numFmtId="43" fontId="31" fillId="0" borderId="191" xfId="1" applyFont="1" applyFill="1" applyBorder="1" applyAlignment="1">
      <alignment vertical="center"/>
    </xf>
    <xf numFmtId="3" fontId="31" fillId="0" borderId="192" xfId="4" applyNumberFormat="1" applyFont="1" applyFill="1" applyBorder="1" applyAlignment="1">
      <alignment horizontal="right" vertical="center"/>
    </xf>
    <xf numFmtId="43" fontId="31" fillId="0" borderId="192" xfId="1" applyFont="1" applyFill="1" applyBorder="1" applyAlignment="1">
      <alignment horizontal="right" vertical="center"/>
    </xf>
    <xf numFmtId="3" fontId="31" fillId="26" borderId="192" xfId="4" applyNumberFormat="1" applyFont="1" applyFill="1" applyBorder="1" applyAlignment="1">
      <alignment horizontal="right" vertical="center"/>
    </xf>
    <xf numFmtId="3" fontId="28" fillId="24" borderId="181" xfId="4" applyNumberFormat="1" applyFont="1" applyFill="1" applyBorder="1" applyAlignment="1">
      <alignment horizontal="right" vertical="center"/>
    </xf>
    <xf numFmtId="3" fontId="24" fillId="6" borderId="181" xfId="4" applyNumberFormat="1" applyFont="1" applyFill="1" applyBorder="1" applyAlignment="1"/>
    <xf numFmtId="3" fontId="33" fillId="24" borderId="181" xfId="6" applyNumberFormat="1" applyFont="1" applyFill="1" applyBorder="1" applyAlignment="1">
      <alignment vertical="center"/>
    </xf>
    <xf numFmtId="3" fontId="31" fillId="0" borderId="181" xfId="4" applyNumberFormat="1" applyFont="1" applyFill="1" applyBorder="1" applyAlignment="1">
      <alignment horizontal="right" vertical="center"/>
    </xf>
    <xf numFmtId="3" fontId="31" fillId="0" borderId="191" xfId="4" applyNumberFormat="1" applyFont="1" applyFill="1" applyBorder="1" applyAlignment="1">
      <alignment horizontal="right" vertical="center"/>
    </xf>
    <xf numFmtId="3" fontId="29" fillId="2" borderId="161" xfId="4" applyNumberFormat="1" applyFont="1" applyFill="1" applyBorder="1" applyAlignment="1">
      <alignment vertical="center" wrapText="1"/>
    </xf>
    <xf numFmtId="43" fontId="33" fillId="0" borderId="175" xfId="1" applyFont="1" applyFill="1" applyBorder="1" applyAlignment="1">
      <alignment vertical="center"/>
    </xf>
    <xf numFmtId="0" fontId="32" fillId="0" borderId="35" xfId="0" applyFont="1" applyFill="1" applyBorder="1" applyAlignment="1">
      <alignment horizontal="center" vertical="center" wrapText="1"/>
    </xf>
    <xf numFmtId="3" fontId="18" fillId="2" borderId="0" xfId="0" applyNumberFormat="1" applyFont="1" applyFill="1" applyBorder="1" applyAlignment="1">
      <alignment vertical="top"/>
    </xf>
    <xf numFmtId="0" fontId="18" fillId="2" borderId="0" xfId="0" applyFont="1" applyFill="1" applyBorder="1" applyAlignment="1">
      <alignment vertical="top"/>
    </xf>
    <xf numFmtId="3" fontId="18" fillId="57" borderId="0" xfId="0" applyNumberFormat="1" applyFont="1" applyFill="1" applyBorder="1" applyAlignment="1">
      <alignment vertical="top"/>
    </xf>
    <xf numFmtId="3" fontId="27" fillId="2" borderId="21" xfId="4" applyNumberFormat="1" applyFont="1" applyFill="1" applyBorder="1" applyAlignment="1">
      <alignment vertical="center" wrapText="1"/>
    </xf>
    <xf numFmtId="0" fontId="27" fillId="56" borderId="131" xfId="4" applyFont="1" applyFill="1" applyBorder="1" applyAlignment="1">
      <alignment horizontal="left" vertical="center"/>
    </xf>
    <xf numFmtId="0" fontId="27" fillId="56" borderId="123" xfId="4" applyFont="1" applyFill="1" applyBorder="1" applyAlignment="1">
      <alignment horizontal="left" vertical="center"/>
    </xf>
    <xf numFmtId="3" fontId="27" fillId="56" borderId="125" xfId="4" applyNumberFormat="1" applyFont="1" applyFill="1" applyBorder="1" applyAlignment="1">
      <alignment horizontal="right" vertical="center"/>
    </xf>
    <xf numFmtId="0" fontId="27" fillId="56" borderId="10" xfId="4" applyFont="1" applyFill="1" applyBorder="1" applyAlignment="1">
      <alignment horizontal="left" vertical="center"/>
    </xf>
    <xf numFmtId="0" fontId="27" fillId="56" borderId="13" xfId="4" applyFont="1" applyFill="1" applyBorder="1" applyAlignment="1">
      <alignment horizontal="left" vertical="center"/>
    </xf>
    <xf numFmtId="0" fontId="27" fillId="56" borderId="74" xfId="0" applyFont="1" applyFill="1" applyBorder="1" applyAlignment="1">
      <alignment horizontal="left" vertical="top"/>
    </xf>
    <xf numFmtId="0" fontId="28" fillId="56" borderId="12" xfId="0" quotePrefix="1" applyFont="1" applyFill="1" applyBorder="1" applyAlignment="1">
      <alignment horizontal="center" vertical="top"/>
    </xf>
    <xf numFmtId="0" fontId="27" fillId="8" borderId="123" xfId="4" applyFont="1" applyFill="1" applyBorder="1" applyAlignment="1">
      <alignment vertical="center"/>
    </xf>
    <xf numFmtId="3" fontId="27" fillId="8" borderId="123" xfId="0" applyNumberFormat="1" applyFont="1" applyFill="1" applyBorder="1" applyAlignment="1">
      <alignment vertical="top"/>
    </xf>
    <xf numFmtId="0" fontId="31" fillId="8" borderId="123" xfId="0" applyFont="1" applyFill="1" applyBorder="1" applyAlignment="1">
      <alignment vertical="top"/>
    </xf>
    <xf numFmtId="3" fontId="31" fillId="8" borderId="123" xfId="0" applyNumberFormat="1" applyFont="1" applyFill="1" applyBorder="1" applyAlignment="1">
      <alignment vertical="top"/>
    </xf>
    <xf numFmtId="0" fontId="31" fillId="8" borderId="181" xfId="0" applyFont="1" applyFill="1" applyBorder="1" applyAlignment="1">
      <alignment vertical="top"/>
    </xf>
    <xf numFmtId="3" fontId="31" fillId="8" borderId="181" xfId="0" applyNumberFormat="1" applyFont="1" applyFill="1" applyBorder="1" applyAlignment="1">
      <alignment vertical="top"/>
    </xf>
    <xf numFmtId="0" fontId="31" fillId="8" borderId="123" xfId="4" applyFont="1" applyFill="1" applyBorder="1" applyAlignment="1">
      <alignment vertical="center"/>
    </xf>
    <xf numFmtId="0" fontId="31" fillId="8" borderId="35" xfId="4" applyFont="1" applyFill="1" applyBorder="1" applyAlignment="1">
      <alignment vertical="center"/>
    </xf>
    <xf numFmtId="0" fontId="27" fillId="8" borderId="35" xfId="4" applyFont="1" applyFill="1" applyBorder="1" applyAlignment="1">
      <alignment vertical="center"/>
    </xf>
    <xf numFmtId="3" fontId="27" fillId="8" borderId="35" xfId="0" applyNumberFormat="1" applyFont="1" applyFill="1" applyBorder="1" applyAlignment="1">
      <alignment vertical="top"/>
    </xf>
    <xf numFmtId="0" fontId="31" fillId="8" borderId="119" xfId="4" applyFont="1" applyFill="1" applyBorder="1" applyAlignment="1">
      <alignment vertical="center"/>
    </xf>
    <xf numFmtId="3" fontId="33" fillId="0" borderId="35" xfId="6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horizontal="right" vertical="center"/>
    </xf>
    <xf numFmtId="0" fontId="7" fillId="3" borderId="1" xfId="0" quotePrefix="1" applyFont="1" applyFill="1" applyBorder="1" applyAlignment="1">
      <alignment horizontal="center"/>
    </xf>
    <xf numFmtId="3" fontId="69" fillId="5" borderId="85" xfId="0" applyNumberFormat="1" applyFont="1" applyFill="1" applyBorder="1" applyAlignment="1">
      <alignment horizontal="right" vertical="center" wrapText="1"/>
    </xf>
    <xf numFmtId="3" fontId="36" fillId="3" borderId="84" xfId="0" applyNumberFormat="1" applyFont="1" applyFill="1" applyBorder="1" applyAlignment="1">
      <alignment vertical="center" wrapText="1"/>
    </xf>
    <xf numFmtId="3" fontId="36" fillId="3" borderId="68" xfId="0" applyNumberFormat="1" applyFont="1" applyFill="1" applyBorder="1" applyAlignment="1">
      <alignment vertical="center" wrapText="1"/>
    </xf>
    <xf numFmtId="3" fontId="7" fillId="0" borderId="26" xfId="0" applyNumberFormat="1" applyFont="1" applyFill="1" applyBorder="1" applyAlignment="1">
      <alignment vertical="center" wrapText="1"/>
    </xf>
    <xf numFmtId="3" fontId="69" fillId="7" borderId="188" xfId="0" applyNumberFormat="1" applyFont="1" applyFill="1" applyBorder="1" applyAlignment="1">
      <alignment horizontal="right" vertical="center" wrapText="1"/>
    </xf>
    <xf numFmtId="3" fontId="64" fillId="9" borderId="84" xfId="0" applyNumberFormat="1" applyFont="1" applyFill="1" applyBorder="1" applyAlignment="1">
      <alignment horizontal="right" vertical="center" wrapText="1"/>
    </xf>
    <xf numFmtId="3" fontId="6" fillId="3" borderId="84" xfId="0" applyNumberFormat="1" applyFont="1" applyFill="1" applyBorder="1" applyAlignment="1">
      <alignment vertical="center" wrapText="1"/>
    </xf>
    <xf numFmtId="3" fontId="6" fillId="3" borderId="84" xfId="0" applyNumberFormat="1" applyFont="1" applyFill="1" applyBorder="1" applyAlignment="1">
      <alignment horizontal="right" vertical="center" wrapText="1"/>
    </xf>
    <xf numFmtId="3" fontId="6" fillId="3" borderId="84" xfId="0" applyNumberFormat="1" applyFont="1" applyFill="1" applyBorder="1" applyAlignment="1">
      <alignment horizontal="center" vertical="center" wrapText="1"/>
    </xf>
    <xf numFmtId="3" fontId="64" fillId="9" borderId="188" xfId="0" applyNumberFormat="1" applyFont="1" applyFill="1" applyBorder="1" applyAlignment="1">
      <alignment vertical="center" wrapText="1"/>
    </xf>
    <xf numFmtId="3" fontId="0" fillId="0" borderId="8" xfId="0" applyNumberFormat="1" applyFont="1" applyBorder="1" applyAlignment="1">
      <alignment vertical="center"/>
    </xf>
    <xf numFmtId="3" fontId="29" fillId="2" borderId="155" xfId="4" applyNumberFormat="1" applyFont="1" applyFill="1" applyBorder="1" applyAlignment="1">
      <alignment vertical="center" wrapText="1"/>
    </xf>
    <xf numFmtId="3" fontId="28" fillId="26" borderId="155" xfId="4" applyNumberFormat="1" applyFont="1" applyFill="1" applyBorder="1" applyAlignment="1">
      <alignment horizontal="right" vertical="center"/>
    </xf>
    <xf numFmtId="43" fontId="25" fillId="6" borderId="155" xfId="1" applyFont="1" applyFill="1" applyBorder="1" applyAlignment="1">
      <alignment horizontal="right" vertical="center"/>
    </xf>
    <xf numFmtId="43" fontId="27" fillId="0" borderId="155" xfId="1" applyFont="1" applyFill="1" applyBorder="1" applyAlignment="1">
      <alignment horizontal="right" vertical="center"/>
    </xf>
    <xf numFmtId="3" fontId="31" fillId="0" borderId="195" xfId="4" applyNumberFormat="1" applyFont="1" applyFill="1" applyBorder="1" applyAlignment="1">
      <alignment vertical="center"/>
    </xf>
    <xf numFmtId="3" fontId="0" fillId="0" borderId="125" xfId="0" applyNumberFormat="1" applyFont="1" applyBorder="1" applyAlignment="1">
      <alignment vertical="center"/>
    </xf>
    <xf numFmtId="3" fontId="0" fillId="0" borderId="100" xfId="0" applyNumberFormat="1" applyFont="1" applyBorder="1" applyAlignment="1">
      <alignment vertical="center"/>
    </xf>
    <xf numFmtId="0" fontId="0" fillId="0" borderId="118" xfId="0" applyFont="1" applyBorder="1" applyAlignment="1">
      <alignment vertical="center"/>
    </xf>
    <xf numFmtId="43" fontId="31" fillId="0" borderId="155" xfId="1" applyFont="1" applyFill="1" applyBorder="1" applyAlignment="1">
      <alignment horizontal="right" vertical="center"/>
    </xf>
    <xf numFmtId="0" fontId="28" fillId="66" borderId="155" xfId="4" applyFont="1" applyFill="1" applyBorder="1" applyAlignment="1">
      <alignment vertical="top"/>
    </xf>
    <xf numFmtId="3" fontId="63" fillId="66" borderId="155" xfId="6" applyNumberFormat="1" applyFont="1" applyFill="1" applyBorder="1" applyAlignment="1">
      <alignment vertical="center"/>
    </xf>
    <xf numFmtId="43" fontId="38" fillId="66" borderId="181" xfId="1" applyFont="1" applyFill="1" applyBorder="1" applyAlignment="1">
      <alignment horizontal="right" vertical="center"/>
    </xf>
    <xf numFmtId="43" fontId="28" fillId="66" borderId="155" xfId="1" applyFont="1" applyFill="1" applyBorder="1" applyAlignment="1">
      <alignment horizontal="right" vertical="center"/>
    </xf>
    <xf numFmtId="3" fontId="38" fillId="66" borderId="155" xfId="4" applyNumberFormat="1" applyFont="1" applyFill="1" applyBorder="1" applyAlignment="1">
      <alignment horizontal="right" vertical="center"/>
    </xf>
    <xf numFmtId="0" fontId="0" fillId="0" borderId="116" xfId="0" applyFont="1" applyBorder="1"/>
    <xf numFmtId="0" fontId="28" fillId="63" borderId="155" xfId="4" applyFont="1" applyFill="1" applyBorder="1" applyAlignment="1">
      <alignment vertical="top"/>
    </xf>
    <xf numFmtId="3" fontId="63" fillId="63" borderId="155" xfId="6" applyNumberFormat="1" applyFont="1" applyFill="1" applyBorder="1" applyAlignment="1">
      <alignment vertical="center"/>
    </xf>
    <xf numFmtId="43" fontId="38" fillId="63" borderId="181" xfId="1" applyFont="1" applyFill="1" applyBorder="1" applyAlignment="1">
      <alignment horizontal="right" vertical="center"/>
    </xf>
    <xf numFmtId="43" fontId="28" fillId="63" borderId="155" xfId="1" applyFont="1" applyFill="1" applyBorder="1" applyAlignment="1">
      <alignment horizontal="right" vertical="center"/>
    </xf>
    <xf numFmtId="3" fontId="38" fillId="63" borderId="155" xfId="4" applyNumberFormat="1" applyFont="1" applyFill="1" applyBorder="1" applyAlignment="1">
      <alignment horizontal="right" vertical="center"/>
    </xf>
    <xf numFmtId="0" fontId="7" fillId="66" borderId="155" xfId="4" applyFont="1" applyFill="1" applyBorder="1" applyAlignment="1">
      <alignment vertical="top"/>
    </xf>
    <xf numFmtId="3" fontId="32" fillId="66" borderId="155" xfId="6" applyNumberFormat="1" applyFont="1" applyFill="1" applyBorder="1" applyAlignment="1">
      <alignment vertical="center"/>
    </xf>
    <xf numFmtId="43" fontId="7" fillId="66" borderId="181" xfId="1" applyFont="1" applyFill="1" applyBorder="1" applyAlignment="1">
      <alignment horizontal="right" vertical="center"/>
    </xf>
    <xf numFmtId="43" fontId="7" fillId="66" borderId="155" xfId="1" applyFont="1" applyFill="1" applyBorder="1" applyAlignment="1">
      <alignment horizontal="right" vertical="center"/>
    </xf>
    <xf numFmtId="3" fontId="7" fillId="66" borderId="155" xfId="4" applyNumberFormat="1" applyFont="1" applyFill="1" applyBorder="1" applyAlignment="1">
      <alignment horizontal="right" vertical="center"/>
    </xf>
    <xf numFmtId="0" fontId="7" fillId="63" borderId="155" xfId="4" applyFont="1" applyFill="1" applyBorder="1" applyAlignment="1">
      <alignment vertical="top"/>
    </xf>
    <xf numFmtId="0" fontId="32" fillId="63" borderId="155" xfId="0" applyFont="1" applyFill="1" applyBorder="1" applyAlignment="1">
      <alignment horizontal="center" vertical="center" wrapText="1"/>
    </xf>
    <xf numFmtId="3" fontId="32" fillId="63" borderId="155" xfId="6" applyNumberFormat="1" applyFont="1" applyFill="1" applyBorder="1" applyAlignment="1">
      <alignment vertical="center"/>
    </xf>
    <xf numFmtId="43" fontId="7" fillId="63" borderId="181" xfId="1" applyFont="1" applyFill="1" applyBorder="1" applyAlignment="1">
      <alignment horizontal="right" vertical="center"/>
    </xf>
    <xf numFmtId="43" fontId="7" fillId="63" borderId="155" xfId="1" applyFont="1" applyFill="1" applyBorder="1" applyAlignment="1">
      <alignment horizontal="right" vertical="center"/>
    </xf>
    <xf numFmtId="3" fontId="7" fillId="63" borderId="155" xfId="4" applyNumberFormat="1" applyFont="1" applyFill="1" applyBorder="1" applyAlignment="1">
      <alignment horizontal="right" vertical="center"/>
    </xf>
    <xf numFmtId="43" fontId="24" fillId="6" borderId="155" xfId="1" applyFont="1" applyFill="1" applyBorder="1" applyAlignment="1"/>
    <xf numFmtId="43" fontId="25" fillId="6" borderId="175" xfId="1" applyFont="1" applyFill="1" applyBorder="1" applyAlignment="1">
      <alignment horizontal="right" vertical="center"/>
    </xf>
    <xf numFmtId="43" fontId="27" fillId="0" borderId="175" xfId="1" applyFont="1" applyFill="1" applyBorder="1" applyAlignment="1">
      <alignment horizontal="right" vertical="center"/>
    </xf>
    <xf numFmtId="43" fontId="31" fillId="0" borderId="174" xfId="1" applyFont="1" applyFill="1" applyBorder="1" applyAlignment="1">
      <alignment vertical="center"/>
    </xf>
    <xf numFmtId="43" fontId="31" fillId="0" borderId="175" xfId="1" applyFont="1" applyFill="1" applyBorder="1" applyAlignment="1">
      <alignment horizontal="right" vertical="center"/>
    </xf>
    <xf numFmtId="0" fontId="38" fillId="66" borderId="175" xfId="4" applyFont="1" applyFill="1" applyBorder="1" applyAlignment="1">
      <alignment vertical="top"/>
    </xf>
    <xf numFmtId="3" fontId="63" fillId="66" borderId="175" xfId="6" applyNumberFormat="1" applyFont="1" applyFill="1" applyBorder="1" applyAlignment="1">
      <alignment vertical="center"/>
    </xf>
    <xf numFmtId="43" fontId="38" fillId="66" borderId="175" xfId="1" applyFont="1" applyFill="1" applyBorder="1" applyAlignment="1">
      <alignment horizontal="right" vertical="center"/>
    </xf>
    <xf numFmtId="43" fontId="28" fillId="66" borderId="175" xfId="1" applyFont="1" applyFill="1" applyBorder="1" applyAlignment="1">
      <alignment horizontal="right" vertical="center"/>
    </xf>
    <xf numFmtId="3" fontId="38" fillId="66" borderId="175" xfId="4" applyNumberFormat="1" applyFont="1" applyFill="1" applyBorder="1" applyAlignment="1">
      <alignment horizontal="right" vertical="center"/>
    </xf>
    <xf numFmtId="3" fontId="38" fillId="26" borderId="175" xfId="4" applyNumberFormat="1" applyFont="1" applyFill="1" applyBorder="1" applyAlignment="1">
      <alignment horizontal="right" vertical="center"/>
    </xf>
    <xf numFmtId="3" fontId="28" fillId="26" borderId="175" xfId="4" applyNumberFormat="1" applyFont="1" applyFill="1" applyBorder="1" applyAlignment="1">
      <alignment horizontal="right" vertical="center"/>
    </xf>
    <xf numFmtId="0" fontId="38" fillId="58" borderId="175" xfId="4" applyFont="1" applyFill="1" applyBorder="1" applyAlignment="1">
      <alignment vertical="top"/>
    </xf>
    <xf numFmtId="3" fontId="63" fillId="58" borderId="175" xfId="6" applyNumberFormat="1" applyFont="1" applyFill="1" applyBorder="1" applyAlignment="1">
      <alignment vertical="center"/>
    </xf>
    <xf numFmtId="43" fontId="38" fillId="58" borderId="175" xfId="1" applyFont="1" applyFill="1" applyBorder="1" applyAlignment="1">
      <alignment horizontal="right" vertical="center"/>
    </xf>
    <xf numFmtId="43" fontId="28" fillId="58" borderId="175" xfId="1" applyFont="1" applyFill="1" applyBorder="1" applyAlignment="1">
      <alignment horizontal="right" vertical="center"/>
    </xf>
    <xf numFmtId="3" fontId="38" fillId="58" borderId="175" xfId="4" applyNumberFormat="1" applyFont="1" applyFill="1" applyBorder="1" applyAlignment="1">
      <alignment horizontal="right" vertical="center"/>
    </xf>
    <xf numFmtId="3" fontId="31" fillId="26" borderId="181" xfId="4" applyNumberFormat="1" applyFont="1" applyFill="1" applyBorder="1" applyAlignment="1">
      <alignment horizontal="right" vertical="center"/>
    </xf>
    <xf numFmtId="0" fontId="39" fillId="0" borderId="181" xfId="0" applyFont="1" applyBorder="1"/>
    <xf numFmtId="3" fontId="38" fillId="26" borderId="181" xfId="4" applyNumberFormat="1" applyFont="1" applyFill="1" applyBorder="1" applyAlignment="1">
      <alignment horizontal="right" vertical="center"/>
    </xf>
    <xf numFmtId="43" fontId="7" fillId="0" borderId="175" xfId="1" applyFont="1" applyFill="1" applyBorder="1" applyAlignment="1">
      <alignment horizontal="right" vertical="center"/>
    </xf>
    <xf numFmtId="0" fontId="63" fillId="0" borderId="175" xfId="0" applyFont="1" applyFill="1" applyBorder="1" applyAlignment="1">
      <alignment horizontal="center" vertical="center" wrapText="1"/>
    </xf>
    <xf numFmtId="0" fontId="63" fillId="58" borderId="175" xfId="0" applyFont="1" applyFill="1" applyBorder="1" applyAlignment="1">
      <alignment horizontal="center" vertical="center" wrapText="1"/>
    </xf>
    <xf numFmtId="43" fontId="24" fillId="6" borderId="175" xfId="1" applyFont="1" applyFill="1" applyBorder="1" applyAlignment="1"/>
    <xf numFmtId="0" fontId="0" fillId="33" borderId="181" xfId="0" applyFont="1" applyFill="1" applyBorder="1"/>
    <xf numFmtId="43" fontId="24" fillId="33" borderId="181" xfId="1" applyFont="1" applyFill="1" applyBorder="1" applyAlignment="1"/>
    <xf numFmtId="3" fontId="31" fillId="33" borderId="181" xfId="4" applyNumberFormat="1" applyFont="1" applyFill="1" applyBorder="1" applyAlignment="1"/>
    <xf numFmtId="3" fontId="0" fillId="33" borderId="181" xfId="0" applyNumberFormat="1" applyFont="1" applyFill="1" applyBorder="1"/>
    <xf numFmtId="43" fontId="31" fillId="33" borderId="181" xfId="1" applyFont="1" applyFill="1" applyBorder="1" applyAlignment="1"/>
    <xf numFmtId="0" fontId="68" fillId="0" borderId="196" xfId="0" applyFont="1" applyBorder="1" applyAlignment="1">
      <alignment horizontal="center" vertical="center"/>
    </xf>
    <xf numFmtId="3" fontId="8" fillId="6" borderId="18" xfId="0" applyNumberFormat="1" applyFont="1" applyFill="1" applyBorder="1"/>
    <xf numFmtId="3" fontId="8" fillId="6" borderId="164" xfId="0" applyNumberFormat="1" applyFont="1" applyFill="1" applyBorder="1"/>
    <xf numFmtId="3" fontId="6" fillId="6" borderId="121" xfId="0" applyNumberFormat="1" applyFont="1" applyFill="1" applyBorder="1"/>
    <xf numFmtId="3" fontId="36" fillId="15" borderId="51" xfId="0" applyNumberFormat="1" applyFont="1" applyFill="1" applyBorder="1" applyAlignment="1">
      <alignment vertical="center"/>
    </xf>
    <xf numFmtId="3" fontId="8" fillId="6" borderId="196" xfId="0" applyNumberFormat="1" applyFont="1" applyFill="1" applyBorder="1"/>
    <xf numFmtId="3" fontId="8" fillId="6" borderId="121" xfId="0" applyNumberFormat="1" applyFont="1" applyFill="1" applyBorder="1"/>
    <xf numFmtId="3" fontId="8" fillId="8" borderId="164" xfId="0" applyNumberFormat="1" applyFont="1" applyFill="1" applyBorder="1"/>
    <xf numFmtId="3" fontId="8" fillId="8" borderId="196" xfId="0" applyNumberFormat="1" applyFont="1" applyFill="1" applyBorder="1"/>
    <xf numFmtId="3" fontId="8" fillId="8" borderId="121" xfId="0" applyNumberFormat="1" applyFont="1" applyFill="1" applyBorder="1"/>
    <xf numFmtId="3" fontId="19" fillId="16" borderId="51" xfId="5" applyNumberFormat="1" applyFont="1" applyFill="1" applyBorder="1"/>
    <xf numFmtId="3" fontId="8" fillId="8" borderId="18" xfId="0" applyNumberFormat="1" applyFont="1" applyFill="1" applyBorder="1"/>
    <xf numFmtId="3" fontId="8" fillId="8" borderId="164" xfId="0" applyNumberFormat="1" applyFont="1" applyFill="1" applyBorder="1" applyAlignment="1">
      <alignment vertical="center"/>
    </xf>
    <xf numFmtId="3" fontId="68" fillId="17" borderId="7" xfId="0" applyNumberFormat="1" applyFont="1" applyFill="1" applyBorder="1"/>
    <xf numFmtId="3" fontId="36" fillId="18" borderId="24" xfId="0" applyNumberFormat="1" applyFont="1" applyFill="1" applyBorder="1" applyAlignment="1">
      <alignment vertical="center"/>
    </xf>
    <xf numFmtId="3" fontId="6" fillId="11" borderId="18" xfId="0" applyNumberFormat="1" applyFont="1" applyFill="1" applyBorder="1"/>
    <xf numFmtId="3" fontId="6" fillId="11" borderId="164" xfId="0" applyNumberFormat="1" applyFont="1" applyFill="1" applyBorder="1"/>
    <xf numFmtId="3" fontId="6" fillId="11" borderId="121" xfId="0" applyNumberFormat="1" applyFont="1" applyFill="1" applyBorder="1"/>
    <xf numFmtId="3" fontId="82" fillId="18" borderId="51" xfId="0" applyNumberFormat="1" applyFont="1" applyFill="1" applyBorder="1" applyAlignment="1">
      <alignment vertical="top"/>
    </xf>
    <xf numFmtId="3" fontId="36" fillId="18" borderId="51" xfId="0" applyNumberFormat="1" applyFont="1" applyFill="1" applyBorder="1"/>
    <xf numFmtId="3" fontId="6" fillId="11" borderId="164" xfId="0" applyNumberFormat="1" applyFont="1" applyFill="1" applyBorder="1" applyAlignment="1">
      <alignment vertical="center"/>
    </xf>
    <xf numFmtId="0" fontId="68" fillId="0" borderId="157" xfId="0" applyFont="1" applyBorder="1" applyAlignment="1">
      <alignment horizontal="center" vertical="center"/>
    </xf>
    <xf numFmtId="3" fontId="8" fillId="6" borderId="180" xfId="0" applyNumberFormat="1" applyFont="1" applyFill="1" applyBorder="1"/>
    <xf numFmtId="3" fontId="6" fillId="6" borderId="195" xfId="0" applyNumberFormat="1" applyFont="1" applyFill="1" applyBorder="1"/>
    <xf numFmtId="3" fontId="8" fillId="6" borderId="157" xfId="0" applyNumberFormat="1" applyFont="1" applyFill="1" applyBorder="1"/>
    <xf numFmtId="3" fontId="8" fillId="6" borderId="195" xfId="0" applyNumberFormat="1" applyFont="1" applyFill="1" applyBorder="1"/>
    <xf numFmtId="3" fontId="8" fillId="8" borderId="180" xfId="0" applyNumberFormat="1" applyFont="1" applyFill="1" applyBorder="1"/>
    <xf numFmtId="3" fontId="8" fillId="8" borderId="157" xfId="0" applyNumberFormat="1" applyFont="1" applyFill="1" applyBorder="1"/>
    <xf numFmtId="3" fontId="8" fillId="8" borderId="195" xfId="0" applyNumberFormat="1" applyFont="1" applyFill="1" applyBorder="1"/>
    <xf numFmtId="3" fontId="8" fillId="8" borderId="180" xfId="0" applyNumberFormat="1" applyFont="1" applyFill="1" applyBorder="1" applyAlignment="1">
      <alignment vertical="center"/>
    </xf>
    <xf numFmtId="3" fontId="68" fillId="17" borderId="9" xfId="0" applyNumberFormat="1" applyFont="1" applyFill="1" applyBorder="1"/>
    <xf numFmtId="3" fontId="6" fillId="11" borderId="180" xfId="0" applyNumberFormat="1" applyFont="1" applyFill="1" applyBorder="1"/>
    <xf numFmtId="3" fontId="6" fillId="11" borderId="195" xfId="0" applyNumberFormat="1" applyFont="1" applyFill="1" applyBorder="1"/>
    <xf numFmtId="3" fontId="6" fillId="11" borderId="180" xfId="0" applyNumberFormat="1" applyFont="1" applyFill="1" applyBorder="1" applyAlignment="1">
      <alignment vertical="center"/>
    </xf>
    <xf numFmtId="0" fontId="68" fillId="0" borderId="5" xfId="0" applyFont="1" applyBorder="1" applyAlignment="1">
      <alignment horizontal="center" vertical="center"/>
    </xf>
    <xf numFmtId="3" fontId="62" fillId="2" borderId="11" xfId="0" applyNumberFormat="1" applyFont="1" applyFill="1" applyBorder="1" applyAlignment="1">
      <alignment vertical="center" wrapText="1"/>
    </xf>
    <xf numFmtId="3" fontId="8" fillId="0" borderId="11" xfId="0" applyNumberFormat="1" applyFont="1" applyFill="1" applyBorder="1" applyAlignment="1">
      <alignment vertical="center" wrapText="1"/>
    </xf>
    <xf numFmtId="3" fontId="19" fillId="14" borderId="5" xfId="0" applyNumberFormat="1" applyFont="1" applyFill="1" applyBorder="1" applyAlignment="1">
      <alignment vertical="center" wrapText="1"/>
    </xf>
    <xf numFmtId="3" fontId="24" fillId="14" borderId="11" xfId="0" applyNumberFormat="1" applyFont="1" applyFill="1" applyBorder="1" applyAlignment="1">
      <alignment vertical="center" wrapText="1"/>
    </xf>
    <xf numFmtId="3" fontId="24" fillId="14" borderId="25" xfId="0" applyNumberFormat="1" applyFont="1" applyFill="1" applyBorder="1" applyAlignment="1">
      <alignment vertical="center" wrapText="1"/>
    </xf>
    <xf numFmtId="3" fontId="78" fillId="0" borderId="11" xfId="0" applyNumberFormat="1" applyFont="1" applyFill="1" applyBorder="1" applyAlignment="1">
      <alignment vertical="center" wrapText="1"/>
    </xf>
    <xf numFmtId="0" fontId="8" fillId="15" borderId="5" xfId="0" applyFont="1" applyFill="1" applyBorder="1"/>
    <xf numFmtId="3" fontId="36" fillId="15" borderId="25" xfId="0" applyNumberFormat="1" applyFont="1" applyFill="1" applyBorder="1" applyAlignment="1">
      <alignment vertical="center"/>
    </xf>
    <xf numFmtId="3" fontId="8" fillId="6" borderId="19" xfId="0" applyNumberFormat="1" applyFont="1" applyFill="1" applyBorder="1"/>
    <xf numFmtId="3" fontId="8" fillId="6" borderId="122" xfId="0" applyNumberFormat="1" applyFont="1" applyFill="1" applyBorder="1"/>
    <xf numFmtId="3" fontId="6" fillId="6" borderId="76" xfId="0" applyNumberFormat="1" applyFont="1" applyFill="1" applyBorder="1"/>
    <xf numFmtId="3" fontId="82" fillId="12" borderId="11" xfId="0" applyNumberFormat="1" applyFont="1" applyFill="1" applyBorder="1" applyAlignment="1">
      <alignment vertical="center"/>
    </xf>
    <xf numFmtId="3" fontId="36" fillId="15" borderId="52" xfId="0" applyNumberFormat="1" applyFont="1" applyFill="1" applyBorder="1" applyAlignment="1">
      <alignment vertical="center"/>
    </xf>
    <xf numFmtId="3" fontId="8" fillId="6" borderId="130" xfId="0" applyNumberFormat="1" applyFont="1" applyFill="1" applyBorder="1"/>
    <xf numFmtId="3" fontId="8" fillId="6" borderId="76" xfId="0" applyNumberFormat="1" applyFont="1" applyFill="1" applyBorder="1"/>
    <xf numFmtId="3" fontId="82" fillId="12" borderId="11" xfId="0" applyNumberFormat="1" applyFont="1" applyFill="1" applyBorder="1"/>
    <xf numFmtId="3" fontId="82" fillId="12" borderId="21" xfId="0" applyNumberFormat="1" applyFont="1" applyFill="1" applyBorder="1"/>
    <xf numFmtId="0" fontId="68" fillId="0" borderId="130" xfId="0" applyFont="1" applyBorder="1" applyAlignment="1">
      <alignment horizontal="center" vertical="center"/>
    </xf>
    <xf numFmtId="0" fontId="8" fillId="16" borderId="5" xfId="0" applyFont="1" applyFill="1" applyBorder="1"/>
    <xf numFmtId="3" fontId="36" fillId="16" borderId="25" xfId="5" applyNumberFormat="1" applyFont="1" applyFill="1" applyBorder="1" applyAlignment="1">
      <alignment vertical="center"/>
    </xf>
    <xf numFmtId="3" fontId="8" fillId="8" borderId="122" xfId="0" applyNumberFormat="1" applyFont="1" applyFill="1" applyBorder="1"/>
    <xf numFmtId="3" fontId="8" fillId="8" borderId="130" xfId="0" applyNumberFormat="1" applyFont="1" applyFill="1" applyBorder="1"/>
    <xf numFmtId="3" fontId="8" fillId="8" borderId="76" xfId="0" applyNumberFormat="1" applyFont="1" applyFill="1" applyBorder="1"/>
    <xf numFmtId="3" fontId="83" fillId="17" borderId="11" xfId="0" applyNumberFormat="1" applyFont="1" applyFill="1" applyBorder="1"/>
    <xf numFmtId="3" fontId="83" fillId="8" borderId="11" xfId="0" applyNumberFormat="1" applyFont="1" applyFill="1" applyBorder="1"/>
    <xf numFmtId="3" fontId="19" fillId="8" borderId="11" xfId="0" applyNumberFormat="1" applyFont="1" applyFill="1" applyBorder="1"/>
    <xf numFmtId="3" fontId="19" fillId="16" borderId="52" xfId="5" applyNumberFormat="1" applyFont="1" applyFill="1" applyBorder="1"/>
    <xf numFmtId="3" fontId="8" fillId="8" borderId="19" xfId="0" applyNumberFormat="1" applyFont="1" applyFill="1" applyBorder="1"/>
    <xf numFmtId="3" fontId="8" fillId="8" borderId="122" xfId="0" applyNumberFormat="1" applyFont="1" applyFill="1" applyBorder="1" applyAlignment="1">
      <alignment vertical="center"/>
    </xf>
    <xf numFmtId="3" fontId="68" fillId="17" borderId="21" xfId="0" applyNumberFormat="1" applyFont="1" applyFill="1" applyBorder="1"/>
    <xf numFmtId="0" fontId="8" fillId="18" borderId="5" xfId="0" applyFont="1" applyFill="1" applyBorder="1" applyAlignment="1">
      <alignment vertical="center"/>
    </xf>
    <xf numFmtId="3" fontId="36" fillId="18" borderId="25" xfId="0" applyNumberFormat="1" applyFont="1" applyFill="1" applyBorder="1" applyAlignment="1">
      <alignment vertical="center"/>
    </xf>
    <xf numFmtId="3" fontId="6" fillId="11" borderId="19" xfId="0" applyNumberFormat="1" applyFont="1" applyFill="1" applyBorder="1"/>
    <xf numFmtId="3" fontId="6" fillId="11" borderId="122" xfId="0" applyNumberFormat="1" applyFont="1" applyFill="1" applyBorder="1"/>
    <xf numFmtId="3" fontId="6" fillId="11" borderId="76" xfId="0" applyNumberFormat="1" applyFont="1" applyFill="1" applyBorder="1"/>
    <xf numFmtId="3" fontId="82" fillId="18" borderId="52" xfId="0" applyNumberFormat="1" applyFont="1" applyFill="1" applyBorder="1" applyAlignment="1">
      <alignment vertical="top"/>
    </xf>
    <xf numFmtId="3" fontId="82" fillId="2" borderId="11" xfId="0" applyNumberFormat="1" applyFont="1" applyFill="1" applyBorder="1" applyAlignment="1">
      <alignment vertical="top"/>
    </xf>
    <xf numFmtId="3" fontId="36" fillId="18" borderId="52" xfId="0" applyNumberFormat="1" applyFont="1" applyFill="1" applyBorder="1"/>
    <xf numFmtId="3" fontId="6" fillId="11" borderId="122" xfId="0" applyNumberFormat="1" applyFont="1" applyFill="1" applyBorder="1" applyAlignment="1">
      <alignment vertical="center"/>
    </xf>
    <xf numFmtId="3" fontId="8" fillId="18" borderId="25" xfId="0" applyNumberFormat="1" applyFont="1" applyFill="1" applyBorder="1"/>
    <xf numFmtId="3" fontId="38" fillId="0" borderId="181" xfId="4" applyNumberFormat="1" applyFont="1" applyFill="1" applyBorder="1" applyAlignment="1">
      <alignment horizontal="right" vertical="center"/>
    </xf>
    <xf numFmtId="0" fontId="39" fillId="0" borderId="171" xfId="0" applyFont="1" applyBorder="1"/>
    <xf numFmtId="3" fontId="0" fillId="0" borderId="166" xfId="0" applyNumberFormat="1" applyFont="1" applyBorder="1"/>
    <xf numFmtId="0" fontId="0" fillId="0" borderId="166" xfId="0" applyFont="1" applyBorder="1"/>
    <xf numFmtId="0" fontId="24" fillId="0" borderId="43" xfId="4" applyFont="1" applyFill="1" applyBorder="1" applyAlignment="1">
      <alignment vertical="center" wrapText="1"/>
    </xf>
    <xf numFmtId="3" fontId="101" fillId="0" borderId="0" xfId="0" applyNumberFormat="1" applyFont="1" applyFill="1" applyAlignment="1">
      <alignment vertical="center"/>
    </xf>
    <xf numFmtId="3" fontId="101" fillId="0" borderId="0" xfId="0" applyNumberFormat="1" applyFont="1" applyFill="1" applyBorder="1" applyAlignment="1">
      <alignment vertical="center"/>
    </xf>
    <xf numFmtId="3" fontId="102" fillId="2" borderId="0" xfId="0" applyNumberFormat="1" applyFont="1" applyFill="1" applyAlignment="1">
      <alignment vertical="center"/>
    </xf>
    <xf numFmtId="3" fontId="23" fillId="6" borderId="156" xfId="6" applyNumberFormat="1" applyFont="1" applyFill="1" applyBorder="1" applyAlignment="1">
      <alignment horizontal="right" vertical="center"/>
    </xf>
    <xf numFmtId="43" fontId="23" fillId="6" borderId="156" xfId="1" applyFont="1" applyFill="1" applyBorder="1" applyAlignment="1">
      <alignment horizontal="right" vertical="center"/>
    </xf>
    <xf numFmtId="3" fontId="25" fillId="23" borderId="166" xfId="4" applyNumberFormat="1" applyFont="1" applyFill="1" applyBorder="1" applyAlignment="1">
      <alignment horizontal="right" vertical="center"/>
    </xf>
    <xf numFmtId="3" fontId="33" fillId="0" borderId="156" xfId="6" applyNumberFormat="1" applyFont="1" applyFill="1" applyBorder="1" applyAlignment="1">
      <alignment horizontal="right" vertical="center"/>
    </xf>
    <xf numFmtId="43" fontId="33" fillId="0" borderId="156" xfId="1" applyFont="1" applyFill="1" applyBorder="1" applyAlignment="1">
      <alignment horizontal="right" vertical="center"/>
    </xf>
    <xf numFmtId="43" fontId="31" fillId="0" borderId="156" xfId="1" applyFont="1" applyFill="1" applyBorder="1" applyAlignment="1">
      <alignment horizontal="right" vertical="center"/>
    </xf>
    <xf numFmtId="3" fontId="7" fillId="0" borderId="166" xfId="0" applyNumberFormat="1" applyFont="1" applyFill="1" applyBorder="1" applyAlignment="1">
      <alignment horizontal="right" vertical="center"/>
    </xf>
    <xf numFmtId="43" fontId="31" fillId="0" borderId="195" xfId="1" applyFont="1" applyFill="1" applyBorder="1" applyAlignment="1">
      <alignment vertical="center"/>
    </xf>
    <xf numFmtId="3" fontId="24" fillId="23" borderId="166" xfId="4" applyNumberFormat="1" applyFont="1" applyFill="1" applyBorder="1" applyAlignment="1">
      <alignment horizontal="right" vertical="center"/>
    </xf>
    <xf numFmtId="3" fontId="32" fillId="0" borderId="166" xfId="6" applyNumberFormat="1" applyFont="1" applyFill="1" applyBorder="1" applyAlignment="1">
      <alignment vertical="center"/>
    </xf>
    <xf numFmtId="3" fontId="25" fillId="6" borderId="166" xfId="4" applyNumberFormat="1" applyFont="1" applyFill="1" applyBorder="1" applyAlignment="1">
      <alignment horizontal="right" vertical="center"/>
    </xf>
    <xf numFmtId="3" fontId="33" fillId="0" borderId="166" xfId="6" applyNumberFormat="1" applyFont="1" applyFill="1" applyBorder="1" applyAlignment="1">
      <alignment vertical="center"/>
    </xf>
    <xf numFmtId="3" fontId="7" fillId="0" borderId="166" xfId="4" applyNumberFormat="1" applyFont="1" applyFill="1" applyBorder="1" applyAlignment="1">
      <alignment horizontal="right" vertical="center"/>
    </xf>
    <xf numFmtId="3" fontId="27" fillId="2" borderId="166" xfId="4" applyNumberFormat="1" applyFont="1" applyFill="1" applyBorder="1" applyAlignment="1">
      <alignment vertical="center"/>
    </xf>
    <xf numFmtId="3" fontId="31" fillId="0" borderId="166" xfId="4" applyNumberFormat="1" applyFont="1" applyFill="1" applyBorder="1" applyAlignment="1">
      <alignment vertical="center"/>
    </xf>
    <xf numFmtId="0" fontId="23" fillId="0" borderId="158" xfId="0" applyFont="1" applyFill="1" applyBorder="1" applyAlignment="1">
      <alignment horizontal="center" vertical="center" wrapText="1"/>
    </xf>
    <xf numFmtId="0" fontId="25" fillId="8" borderId="19" xfId="4" applyFont="1" applyFill="1" applyBorder="1" applyAlignment="1">
      <alignment vertical="center" wrapText="1"/>
    </xf>
    <xf numFmtId="3" fontId="31" fillId="0" borderId="156" xfId="4" applyNumberFormat="1" applyFont="1" applyFill="1" applyBorder="1" applyAlignment="1">
      <alignment horizontal="right" vertical="center"/>
    </xf>
    <xf numFmtId="0" fontId="25" fillId="6" borderId="160" xfId="4" applyFont="1" applyFill="1" applyBorder="1" applyAlignment="1">
      <alignment horizontal="center" vertical="center"/>
    </xf>
    <xf numFmtId="0" fontId="31" fillId="0" borderId="161" xfId="4" applyFont="1" applyFill="1" applyBorder="1" applyAlignment="1">
      <alignment vertical="center"/>
    </xf>
    <xf numFmtId="0" fontId="7" fillId="0" borderId="161" xfId="4" applyFont="1" applyFill="1" applyBorder="1" applyAlignment="1">
      <alignment vertical="center"/>
    </xf>
    <xf numFmtId="0" fontId="27" fillId="2" borderId="161" xfId="4" applyFont="1" applyFill="1" applyBorder="1" applyAlignment="1">
      <alignment vertical="center"/>
    </xf>
    <xf numFmtId="43" fontId="32" fillId="0" borderId="156" xfId="1" applyFont="1" applyFill="1" applyBorder="1" applyAlignment="1">
      <alignment vertical="center"/>
    </xf>
    <xf numFmtId="3" fontId="27" fillId="2" borderId="155" xfId="4" applyNumberFormat="1" applyFont="1" applyFill="1" applyBorder="1" applyAlignment="1">
      <alignment vertical="center"/>
    </xf>
    <xf numFmtId="43" fontId="7" fillId="0" borderId="165" xfId="1" applyFont="1" applyFill="1" applyBorder="1" applyAlignment="1">
      <alignment horizontal="right" vertical="center"/>
    </xf>
    <xf numFmtId="0" fontId="31" fillId="0" borderId="36" xfId="4" applyFont="1" applyFill="1" applyBorder="1" applyAlignment="1">
      <alignment horizontal="left" vertical="center"/>
    </xf>
    <xf numFmtId="43" fontId="32" fillId="0" borderId="166" xfId="1" applyFont="1" applyFill="1" applyBorder="1" applyAlignment="1">
      <alignment vertical="center"/>
    </xf>
    <xf numFmtId="0" fontId="24" fillId="6" borderId="173" xfId="4" applyFont="1" applyFill="1" applyBorder="1" applyAlignment="1">
      <alignment horizontal="left" vertical="center"/>
    </xf>
    <xf numFmtId="3" fontId="24" fillId="23" borderId="175" xfId="4" applyNumberFormat="1" applyFont="1" applyFill="1" applyBorder="1" applyAlignment="1">
      <alignment horizontal="right" vertical="center"/>
    </xf>
    <xf numFmtId="0" fontId="7" fillId="0" borderId="36" xfId="4" applyFont="1" applyFill="1" applyBorder="1" applyAlignment="1">
      <alignment vertical="center"/>
    </xf>
    <xf numFmtId="0" fontId="24" fillId="6" borderId="117" xfId="4" applyFont="1" applyFill="1" applyBorder="1" applyAlignment="1">
      <alignment horizontal="left" vertical="center"/>
    </xf>
    <xf numFmtId="43" fontId="7" fillId="0" borderId="166" xfId="1" applyFont="1" applyFill="1" applyBorder="1" applyAlignment="1">
      <alignment vertical="center"/>
    </xf>
    <xf numFmtId="0" fontId="24" fillId="6" borderId="160" xfId="4" applyFont="1" applyFill="1" applyBorder="1" applyAlignment="1">
      <alignment horizontal="left" vertical="center"/>
    </xf>
    <xf numFmtId="43" fontId="7" fillId="0" borderId="155" xfId="1" applyFont="1" applyFill="1" applyBorder="1" applyAlignment="1">
      <alignment vertical="center"/>
    </xf>
    <xf numFmtId="0" fontId="24" fillId="6" borderId="182" xfId="4" applyFont="1" applyFill="1" applyBorder="1" applyAlignment="1">
      <alignment horizontal="left" vertical="center"/>
    </xf>
    <xf numFmtId="43" fontId="7" fillId="0" borderId="181" xfId="1" applyFont="1" applyFill="1" applyBorder="1" applyAlignment="1">
      <alignment vertical="center"/>
    </xf>
    <xf numFmtId="43" fontId="7" fillId="0" borderId="74" xfId="1" applyFont="1" applyFill="1" applyBorder="1" applyAlignment="1">
      <alignment horizontal="right" vertical="center"/>
    </xf>
    <xf numFmtId="3" fontId="25" fillId="8" borderId="17" xfId="4" applyNumberFormat="1" applyFont="1" applyFill="1" applyBorder="1" applyAlignment="1">
      <alignment vertical="center"/>
    </xf>
    <xf numFmtId="43" fontId="25" fillId="6" borderId="9" xfId="1" applyFont="1" applyFill="1" applyBorder="1" applyAlignment="1">
      <alignment vertical="center"/>
    </xf>
    <xf numFmtId="3" fontId="25" fillId="6" borderId="166" xfId="4" applyNumberFormat="1" applyFont="1" applyFill="1" applyBorder="1" applyAlignment="1">
      <alignment vertical="center"/>
    </xf>
    <xf numFmtId="43" fontId="25" fillId="6" borderId="166" xfId="1" applyFont="1" applyFill="1" applyBorder="1" applyAlignment="1">
      <alignment vertical="center"/>
    </xf>
    <xf numFmtId="3" fontId="27" fillId="0" borderId="27" xfId="4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vertical="center"/>
    </xf>
    <xf numFmtId="3" fontId="31" fillId="0" borderId="157" xfId="4" applyNumberFormat="1" applyFont="1" applyFill="1" applyBorder="1" applyAlignment="1">
      <alignment horizontal="right" vertical="center"/>
    </xf>
    <xf numFmtId="43" fontId="33" fillId="0" borderId="166" xfId="1" applyFont="1" applyFill="1" applyBorder="1" applyAlignment="1">
      <alignment vertical="center"/>
    </xf>
    <xf numFmtId="43" fontId="24" fillId="6" borderId="166" xfId="1" applyFont="1" applyFill="1" applyBorder="1" applyAlignment="1">
      <alignment vertical="center"/>
    </xf>
    <xf numFmtId="3" fontId="24" fillId="6" borderId="166" xfId="4" applyNumberFormat="1" applyFont="1" applyFill="1" applyBorder="1" applyAlignment="1">
      <alignment vertical="center"/>
    </xf>
    <xf numFmtId="3" fontId="24" fillId="27" borderId="108" xfId="4" applyNumberFormat="1" applyFont="1" applyFill="1" applyBorder="1" applyAlignment="1">
      <alignment horizontal="center" vertical="center"/>
    </xf>
    <xf numFmtId="3" fontId="24" fillId="27" borderId="10" xfId="4" applyNumberFormat="1" applyFont="1" applyFill="1" applyBorder="1" applyAlignment="1">
      <alignment horizontal="center" vertical="center"/>
    </xf>
    <xf numFmtId="3" fontId="32" fillId="0" borderId="9" xfId="6" applyNumberFormat="1" applyFont="1" applyFill="1" applyBorder="1" applyAlignment="1">
      <alignment vertical="center"/>
    </xf>
    <xf numFmtId="43" fontId="32" fillId="0" borderId="9" xfId="1" applyFont="1" applyFill="1" applyBorder="1" applyAlignment="1">
      <alignment vertical="center"/>
    </xf>
    <xf numFmtId="3" fontId="32" fillId="0" borderId="10" xfId="6" applyNumberFormat="1" applyFont="1" applyFill="1" applyBorder="1" applyAlignment="1">
      <alignment vertical="center"/>
    </xf>
    <xf numFmtId="43" fontId="32" fillId="0" borderId="10" xfId="1" applyFont="1" applyFill="1" applyBorder="1" applyAlignment="1">
      <alignment vertical="center"/>
    </xf>
    <xf numFmtId="3" fontId="24" fillId="27" borderId="74" xfId="4" applyNumberFormat="1" applyFont="1" applyFill="1" applyBorder="1" applyAlignment="1">
      <alignment horizontal="center" vertical="center"/>
    </xf>
    <xf numFmtId="43" fontId="29" fillId="2" borderId="180" xfId="1" applyFont="1" applyFill="1" applyBorder="1" applyAlignment="1">
      <alignment vertical="center"/>
    </xf>
    <xf numFmtId="43" fontId="31" fillId="0" borderId="180" xfId="1" applyFont="1" applyFill="1" applyBorder="1" applyAlignment="1">
      <alignment vertical="center"/>
    </xf>
    <xf numFmtId="43" fontId="31" fillId="0" borderId="192" xfId="1" applyFont="1" applyFill="1" applyBorder="1" applyAlignment="1">
      <alignment vertical="center"/>
    </xf>
    <xf numFmtId="3" fontId="29" fillId="2" borderId="156" xfId="4" applyNumberFormat="1" applyFont="1" applyFill="1" applyBorder="1" applyAlignment="1">
      <alignment vertical="center"/>
    </xf>
    <xf numFmtId="3" fontId="31" fillId="26" borderId="157" xfId="4" applyNumberFormat="1" applyFont="1" applyFill="1" applyBorder="1" applyAlignment="1">
      <alignment horizontal="right" vertical="center"/>
    </xf>
    <xf numFmtId="3" fontId="32" fillId="0" borderId="20" xfId="0" applyNumberFormat="1" applyFont="1" applyBorder="1" applyAlignment="1">
      <alignment horizontal="center" vertical="center"/>
    </xf>
    <xf numFmtId="43" fontId="29" fillId="2" borderId="156" xfId="1" applyFont="1" applyFill="1" applyBorder="1" applyAlignment="1">
      <alignment vertical="center"/>
    </xf>
    <xf numFmtId="3" fontId="8" fillId="0" borderId="191" xfId="4" applyNumberFormat="1" applyFont="1" applyFill="1" applyBorder="1" applyAlignment="1">
      <alignment horizontal="right" vertical="center"/>
    </xf>
    <xf numFmtId="3" fontId="8" fillId="0" borderId="133" xfId="4" applyNumberFormat="1" applyFont="1" applyFill="1" applyBorder="1" applyAlignment="1">
      <alignment horizontal="right" vertical="center"/>
    </xf>
    <xf numFmtId="3" fontId="23" fillId="6" borderId="9" xfId="6" applyNumberFormat="1" applyFont="1" applyFill="1" applyBorder="1" applyAlignment="1">
      <alignment horizontal="right" vertical="center"/>
    </xf>
    <xf numFmtId="0" fontId="31" fillId="0" borderId="21" xfId="4" applyFont="1" applyFill="1" applyBorder="1" applyAlignment="1">
      <alignment vertical="center"/>
    </xf>
    <xf numFmtId="3" fontId="31" fillId="0" borderId="133" xfId="4" applyNumberFormat="1" applyFont="1" applyFill="1" applyBorder="1" applyAlignment="1">
      <alignment horizontal="right" vertical="center"/>
    </xf>
    <xf numFmtId="0" fontId="24" fillId="8" borderId="155" xfId="4" applyFont="1" applyFill="1" applyBorder="1" applyAlignment="1">
      <alignment vertical="center" wrapText="1"/>
    </xf>
    <xf numFmtId="0" fontId="24" fillId="8" borderId="155" xfId="4" applyFont="1" applyFill="1" applyBorder="1" applyAlignment="1">
      <alignment horizontal="center" vertical="center" wrapText="1"/>
    </xf>
    <xf numFmtId="3" fontId="24" fillId="8" borderId="155" xfId="4" applyNumberFormat="1" applyFont="1" applyFill="1" applyBorder="1" applyAlignment="1">
      <alignment horizontal="right" vertical="center"/>
    </xf>
    <xf numFmtId="0" fontId="28" fillId="0" borderId="155" xfId="4" applyFont="1" applyFill="1" applyBorder="1" applyAlignment="1">
      <alignment vertical="center"/>
    </xf>
    <xf numFmtId="43" fontId="28" fillId="0" borderId="155" xfId="1" applyFont="1" applyFill="1" applyBorder="1" applyAlignment="1">
      <alignment horizontal="right" vertical="center"/>
    </xf>
    <xf numFmtId="3" fontId="28" fillId="0" borderId="155" xfId="4" applyNumberFormat="1" applyFont="1" applyFill="1" applyBorder="1" applyAlignment="1">
      <alignment horizontal="right" vertical="center"/>
    </xf>
    <xf numFmtId="0" fontId="29" fillId="2" borderId="155" xfId="4" applyFont="1" applyFill="1" applyBorder="1" applyAlignment="1">
      <alignment vertical="center"/>
    </xf>
    <xf numFmtId="43" fontId="31" fillId="0" borderId="29" xfId="1" applyFont="1" applyFill="1" applyBorder="1" applyAlignment="1">
      <alignment vertical="center"/>
    </xf>
    <xf numFmtId="0" fontId="7" fillId="0" borderId="119" xfId="4" applyFont="1" applyFill="1" applyBorder="1" applyAlignment="1">
      <alignment vertical="center"/>
    </xf>
    <xf numFmtId="0" fontId="24" fillId="8" borderId="181" xfId="4" applyFont="1" applyFill="1" applyBorder="1" applyAlignment="1">
      <alignment vertical="center" wrapText="1"/>
    </xf>
    <xf numFmtId="0" fontId="24" fillId="8" borderId="181" xfId="4" applyFont="1" applyFill="1" applyBorder="1" applyAlignment="1">
      <alignment horizontal="center" vertical="center" wrapText="1"/>
    </xf>
    <xf numFmtId="3" fontId="24" fillId="8" borderId="181" xfId="4" applyNumberFormat="1" applyFont="1" applyFill="1" applyBorder="1" applyAlignment="1">
      <alignment horizontal="right" vertical="center"/>
    </xf>
    <xf numFmtId="0" fontId="24" fillId="6" borderId="181" xfId="4" applyFont="1" applyFill="1" applyBorder="1" applyAlignment="1">
      <alignment horizontal="left" vertical="center"/>
    </xf>
    <xf numFmtId="3" fontId="29" fillId="2" borderId="181" xfId="4" applyNumberFormat="1" applyFont="1" applyFill="1" applyBorder="1" applyAlignment="1">
      <alignment vertical="top" wrapText="1"/>
    </xf>
    <xf numFmtId="0" fontId="7" fillId="0" borderId="181" xfId="4" applyFont="1" applyFill="1" applyBorder="1" applyAlignment="1">
      <alignment vertical="top"/>
    </xf>
    <xf numFmtId="0" fontId="29" fillId="2" borderId="181" xfId="4" applyFont="1" applyFill="1" applyBorder="1" applyAlignment="1">
      <alignment vertical="top"/>
    </xf>
    <xf numFmtId="0" fontId="32" fillId="0" borderId="191" xfId="0" applyFont="1" applyBorder="1"/>
    <xf numFmtId="0" fontId="24" fillId="8" borderId="35" xfId="4" applyFont="1" applyFill="1" applyBorder="1" applyAlignment="1">
      <alignment vertical="center" wrapText="1"/>
    </xf>
    <xf numFmtId="0" fontId="24" fillId="8" borderId="35" xfId="4" applyFont="1" applyFill="1" applyBorder="1" applyAlignment="1">
      <alignment horizontal="center" vertical="center" wrapText="1"/>
    </xf>
    <xf numFmtId="3" fontId="24" fillId="8" borderId="35" xfId="4" applyNumberFormat="1" applyFont="1" applyFill="1" applyBorder="1" applyAlignment="1">
      <alignment horizontal="right" vertical="center"/>
    </xf>
    <xf numFmtId="3" fontId="24" fillId="23" borderId="35" xfId="4" applyNumberFormat="1" applyFont="1" applyFill="1" applyBorder="1" applyAlignment="1">
      <alignment horizontal="right" vertical="center"/>
    </xf>
    <xf numFmtId="0" fontId="29" fillId="2" borderId="155" xfId="4" applyFont="1" applyFill="1" applyBorder="1" applyAlignment="1">
      <alignment vertical="top"/>
    </xf>
    <xf numFmtId="3" fontId="33" fillId="26" borderId="155" xfId="6" applyNumberFormat="1" applyFont="1" applyFill="1" applyBorder="1" applyAlignment="1">
      <alignment vertical="center"/>
    </xf>
    <xf numFmtId="0" fontId="32" fillId="0" borderId="119" xfId="0" applyFont="1" applyBorder="1" applyAlignment="1">
      <alignment vertical="center"/>
    </xf>
    <xf numFmtId="0" fontId="24" fillId="8" borderId="171" xfId="4" applyFont="1" applyFill="1" applyBorder="1" applyAlignment="1">
      <alignment vertical="center" wrapText="1"/>
    </xf>
    <xf numFmtId="0" fontId="24" fillId="8" borderId="171" xfId="4" applyFont="1" applyFill="1" applyBorder="1" applyAlignment="1">
      <alignment horizontal="center" vertical="center" wrapText="1"/>
    </xf>
    <xf numFmtId="3" fontId="7" fillId="8" borderId="171" xfId="4" applyNumberFormat="1" applyFont="1" applyFill="1" applyBorder="1" applyAlignment="1">
      <alignment horizontal="right" vertical="center"/>
    </xf>
    <xf numFmtId="3" fontId="24" fillId="8" borderId="171" xfId="4" applyNumberFormat="1" applyFont="1" applyFill="1" applyBorder="1" applyAlignment="1">
      <alignment horizontal="right" vertical="center"/>
    </xf>
    <xf numFmtId="3" fontId="24" fillId="23" borderId="171" xfId="4" applyNumberFormat="1" applyFont="1" applyFill="1" applyBorder="1" applyAlignment="1">
      <alignment horizontal="right" vertical="center"/>
    </xf>
    <xf numFmtId="0" fontId="24" fillId="6" borderId="171" xfId="4" applyFont="1" applyFill="1" applyBorder="1" applyAlignment="1">
      <alignment horizontal="left" vertical="center"/>
    </xf>
    <xf numFmtId="0" fontId="25" fillId="6" borderId="171" xfId="4" applyFont="1" applyFill="1" applyBorder="1" applyAlignment="1">
      <alignment horizontal="left" vertical="center"/>
    </xf>
    <xf numFmtId="3" fontId="25" fillId="6" borderId="171" xfId="4" applyNumberFormat="1" applyFont="1" applyFill="1" applyBorder="1" applyAlignment="1">
      <alignment horizontal="right" vertical="center"/>
    </xf>
    <xf numFmtId="3" fontId="25" fillId="23" borderId="171" xfId="4" applyNumberFormat="1" applyFont="1" applyFill="1" applyBorder="1" applyAlignment="1">
      <alignment horizontal="right" vertical="center"/>
    </xf>
    <xf numFmtId="3" fontId="29" fillId="2" borderId="171" xfId="4" applyNumberFormat="1" applyFont="1" applyFill="1" applyBorder="1" applyAlignment="1">
      <alignment vertical="top" wrapText="1"/>
    </xf>
    <xf numFmtId="0" fontId="7" fillId="0" borderId="171" xfId="4" applyFont="1" applyFill="1" applyBorder="1" applyAlignment="1">
      <alignment vertical="top"/>
    </xf>
    <xf numFmtId="3" fontId="31" fillId="0" borderId="171" xfId="0" applyNumberFormat="1" applyFont="1" applyFill="1" applyBorder="1" applyAlignment="1">
      <alignment vertical="top"/>
    </xf>
    <xf numFmtId="3" fontId="7" fillId="0" borderId="171" xfId="4" applyNumberFormat="1" applyFont="1" applyFill="1" applyBorder="1" applyAlignment="1">
      <alignment horizontal="right" vertical="center"/>
    </xf>
    <xf numFmtId="0" fontId="29" fillId="2" borderId="171" xfId="4" applyFont="1" applyFill="1" applyBorder="1" applyAlignment="1">
      <alignment vertical="top"/>
    </xf>
    <xf numFmtId="3" fontId="33" fillId="0" borderId="171" xfId="6" applyNumberFormat="1" applyFont="1" applyFill="1" applyBorder="1" applyAlignment="1">
      <alignment vertical="center"/>
    </xf>
    <xf numFmtId="3" fontId="33" fillId="26" borderId="171" xfId="6" applyNumberFormat="1" applyFont="1" applyFill="1" applyBorder="1" applyAlignment="1">
      <alignment vertical="center"/>
    </xf>
    <xf numFmtId="3" fontId="31" fillId="0" borderId="171" xfId="0" applyNumberFormat="1" applyFont="1" applyFill="1" applyBorder="1" applyAlignment="1">
      <alignment horizontal="right"/>
    </xf>
    <xf numFmtId="3" fontId="31" fillId="0" borderId="171" xfId="0" applyNumberFormat="1" applyFont="1" applyFill="1" applyBorder="1" applyAlignment="1">
      <alignment horizontal="right" vertical="center"/>
    </xf>
    <xf numFmtId="3" fontId="32" fillId="0" borderId="171" xfId="6" applyNumberFormat="1" applyFont="1" applyFill="1" applyBorder="1" applyAlignment="1">
      <alignment vertical="center"/>
    </xf>
    <xf numFmtId="3" fontId="24" fillId="6" borderId="181" xfId="4" applyNumberFormat="1" applyFont="1" applyFill="1" applyBorder="1" applyAlignment="1">
      <alignment horizontal="right" vertical="center"/>
    </xf>
    <xf numFmtId="3" fontId="29" fillId="2" borderId="181" xfId="4" applyNumberFormat="1" applyFont="1" applyFill="1" applyBorder="1" applyAlignment="1">
      <alignment vertical="center" wrapText="1"/>
    </xf>
    <xf numFmtId="0" fontId="7" fillId="0" borderId="191" xfId="4" applyFont="1" applyFill="1" applyBorder="1" applyAlignment="1">
      <alignment vertical="center"/>
    </xf>
    <xf numFmtId="0" fontId="7" fillId="0" borderId="175" xfId="4" applyFont="1" applyFill="1" applyBorder="1" applyAlignment="1">
      <alignment vertical="center"/>
    </xf>
    <xf numFmtId="0" fontId="31" fillId="6" borderId="28" xfId="0" applyFont="1" applyFill="1" applyBorder="1" applyAlignment="1">
      <alignment vertical="top"/>
    </xf>
    <xf numFmtId="3" fontId="25" fillId="23" borderId="91" xfId="0" applyNumberFormat="1" applyFont="1" applyFill="1" applyBorder="1" applyAlignment="1">
      <alignment vertical="top"/>
    </xf>
    <xf numFmtId="3" fontId="28" fillId="2" borderId="9" xfId="0" applyNumberFormat="1" applyFont="1" applyFill="1" applyBorder="1" applyAlignment="1">
      <alignment vertical="top"/>
    </xf>
    <xf numFmtId="3" fontId="31" fillId="0" borderId="123" xfId="0" applyNumberFormat="1" applyFont="1" applyFill="1" applyBorder="1" applyAlignment="1">
      <alignment horizontal="right" vertical="center"/>
    </xf>
    <xf numFmtId="0" fontId="28" fillId="0" borderId="130" xfId="0" applyFont="1" applyFill="1" applyBorder="1" applyAlignment="1">
      <alignment vertical="top"/>
    </xf>
    <xf numFmtId="3" fontId="31" fillId="0" borderId="157" xfId="0" applyNumberFormat="1" applyFont="1" applyFill="1" applyBorder="1" applyAlignment="1">
      <alignment horizontal="right" vertical="center"/>
    </xf>
    <xf numFmtId="3" fontId="31" fillId="26" borderId="165" xfId="0" applyNumberFormat="1" applyFont="1" applyFill="1" applyBorder="1" applyAlignment="1">
      <alignment vertical="top"/>
    </xf>
    <xf numFmtId="0" fontId="28" fillId="0" borderId="21" xfId="0" applyFont="1" applyFill="1" applyBorder="1" applyAlignment="1">
      <alignment vertical="top"/>
    </xf>
    <xf numFmtId="3" fontId="28" fillId="0" borderId="9" xfId="0" applyNumberFormat="1" applyFont="1" applyFill="1" applyBorder="1" applyAlignment="1">
      <alignment horizontal="right" vertical="center"/>
    </xf>
    <xf numFmtId="3" fontId="28" fillId="26" borderId="35" xfId="0" applyNumberFormat="1" applyFont="1" applyFill="1" applyBorder="1" applyAlignment="1">
      <alignment vertical="top"/>
    </xf>
    <xf numFmtId="3" fontId="28" fillId="0" borderId="156" xfId="0" applyNumberFormat="1" applyFont="1" applyFill="1" applyBorder="1" applyAlignment="1">
      <alignment horizontal="right" vertical="center"/>
    </xf>
    <xf numFmtId="3" fontId="28" fillId="26" borderId="123" xfId="0" applyNumberFormat="1" applyFont="1" applyFill="1" applyBorder="1" applyAlignment="1">
      <alignment vertical="top"/>
    </xf>
    <xf numFmtId="0" fontId="27" fillId="2" borderId="94" xfId="4" applyFont="1" applyFill="1" applyBorder="1" applyAlignment="1">
      <alignment vertical="top"/>
    </xf>
    <xf numFmtId="3" fontId="25" fillId="6" borderId="174" xfId="0" applyNumberFormat="1" applyFont="1" applyFill="1" applyBorder="1" applyAlignment="1">
      <alignment vertical="top"/>
    </xf>
    <xf numFmtId="43" fontId="25" fillId="6" borderId="174" xfId="1" applyFont="1" applyFill="1" applyBorder="1" applyAlignment="1">
      <alignment vertical="top"/>
    </xf>
    <xf numFmtId="3" fontId="25" fillId="23" borderId="174" xfId="0" applyNumberFormat="1" applyFont="1" applyFill="1" applyBorder="1" applyAlignment="1">
      <alignment vertical="top"/>
    </xf>
    <xf numFmtId="43" fontId="27" fillId="2" borderId="180" xfId="1" applyFont="1" applyFill="1" applyBorder="1" applyAlignment="1">
      <alignment vertical="top"/>
    </xf>
    <xf numFmtId="3" fontId="31" fillId="2" borderId="9" xfId="0" applyNumberFormat="1" applyFont="1" applyFill="1" applyBorder="1" applyAlignment="1">
      <alignment vertical="top"/>
    </xf>
    <xf numFmtId="43" fontId="27" fillId="2" borderId="9" xfId="1" applyFont="1" applyFill="1" applyBorder="1" applyAlignment="1">
      <alignment vertical="top"/>
    </xf>
    <xf numFmtId="43" fontId="31" fillId="2" borderId="9" xfId="1" applyFont="1" applyFill="1" applyBorder="1" applyAlignment="1">
      <alignment vertical="top"/>
    </xf>
    <xf numFmtId="0" fontId="31" fillId="0" borderId="21" xfId="0" applyFont="1" applyFill="1" applyBorder="1" applyAlignment="1">
      <alignment vertical="center"/>
    </xf>
    <xf numFmtId="3" fontId="28" fillId="2" borderId="180" xfId="0" applyNumberFormat="1" applyFont="1" applyFill="1" applyBorder="1" applyAlignment="1">
      <alignment vertical="center"/>
    </xf>
    <xf numFmtId="3" fontId="31" fillId="0" borderId="9" xfId="0" applyNumberFormat="1" applyFont="1" applyFill="1" applyBorder="1" applyAlignment="1">
      <alignment vertical="center"/>
    </xf>
    <xf numFmtId="43" fontId="31" fillId="0" borderId="9" xfId="1" applyFont="1" applyFill="1" applyBorder="1" applyAlignment="1">
      <alignment vertical="center"/>
    </xf>
    <xf numFmtId="3" fontId="31" fillId="26" borderId="123" xfId="0" applyNumberFormat="1" applyFont="1" applyFill="1" applyBorder="1" applyAlignment="1">
      <alignment vertical="center"/>
    </xf>
    <xf numFmtId="43" fontId="31" fillId="0" borderId="9" xfId="1" applyFont="1" applyFill="1" applyBorder="1" applyAlignment="1">
      <alignment vertical="top"/>
    </xf>
    <xf numFmtId="0" fontId="31" fillId="0" borderId="11" xfId="4" applyFont="1" applyFill="1" applyBorder="1" applyAlignment="1">
      <alignment vertical="center"/>
    </xf>
    <xf numFmtId="3" fontId="31" fillId="0" borderId="35" xfId="0" applyNumberFormat="1" applyFont="1" applyFill="1" applyBorder="1" applyAlignment="1">
      <alignment horizontal="right" vertical="center"/>
    </xf>
    <xf numFmtId="43" fontId="31" fillId="0" borderId="35" xfId="1" applyFont="1" applyFill="1" applyBorder="1" applyAlignment="1">
      <alignment horizontal="right" vertical="center"/>
    </xf>
    <xf numFmtId="0" fontId="31" fillId="0" borderId="21" xfId="0" applyFont="1" applyFill="1" applyBorder="1" applyAlignment="1">
      <alignment horizontal="left" vertical="center" wrapText="1"/>
    </xf>
    <xf numFmtId="3" fontId="31" fillId="0" borderId="9" xfId="0" applyNumberFormat="1" applyFont="1" applyFill="1" applyBorder="1" applyAlignment="1">
      <alignment horizontal="right" vertical="center"/>
    </xf>
    <xf numFmtId="3" fontId="31" fillId="0" borderId="181" xfId="0" applyNumberFormat="1" applyFont="1" applyFill="1" applyBorder="1" applyAlignment="1">
      <alignment horizontal="right" vertical="center"/>
    </xf>
    <xf numFmtId="3" fontId="25" fillId="26" borderId="10" xfId="0" applyNumberFormat="1" applyFont="1" applyFill="1" applyBorder="1" applyAlignment="1">
      <alignment vertical="top"/>
    </xf>
    <xf numFmtId="43" fontId="31" fillId="0" borderId="13" xfId="1" applyFont="1" applyFill="1" applyBorder="1" applyAlignment="1">
      <alignment horizontal="right" vertical="center"/>
    </xf>
    <xf numFmtId="0" fontId="7" fillId="6" borderId="173" xfId="0" applyFont="1" applyFill="1" applyBorder="1" applyAlignment="1">
      <alignment horizontal="left" vertical="center" wrapText="1"/>
    </xf>
    <xf numFmtId="43" fontId="31" fillId="0" borderId="181" xfId="1" applyFont="1" applyFill="1" applyBorder="1" applyAlignment="1">
      <alignment vertical="top"/>
    </xf>
    <xf numFmtId="0" fontId="27" fillId="2" borderId="164" xfId="4" applyFont="1" applyFill="1" applyBorder="1" applyAlignment="1">
      <alignment vertical="top"/>
    </xf>
    <xf numFmtId="3" fontId="28" fillId="57" borderId="9" xfId="0" applyNumberFormat="1" applyFont="1" applyFill="1" applyBorder="1" applyAlignment="1">
      <alignment vertical="center"/>
    </xf>
    <xf numFmtId="3" fontId="28" fillId="56" borderId="9" xfId="0" applyNumberFormat="1" applyFont="1" applyFill="1" applyBorder="1" applyAlignment="1">
      <alignment horizontal="right"/>
    </xf>
    <xf numFmtId="0" fontId="24" fillId="8" borderId="1" xfId="0" applyFont="1" applyFill="1" applyBorder="1" applyAlignment="1">
      <alignment horizontal="center" vertical="center" wrapText="1"/>
    </xf>
    <xf numFmtId="0" fontId="7" fillId="24" borderId="70" xfId="0" applyFont="1" applyFill="1" applyBorder="1" applyAlignment="1">
      <alignment vertical="top"/>
    </xf>
    <xf numFmtId="0" fontId="69" fillId="6" borderId="162" xfId="4" applyFont="1" applyFill="1" applyBorder="1" applyAlignment="1">
      <alignment horizontal="left" vertical="center"/>
    </xf>
    <xf numFmtId="3" fontId="24" fillId="6" borderId="171" xfId="0" applyNumberFormat="1" applyFont="1" applyFill="1" applyBorder="1" applyAlignment="1">
      <alignment vertical="center"/>
    </xf>
    <xf numFmtId="3" fontId="24" fillId="6" borderId="155" xfId="0" applyNumberFormat="1" applyFont="1" applyFill="1" applyBorder="1" applyAlignment="1">
      <alignment vertical="center"/>
    </xf>
    <xf numFmtId="3" fontId="24" fillId="23" borderId="35" xfId="0" applyNumberFormat="1" applyFont="1" applyFill="1" applyBorder="1" applyAlignment="1">
      <alignment vertical="center"/>
    </xf>
    <xf numFmtId="3" fontId="29" fillId="0" borderId="171" xfId="0" applyNumberFormat="1" applyFont="1" applyFill="1" applyBorder="1" applyAlignment="1">
      <alignment vertical="center"/>
    </xf>
    <xf numFmtId="3" fontId="29" fillId="0" borderId="155" xfId="0" applyNumberFormat="1" applyFont="1" applyFill="1" applyBorder="1" applyAlignment="1">
      <alignment vertical="center"/>
    </xf>
    <xf numFmtId="3" fontId="29" fillId="26" borderId="155" xfId="0" applyNumberFormat="1" applyFont="1" applyFill="1" applyBorder="1" applyAlignment="1">
      <alignment vertical="top"/>
    </xf>
    <xf numFmtId="0" fontId="8" fillId="0" borderId="122" xfId="0" applyFont="1" applyFill="1" applyBorder="1" applyAlignment="1">
      <alignment vertical="center" wrapText="1"/>
    </xf>
    <xf numFmtId="3" fontId="31" fillId="0" borderId="165" xfId="4" applyNumberFormat="1" applyFont="1" applyFill="1" applyBorder="1" applyAlignment="1">
      <alignment vertical="center"/>
    </xf>
    <xf numFmtId="3" fontId="38" fillId="0" borderId="155" xfId="0" applyNumberFormat="1" applyFont="1" applyFill="1" applyBorder="1" applyAlignment="1">
      <alignment vertical="center"/>
    </xf>
    <xf numFmtId="3" fontId="7" fillId="0" borderId="156" xfId="4" applyNumberFormat="1" applyFont="1" applyFill="1" applyBorder="1" applyAlignment="1">
      <alignment vertical="center"/>
    </xf>
    <xf numFmtId="0" fontId="29" fillId="2" borderId="122" xfId="4" applyFont="1" applyFill="1" applyBorder="1" applyAlignment="1">
      <alignment vertical="top"/>
    </xf>
    <xf numFmtId="3" fontId="29" fillId="0" borderId="171" xfId="0" applyNumberFormat="1" applyFont="1" applyFill="1" applyBorder="1" applyAlignment="1">
      <alignment horizontal="right" vertical="center"/>
    </xf>
    <xf numFmtId="3" fontId="29" fillId="0" borderId="155" xfId="0" applyNumberFormat="1" applyFont="1" applyFill="1" applyBorder="1" applyAlignment="1">
      <alignment horizontal="right" vertical="center"/>
    </xf>
    <xf numFmtId="3" fontId="7" fillId="0" borderId="165" xfId="4" applyNumberFormat="1" applyFont="1" applyFill="1" applyBorder="1" applyAlignment="1">
      <alignment vertical="center"/>
    </xf>
    <xf numFmtId="3" fontId="38" fillId="0" borderId="171" xfId="0" applyNumberFormat="1" applyFont="1" applyFill="1" applyBorder="1" applyAlignment="1">
      <alignment vertical="center"/>
    </xf>
    <xf numFmtId="3" fontId="38" fillId="0" borderId="165" xfId="0" applyNumberFormat="1" applyFont="1" applyFill="1" applyBorder="1" applyAlignment="1">
      <alignment vertical="center"/>
    </xf>
    <xf numFmtId="3" fontId="38" fillId="2" borderId="125" xfId="0" applyNumberFormat="1" applyFont="1" applyFill="1" applyBorder="1" applyAlignment="1">
      <alignment vertical="top"/>
    </xf>
    <xf numFmtId="3" fontId="7" fillId="0" borderId="155" xfId="0" applyNumberFormat="1" applyFont="1" applyFill="1" applyBorder="1" applyAlignment="1">
      <alignment vertical="center"/>
    </xf>
    <xf numFmtId="3" fontId="7" fillId="0" borderId="119" xfId="4" applyNumberFormat="1" applyFont="1" applyFill="1" applyBorder="1" applyAlignment="1">
      <alignment vertical="center"/>
    </xf>
    <xf numFmtId="3" fontId="38" fillId="0" borderId="119" xfId="0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vertical="center" wrapText="1"/>
    </xf>
    <xf numFmtId="0" fontId="19" fillId="0" borderId="26" xfId="4" applyFont="1" applyFill="1" applyBorder="1" applyAlignment="1">
      <alignment vertical="center" wrapText="1"/>
    </xf>
    <xf numFmtId="3" fontId="7" fillId="0" borderId="35" xfId="0" applyNumberFormat="1" applyFont="1" applyFill="1" applyBorder="1" applyAlignment="1">
      <alignment vertical="center"/>
    </xf>
    <xf numFmtId="3" fontId="24" fillId="23" borderId="13" xfId="0" applyNumberFormat="1" applyFont="1" applyFill="1" applyBorder="1" applyAlignment="1">
      <alignment vertical="center"/>
    </xf>
    <xf numFmtId="0" fontId="17" fillId="2" borderId="43" xfId="0" applyFont="1" applyFill="1" applyBorder="1" applyAlignment="1">
      <alignment vertical="center" wrapText="1"/>
    </xf>
    <xf numFmtId="0" fontId="7" fillId="0" borderId="122" xfId="0" applyFont="1" applyFill="1" applyBorder="1" applyAlignment="1">
      <alignment vertical="center" wrapText="1"/>
    </xf>
    <xf numFmtId="0" fontId="7" fillId="0" borderId="76" xfId="0" applyFont="1" applyFill="1" applyBorder="1" applyAlignment="1">
      <alignment vertical="center" wrapText="1"/>
    </xf>
    <xf numFmtId="0" fontId="19" fillId="0" borderId="68" xfId="4" applyFont="1" applyFill="1" applyBorder="1" applyAlignment="1">
      <alignment vertical="center" wrapText="1"/>
    </xf>
    <xf numFmtId="3" fontId="24" fillId="23" borderId="12" xfId="0" applyNumberFormat="1" applyFont="1" applyFill="1" applyBorder="1" applyAlignment="1">
      <alignment vertical="center"/>
    </xf>
    <xf numFmtId="0" fontId="17" fillId="2" borderId="41" xfId="0" applyFont="1" applyFill="1" applyBorder="1" applyAlignment="1">
      <alignment vertical="center" wrapText="1"/>
    </xf>
    <xf numFmtId="0" fontId="25" fillId="8" borderId="21" xfId="0" applyFont="1" applyFill="1" applyBorder="1" applyAlignment="1">
      <alignment vertical="center" wrapText="1"/>
    </xf>
    <xf numFmtId="0" fontId="25" fillId="8" borderId="84" xfId="0" applyFont="1" applyFill="1" applyBorder="1" applyAlignment="1">
      <alignment horizontal="center" vertical="center" wrapText="1"/>
    </xf>
    <xf numFmtId="3" fontId="31" fillId="8" borderId="7" xfId="0" applyNumberFormat="1" applyFont="1" applyFill="1" applyBorder="1" applyAlignment="1">
      <alignment vertical="top"/>
    </xf>
    <xf numFmtId="3" fontId="31" fillId="8" borderId="8" xfId="0" applyNumberFormat="1" applyFont="1" applyFill="1" applyBorder="1" applyAlignment="1">
      <alignment vertical="top"/>
    </xf>
    <xf numFmtId="0" fontId="31" fillId="8" borderId="8" xfId="0" applyFont="1" applyFill="1" applyBorder="1" applyAlignment="1">
      <alignment vertical="top"/>
    </xf>
    <xf numFmtId="0" fontId="31" fillId="8" borderId="9" xfId="0" applyFont="1" applyFill="1" applyBorder="1" applyAlignment="1">
      <alignment vertical="top"/>
    </xf>
    <xf numFmtId="0" fontId="7" fillId="24" borderId="35" xfId="0" applyFont="1" applyFill="1" applyBorder="1" applyAlignment="1">
      <alignment vertical="top"/>
    </xf>
    <xf numFmtId="0" fontId="62" fillId="6" borderId="20" xfId="4" applyFont="1" applyFill="1" applyBorder="1" applyAlignment="1">
      <alignment horizontal="left" vertical="center"/>
    </xf>
    <xf numFmtId="3" fontId="27" fillId="0" borderId="89" xfId="0" applyNumberFormat="1" applyFont="1" applyFill="1" applyBorder="1" applyAlignment="1">
      <alignment vertical="center"/>
    </xf>
    <xf numFmtId="0" fontId="8" fillId="0" borderId="21" xfId="4" applyFont="1" applyFill="1" applyBorder="1" applyAlignment="1">
      <alignment vertical="center" wrapText="1"/>
    </xf>
    <xf numFmtId="3" fontId="31" fillId="0" borderId="89" xfId="0" applyNumberFormat="1" applyFont="1" applyFill="1" applyBorder="1" applyAlignment="1">
      <alignment vertical="center"/>
    </xf>
    <xf numFmtId="3" fontId="31" fillId="0" borderId="91" xfId="0" applyNumberFormat="1" applyFont="1" applyFill="1" applyBorder="1" applyAlignment="1">
      <alignment vertical="top"/>
    </xf>
    <xf numFmtId="3" fontId="31" fillId="0" borderId="98" xfId="0" applyNumberFormat="1" applyFont="1" applyFill="1" applyBorder="1" applyAlignment="1">
      <alignment vertical="center"/>
    </xf>
    <xf numFmtId="3" fontId="31" fillId="23" borderId="35" xfId="0" applyNumberFormat="1" applyFont="1" applyFill="1" applyBorder="1" applyAlignment="1">
      <alignment vertical="center"/>
    </xf>
    <xf numFmtId="3" fontId="28" fillId="0" borderId="89" xfId="0" applyNumberFormat="1" applyFont="1" applyFill="1" applyBorder="1" applyAlignment="1">
      <alignment vertical="center"/>
    </xf>
    <xf numFmtId="3" fontId="28" fillId="0" borderId="91" xfId="0" applyNumberFormat="1" applyFont="1" applyFill="1" applyBorder="1" applyAlignment="1">
      <alignment vertical="top"/>
    </xf>
    <xf numFmtId="3" fontId="28" fillId="0" borderId="98" xfId="0" applyNumberFormat="1" applyFont="1" applyFill="1" applyBorder="1" applyAlignment="1">
      <alignment vertical="center"/>
    </xf>
    <xf numFmtId="3" fontId="28" fillId="23" borderId="35" xfId="0" applyNumberFormat="1" applyFont="1" applyFill="1" applyBorder="1" applyAlignment="1">
      <alignment vertical="center"/>
    </xf>
    <xf numFmtId="3" fontId="27" fillId="23" borderId="35" xfId="0" applyNumberFormat="1" applyFont="1" applyFill="1" applyBorder="1" applyAlignment="1">
      <alignment vertical="center"/>
    </xf>
    <xf numFmtId="0" fontId="7" fillId="0" borderId="32" xfId="4" applyFont="1" applyFill="1" applyBorder="1" applyAlignment="1">
      <alignment vertical="top"/>
    </xf>
    <xf numFmtId="0" fontId="7" fillId="0" borderId="32" xfId="0" applyFont="1" applyFill="1" applyBorder="1" applyAlignment="1">
      <alignment vertical="center" wrapText="1"/>
    </xf>
    <xf numFmtId="3" fontId="25" fillId="6" borderId="101" xfId="0" applyNumberFormat="1" applyFont="1" applyFill="1" applyBorder="1" applyAlignment="1">
      <alignment vertical="center"/>
    </xf>
    <xf numFmtId="3" fontId="27" fillId="0" borderId="100" xfId="0" applyNumberFormat="1" applyFont="1" applyFill="1" applyBorder="1" applyAlignment="1">
      <alignment vertical="center"/>
    </xf>
    <xf numFmtId="3" fontId="27" fillId="0" borderId="100" xfId="0" applyNumberFormat="1" applyFont="1" applyFill="1" applyBorder="1" applyAlignment="1">
      <alignment vertical="top"/>
    </xf>
    <xf numFmtId="3" fontId="31" fillId="0" borderId="100" xfId="0" applyNumberFormat="1" applyFont="1" applyFill="1" applyBorder="1" applyAlignment="1">
      <alignment vertical="center"/>
    </xf>
    <xf numFmtId="3" fontId="28" fillId="0" borderId="100" xfId="0" applyNumberFormat="1" applyFont="1" applyFill="1" applyBorder="1" applyAlignment="1">
      <alignment vertical="center"/>
    </xf>
    <xf numFmtId="3" fontId="25" fillId="0" borderId="100" xfId="0" applyNumberFormat="1" applyFont="1" applyFill="1" applyBorder="1" applyAlignment="1">
      <alignment vertical="center"/>
    </xf>
    <xf numFmtId="3" fontId="25" fillId="0" borderId="100" xfId="0" applyNumberFormat="1" applyFont="1" applyFill="1" applyBorder="1" applyAlignment="1">
      <alignment vertical="top"/>
    </xf>
    <xf numFmtId="0" fontId="7" fillId="0" borderId="104" xfId="0" applyFont="1" applyFill="1" applyBorder="1" applyAlignment="1">
      <alignment vertical="center" wrapText="1"/>
    </xf>
    <xf numFmtId="3" fontId="28" fillId="0" borderId="99" xfId="0" applyNumberFormat="1" applyFont="1" applyFill="1" applyBorder="1" applyAlignment="1">
      <alignment vertical="center"/>
    </xf>
    <xf numFmtId="3" fontId="28" fillId="0" borderId="99" xfId="0" applyNumberFormat="1" applyFont="1" applyFill="1" applyBorder="1" applyAlignment="1">
      <alignment vertical="top"/>
    </xf>
    <xf numFmtId="0" fontId="24" fillId="8" borderId="32" xfId="0" applyFont="1" applyFill="1" applyBorder="1" applyAlignment="1">
      <alignment vertical="center" wrapText="1"/>
    </xf>
    <xf numFmtId="0" fontId="24" fillId="8" borderId="112" xfId="0" applyFont="1" applyFill="1" applyBorder="1" applyAlignment="1">
      <alignment horizontal="center" vertical="center" wrapText="1"/>
    </xf>
    <xf numFmtId="3" fontId="7" fillId="8" borderId="109" xfId="0" applyNumberFormat="1" applyFont="1" applyFill="1" applyBorder="1" applyAlignment="1">
      <alignment vertical="top"/>
    </xf>
    <xf numFmtId="3" fontId="7" fillId="8" borderId="106" xfId="0" applyNumberFormat="1" applyFont="1" applyFill="1" applyBorder="1" applyAlignment="1">
      <alignment vertical="top"/>
    </xf>
    <xf numFmtId="0" fontId="7" fillId="8" borderId="106" xfId="0" applyFont="1" applyFill="1" applyBorder="1" applyAlignment="1">
      <alignment vertical="top"/>
    </xf>
    <xf numFmtId="0" fontId="7" fillId="8" borderId="101" xfId="0" applyFont="1" applyFill="1" applyBorder="1" applyAlignment="1">
      <alignment vertical="top"/>
    </xf>
    <xf numFmtId="3" fontId="24" fillId="23" borderId="100" xfId="0" applyNumberFormat="1" applyFont="1" applyFill="1" applyBorder="1" applyAlignment="1">
      <alignment horizontal="center" vertical="center"/>
    </xf>
    <xf numFmtId="0" fontId="69" fillId="6" borderId="102" xfId="4" applyFont="1" applyFill="1" applyBorder="1" applyAlignment="1">
      <alignment horizontal="left" vertical="center"/>
    </xf>
    <xf numFmtId="3" fontId="24" fillId="6" borderId="9" xfId="0" applyNumberFormat="1" applyFont="1" applyFill="1" applyBorder="1" applyAlignment="1">
      <alignment vertical="center"/>
    </xf>
    <xf numFmtId="3" fontId="29" fillId="0" borderId="100" xfId="0" applyNumberFormat="1" applyFont="1" applyFill="1" applyBorder="1" applyAlignment="1">
      <alignment vertical="center"/>
    </xf>
    <xf numFmtId="3" fontId="29" fillId="0" borderId="100" xfId="0" applyNumberFormat="1" applyFont="1" applyFill="1" applyBorder="1" applyAlignment="1">
      <alignment vertical="top"/>
    </xf>
    <xf numFmtId="3" fontId="24" fillId="23" borderId="100" xfId="0" applyNumberFormat="1" applyFont="1" applyFill="1" applyBorder="1" applyAlignment="1">
      <alignment horizontal="right" vertical="center"/>
    </xf>
    <xf numFmtId="3" fontId="7" fillId="0" borderId="100" xfId="0" applyNumberFormat="1" applyFont="1" applyFill="1" applyBorder="1" applyAlignment="1">
      <alignment vertical="center"/>
    </xf>
    <xf numFmtId="3" fontId="7" fillId="0" borderId="100" xfId="0" applyNumberFormat="1" applyFont="1" applyFill="1" applyBorder="1" applyAlignment="1">
      <alignment vertical="top"/>
    </xf>
    <xf numFmtId="3" fontId="7" fillId="23" borderId="100" xfId="0" applyNumberFormat="1" applyFont="1" applyFill="1" applyBorder="1" applyAlignment="1">
      <alignment horizontal="right" vertical="center"/>
    </xf>
    <xf numFmtId="3" fontId="38" fillId="0" borderId="100" xfId="0" applyNumberFormat="1" applyFont="1" applyFill="1" applyBorder="1" applyAlignment="1">
      <alignment vertical="center"/>
    </xf>
    <xf numFmtId="3" fontId="38" fillId="0" borderId="100" xfId="0" applyNumberFormat="1" applyFont="1" applyFill="1" applyBorder="1" applyAlignment="1">
      <alignment vertical="top"/>
    </xf>
    <xf numFmtId="0" fontId="17" fillId="0" borderId="26" xfId="0" applyFont="1" applyFill="1" applyBorder="1" applyAlignment="1">
      <alignment horizontal="center" vertical="center"/>
    </xf>
    <xf numFmtId="0" fontId="7" fillId="0" borderId="103" xfId="0" applyFont="1" applyFill="1" applyBorder="1" applyAlignment="1">
      <alignment horizontal="center" vertical="center" wrapText="1"/>
    </xf>
    <xf numFmtId="3" fontId="31" fillId="8" borderId="109" xfId="0" applyNumberFormat="1" applyFont="1" applyFill="1" applyBorder="1" applyAlignment="1">
      <alignment vertical="top"/>
    </xf>
    <xf numFmtId="3" fontId="31" fillId="8" borderId="106" xfId="0" applyNumberFormat="1" applyFont="1" applyFill="1" applyBorder="1" applyAlignment="1">
      <alignment vertical="top"/>
    </xf>
    <xf numFmtId="0" fontId="31" fillId="8" borderId="106" xfId="0" applyFont="1" applyFill="1" applyBorder="1" applyAlignment="1">
      <alignment vertical="top"/>
    </xf>
    <xf numFmtId="0" fontId="31" fillId="8" borderId="101" xfId="0" applyFont="1" applyFill="1" applyBorder="1" applyAlignment="1">
      <alignment vertical="top"/>
    </xf>
    <xf numFmtId="3" fontId="25" fillId="23" borderId="100" xfId="0" applyNumberFormat="1" applyFont="1" applyFill="1" applyBorder="1" applyAlignment="1">
      <alignment horizontal="center" vertical="center"/>
    </xf>
    <xf numFmtId="0" fontId="62" fillId="6" borderId="102" xfId="4" applyFont="1" applyFill="1" applyBorder="1" applyAlignment="1">
      <alignment horizontal="left" vertical="center"/>
    </xf>
    <xf numFmtId="3" fontId="25" fillId="23" borderId="35" xfId="0" applyNumberFormat="1" applyFont="1" applyFill="1" applyBorder="1" applyAlignment="1">
      <alignment horizontal="right" vertical="center"/>
    </xf>
    <xf numFmtId="3" fontId="25" fillId="23" borderId="100" xfId="0" applyNumberFormat="1" applyFont="1" applyFill="1" applyBorder="1" applyAlignment="1">
      <alignment horizontal="right" vertical="center"/>
    </xf>
    <xf numFmtId="0" fontId="8" fillId="0" borderId="21" xfId="0" applyFont="1" applyBorder="1" applyAlignment="1">
      <alignment vertical="center" wrapText="1"/>
    </xf>
    <xf numFmtId="3" fontId="28" fillId="0" borderId="100" xfId="0" applyNumberFormat="1" applyFont="1" applyFill="1" applyBorder="1" applyAlignment="1">
      <alignment vertical="top"/>
    </xf>
    <xf numFmtId="3" fontId="28" fillId="23" borderId="100" xfId="0" applyNumberFormat="1" applyFont="1" applyFill="1" applyBorder="1" applyAlignment="1">
      <alignment horizontal="right" vertical="center"/>
    </xf>
    <xf numFmtId="3" fontId="31" fillId="23" borderId="100" xfId="0" applyNumberFormat="1" applyFont="1" applyFill="1" applyBorder="1" applyAlignment="1">
      <alignment horizontal="right" vertical="center"/>
    </xf>
    <xf numFmtId="0" fontId="7" fillId="0" borderId="32" xfId="0" applyFont="1" applyBorder="1" applyAlignment="1">
      <alignment vertical="center" wrapText="1"/>
    </xf>
    <xf numFmtId="3" fontId="31" fillId="0" borderId="47" xfId="0" applyNumberFormat="1" applyFont="1" applyFill="1" applyBorder="1" applyAlignment="1">
      <alignment vertical="center"/>
    </xf>
    <xf numFmtId="3" fontId="31" fillId="0" borderId="72" xfId="0" applyNumberFormat="1" applyFont="1" applyFill="1" applyBorder="1" applyAlignment="1">
      <alignment vertical="top"/>
    </xf>
    <xf numFmtId="0" fontId="17" fillId="0" borderId="68" xfId="0" applyFont="1" applyFill="1" applyBorder="1" applyAlignment="1">
      <alignment horizontal="center" vertical="center"/>
    </xf>
    <xf numFmtId="0" fontId="7" fillId="0" borderId="25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28" fillId="0" borderId="12" xfId="0" applyNumberFormat="1" applyFont="1" applyFill="1" applyBorder="1" applyAlignment="1">
      <alignment vertical="center"/>
    </xf>
    <xf numFmtId="3" fontId="28" fillId="0" borderId="23" xfId="0" applyNumberFormat="1" applyFont="1" applyFill="1" applyBorder="1" applyAlignment="1">
      <alignment vertical="top"/>
    </xf>
    <xf numFmtId="3" fontId="28" fillId="0" borderId="74" xfId="0" applyNumberFormat="1" applyFont="1" applyFill="1" applyBorder="1" applyAlignment="1">
      <alignment vertical="center"/>
    </xf>
    <xf numFmtId="3" fontId="25" fillId="23" borderId="12" xfId="0" applyNumberFormat="1" applyFont="1" applyFill="1" applyBorder="1" applyAlignment="1">
      <alignment vertical="center"/>
    </xf>
    <xf numFmtId="0" fontId="25" fillId="8" borderId="20" xfId="0" applyFont="1" applyFill="1" applyBorder="1" applyAlignment="1">
      <alignment horizontal="center" vertical="center" wrapText="1"/>
    </xf>
    <xf numFmtId="0" fontId="62" fillId="6" borderId="28" xfId="4" applyFont="1" applyFill="1" applyBorder="1" applyAlignment="1">
      <alignment horizontal="left" vertical="center"/>
    </xf>
    <xf numFmtId="3" fontId="60" fillId="23" borderId="89" xfId="0" applyNumberFormat="1" applyFont="1" applyFill="1" applyBorder="1" applyAlignment="1">
      <alignment horizontal="right" vertical="center"/>
    </xf>
    <xf numFmtId="3" fontId="27" fillId="23" borderId="89" xfId="0" applyNumberFormat="1" applyFont="1" applyFill="1" applyBorder="1" applyAlignment="1">
      <alignment horizontal="right" vertical="center"/>
    </xf>
    <xf numFmtId="3" fontId="28" fillId="0" borderId="89" xfId="0" applyNumberFormat="1" applyFont="1" applyFill="1" applyBorder="1" applyAlignment="1">
      <alignment vertical="top"/>
    </xf>
    <xf numFmtId="0" fontId="7" fillId="0" borderId="95" xfId="0" applyFont="1" applyFill="1" applyBorder="1" applyAlignment="1">
      <alignment vertical="center" wrapText="1"/>
    </xf>
    <xf numFmtId="3" fontId="28" fillId="0" borderId="93" xfId="0" applyNumberFormat="1" applyFont="1" applyFill="1" applyBorder="1" applyAlignment="1">
      <alignment vertical="top"/>
    </xf>
    <xf numFmtId="3" fontId="28" fillId="0" borderId="93" xfId="0" applyNumberFormat="1" applyFont="1" applyFill="1" applyBorder="1" applyAlignment="1">
      <alignment vertical="center"/>
    </xf>
    <xf numFmtId="3" fontId="38" fillId="0" borderId="89" xfId="0" applyNumberFormat="1" applyFont="1" applyFill="1" applyBorder="1" applyAlignment="1">
      <alignment vertical="center"/>
    </xf>
    <xf numFmtId="3" fontId="38" fillId="0" borderId="89" xfId="0" applyNumberFormat="1" applyFont="1" applyFill="1" applyBorder="1" applyAlignment="1">
      <alignment vertical="top"/>
    </xf>
    <xf numFmtId="0" fontId="17" fillId="2" borderId="43" xfId="0" applyFont="1" applyFill="1" applyBorder="1" applyAlignment="1">
      <alignment horizontal="center" vertical="center" wrapText="1"/>
    </xf>
    <xf numFmtId="3" fontId="38" fillId="0" borderId="47" xfId="0" applyNumberFormat="1" applyFont="1" applyFill="1" applyBorder="1" applyAlignment="1">
      <alignment vertical="center"/>
    </xf>
    <xf numFmtId="3" fontId="38" fillId="0" borderId="47" xfId="0" applyNumberFormat="1" applyFont="1" applyFill="1" applyBorder="1" applyAlignment="1">
      <alignment vertical="top"/>
    </xf>
    <xf numFmtId="3" fontId="31" fillId="33" borderId="9" xfId="0" applyNumberFormat="1" applyFont="1" applyFill="1" applyBorder="1" applyAlignment="1">
      <alignment vertical="top"/>
    </xf>
    <xf numFmtId="0" fontId="6" fillId="0" borderId="28" xfId="0" applyFont="1" applyFill="1" applyBorder="1" applyAlignment="1">
      <alignment vertical="center" wrapText="1"/>
    </xf>
    <xf numFmtId="3" fontId="27" fillId="33" borderId="91" xfId="0" applyNumberFormat="1" applyFont="1" applyFill="1" applyBorder="1" applyAlignment="1">
      <alignment vertical="top"/>
    </xf>
    <xf numFmtId="0" fontId="31" fillId="0" borderId="95" xfId="0" applyFont="1" applyFill="1" applyBorder="1" applyAlignment="1">
      <alignment horizontal="left" vertical="center" wrapText="1"/>
    </xf>
    <xf numFmtId="3" fontId="31" fillId="33" borderId="13" xfId="0" applyNumberFormat="1" applyFont="1" applyFill="1" applyBorder="1" applyAlignment="1">
      <alignment horizontal="right" vertical="center"/>
    </xf>
    <xf numFmtId="3" fontId="31" fillId="33" borderId="119" xfId="0" applyNumberFormat="1" applyFont="1" applyFill="1" applyBorder="1" applyAlignment="1">
      <alignment horizontal="right" vertical="center"/>
    </xf>
    <xf numFmtId="3" fontId="24" fillId="23" borderId="180" xfId="0" applyNumberFormat="1" applyFont="1" applyFill="1" applyBorder="1" applyAlignment="1">
      <alignment vertical="top"/>
    </xf>
    <xf numFmtId="3" fontId="25" fillId="2" borderId="180" xfId="0" applyNumberFormat="1" applyFont="1" applyFill="1" applyBorder="1" applyAlignment="1">
      <alignment vertical="center"/>
    </xf>
    <xf numFmtId="3" fontId="27" fillId="2" borderId="180" xfId="0" applyNumberFormat="1" applyFont="1" applyFill="1" applyBorder="1" applyAlignment="1">
      <alignment vertical="center"/>
    </xf>
    <xf numFmtId="43" fontId="27" fillId="33" borderId="180" xfId="1" applyFont="1" applyFill="1" applyBorder="1" applyAlignment="1">
      <alignment vertical="center"/>
    </xf>
    <xf numFmtId="3" fontId="29" fillId="27" borderId="180" xfId="0" applyNumberFormat="1" applyFont="1" applyFill="1" applyBorder="1" applyAlignment="1">
      <alignment vertical="center"/>
    </xf>
    <xf numFmtId="0" fontId="31" fillId="2" borderId="76" xfId="0" applyFont="1" applyFill="1" applyBorder="1" applyAlignment="1">
      <alignment vertical="center"/>
    </xf>
    <xf numFmtId="3" fontId="31" fillId="2" borderId="132" xfId="0" applyNumberFormat="1" applyFont="1" applyFill="1" applyBorder="1" applyAlignment="1">
      <alignment vertical="top"/>
    </xf>
    <xf numFmtId="3" fontId="31" fillId="2" borderId="119" xfId="0" applyNumberFormat="1" applyFont="1" applyFill="1" applyBorder="1" applyAlignment="1">
      <alignment vertical="top"/>
    </xf>
    <xf numFmtId="3" fontId="31" fillId="33" borderId="119" xfId="0" applyNumberFormat="1" applyFont="1" applyFill="1" applyBorder="1" applyAlignment="1">
      <alignment vertical="top"/>
    </xf>
    <xf numFmtId="43" fontId="31" fillId="33" borderId="119" xfId="1" applyFont="1" applyFill="1" applyBorder="1" applyAlignment="1">
      <alignment vertical="top"/>
    </xf>
    <xf numFmtId="3" fontId="27" fillId="0" borderId="123" xfId="4" applyNumberFormat="1" applyFont="1" applyFill="1" applyBorder="1" applyAlignment="1">
      <alignment vertical="center" wrapText="1"/>
    </xf>
    <xf numFmtId="0" fontId="32" fillId="0" borderId="123" xfId="0" applyFont="1" applyBorder="1" applyAlignment="1">
      <alignment vertical="center"/>
    </xf>
    <xf numFmtId="0" fontId="25" fillId="6" borderId="166" xfId="4" applyFont="1" applyFill="1" applyBorder="1" applyAlignment="1">
      <alignment horizontal="left" vertical="center"/>
    </xf>
    <xf numFmtId="0" fontId="31" fillId="6" borderId="166" xfId="0" applyFont="1" applyFill="1" applyBorder="1" applyAlignment="1">
      <alignment vertical="top"/>
    </xf>
    <xf numFmtId="3" fontId="25" fillId="6" borderId="166" xfId="0" applyNumberFormat="1" applyFont="1" applyFill="1" applyBorder="1" applyAlignment="1">
      <alignment vertical="top"/>
    </xf>
    <xf numFmtId="3" fontId="25" fillId="23" borderId="166" xfId="0" applyNumberFormat="1" applyFont="1" applyFill="1" applyBorder="1" applyAlignment="1">
      <alignment vertical="top"/>
    </xf>
    <xf numFmtId="3" fontId="27" fillId="0" borderId="166" xfId="4" applyNumberFormat="1" applyFont="1" applyFill="1" applyBorder="1" applyAlignment="1">
      <alignment vertical="top" wrapText="1"/>
    </xf>
    <xf numFmtId="3" fontId="27" fillId="0" borderId="166" xfId="0" applyNumberFormat="1" applyFont="1" applyFill="1" applyBorder="1" applyAlignment="1">
      <alignment vertical="top"/>
    </xf>
    <xf numFmtId="3" fontId="25" fillId="26" borderId="166" xfId="0" applyNumberFormat="1" applyFont="1" applyFill="1" applyBorder="1" applyAlignment="1">
      <alignment vertical="top"/>
    </xf>
    <xf numFmtId="0" fontId="32" fillId="0" borderId="166" xfId="0" applyFont="1" applyBorder="1"/>
    <xf numFmtId="3" fontId="31" fillId="0" borderId="166" xfId="0" applyNumberFormat="1" applyFont="1" applyFill="1" applyBorder="1" applyAlignment="1">
      <alignment vertical="top"/>
    </xf>
    <xf numFmtId="3" fontId="31" fillId="2" borderId="166" xfId="0" applyNumberFormat="1" applyFont="1" applyFill="1" applyBorder="1" applyAlignment="1">
      <alignment vertical="top"/>
    </xf>
    <xf numFmtId="3" fontId="31" fillId="2" borderId="35" xfId="0" applyNumberFormat="1" applyFont="1" applyFill="1" applyBorder="1" applyAlignment="1">
      <alignment vertical="top"/>
    </xf>
    <xf numFmtId="0" fontId="32" fillId="0" borderId="166" xfId="0" applyFont="1" applyBorder="1" applyAlignment="1">
      <alignment vertical="center"/>
    </xf>
    <xf numFmtId="3" fontId="31" fillId="2" borderId="166" xfId="0" applyNumberFormat="1" applyFont="1" applyFill="1" applyBorder="1" applyAlignment="1">
      <alignment vertical="center"/>
    </xf>
    <xf numFmtId="3" fontId="31" fillId="24" borderId="166" xfId="0" applyNumberFormat="1" applyFont="1" applyFill="1" applyBorder="1" applyAlignment="1">
      <alignment vertical="top"/>
    </xf>
    <xf numFmtId="0" fontId="33" fillId="0" borderId="166" xfId="0" applyFont="1" applyBorder="1" applyAlignment="1">
      <alignment vertical="center"/>
    </xf>
    <xf numFmtId="3" fontId="27" fillId="0" borderId="166" xfId="0" applyNumberFormat="1" applyFont="1" applyFill="1" applyBorder="1" applyAlignment="1">
      <alignment vertical="center"/>
    </xf>
    <xf numFmtId="3" fontId="27" fillId="0" borderId="35" xfId="0" applyNumberFormat="1" applyFont="1" applyFill="1" applyBorder="1" applyAlignment="1">
      <alignment vertical="center"/>
    </xf>
    <xf numFmtId="3" fontId="27" fillId="26" borderId="35" xfId="0" applyNumberFormat="1" applyFont="1" applyFill="1" applyBorder="1" applyAlignment="1">
      <alignment horizontal="center" vertical="center"/>
    </xf>
    <xf numFmtId="3" fontId="31" fillId="0" borderId="35" xfId="0" applyNumberFormat="1" applyFont="1" applyFill="1" applyBorder="1" applyAlignment="1">
      <alignment vertical="center"/>
    </xf>
    <xf numFmtId="3" fontId="31" fillId="26" borderId="35" xfId="0" applyNumberFormat="1" applyFont="1" applyFill="1" applyBorder="1" applyAlignment="1">
      <alignment horizontal="center" vertical="center"/>
    </xf>
    <xf numFmtId="0" fontId="31" fillId="6" borderId="166" xfId="0" applyFont="1" applyFill="1" applyBorder="1" applyAlignment="1">
      <alignment vertical="center"/>
    </xf>
    <xf numFmtId="3" fontId="25" fillId="6" borderId="166" xfId="0" applyNumberFormat="1" applyFont="1" applyFill="1" applyBorder="1" applyAlignment="1">
      <alignment vertical="center"/>
    </xf>
    <xf numFmtId="3" fontId="27" fillId="0" borderId="166" xfId="4" applyNumberFormat="1" applyFont="1" applyFill="1" applyBorder="1" applyAlignment="1">
      <alignment vertical="center" wrapText="1"/>
    </xf>
    <xf numFmtId="3" fontId="25" fillId="23" borderId="2" xfId="0" applyNumberFormat="1" applyFont="1" applyFill="1" applyBorder="1" applyAlignment="1">
      <alignment vertical="top"/>
    </xf>
    <xf numFmtId="0" fontId="32" fillId="0" borderId="13" xfId="0" applyFont="1" applyBorder="1" applyAlignment="1">
      <alignment vertical="center"/>
    </xf>
    <xf numFmtId="3" fontId="31" fillId="0" borderId="35" xfId="0" applyNumberFormat="1" applyFont="1" applyFill="1" applyBorder="1" applyAlignment="1">
      <alignment vertical="top"/>
    </xf>
    <xf numFmtId="3" fontId="31" fillId="24" borderId="35" xfId="0" applyNumberFormat="1" applyFont="1" applyFill="1" applyBorder="1" applyAlignment="1">
      <alignment horizontal="center" vertical="top"/>
    </xf>
    <xf numFmtId="3" fontId="27" fillId="2" borderId="123" xfId="4" applyNumberFormat="1" applyFont="1" applyFill="1" applyBorder="1" applyAlignment="1">
      <alignment vertical="center" wrapText="1"/>
    </xf>
    <xf numFmtId="3" fontId="25" fillId="6" borderId="123" xfId="0" applyNumberFormat="1" applyFont="1" applyFill="1" applyBorder="1" applyAlignment="1">
      <alignment vertical="center"/>
    </xf>
    <xf numFmtId="3" fontId="25" fillId="23" borderId="123" xfId="0" applyNumberFormat="1" applyFont="1" applyFill="1" applyBorder="1" applyAlignment="1">
      <alignment vertical="center"/>
    </xf>
    <xf numFmtId="0" fontId="31" fillId="6" borderId="181" xfId="0" applyFont="1" applyFill="1" applyBorder="1" applyAlignment="1">
      <alignment vertical="top"/>
    </xf>
    <xf numFmtId="3" fontId="27" fillId="0" borderId="181" xfId="4" applyNumberFormat="1" applyFont="1" applyFill="1" applyBorder="1" applyAlignment="1">
      <alignment vertical="top" wrapText="1"/>
    </xf>
    <xf numFmtId="0" fontId="32" fillId="0" borderId="181" xfId="0" applyFont="1" applyBorder="1"/>
    <xf numFmtId="3" fontId="31" fillId="2" borderId="181" xfId="0" applyNumberFormat="1" applyFont="1" applyFill="1" applyBorder="1" applyAlignment="1">
      <alignment vertical="top"/>
    </xf>
    <xf numFmtId="0" fontId="32" fillId="0" borderId="181" xfId="0" applyFont="1" applyBorder="1" applyAlignment="1">
      <alignment vertical="center"/>
    </xf>
    <xf numFmtId="3" fontId="31" fillId="2" borderId="181" xfId="0" applyNumberFormat="1" applyFont="1" applyFill="1" applyBorder="1" applyAlignment="1">
      <alignment vertical="center"/>
    </xf>
    <xf numFmtId="0" fontId="33" fillId="0" borderId="181" xfId="0" applyFont="1" applyBorder="1" applyAlignment="1">
      <alignment vertical="center"/>
    </xf>
    <xf numFmtId="0" fontId="31" fillId="6" borderId="181" xfId="0" applyFont="1" applyFill="1" applyBorder="1" applyAlignment="1">
      <alignment vertical="center"/>
    </xf>
    <xf numFmtId="43" fontId="27" fillId="0" borderId="35" xfId="1" applyFont="1" applyFill="1" applyBorder="1" applyAlignment="1">
      <alignment vertical="center"/>
    </xf>
    <xf numFmtId="43" fontId="25" fillId="6" borderId="35" xfId="1" applyFont="1" applyFill="1" applyBorder="1" applyAlignment="1">
      <alignment vertical="center"/>
    </xf>
    <xf numFmtId="3" fontId="31" fillId="0" borderId="197" xfId="4" applyNumberFormat="1" applyFont="1" applyFill="1" applyBorder="1" applyAlignment="1">
      <alignment vertical="center"/>
    </xf>
    <xf numFmtId="43" fontId="31" fillId="0" borderId="197" xfId="1" applyFont="1" applyFill="1" applyBorder="1" applyAlignment="1"/>
    <xf numFmtId="3" fontId="31" fillId="2" borderId="35" xfId="0" applyNumberFormat="1" applyFont="1" applyFill="1" applyBorder="1" applyAlignment="1">
      <alignment vertical="center"/>
    </xf>
    <xf numFmtId="3" fontId="31" fillId="24" borderId="35" xfId="0" applyNumberFormat="1" applyFont="1" applyFill="1" applyBorder="1" applyAlignment="1">
      <alignment vertical="top"/>
    </xf>
    <xf numFmtId="3" fontId="27" fillId="0" borderId="123" xfId="4" applyNumberFormat="1" applyFont="1" applyFill="1" applyBorder="1" applyAlignment="1">
      <alignment vertical="top" wrapText="1"/>
    </xf>
    <xf numFmtId="0" fontId="33" fillId="0" borderId="123" xfId="0" applyFont="1" applyBorder="1" applyAlignment="1">
      <alignment vertical="center"/>
    </xf>
    <xf numFmtId="3" fontId="27" fillId="0" borderId="123" xfId="0" applyNumberFormat="1" applyFont="1" applyFill="1" applyBorder="1" applyAlignment="1">
      <alignment vertical="center"/>
    </xf>
    <xf numFmtId="0" fontId="31" fillId="6" borderId="123" xfId="0" applyFont="1" applyFill="1" applyBorder="1" applyAlignment="1">
      <alignment vertical="center"/>
    </xf>
    <xf numFmtId="3" fontId="27" fillId="2" borderId="123" xfId="0" applyNumberFormat="1" applyFont="1" applyFill="1" applyBorder="1" applyAlignment="1">
      <alignment vertical="center"/>
    </xf>
    <xf numFmtId="43" fontId="31" fillId="0" borderId="180" xfId="1" applyFont="1" applyFill="1" applyBorder="1" applyAlignment="1"/>
    <xf numFmtId="3" fontId="31" fillId="2" borderId="191" xfId="0" applyNumberFormat="1" applyFont="1" applyFill="1" applyBorder="1" applyAlignment="1">
      <alignment vertical="center"/>
    </xf>
    <xf numFmtId="3" fontId="31" fillId="24" borderId="191" xfId="0" applyNumberFormat="1" applyFont="1" applyFill="1" applyBorder="1" applyAlignment="1">
      <alignment vertical="top"/>
    </xf>
    <xf numFmtId="43" fontId="27" fillId="2" borderId="181" xfId="1" applyFont="1" applyFill="1" applyBorder="1" applyAlignment="1">
      <alignment vertical="center"/>
    </xf>
    <xf numFmtId="0" fontId="38" fillId="0" borderId="35" xfId="4" applyFont="1" applyFill="1" applyBorder="1" applyAlignment="1">
      <alignment vertical="top"/>
    </xf>
    <xf numFmtId="3" fontId="63" fillId="0" borderId="35" xfId="6" applyNumberFormat="1" applyFont="1" applyFill="1" applyBorder="1" applyAlignment="1">
      <alignment vertical="center"/>
    </xf>
    <xf numFmtId="3" fontId="38" fillId="0" borderId="35" xfId="4" applyNumberFormat="1" applyFont="1" applyFill="1" applyBorder="1" applyAlignment="1">
      <alignment horizontal="right" vertical="center"/>
    </xf>
    <xf numFmtId="3" fontId="38" fillId="26" borderId="35" xfId="4" applyNumberFormat="1" applyFont="1" applyFill="1" applyBorder="1" applyAlignment="1">
      <alignment horizontal="right" vertical="center"/>
    </xf>
    <xf numFmtId="0" fontId="7" fillId="6" borderId="20" xfId="0" applyFont="1" applyFill="1" applyBorder="1" applyAlignment="1">
      <alignment vertical="center"/>
    </xf>
    <xf numFmtId="3" fontId="8" fillId="6" borderId="35" xfId="0" applyNumberFormat="1" applyFont="1" applyFill="1" applyBorder="1"/>
    <xf numFmtId="3" fontId="8" fillId="6" borderId="8" xfId="0" applyNumberFormat="1" applyFont="1" applyFill="1" applyBorder="1"/>
    <xf numFmtId="3" fontId="8" fillId="6" borderId="21" xfId="0" applyNumberFormat="1" applyFont="1" applyFill="1" applyBorder="1"/>
    <xf numFmtId="3" fontId="8" fillId="6" borderId="9" xfId="0" applyNumberFormat="1" applyFont="1" applyFill="1" applyBorder="1"/>
    <xf numFmtId="3" fontId="6" fillId="6" borderId="35" xfId="0" applyNumberFormat="1" applyFont="1" applyFill="1" applyBorder="1" applyAlignment="1">
      <alignment vertical="center"/>
    </xf>
    <xf numFmtId="0" fontId="0" fillId="0" borderId="181" xfId="0" applyFont="1" applyBorder="1"/>
    <xf numFmtId="3" fontId="28" fillId="2" borderId="197" xfId="0" applyNumberFormat="1" applyFont="1" applyFill="1" applyBorder="1" applyAlignment="1">
      <alignment vertical="top"/>
    </xf>
    <xf numFmtId="3" fontId="31" fillId="0" borderId="181" xfId="0" applyNumberFormat="1" applyFont="1" applyFill="1" applyBorder="1" applyAlignment="1">
      <alignment horizontal="right"/>
    </xf>
    <xf numFmtId="0" fontId="7" fillId="0" borderId="191" xfId="4" applyFont="1" applyFill="1" applyBorder="1" applyAlignment="1">
      <alignment vertical="top"/>
    </xf>
    <xf numFmtId="3" fontId="27" fillId="24" borderId="181" xfId="4" applyNumberFormat="1" applyFont="1" applyFill="1" applyBorder="1" applyAlignment="1">
      <alignment horizontal="right" vertical="center"/>
    </xf>
    <xf numFmtId="0" fontId="7" fillId="60" borderId="181" xfId="4" applyFont="1" applyFill="1" applyBorder="1" applyAlignment="1">
      <alignment vertical="top"/>
    </xf>
    <xf numFmtId="3" fontId="32" fillId="60" borderId="181" xfId="6" applyNumberFormat="1" applyFont="1" applyFill="1" applyBorder="1" applyAlignment="1">
      <alignment vertical="center"/>
    </xf>
    <xf numFmtId="3" fontId="7" fillId="60" borderId="181" xfId="4" applyNumberFormat="1" applyFont="1" applyFill="1" applyBorder="1" applyAlignment="1">
      <alignment horizontal="right" vertical="center"/>
    </xf>
    <xf numFmtId="3" fontId="31" fillId="60" borderId="181" xfId="4" applyNumberFormat="1" applyFont="1" applyFill="1" applyBorder="1" applyAlignment="1">
      <alignment horizontal="right" vertical="center"/>
    </xf>
    <xf numFmtId="3" fontId="7" fillId="26" borderId="181" xfId="4" applyNumberFormat="1" applyFont="1" applyFill="1" applyBorder="1" applyAlignment="1">
      <alignment horizontal="right" vertical="center"/>
    </xf>
    <xf numFmtId="0" fontId="7" fillId="66" borderId="181" xfId="4" applyFont="1" applyFill="1" applyBorder="1" applyAlignment="1">
      <alignment vertical="top"/>
    </xf>
    <xf numFmtId="3" fontId="32" fillId="66" borderId="181" xfId="6" applyNumberFormat="1" applyFont="1" applyFill="1" applyBorder="1" applyAlignment="1">
      <alignment vertical="center"/>
    </xf>
    <xf numFmtId="3" fontId="7" fillId="66" borderId="181" xfId="4" applyNumberFormat="1" applyFont="1" applyFill="1" applyBorder="1" applyAlignment="1">
      <alignment horizontal="right" vertical="center"/>
    </xf>
    <xf numFmtId="3" fontId="31" fillId="66" borderId="181" xfId="4" applyNumberFormat="1" applyFont="1" applyFill="1" applyBorder="1" applyAlignment="1">
      <alignment horizontal="right" vertical="center"/>
    </xf>
    <xf numFmtId="0" fontId="32" fillId="66" borderId="181" xfId="0" applyFont="1" applyFill="1" applyBorder="1" applyAlignment="1">
      <alignment horizontal="center" vertical="center" wrapText="1"/>
    </xf>
    <xf numFmtId="3" fontId="28" fillId="24" borderId="191" xfId="4" applyNumberFormat="1" applyFont="1" applyFill="1" applyBorder="1" applyAlignment="1">
      <alignment horizontal="right" vertical="center"/>
    </xf>
    <xf numFmtId="0" fontId="25" fillId="6" borderId="182" xfId="4" applyFont="1" applyFill="1" applyBorder="1" applyAlignment="1">
      <alignment horizontal="center" vertical="center"/>
    </xf>
    <xf numFmtId="3" fontId="32" fillId="0" borderId="197" xfId="6" applyNumberFormat="1" applyFont="1" applyFill="1" applyBorder="1" applyAlignment="1">
      <alignment vertical="center"/>
    </xf>
    <xf numFmtId="0" fontId="68" fillId="0" borderId="189" xfId="0" applyFont="1" applyBorder="1" applyAlignment="1">
      <alignment horizontal="center" vertical="center"/>
    </xf>
    <xf numFmtId="0" fontId="68" fillId="0" borderId="198" xfId="0" applyFont="1" applyBorder="1" applyAlignment="1">
      <alignment horizontal="center" vertical="center"/>
    </xf>
    <xf numFmtId="0" fontId="68" fillId="0" borderId="177" xfId="0" applyFont="1" applyBorder="1" applyAlignment="1">
      <alignment horizontal="center" vertical="center"/>
    </xf>
    <xf numFmtId="0" fontId="68" fillId="0" borderId="177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3" fontId="8" fillId="6" borderId="181" xfId="0" applyNumberFormat="1" applyFont="1" applyFill="1" applyBorder="1"/>
    <xf numFmtId="3" fontId="8" fillId="6" borderId="184" xfId="0" applyNumberFormat="1" applyFont="1" applyFill="1" applyBorder="1"/>
    <xf numFmtId="3" fontId="6" fillId="6" borderId="181" xfId="0" applyNumberFormat="1" applyFont="1" applyFill="1" applyBorder="1"/>
    <xf numFmtId="3" fontId="8" fillId="6" borderId="191" xfId="0" applyNumberFormat="1" applyFont="1" applyFill="1" applyBorder="1"/>
    <xf numFmtId="3" fontId="8" fillId="6" borderId="197" xfId="0" applyNumberFormat="1" applyFont="1" applyFill="1" applyBorder="1"/>
    <xf numFmtId="3" fontId="6" fillId="6" borderId="191" xfId="0" applyNumberFormat="1" applyFont="1" applyFill="1" applyBorder="1"/>
    <xf numFmtId="0" fontId="6" fillId="0" borderId="199" xfId="0" applyFont="1" applyFill="1" applyBorder="1" applyAlignment="1">
      <alignment vertical="center" wrapText="1"/>
    </xf>
    <xf numFmtId="0" fontId="31" fillId="56" borderId="199" xfId="4" applyFont="1" applyFill="1" applyBorder="1" applyAlignment="1">
      <alignment horizontal="left" vertical="center"/>
    </xf>
    <xf numFmtId="0" fontId="27" fillId="2" borderId="199" xfId="4" applyFont="1" applyFill="1" applyBorder="1" applyAlignment="1">
      <alignment vertical="top"/>
    </xf>
    <xf numFmtId="3" fontId="27" fillId="0" borderId="156" xfId="0" applyNumberFormat="1" applyFont="1" applyFill="1" applyBorder="1" applyAlignment="1">
      <alignment vertical="top"/>
    </xf>
    <xf numFmtId="3" fontId="27" fillId="26" borderId="166" xfId="0" applyNumberFormat="1" applyFont="1" applyFill="1" applyBorder="1" applyAlignment="1">
      <alignment vertical="top"/>
    </xf>
    <xf numFmtId="0" fontId="24" fillId="6" borderId="199" xfId="4" applyFont="1" applyFill="1" applyBorder="1" applyAlignment="1">
      <alignment horizontal="left" vertical="center"/>
    </xf>
    <xf numFmtId="0" fontId="29" fillId="8" borderId="182" xfId="4" applyFont="1" applyFill="1" applyBorder="1" applyAlignment="1">
      <alignment vertical="center"/>
    </xf>
    <xf numFmtId="3" fontId="29" fillId="24" borderId="166" xfId="4" applyNumberFormat="1" applyFont="1" applyFill="1" applyBorder="1" applyAlignment="1">
      <alignment vertical="center"/>
    </xf>
    <xf numFmtId="3" fontId="31" fillId="24" borderId="166" xfId="4" applyNumberFormat="1" applyFont="1" applyFill="1" applyBorder="1" applyAlignment="1">
      <alignment horizontal="right" vertical="center"/>
    </xf>
    <xf numFmtId="3" fontId="7" fillId="8" borderId="182" xfId="4" applyNumberFormat="1" applyFont="1" applyFill="1" applyBorder="1" applyAlignment="1">
      <alignment vertical="center" wrapText="1"/>
    </xf>
    <xf numFmtId="3" fontId="27" fillId="24" borderId="166" xfId="4" applyNumberFormat="1" applyFont="1" applyFill="1" applyBorder="1" applyAlignment="1">
      <alignment vertical="center"/>
    </xf>
    <xf numFmtId="0" fontId="7" fillId="8" borderId="182" xfId="4" applyFont="1" applyFill="1" applyBorder="1" applyAlignment="1">
      <alignment vertical="center" wrapText="1"/>
    </xf>
    <xf numFmtId="0" fontId="7" fillId="8" borderId="199" xfId="4" applyFont="1" applyFill="1" applyBorder="1" applyAlignment="1">
      <alignment vertical="center" wrapText="1"/>
    </xf>
    <xf numFmtId="0" fontId="25" fillId="6" borderId="199" xfId="4" applyFont="1" applyFill="1" applyBorder="1" applyAlignment="1">
      <alignment horizontal="left" vertical="center"/>
    </xf>
    <xf numFmtId="3" fontId="27" fillId="8" borderId="199" xfId="4" applyNumberFormat="1" applyFont="1" applyFill="1" applyBorder="1" applyAlignment="1">
      <alignment vertical="center" wrapText="1"/>
    </xf>
    <xf numFmtId="3" fontId="27" fillId="8" borderId="182" xfId="4" applyNumberFormat="1" applyFont="1" applyFill="1" applyBorder="1" applyAlignment="1">
      <alignment vertical="center" wrapText="1"/>
    </xf>
    <xf numFmtId="0" fontId="27" fillId="8" borderId="199" xfId="4" applyFont="1" applyFill="1" applyBorder="1" applyAlignment="1">
      <alignment vertical="center"/>
    </xf>
    <xf numFmtId="0" fontId="27" fillId="8" borderId="182" xfId="4" applyFont="1" applyFill="1" applyBorder="1" applyAlignment="1">
      <alignment vertical="center"/>
    </xf>
    <xf numFmtId="0" fontId="7" fillId="8" borderId="182" xfId="4" applyFont="1" applyFill="1" applyBorder="1" applyAlignment="1">
      <alignment vertical="center"/>
    </xf>
    <xf numFmtId="3" fontId="7" fillId="8" borderId="166" xfId="4" applyNumberFormat="1" applyFont="1" applyFill="1" applyBorder="1" applyAlignment="1">
      <alignment vertical="center"/>
    </xf>
    <xf numFmtId="0" fontId="18" fillId="8" borderId="41" xfId="4" applyFont="1" applyFill="1" applyBorder="1" applyAlignment="1">
      <alignment vertical="center" wrapText="1"/>
    </xf>
    <xf numFmtId="0" fontId="17" fillId="13" borderId="5" xfId="4" applyFont="1" applyFill="1" applyBorder="1" applyAlignment="1">
      <alignment horizontal="center" vertical="center"/>
    </xf>
    <xf numFmtId="0" fontId="24" fillId="13" borderId="45" xfId="4" applyFont="1" applyFill="1" applyBorder="1" applyAlignment="1">
      <alignment vertical="center" wrapText="1"/>
    </xf>
    <xf numFmtId="0" fontId="24" fillId="13" borderId="14" xfId="4" applyFont="1" applyFill="1" applyBorder="1" applyAlignment="1">
      <alignment vertical="center" wrapText="1"/>
    </xf>
    <xf numFmtId="0" fontId="7" fillId="13" borderId="3" xfId="4" applyFont="1" applyFill="1" applyBorder="1" applyAlignment="1">
      <alignment horizontal="right" vertical="center"/>
    </xf>
    <xf numFmtId="3" fontId="7" fillId="13" borderId="2" xfId="4" applyNumberFormat="1" applyFont="1" applyFill="1" applyBorder="1" applyAlignment="1">
      <alignment horizontal="right" vertical="center"/>
    </xf>
    <xf numFmtId="3" fontId="7" fillId="25" borderId="78" xfId="4" applyNumberFormat="1" applyFont="1" applyFill="1" applyBorder="1" applyAlignment="1">
      <alignment horizontal="right" vertical="center"/>
    </xf>
    <xf numFmtId="3" fontId="7" fillId="25" borderId="70" xfId="4" applyNumberFormat="1" applyFont="1" applyFill="1" applyBorder="1" applyAlignment="1">
      <alignment horizontal="right" vertical="center"/>
    </xf>
    <xf numFmtId="3" fontId="18" fillId="13" borderId="42" xfId="4" applyNumberFormat="1" applyFont="1" applyFill="1" applyBorder="1" applyAlignment="1">
      <alignment horizontal="center" vertical="center"/>
    </xf>
    <xf numFmtId="3" fontId="29" fillId="13" borderId="182" xfId="4" applyNumberFormat="1" applyFont="1" applyFill="1" applyBorder="1" applyAlignment="1">
      <alignment vertical="center" wrapText="1"/>
    </xf>
    <xf numFmtId="3" fontId="7" fillId="13" borderId="182" xfId="4" applyNumberFormat="1" applyFont="1" applyFill="1" applyBorder="1" applyAlignment="1">
      <alignment vertical="center" wrapText="1"/>
    </xf>
    <xf numFmtId="0" fontId="7" fillId="13" borderId="182" xfId="4" applyFont="1" applyFill="1" applyBorder="1" applyAlignment="1">
      <alignment vertical="center"/>
    </xf>
    <xf numFmtId="0" fontId="29" fillId="13" borderId="182" xfId="4" applyFont="1" applyFill="1" applyBorder="1" applyAlignment="1">
      <alignment vertical="center"/>
    </xf>
    <xf numFmtId="3" fontId="29" fillId="25" borderId="166" xfId="4" applyNumberFormat="1" applyFont="1" applyFill="1" applyBorder="1" applyAlignment="1">
      <alignment horizontal="right" vertical="center"/>
    </xf>
    <xf numFmtId="0" fontId="27" fillId="13" borderId="182" xfId="4" applyFont="1" applyFill="1" applyBorder="1" applyAlignment="1">
      <alignment vertical="center"/>
    </xf>
    <xf numFmtId="3" fontId="32" fillId="13" borderId="197" xfId="6" applyNumberFormat="1" applyFont="1" applyFill="1" applyBorder="1" applyAlignment="1">
      <alignment vertical="center"/>
    </xf>
    <xf numFmtId="3" fontId="104" fillId="8" borderId="11" xfId="0" applyNumberFormat="1" applyFont="1" applyFill="1" applyBorder="1"/>
    <xf numFmtId="3" fontId="104" fillId="8" borderId="0" xfId="0" applyNumberFormat="1" applyFont="1" applyFill="1" applyBorder="1"/>
    <xf numFmtId="3" fontId="27" fillId="2" borderId="199" xfId="4" applyNumberFormat="1" applyFont="1" applyFill="1" applyBorder="1" applyAlignment="1">
      <alignment vertical="center" wrapText="1"/>
    </xf>
    <xf numFmtId="0" fontId="31" fillId="0" borderId="199" xfId="4" applyFont="1" applyFill="1" applyBorder="1" applyAlignment="1">
      <alignment vertical="center"/>
    </xf>
    <xf numFmtId="0" fontId="27" fillId="2" borderId="199" xfId="4" applyFont="1" applyFill="1" applyBorder="1" applyAlignment="1">
      <alignment vertical="center"/>
    </xf>
    <xf numFmtId="3" fontId="29" fillId="2" borderId="199" xfId="4" applyNumberFormat="1" applyFont="1" applyFill="1" applyBorder="1" applyAlignment="1">
      <alignment vertical="center" wrapText="1"/>
    </xf>
    <xf numFmtId="0" fontId="7" fillId="0" borderId="199" xfId="4" applyFont="1" applyFill="1" applyBorder="1" applyAlignment="1">
      <alignment vertical="center"/>
    </xf>
    <xf numFmtId="3" fontId="7" fillId="26" borderId="156" xfId="4" applyNumberFormat="1" applyFont="1" applyFill="1" applyBorder="1" applyAlignment="1">
      <alignment horizontal="right" vertical="center"/>
    </xf>
    <xf numFmtId="0" fontId="29" fillId="2" borderId="199" xfId="4" applyFont="1" applyFill="1" applyBorder="1" applyAlignment="1">
      <alignment vertical="center"/>
    </xf>
    <xf numFmtId="0" fontId="31" fillId="0" borderId="199" xfId="4" applyFont="1" applyFill="1" applyBorder="1" applyAlignment="1">
      <alignment horizontal="left" vertical="center"/>
    </xf>
    <xf numFmtId="43" fontId="31" fillId="0" borderId="197" xfId="1" applyFont="1" applyFill="1" applyBorder="1" applyAlignment="1">
      <alignment vertical="center"/>
    </xf>
    <xf numFmtId="3" fontId="7" fillId="0" borderId="197" xfId="0" applyNumberFormat="1" applyFont="1" applyFill="1" applyBorder="1" applyAlignment="1">
      <alignment horizontal="right" vertical="center"/>
    </xf>
    <xf numFmtId="43" fontId="31" fillId="0" borderId="197" xfId="1" applyFont="1" applyFill="1" applyBorder="1" applyAlignment="1">
      <alignment horizontal="right" vertical="center"/>
    </xf>
    <xf numFmtId="0" fontId="7" fillId="0" borderId="199" xfId="4" applyFont="1" applyFill="1" applyBorder="1" applyAlignment="1">
      <alignment horizontal="left" vertical="center"/>
    </xf>
    <xf numFmtId="3" fontId="24" fillId="23" borderId="156" xfId="4" applyNumberFormat="1" applyFont="1" applyFill="1" applyBorder="1" applyAlignment="1">
      <alignment horizontal="right" vertical="center"/>
    </xf>
    <xf numFmtId="0" fontId="7" fillId="0" borderId="130" xfId="4" applyFont="1" applyFill="1" applyBorder="1" applyAlignment="1">
      <alignment horizontal="left" vertical="center"/>
    </xf>
    <xf numFmtId="3" fontId="31" fillId="0" borderId="197" xfId="4" applyNumberFormat="1" applyFont="1" applyFill="1" applyBorder="1" applyAlignment="1">
      <alignment horizontal="right" vertical="center"/>
    </xf>
    <xf numFmtId="3" fontId="31" fillId="26" borderId="197" xfId="4" applyNumberFormat="1" applyFont="1" applyFill="1" applyBorder="1" applyAlignment="1">
      <alignment horizontal="right" vertical="center"/>
    </xf>
    <xf numFmtId="43" fontId="7" fillId="24" borderId="100" xfId="1" applyFont="1" applyFill="1" applyBorder="1" applyAlignment="1">
      <alignment horizontal="center" vertical="center"/>
    </xf>
    <xf numFmtId="43" fontId="8" fillId="0" borderId="100" xfId="1" applyFont="1" applyFill="1" applyBorder="1" applyAlignment="1">
      <alignment vertical="center" wrapText="1"/>
    </xf>
    <xf numFmtId="3" fontId="8" fillId="0" borderId="191" xfId="0" applyNumberFormat="1" applyFont="1" applyFill="1" applyBorder="1" applyAlignment="1">
      <alignment vertical="center" wrapText="1"/>
    </xf>
    <xf numFmtId="3" fontId="18" fillId="0" borderId="43" xfId="4" applyNumberFormat="1" applyFont="1" applyFill="1" applyBorder="1" applyAlignment="1">
      <alignment vertical="center" wrapText="1"/>
    </xf>
    <xf numFmtId="3" fontId="18" fillId="0" borderId="41" xfId="4" applyNumberFormat="1" applyFont="1" applyFill="1" applyBorder="1" applyAlignment="1">
      <alignment vertical="center" wrapText="1"/>
    </xf>
    <xf numFmtId="0" fontId="23" fillId="0" borderId="43" xfId="0" applyFont="1" applyBorder="1" applyAlignment="1">
      <alignment vertical="center" wrapText="1"/>
    </xf>
    <xf numFmtId="0" fontId="23" fillId="0" borderId="41" xfId="0" applyFont="1" applyBorder="1" applyAlignment="1">
      <alignment vertical="center" wrapText="1"/>
    </xf>
    <xf numFmtId="0" fontId="23" fillId="0" borderId="43" xfId="0" applyFont="1" applyFill="1" applyBorder="1" applyAlignment="1">
      <alignment vertical="center" wrapText="1"/>
    </xf>
    <xf numFmtId="0" fontId="23" fillId="0" borderId="41" xfId="0" applyFont="1" applyFill="1" applyBorder="1" applyAlignment="1">
      <alignment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38" fillId="0" borderId="181" xfId="4" applyFont="1" applyFill="1" applyBorder="1" applyAlignment="1">
      <alignment vertical="top"/>
    </xf>
    <xf numFmtId="3" fontId="63" fillId="0" borderId="181" xfId="6" applyNumberFormat="1" applyFont="1" applyFill="1" applyBorder="1" applyAlignment="1">
      <alignment vertical="center"/>
    </xf>
    <xf numFmtId="0" fontId="29" fillId="2" borderId="185" xfId="4" applyFont="1" applyFill="1" applyBorder="1" applyAlignment="1">
      <alignment vertical="center"/>
    </xf>
    <xf numFmtId="43" fontId="25" fillId="6" borderId="156" xfId="1" applyFont="1" applyFill="1" applyBorder="1" applyAlignment="1">
      <alignment horizontal="right" vertical="center"/>
    </xf>
    <xf numFmtId="43" fontId="31" fillId="0" borderId="157" xfId="1" applyFont="1" applyFill="1" applyBorder="1" applyAlignment="1">
      <alignment vertical="center"/>
    </xf>
    <xf numFmtId="0" fontId="31" fillId="0" borderId="130" xfId="4" applyFont="1" applyFill="1" applyBorder="1" applyAlignment="1">
      <alignment vertical="center"/>
    </xf>
    <xf numFmtId="43" fontId="31" fillId="0" borderId="166" xfId="1" applyFont="1" applyFill="1" applyBorder="1" applyAlignment="1">
      <alignment vertical="center"/>
    </xf>
    <xf numFmtId="3" fontId="24" fillId="33" borderId="156" xfId="4" applyNumberFormat="1" applyFont="1" applyFill="1" applyBorder="1" applyAlignment="1">
      <alignment vertical="center"/>
    </xf>
    <xf numFmtId="43" fontId="24" fillId="33" borderId="156" xfId="1" applyFont="1" applyFill="1" applyBorder="1" applyAlignment="1">
      <alignment vertical="center"/>
    </xf>
    <xf numFmtId="3" fontId="63" fillId="8" borderId="17" xfId="6" applyNumberFormat="1" applyFont="1" applyFill="1" applyBorder="1" applyAlignment="1">
      <alignment vertical="center"/>
    </xf>
    <xf numFmtId="3" fontId="7" fillId="8" borderId="2" xfId="4" applyNumberFormat="1" applyFont="1" applyFill="1" applyBorder="1" applyAlignment="1">
      <alignment horizontal="right" vertical="center"/>
    </xf>
    <xf numFmtId="3" fontId="24" fillId="6" borderId="180" xfId="0" applyNumberFormat="1" applyFont="1" applyFill="1" applyBorder="1" applyAlignment="1">
      <alignment horizontal="right" vertical="center"/>
    </xf>
    <xf numFmtId="3" fontId="31" fillId="2" borderId="130" xfId="4" applyNumberFormat="1" applyFont="1" applyFill="1" applyBorder="1" applyAlignment="1">
      <alignment vertical="center" wrapText="1"/>
    </xf>
    <xf numFmtId="0" fontId="0" fillId="0" borderId="180" xfId="0" applyFont="1" applyBorder="1"/>
    <xf numFmtId="3" fontId="0" fillId="0" borderId="180" xfId="0" applyNumberFormat="1" applyFont="1" applyBorder="1"/>
    <xf numFmtId="3" fontId="77" fillId="2" borderId="0" xfId="0" applyNumberFormat="1" applyFont="1" applyFill="1" applyBorder="1" applyAlignment="1">
      <alignment horizontal="center" vertical="center"/>
    </xf>
    <xf numFmtId="1" fontId="62" fillId="13" borderId="0" xfId="0" applyNumberFormat="1" applyFont="1" applyFill="1" applyBorder="1" applyAlignment="1">
      <alignment horizontal="center" vertical="center" wrapText="1"/>
    </xf>
    <xf numFmtId="3" fontId="7" fillId="13" borderId="180" xfId="4" applyNumberFormat="1" applyFont="1" applyFill="1" applyBorder="1" applyAlignment="1">
      <alignment horizontal="right" vertical="center"/>
    </xf>
    <xf numFmtId="3" fontId="31" fillId="26" borderId="172" xfId="4" applyNumberFormat="1" applyFont="1" applyFill="1" applyBorder="1" applyAlignment="1">
      <alignment horizontal="right" vertical="center"/>
    </xf>
    <xf numFmtId="3" fontId="25" fillId="27" borderId="24" xfId="4" applyNumberFormat="1" applyFont="1" applyFill="1" applyBorder="1" applyAlignment="1">
      <alignment horizontal="center" vertical="center"/>
    </xf>
    <xf numFmtId="3" fontId="18" fillId="0" borderId="46" xfId="4" applyNumberFormat="1" applyFont="1" applyFill="1" applyBorder="1" applyAlignment="1">
      <alignment vertical="center" wrapText="1"/>
    </xf>
    <xf numFmtId="0" fontId="22" fillId="0" borderId="187" xfId="0" applyFont="1" applyBorder="1" applyAlignment="1">
      <alignment vertical="center" wrapText="1"/>
    </xf>
    <xf numFmtId="0" fontId="25" fillId="8" borderId="21" xfId="4" applyFont="1" applyFill="1" applyBorder="1" applyAlignment="1">
      <alignment horizontal="left" vertical="center" wrapText="1"/>
    </xf>
    <xf numFmtId="3" fontId="33" fillId="8" borderId="0" xfId="6" applyNumberFormat="1" applyFont="1" applyFill="1" applyBorder="1" applyAlignment="1">
      <alignment horizontal="right" vertical="center"/>
    </xf>
    <xf numFmtId="3" fontId="24" fillId="8" borderId="10" xfId="4" applyNumberFormat="1" applyFont="1" applyFill="1" applyBorder="1" applyAlignment="1">
      <alignment horizontal="right" vertical="center"/>
    </xf>
    <xf numFmtId="3" fontId="24" fillId="8" borderId="9" xfId="4" applyNumberFormat="1" applyFont="1" applyFill="1" applyBorder="1" applyAlignment="1">
      <alignment horizontal="right" vertical="center"/>
    </xf>
    <xf numFmtId="0" fontId="27" fillId="13" borderId="199" xfId="4" applyFont="1" applyFill="1" applyBorder="1" applyAlignment="1">
      <alignment vertical="center"/>
    </xf>
    <xf numFmtId="3" fontId="27" fillId="13" borderId="180" xfId="4" applyNumberFormat="1" applyFont="1" applyFill="1" applyBorder="1" applyAlignment="1">
      <alignment horizontal="right" vertical="center"/>
    </xf>
    <xf numFmtId="3" fontId="7" fillId="13" borderId="9" xfId="4" applyNumberFormat="1" applyFont="1" applyFill="1" applyBorder="1" applyAlignment="1">
      <alignment horizontal="right" vertical="center"/>
    </xf>
    <xf numFmtId="0" fontId="25" fillId="0" borderId="12" xfId="4" applyFont="1" applyBorder="1" applyAlignment="1">
      <alignment horizontal="center" vertical="center" wrapText="1"/>
    </xf>
    <xf numFmtId="0" fontId="24" fillId="0" borderId="11" xfId="4" applyFont="1" applyFill="1" applyBorder="1" applyAlignment="1">
      <alignment horizontal="center" vertical="center"/>
    </xf>
    <xf numFmtId="3" fontId="18" fillId="0" borderId="43" xfId="4" applyNumberFormat="1" applyFont="1" applyFill="1" applyBorder="1" applyAlignment="1">
      <alignment horizontal="center" vertical="center" wrapText="1"/>
    </xf>
    <xf numFmtId="3" fontId="25" fillId="2" borderId="20" xfId="4" applyNumberFormat="1" applyFont="1" applyFill="1" applyBorder="1" applyAlignment="1">
      <alignment horizontal="center" vertical="center" wrapText="1"/>
    </xf>
    <xf numFmtId="3" fontId="18" fillId="0" borderId="46" xfId="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3" fontId="18" fillId="0" borderId="41" xfId="4" applyNumberFormat="1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127" xfId="0" applyFont="1" applyBorder="1" applyAlignment="1">
      <alignment horizontal="center" vertical="center" wrapText="1"/>
    </xf>
    <xf numFmtId="0" fontId="22" fillId="0" borderId="43" xfId="0" applyFont="1" applyBorder="1" applyAlignment="1">
      <alignment vertical="center" wrapText="1"/>
    </xf>
    <xf numFmtId="0" fontId="22" fillId="0" borderId="41" xfId="0" applyFont="1" applyBorder="1" applyAlignment="1">
      <alignment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18" fillId="13" borderId="43" xfId="4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/>
    </xf>
    <xf numFmtId="0" fontId="23" fillId="0" borderId="12" xfId="6" applyFont="1" applyBorder="1" applyAlignment="1">
      <alignment horizontal="center" vertical="center"/>
    </xf>
    <xf numFmtId="0" fontId="7" fillId="8" borderId="43" xfId="4" applyFont="1" applyFill="1" applyBorder="1" applyAlignment="1">
      <alignment horizontal="center" vertical="center"/>
    </xf>
    <xf numFmtId="0" fontId="23" fillId="0" borderId="43" xfId="0" applyFont="1" applyBorder="1" applyAlignment="1">
      <alignment horizontal="center" vertical="center" wrapText="1"/>
    </xf>
    <xf numFmtId="0" fontId="32" fillId="0" borderId="175" xfId="0" applyFont="1" applyFill="1" applyBorder="1" applyAlignment="1">
      <alignment horizontal="center" vertical="center" wrapText="1"/>
    </xf>
    <xf numFmtId="0" fontId="32" fillId="0" borderId="181" xfId="0" applyFont="1" applyFill="1" applyBorder="1" applyAlignment="1">
      <alignment horizontal="center" vertical="center" wrapText="1"/>
    </xf>
    <xf numFmtId="0" fontId="17" fillId="0" borderId="160" xfId="4" applyFont="1" applyFill="1" applyBorder="1" applyAlignment="1">
      <alignment horizontal="center" vertical="center"/>
    </xf>
    <xf numFmtId="3" fontId="24" fillId="27" borderId="155" xfId="4" applyNumberFormat="1" applyFont="1" applyFill="1" applyBorder="1" applyAlignment="1">
      <alignment horizontal="center" vertical="center"/>
    </xf>
    <xf numFmtId="0" fontId="32" fillId="0" borderId="155" xfId="0" applyFont="1" applyBorder="1" applyAlignment="1">
      <alignment wrapText="1"/>
    </xf>
    <xf numFmtId="0" fontId="23" fillId="0" borderId="35" xfId="6" applyFont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3" fontId="25" fillId="23" borderId="35" xfId="0" applyNumberFormat="1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31" fillId="33" borderId="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3" fontId="25" fillId="2" borderId="13" xfId="4" applyNumberFormat="1" applyFont="1" applyFill="1" applyBorder="1" applyAlignment="1">
      <alignment horizontal="center" vertical="center" wrapText="1"/>
    </xf>
    <xf numFmtId="0" fontId="32" fillId="0" borderId="12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top"/>
    </xf>
    <xf numFmtId="0" fontId="25" fillId="33" borderId="12" xfId="4" applyFont="1" applyFill="1" applyBorder="1" applyAlignment="1">
      <alignment horizontal="center" vertical="center" wrapText="1"/>
    </xf>
    <xf numFmtId="3" fontId="24" fillId="6" borderId="184" xfId="4" applyNumberFormat="1" applyFont="1" applyFill="1" applyBorder="1" applyAlignment="1">
      <alignment horizontal="right" vertical="center"/>
    </xf>
    <xf numFmtId="3" fontId="29" fillId="0" borderId="175" xfId="4" applyNumberFormat="1" applyFont="1" applyFill="1" applyBorder="1" applyAlignment="1">
      <alignment horizontal="right" vertical="center"/>
    </xf>
    <xf numFmtId="43" fontId="7" fillId="0" borderId="166" xfId="1" applyFont="1" applyFill="1" applyBorder="1" applyAlignment="1">
      <alignment horizontal="right" vertical="center"/>
    </xf>
    <xf numFmtId="3" fontId="29" fillId="2" borderId="9" xfId="4" applyNumberFormat="1" applyFont="1" applyFill="1" applyBorder="1" applyAlignment="1">
      <alignment vertical="center"/>
    </xf>
    <xf numFmtId="43" fontId="31" fillId="0" borderId="195" xfId="1" applyFont="1" applyFill="1" applyBorder="1" applyAlignment="1">
      <alignment horizontal="right" vertical="center"/>
    </xf>
    <xf numFmtId="3" fontId="23" fillId="6" borderId="101" xfId="6" applyNumberFormat="1" applyFont="1" applyFill="1" applyBorder="1" applyAlignment="1">
      <alignment horizontal="right" vertical="center"/>
    </xf>
    <xf numFmtId="43" fontId="23" fillId="6" borderId="101" xfId="1" applyFont="1" applyFill="1" applyBorder="1" applyAlignment="1">
      <alignment horizontal="right" vertical="center"/>
    </xf>
    <xf numFmtId="3" fontId="33" fillId="0" borderId="101" xfId="6" applyNumberFormat="1" applyFont="1" applyFill="1" applyBorder="1" applyAlignment="1">
      <alignment horizontal="right" vertical="center"/>
    </xf>
    <xf numFmtId="43" fontId="33" fillId="0" borderId="101" xfId="1" applyFont="1" applyFill="1" applyBorder="1" applyAlignment="1">
      <alignment horizontal="right" vertical="center"/>
    </xf>
    <xf numFmtId="43" fontId="31" fillId="0" borderId="101" xfId="1" applyFont="1" applyFill="1" applyBorder="1" applyAlignment="1">
      <alignment horizontal="right" vertical="center"/>
    </xf>
    <xf numFmtId="3" fontId="31" fillId="0" borderId="101" xfId="4" applyNumberFormat="1" applyFont="1" applyFill="1" applyBorder="1" applyAlignment="1">
      <alignment horizontal="right" vertical="center"/>
    </xf>
    <xf numFmtId="3" fontId="33" fillId="0" borderId="101" xfId="6" applyNumberFormat="1" applyFont="1" applyFill="1" applyBorder="1" applyAlignment="1">
      <alignment vertical="center"/>
    </xf>
    <xf numFmtId="43" fontId="33" fillId="0" borderId="101" xfId="1" applyFont="1" applyFill="1" applyBorder="1" applyAlignment="1">
      <alignment vertical="center"/>
    </xf>
    <xf numFmtId="0" fontId="31" fillId="0" borderId="111" xfId="4" applyFont="1" applyFill="1" applyBorder="1" applyAlignment="1">
      <alignment vertical="center"/>
    </xf>
    <xf numFmtId="3" fontId="24" fillId="6" borderId="101" xfId="4" applyNumberFormat="1" applyFont="1" applyFill="1" applyBorder="1" applyAlignment="1">
      <alignment vertical="center"/>
    </xf>
    <xf numFmtId="43" fontId="24" fillId="6" borderId="101" xfId="1" applyFont="1" applyFill="1" applyBorder="1" applyAlignment="1">
      <alignment vertical="center"/>
    </xf>
    <xf numFmtId="3" fontId="27" fillId="2" borderId="101" xfId="4" applyNumberFormat="1" applyFont="1" applyFill="1" applyBorder="1" applyAlignment="1">
      <alignment vertical="center"/>
    </xf>
    <xf numFmtId="43" fontId="29" fillId="2" borderId="101" xfId="1" applyFont="1" applyFill="1" applyBorder="1" applyAlignment="1">
      <alignment vertical="center"/>
    </xf>
    <xf numFmtId="3" fontId="29" fillId="2" borderId="101" xfId="4" applyNumberFormat="1" applyFont="1" applyFill="1" applyBorder="1" applyAlignment="1">
      <alignment vertical="center"/>
    </xf>
    <xf numFmtId="3" fontId="24" fillId="6" borderId="175" xfId="4" applyNumberFormat="1" applyFont="1" applyFill="1" applyBorder="1" applyAlignment="1">
      <alignment vertical="center"/>
    </xf>
    <xf numFmtId="3" fontId="31" fillId="0" borderId="132" xfId="4" applyNumberFormat="1" applyFont="1" applyFill="1" applyBorder="1" applyAlignment="1">
      <alignment horizontal="right" vertical="center"/>
    </xf>
    <xf numFmtId="0" fontId="17" fillId="8" borderId="127" xfId="4" applyFont="1" applyFill="1" applyBorder="1" applyAlignment="1">
      <alignment vertical="top"/>
    </xf>
    <xf numFmtId="0" fontId="27" fillId="56" borderId="155" xfId="4" applyFont="1" applyFill="1" applyBorder="1" applyAlignment="1">
      <alignment horizontal="left" vertical="center"/>
    </xf>
    <xf numFmtId="3" fontId="27" fillId="56" borderId="155" xfId="4" applyNumberFormat="1" applyFont="1" applyFill="1" applyBorder="1" applyAlignment="1">
      <alignment horizontal="right" vertical="center"/>
    </xf>
    <xf numFmtId="3" fontId="27" fillId="22" borderId="155" xfId="4" applyNumberFormat="1" applyFont="1" applyFill="1" applyBorder="1" applyAlignment="1">
      <alignment horizontal="right" vertical="center"/>
    </xf>
    <xf numFmtId="0" fontId="18" fillId="8" borderId="158" xfId="4" applyFont="1" applyFill="1" applyBorder="1" applyAlignment="1">
      <alignment horizontal="center" vertical="top"/>
    </xf>
    <xf numFmtId="0" fontId="17" fillId="8" borderId="6" xfId="4" applyFont="1" applyFill="1" applyBorder="1" applyAlignment="1">
      <alignment vertical="top"/>
    </xf>
    <xf numFmtId="0" fontId="27" fillId="56" borderId="155" xfId="0" applyFont="1" applyFill="1" applyBorder="1" applyAlignment="1">
      <alignment horizontal="left" vertical="top"/>
    </xf>
    <xf numFmtId="0" fontId="28" fillId="56" borderId="155" xfId="0" quotePrefix="1" applyFont="1" applyFill="1" applyBorder="1" applyAlignment="1">
      <alignment horizontal="center" vertical="top"/>
    </xf>
    <xf numFmtId="3" fontId="27" fillId="56" borderId="155" xfId="0" quotePrefix="1" applyNumberFormat="1" applyFont="1" applyFill="1" applyBorder="1" applyAlignment="1">
      <alignment horizontal="right" vertical="top"/>
    </xf>
    <xf numFmtId="3" fontId="18" fillId="8" borderId="158" xfId="4" applyNumberFormat="1" applyFont="1" applyFill="1" applyBorder="1" applyAlignment="1">
      <alignment horizontal="center" vertical="top"/>
    </xf>
    <xf numFmtId="3" fontId="29" fillId="8" borderId="155" xfId="4" applyNumberFormat="1" applyFont="1" applyFill="1" applyBorder="1" applyAlignment="1">
      <alignment vertical="top" wrapText="1"/>
    </xf>
    <xf numFmtId="3" fontId="29" fillId="8" borderId="155" xfId="4" applyNumberFormat="1" applyFont="1" applyFill="1" applyBorder="1" applyAlignment="1">
      <alignment horizontal="right" vertical="center"/>
    </xf>
    <xf numFmtId="3" fontId="29" fillId="24" borderId="155" xfId="4" applyNumberFormat="1" applyFont="1" applyFill="1" applyBorder="1" applyAlignment="1">
      <alignment horizontal="right" vertical="center"/>
    </xf>
    <xf numFmtId="3" fontId="7" fillId="8" borderId="155" xfId="4" applyNumberFormat="1" applyFont="1" applyFill="1" applyBorder="1" applyAlignment="1">
      <alignment vertical="top" wrapText="1"/>
    </xf>
    <xf numFmtId="3" fontId="32" fillId="8" borderId="155" xfId="0" applyNumberFormat="1" applyFont="1" applyFill="1" applyBorder="1"/>
    <xf numFmtId="0" fontId="7" fillId="8" borderId="155" xfId="4" applyFont="1" applyFill="1" applyBorder="1" applyAlignment="1">
      <alignment vertical="top" wrapText="1"/>
    </xf>
    <xf numFmtId="3" fontId="7" fillId="24" borderId="155" xfId="4" applyNumberFormat="1" applyFont="1" applyFill="1" applyBorder="1" applyAlignment="1">
      <alignment horizontal="right" vertical="center"/>
    </xf>
    <xf numFmtId="0" fontId="7" fillId="8" borderId="181" xfId="4" applyFont="1" applyFill="1" applyBorder="1" applyAlignment="1">
      <alignment vertical="top" wrapText="1"/>
    </xf>
    <xf numFmtId="3" fontId="7" fillId="8" borderId="181" xfId="4" applyNumberFormat="1" applyFont="1" applyFill="1" applyBorder="1" applyAlignment="1">
      <alignment vertical="top" wrapText="1"/>
    </xf>
    <xf numFmtId="3" fontId="7" fillId="24" borderId="181" xfId="4" applyNumberFormat="1" applyFont="1" applyFill="1" applyBorder="1" applyAlignment="1">
      <alignment horizontal="right" vertical="center"/>
    </xf>
    <xf numFmtId="0" fontId="18" fillId="8" borderId="176" xfId="4" applyFont="1" applyFill="1" applyBorder="1" applyAlignment="1">
      <alignment horizontal="center" vertical="top"/>
    </xf>
    <xf numFmtId="0" fontId="29" fillId="8" borderId="155" xfId="4" applyFont="1" applyFill="1" applyBorder="1" applyAlignment="1">
      <alignment vertical="top"/>
    </xf>
    <xf numFmtId="0" fontId="7" fillId="8" borderId="164" xfId="4" applyFont="1" applyFill="1" applyBorder="1" applyAlignment="1">
      <alignment vertical="top" wrapText="1"/>
    </xf>
    <xf numFmtId="3" fontId="31" fillId="8" borderId="155" xfId="4" applyNumberFormat="1" applyFont="1" applyFill="1" applyBorder="1" applyAlignment="1">
      <alignment horizontal="right" vertical="center"/>
    </xf>
    <xf numFmtId="3" fontId="7" fillId="8" borderId="159" xfId="4" applyNumberFormat="1" applyFont="1" applyFill="1" applyBorder="1" applyAlignment="1">
      <alignment vertical="top" wrapText="1"/>
    </xf>
    <xf numFmtId="3" fontId="32" fillId="8" borderId="155" xfId="6" applyNumberFormat="1" applyFont="1" applyFill="1" applyBorder="1" applyAlignment="1">
      <alignment vertical="center"/>
    </xf>
    <xf numFmtId="0" fontId="25" fillId="6" borderId="159" xfId="4" applyFont="1" applyFill="1" applyBorder="1" applyAlignment="1">
      <alignment horizontal="left" vertical="center"/>
    </xf>
    <xf numFmtId="3" fontId="29" fillId="8" borderId="159" xfId="4" applyNumberFormat="1" applyFont="1" applyFill="1" applyBorder="1" applyAlignment="1">
      <alignment vertical="top" wrapText="1"/>
    </xf>
    <xf numFmtId="3" fontId="27" fillId="8" borderId="155" xfId="4" applyNumberFormat="1" applyFont="1" applyFill="1" applyBorder="1" applyAlignment="1">
      <alignment vertical="top" wrapText="1"/>
    </xf>
    <xf numFmtId="3" fontId="33" fillId="8" borderId="155" xfId="6" applyNumberFormat="1" applyFont="1" applyFill="1" applyBorder="1" applyAlignment="1">
      <alignment vertical="center"/>
    </xf>
    <xf numFmtId="0" fontId="7" fillId="8" borderId="159" xfId="4" applyFont="1" applyFill="1" applyBorder="1" applyAlignment="1">
      <alignment vertical="top" wrapText="1"/>
    </xf>
    <xf numFmtId="0" fontId="7" fillId="8" borderId="155" xfId="4" applyFont="1" applyFill="1" applyBorder="1" applyAlignment="1">
      <alignment horizontal="left" vertical="center"/>
    </xf>
    <xf numFmtId="0" fontId="17" fillId="8" borderId="6" xfId="4" applyFont="1" applyFill="1" applyBorder="1" applyAlignment="1">
      <alignment vertical="center"/>
    </xf>
    <xf numFmtId="0" fontId="27" fillId="8" borderId="159" xfId="4" applyFont="1" applyFill="1" applyBorder="1" applyAlignment="1">
      <alignment vertical="center"/>
    </xf>
    <xf numFmtId="0" fontId="27" fillId="8" borderId="155" xfId="4" applyFont="1" applyFill="1" applyBorder="1" applyAlignment="1">
      <alignment vertical="center"/>
    </xf>
    <xf numFmtId="0" fontId="18" fillId="8" borderId="158" xfId="4" applyFont="1" applyFill="1" applyBorder="1" applyAlignment="1">
      <alignment horizontal="center" vertical="center"/>
    </xf>
    <xf numFmtId="3" fontId="32" fillId="8" borderId="165" xfId="6" applyNumberFormat="1" applyFont="1" applyFill="1" applyBorder="1" applyAlignment="1">
      <alignment vertical="center"/>
    </xf>
    <xf numFmtId="0" fontId="18" fillId="8" borderId="126" xfId="4" applyFont="1" applyFill="1" applyBorder="1" applyAlignment="1">
      <alignment horizontal="center" vertical="center"/>
    </xf>
    <xf numFmtId="0" fontId="17" fillId="8" borderId="22" xfId="4" applyFont="1" applyFill="1" applyBorder="1" applyAlignment="1">
      <alignment vertical="top"/>
    </xf>
    <xf numFmtId="0" fontId="7" fillId="8" borderId="119" xfId="4" applyFont="1" applyFill="1" applyBorder="1" applyAlignment="1">
      <alignment vertical="center"/>
    </xf>
    <xf numFmtId="3" fontId="32" fillId="8" borderId="119" xfId="6" applyNumberFormat="1" applyFont="1" applyFill="1" applyBorder="1" applyAlignment="1">
      <alignment vertical="center"/>
    </xf>
    <xf numFmtId="3" fontId="18" fillId="8" borderId="120" xfId="4" applyNumberFormat="1" applyFont="1" applyFill="1" applyBorder="1" applyAlignment="1">
      <alignment horizontal="center" vertical="top"/>
    </xf>
    <xf numFmtId="43" fontId="28" fillId="24" borderId="181" xfId="1" applyFont="1" applyFill="1" applyBorder="1" applyAlignment="1">
      <alignment horizontal="right" vertical="center"/>
    </xf>
    <xf numFmtId="0" fontId="37" fillId="0" borderId="100" xfId="0" applyFont="1" applyBorder="1" applyAlignment="1">
      <alignment wrapText="1"/>
    </xf>
    <xf numFmtId="3" fontId="7" fillId="8" borderId="17" xfId="0" applyNumberFormat="1" applyFont="1" applyFill="1" applyBorder="1" applyAlignment="1">
      <alignment vertical="top"/>
    </xf>
    <xf numFmtId="3" fontId="24" fillId="23" borderId="70" xfId="0" applyNumberFormat="1" applyFont="1" applyFill="1" applyBorder="1" applyAlignment="1">
      <alignment vertical="top"/>
    </xf>
    <xf numFmtId="3" fontId="24" fillId="23" borderId="156" xfId="0" applyNumberFormat="1" applyFont="1" applyFill="1" applyBorder="1" applyAlignment="1">
      <alignment vertical="top"/>
    </xf>
    <xf numFmtId="3" fontId="29" fillId="27" borderId="156" xfId="0" applyNumberFormat="1" applyFont="1" applyFill="1" applyBorder="1" applyAlignment="1">
      <alignment vertical="center"/>
    </xf>
    <xf numFmtId="3" fontId="27" fillId="27" borderId="156" xfId="0" applyNumberFormat="1" applyFont="1" applyFill="1" applyBorder="1" applyAlignment="1">
      <alignment vertical="center"/>
    </xf>
    <xf numFmtId="0" fontId="0" fillId="0" borderId="76" xfId="0" applyFont="1" applyBorder="1"/>
    <xf numFmtId="3" fontId="28" fillId="2" borderId="119" xfId="0" applyNumberFormat="1" applyFont="1" applyFill="1" applyBorder="1" applyAlignment="1">
      <alignment vertical="top"/>
    </xf>
    <xf numFmtId="3" fontId="31" fillId="0" borderId="132" xfId="0" applyNumberFormat="1" applyFont="1" applyFill="1" applyBorder="1" applyAlignment="1">
      <alignment vertical="center"/>
    </xf>
    <xf numFmtId="43" fontId="0" fillId="0" borderId="119" xfId="1" applyFont="1" applyBorder="1"/>
    <xf numFmtId="0" fontId="31" fillId="0" borderId="123" xfId="4" applyFont="1" applyFill="1" applyBorder="1" applyAlignment="1">
      <alignment vertical="center"/>
    </xf>
    <xf numFmtId="3" fontId="60" fillId="0" borderId="123" xfId="0" applyNumberFormat="1" applyFont="1" applyBorder="1"/>
    <xf numFmtId="3" fontId="0" fillId="0" borderId="119" xfId="0" applyNumberFormat="1" applyFont="1" applyBorder="1"/>
    <xf numFmtId="0" fontId="25" fillId="8" borderId="35" xfId="0" applyFont="1" applyFill="1" applyBorder="1" applyAlignment="1">
      <alignment vertical="center" wrapText="1"/>
    </xf>
    <xf numFmtId="3" fontId="25" fillId="8" borderId="35" xfId="0" applyNumberFormat="1" applyFont="1" applyFill="1" applyBorder="1" applyAlignment="1">
      <alignment vertical="top"/>
    </xf>
    <xf numFmtId="0" fontId="87" fillId="57" borderId="201" xfId="0" applyFont="1" applyFill="1" applyBorder="1" applyAlignment="1"/>
    <xf numFmtId="0" fontId="88" fillId="57" borderId="200" xfId="0" applyFont="1" applyFill="1" applyBorder="1"/>
    <xf numFmtId="0" fontId="0" fillId="0" borderId="200" xfId="0" applyFont="1" applyBorder="1"/>
    <xf numFmtId="0" fontId="68" fillId="0" borderId="201" xfId="0" applyFont="1" applyBorder="1" applyAlignment="1"/>
    <xf numFmtId="0" fontId="8" fillId="0" borderId="200" xfId="0" applyFont="1" applyBorder="1"/>
    <xf numFmtId="3" fontId="84" fillId="0" borderId="202" xfId="5" applyNumberFormat="1" applyFont="1" applyBorder="1" applyAlignment="1">
      <alignment horizontal="center" vertical="center"/>
    </xf>
    <xf numFmtId="0" fontId="84" fillId="0" borderId="203" xfId="5" applyFont="1" applyBorder="1" applyAlignment="1">
      <alignment horizontal="center" vertical="center" wrapText="1"/>
    </xf>
    <xf numFmtId="0" fontId="84" fillId="0" borderId="202" xfId="0" applyFont="1" applyBorder="1" applyAlignment="1">
      <alignment horizontal="center" vertical="center" wrapText="1"/>
    </xf>
    <xf numFmtId="3" fontId="73" fillId="0" borderId="202" xfId="5" applyNumberFormat="1" applyFont="1" applyBorder="1" applyAlignment="1">
      <alignment horizontal="center" vertical="center"/>
    </xf>
    <xf numFmtId="0" fontId="94" fillId="0" borderId="204" xfId="5" applyFont="1" applyBorder="1" applyAlignment="1">
      <alignment horizontal="left" vertical="center" wrapText="1"/>
    </xf>
    <xf numFmtId="3" fontId="94" fillId="0" borderId="202" xfId="5" applyNumberFormat="1" applyFont="1" applyBorder="1" applyAlignment="1">
      <alignment vertical="center"/>
    </xf>
    <xf numFmtId="0" fontId="0" fillId="0" borderId="200" xfId="0" applyFont="1" applyBorder="1" applyAlignment="1">
      <alignment horizontal="center"/>
    </xf>
    <xf numFmtId="0" fontId="94" fillId="0" borderId="204" xfId="5" applyFont="1" applyBorder="1" applyAlignment="1">
      <alignment horizontal="left" vertical="top" wrapText="1"/>
    </xf>
    <xf numFmtId="3" fontId="73" fillId="0" borderId="202" xfId="5" applyNumberFormat="1" applyFont="1" applyBorder="1" applyAlignment="1">
      <alignment vertical="center"/>
    </xf>
    <xf numFmtId="3" fontId="85" fillId="20" borderId="203" xfId="5" applyNumberFormat="1" applyFont="1" applyFill="1" applyBorder="1"/>
    <xf numFmtId="0" fontId="85" fillId="20" borderId="204" xfId="5" applyFont="1" applyFill="1" applyBorder="1" applyAlignment="1">
      <alignment horizontal="center" vertical="center"/>
    </xf>
    <xf numFmtId="3" fontId="85" fillId="20" borderId="202" xfId="5" applyNumberFormat="1" applyFont="1" applyFill="1" applyBorder="1" applyAlignment="1">
      <alignment vertical="center"/>
    </xf>
    <xf numFmtId="0" fontId="0" fillId="57" borderId="200" xfId="0" applyFont="1" applyFill="1" applyBorder="1"/>
    <xf numFmtId="0" fontId="84" fillId="0" borderId="203" xfId="5" applyFont="1" applyBorder="1" applyAlignment="1">
      <alignment vertical="center" wrapText="1"/>
    </xf>
    <xf numFmtId="0" fontId="84" fillId="0" borderId="202" xfId="0" applyFont="1" applyBorder="1" applyAlignment="1">
      <alignment horizontal="center" vertical="center"/>
    </xf>
    <xf numFmtId="0" fontId="94" fillId="0" borderId="203" xfId="5" applyFont="1" applyBorder="1" applyAlignment="1">
      <alignment vertical="center" wrapText="1"/>
    </xf>
    <xf numFmtId="0" fontId="89" fillId="0" borderId="206" xfId="0" applyFont="1" applyBorder="1" applyAlignment="1">
      <alignment vertical="center"/>
    </xf>
    <xf numFmtId="49" fontId="89" fillId="0" borderId="207" xfId="0" applyNumberFormat="1" applyFont="1" applyBorder="1" applyAlignment="1">
      <alignment horizontal="center" vertical="center"/>
    </xf>
    <xf numFmtId="49" fontId="103" fillId="0" borderId="208" xfId="0" applyNumberFormat="1" applyFont="1" applyBorder="1" applyAlignment="1">
      <alignment vertical="center" wrapText="1"/>
    </xf>
    <xf numFmtId="49" fontId="0" fillId="0" borderId="200" xfId="0" applyNumberFormat="1" applyFont="1" applyBorder="1" applyAlignment="1">
      <alignment horizontal="left" vertical="center" wrapText="1"/>
    </xf>
    <xf numFmtId="0" fontId="94" fillId="0" borderId="204" xfId="5" applyFont="1" applyBorder="1" applyAlignment="1">
      <alignment vertical="center" wrapText="1"/>
    </xf>
    <xf numFmtId="0" fontId="0" fillId="0" borderId="211" xfId="0" applyBorder="1" applyAlignment="1">
      <alignment vertical="center"/>
    </xf>
    <xf numFmtId="49" fontId="0" fillId="0" borderId="201" xfId="0" applyNumberFormat="1" applyBorder="1" applyAlignment="1">
      <alignment horizontal="center" vertical="center"/>
    </xf>
    <xf numFmtId="0" fontId="0" fillId="0" borderId="205" xfId="0" applyBorder="1" applyAlignment="1">
      <alignment horizontal="center" vertical="center" wrapText="1"/>
    </xf>
    <xf numFmtId="0" fontId="0" fillId="0" borderId="203" xfId="0" applyBorder="1" applyAlignment="1">
      <alignment vertical="center" wrapText="1"/>
    </xf>
    <xf numFmtId="49" fontId="0" fillId="0" borderId="204" xfId="0" applyNumberFormat="1" applyBorder="1" applyAlignment="1">
      <alignment horizontal="left" vertical="center" wrapText="1"/>
    </xf>
    <xf numFmtId="0" fontId="0" fillId="0" borderId="200" xfId="0" applyFont="1" applyBorder="1" applyAlignment="1">
      <alignment horizontal="left" vertical="center"/>
    </xf>
    <xf numFmtId="0" fontId="0" fillId="0" borderId="206" xfId="0" applyBorder="1" applyAlignment="1">
      <alignment vertical="center"/>
    </xf>
    <xf numFmtId="49" fontId="0" fillId="0" borderId="207" xfId="0" applyNumberFormat="1" applyBorder="1" applyAlignment="1">
      <alignment horizontal="left" vertical="center"/>
    </xf>
    <xf numFmtId="0" fontId="0" fillId="0" borderId="208" xfId="0" applyBorder="1" applyAlignment="1">
      <alignment horizontal="center" vertical="center" wrapText="1"/>
    </xf>
    <xf numFmtId="0" fontId="0" fillId="0" borderId="211" xfId="0" applyFont="1" applyBorder="1" applyAlignment="1">
      <alignment vertical="center"/>
    </xf>
    <xf numFmtId="49" fontId="0" fillId="0" borderId="201" xfId="0" applyNumberFormat="1" applyBorder="1" applyAlignment="1">
      <alignment vertical="center"/>
    </xf>
    <xf numFmtId="0" fontId="89" fillId="0" borderId="200" xfId="0" applyFont="1" applyBorder="1"/>
    <xf numFmtId="49" fontId="89" fillId="0" borderId="200" xfId="0" applyNumberFormat="1" applyFont="1" applyBorder="1"/>
    <xf numFmtId="0" fontId="89" fillId="0" borderId="200" xfId="0" applyFont="1" applyBorder="1" applyAlignment="1">
      <alignment vertical="center"/>
    </xf>
    <xf numFmtId="0" fontId="19" fillId="0" borderId="200" xfId="0" applyFont="1" applyBorder="1" applyAlignment="1">
      <alignment vertical="top"/>
    </xf>
    <xf numFmtId="0" fontId="0" fillId="0" borderId="200" xfId="0" applyFont="1" applyBorder="1" applyAlignment="1">
      <alignment vertical="top"/>
    </xf>
    <xf numFmtId="3" fontId="0" fillId="0" borderId="200" xfId="0" applyNumberFormat="1" applyFont="1" applyBorder="1" applyAlignment="1">
      <alignment vertical="top"/>
    </xf>
    <xf numFmtId="0" fontId="11" fillId="0" borderId="200" xfId="0" applyFont="1" applyFill="1" applyBorder="1" applyAlignment="1"/>
    <xf numFmtId="0" fontId="14" fillId="2" borderId="200" xfId="3" applyFont="1" applyFill="1" applyBorder="1" applyAlignment="1">
      <alignment horizontal="right" vertical="center"/>
    </xf>
    <xf numFmtId="0" fontId="15" fillId="2" borderId="200" xfId="0" applyFont="1" applyFill="1" applyBorder="1" applyAlignment="1">
      <alignment horizontal="right" vertical="center"/>
    </xf>
    <xf numFmtId="0" fontId="0" fillId="0" borderId="200" xfId="0" applyFont="1" applyFill="1" applyBorder="1" applyAlignment="1">
      <alignment vertical="top"/>
    </xf>
    <xf numFmtId="0" fontId="13" fillId="0" borderId="200" xfId="0" applyFont="1" applyFill="1" applyBorder="1" applyAlignment="1">
      <alignment horizontal="left"/>
    </xf>
    <xf numFmtId="0" fontId="34" fillId="2" borderId="213" xfId="0" applyFont="1" applyFill="1" applyBorder="1" applyAlignment="1">
      <alignment vertical="top"/>
    </xf>
    <xf numFmtId="0" fontId="34" fillId="0" borderId="213" xfId="0" applyFont="1" applyFill="1" applyBorder="1" applyAlignment="1">
      <alignment vertical="top"/>
    </xf>
    <xf numFmtId="0" fontId="34" fillId="0" borderId="200" xfId="0" applyFont="1" applyFill="1" applyBorder="1" applyAlignment="1">
      <alignment vertical="top"/>
    </xf>
    <xf numFmtId="0" fontId="17" fillId="2" borderId="214" xfId="0" applyFont="1" applyFill="1" applyBorder="1" applyAlignment="1">
      <alignment horizontal="center" vertical="top"/>
    </xf>
    <xf numFmtId="0" fontId="17" fillId="2" borderId="221" xfId="0" applyFont="1" applyFill="1" applyBorder="1" applyAlignment="1">
      <alignment horizontal="center" vertical="center"/>
    </xf>
    <xf numFmtId="0" fontId="17" fillId="2" borderId="200" xfId="0" applyFont="1" applyFill="1" applyBorder="1" applyAlignment="1">
      <alignment horizontal="center" vertical="center" wrapText="1"/>
    </xf>
    <xf numFmtId="0" fontId="17" fillId="2" borderId="226" xfId="0" applyFont="1" applyFill="1" applyBorder="1" applyAlignment="1">
      <alignment horizontal="center" vertical="top"/>
    </xf>
    <xf numFmtId="0" fontId="17" fillId="2" borderId="213" xfId="0" applyFont="1" applyFill="1" applyBorder="1" applyAlignment="1">
      <alignment horizontal="center" vertical="top"/>
    </xf>
    <xf numFmtId="0" fontId="21" fillId="2" borderId="230" xfId="0" applyFont="1" applyFill="1" applyBorder="1" applyAlignment="1">
      <alignment horizontal="center" vertical="top"/>
    </xf>
    <xf numFmtId="0" fontId="21" fillId="2" borderId="202" xfId="0" applyFont="1" applyFill="1" applyBorder="1" applyAlignment="1">
      <alignment horizontal="center" vertical="top"/>
    </xf>
    <xf numFmtId="0" fontId="21" fillId="2" borderId="202" xfId="0" quotePrefix="1" applyFont="1" applyFill="1" applyBorder="1" applyAlignment="1">
      <alignment horizontal="center" vertical="top"/>
    </xf>
    <xf numFmtId="0" fontId="21" fillId="27" borderId="202" xfId="0" quotePrefix="1" applyFont="1" applyFill="1" applyBorder="1" applyAlignment="1">
      <alignment horizontal="center" vertical="top"/>
    </xf>
    <xf numFmtId="0" fontId="21" fillId="2" borderId="231" xfId="0" quotePrefix="1" applyFont="1" applyFill="1" applyBorder="1" applyAlignment="1">
      <alignment horizontal="center" vertical="top"/>
    </xf>
    <xf numFmtId="0" fontId="21" fillId="0" borderId="200" xfId="0" applyFont="1" applyFill="1" applyBorder="1" applyAlignment="1">
      <alignment vertical="top"/>
    </xf>
    <xf numFmtId="3" fontId="7" fillId="0" borderId="200" xfId="0" applyNumberFormat="1" applyFont="1" applyFill="1" applyBorder="1" applyAlignment="1">
      <alignment vertical="top"/>
    </xf>
    <xf numFmtId="0" fontId="30" fillId="8" borderId="214" xfId="0" applyFont="1" applyFill="1" applyBorder="1" applyAlignment="1">
      <alignment vertical="top"/>
    </xf>
    <xf numFmtId="0" fontId="27" fillId="56" borderId="232" xfId="4" applyFont="1" applyFill="1" applyBorder="1" applyAlignment="1">
      <alignment horizontal="left" vertical="center"/>
    </xf>
    <xf numFmtId="0" fontId="27" fillId="56" borderId="233" xfId="4" applyFont="1" applyFill="1" applyBorder="1" applyAlignment="1">
      <alignment horizontal="left" vertical="center"/>
    </xf>
    <xf numFmtId="3" fontId="27" fillId="56" borderId="219" xfId="4" applyNumberFormat="1" applyFont="1" applyFill="1" applyBorder="1" applyAlignment="1">
      <alignment horizontal="right" vertical="center"/>
    </xf>
    <xf numFmtId="3" fontId="27" fillId="56" borderId="218" xfId="4" applyNumberFormat="1" applyFont="1" applyFill="1" applyBorder="1" applyAlignment="1">
      <alignment horizontal="right" vertical="center"/>
    </xf>
    <xf numFmtId="3" fontId="27" fillId="22" borderId="234" xfId="4" applyNumberFormat="1" applyFont="1" applyFill="1" applyBorder="1" applyAlignment="1">
      <alignment horizontal="right" vertical="center"/>
    </xf>
    <xf numFmtId="3" fontId="18" fillId="8" borderId="220" xfId="4" applyNumberFormat="1" applyFont="1" applyFill="1" applyBorder="1" applyAlignment="1">
      <alignment vertical="top" wrapText="1"/>
    </xf>
    <xf numFmtId="3" fontId="0" fillId="0" borderId="200" xfId="0" applyNumberFormat="1" applyFont="1" applyBorder="1"/>
    <xf numFmtId="0" fontId="30" fillId="8" borderId="221" xfId="0" applyFont="1" applyFill="1" applyBorder="1" applyAlignment="1">
      <alignment vertical="top"/>
    </xf>
    <xf numFmtId="0" fontId="27" fillId="56" borderId="221" xfId="4" applyFont="1" applyFill="1" applyBorder="1" applyAlignment="1">
      <alignment horizontal="left" vertical="center"/>
    </xf>
    <xf numFmtId="0" fontId="27" fillId="56" borderId="222" xfId="4" applyFont="1" applyFill="1" applyBorder="1" applyAlignment="1">
      <alignment horizontal="left" vertical="center"/>
    </xf>
    <xf numFmtId="3" fontId="27" fillId="56" borderId="210" xfId="4" applyNumberFormat="1" applyFont="1" applyFill="1" applyBorder="1" applyAlignment="1">
      <alignment horizontal="right" vertical="center"/>
    </xf>
    <xf numFmtId="3" fontId="27" fillId="56" borderId="224" xfId="4" applyNumberFormat="1" applyFont="1" applyFill="1" applyBorder="1" applyAlignment="1">
      <alignment horizontal="right" vertical="center"/>
    </xf>
    <xf numFmtId="3" fontId="27" fillId="56" borderId="208" xfId="4" applyNumberFormat="1" applyFont="1" applyFill="1" applyBorder="1" applyAlignment="1">
      <alignment horizontal="right" vertical="center"/>
    </xf>
    <xf numFmtId="3" fontId="27" fillId="22" borderId="206" xfId="4" applyNumberFormat="1" applyFont="1" applyFill="1" applyBorder="1" applyAlignment="1">
      <alignment horizontal="right" vertical="center"/>
    </xf>
    <xf numFmtId="3" fontId="27" fillId="22" borderId="235" xfId="4" applyNumberFormat="1" applyFont="1" applyFill="1" applyBorder="1" applyAlignment="1">
      <alignment horizontal="right" vertical="center"/>
    </xf>
    <xf numFmtId="3" fontId="18" fillId="8" borderId="225" xfId="4" applyNumberFormat="1" applyFont="1" applyFill="1" applyBorder="1" applyAlignment="1">
      <alignment vertical="top" wrapText="1"/>
    </xf>
    <xf numFmtId="0" fontId="27" fillId="56" borderId="226" xfId="0" applyFont="1" applyFill="1" applyBorder="1" applyAlignment="1">
      <alignment horizontal="left" vertical="top"/>
    </xf>
    <xf numFmtId="0" fontId="28" fillId="56" borderId="227" xfId="0" quotePrefix="1" applyFont="1" applyFill="1" applyBorder="1" applyAlignment="1">
      <alignment horizontal="center" vertical="top"/>
    </xf>
    <xf numFmtId="3" fontId="27" fillId="56" borderId="236" xfId="0" quotePrefix="1" applyNumberFormat="1" applyFont="1" applyFill="1" applyBorder="1" applyAlignment="1">
      <alignment horizontal="right" vertical="top"/>
    </xf>
    <xf numFmtId="3" fontId="27" fillId="56" borderId="228" xfId="0" quotePrefix="1" applyNumberFormat="1" applyFont="1" applyFill="1" applyBorder="1" applyAlignment="1">
      <alignment horizontal="right" vertical="top"/>
    </xf>
    <xf numFmtId="3" fontId="27" fillId="22" borderId="237" xfId="4" applyNumberFormat="1" applyFont="1" applyFill="1" applyBorder="1" applyAlignment="1">
      <alignment horizontal="right" vertical="center"/>
    </xf>
    <xf numFmtId="3" fontId="27" fillId="22" borderId="238" xfId="4" applyNumberFormat="1" applyFont="1" applyFill="1" applyBorder="1" applyAlignment="1">
      <alignment horizontal="right" vertical="center"/>
    </xf>
    <xf numFmtId="0" fontId="25" fillId="6" borderId="239" xfId="4" applyFont="1" applyFill="1" applyBorder="1" applyAlignment="1">
      <alignment horizontal="left"/>
    </xf>
    <xf numFmtId="0" fontId="25" fillId="6" borderId="212" xfId="4" applyFont="1" applyFill="1" applyBorder="1" applyAlignment="1">
      <alignment horizontal="left"/>
    </xf>
    <xf numFmtId="3" fontId="25" fillId="6" borderId="201" xfId="0" applyNumberFormat="1" applyFont="1" applyFill="1" applyBorder="1" applyAlignment="1"/>
    <xf numFmtId="3" fontId="25" fillId="6" borderId="240" xfId="0" applyNumberFormat="1" applyFont="1" applyFill="1" applyBorder="1" applyAlignment="1"/>
    <xf numFmtId="3" fontId="25" fillId="23" borderId="241" xfId="0" applyNumberFormat="1" applyFont="1" applyFill="1" applyBorder="1" applyAlignment="1"/>
    <xf numFmtId="3" fontId="18" fillId="8" borderId="225" xfId="0" applyNumberFormat="1" applyFont="1" applyFill="1" applyBorder="1" applyAlignment="1">
      <alignment horizontal="center" vertical="top" wrapText="1"/>
    </xf>
    <xf numFmtId="3" fontId="21" fillId="0" borderId="200" xfId="0" applyNumberFormat="1" applyFont="1" applyFill="1" applyBorder="1" applyAlignment="1">
      <alignment vertical="top"/>
    </xf>
    <xf numFmtId="0" fontId="27" fillId="8" borderId="242" xfId="4" applyFont="1" applyFill="1" applyBorder="1" applyAlignment="1"/>
    <xf numFmtId="0" fontId="25" fillId="8" borderId="212" xfId="0" applyFont="1" applyFill="1" applyBorder="1" applyAlignment="1">
      <alignment wrapText="1"/>
    </xf>
    <xf numFmtId="3" fontId="25" fillId="8" borderId="240" xfId="0" applyNumberFormat="1" applyFont="1" applyFill="1" applyBorder="1" applyAlignment="1"/>
    <xf numFmtId="3" fontId="25" fillId="24" borderId="241" xfId="0" applyNumberFormat="1" applyFont="1" applyFill="1" applyBorder="1" applyAlignment="1"/>
    <xf numFmtId="3" fontId="18" fillId="8" borderId="225" xfId="0" applyNumberFormat="1" applyFont="1" applyFill="1" applyBorder="1" applyAlignment="1">
      <alignment horizontal="center" vertical="center" wrapText="1"/>
    </xf>
    <xf numFmtId="0" fontId="21" fillId="0" borderId="200" xfId="0" applyFont="1" applyFill="1" applyBorder="1" applyAlignment="1">
      <alignment vertical="center"/>
    </xf>
    <xf numFmtId="3" fontId="21" fillId="0" borderId="200" xfId="0" applyNumberFormat="1" applyFont="1" applyFill="1" applyBorder="1" applyAlignment="1">
      <alignment vertical="center"/>
    </xf>
    <xf numFmtId="0" fontId="31" fillId="8" borderId="239" xfId="0" applyFont="1" applyFill="1" applyBorder="1" applyAlignment="1">
      <alignment vertical="center"/>
    </xf>
    <xf numFmtId="3" fontId="31" fillId="8" borderId="240" xfId="0" applyNumberFormat="1" applyFont="1" applyFill="1" applyBorder="1" applyAlignment="1"/>
    <xf numFmtId="3" fontId="31" fillId="24" borderId="231" xfId="0" applyNumberFormat="1" applyFont="1" applyFill="1" applyBorder="1" applyAlignment="1">
      <alignment vertical="center"/>
    </xf>
    <xf numFmtId="3" fontId="31" fillId="24" borderId="231" xfId="0" applyNumberFormat="1" applyFont="1" applyFill="1" applyBorder="1" applyAlignment="1">
      <alignment vertical="top"/>
    </xf>
    <xf numFmtId="0" fontId="31" fillId="8" borderId="212" xfId="0" applyFont="1" applyFill="1" applyBorder="1" applyAlignment="1">
      <alignment vertical="center"/>
    </xf>
    <xf numFmtId="3" fontId="31" fillId="8" borderId="202" xfId="0" applyNumberFormat="1" applyFont="1" applyFill="1" applyBorder="1" applyAlignment="1">
      <alignment vertical="center"/>
    </xf>
    <xf numFmtId="3" fontId="31" fillId="26" borderId="231" xfId="0" applyNumberFormat="1" applyFont="1" applyFill="1" applyBorder="1" applyAlignment="1">
      <alignment horizontal="center" vertical="top"/>
    </xf>
    <xf numFmtId="3" fontId="31" fillId="8" borderId="240" xfId="0" applyNumberFormat="1" applyFont="1" applyFill="1" applyBorder="1" applyAlignment="1">
      <alignment vertical="center"/>
    </xf>
    <xf numFmtId="0" fontId="57" fillId="8" borderId="225" xfId="0" applyFont="1" applyFill="1" applyBorder="1" applyAlignment="1">
      <alignment horizontal="center" vertical="top" wrapText="1"/>
    </xf>
    <xf numFmtId="0" fontId="30" fillId="8" borderId="221" xfId="0" applyFont="1" applyFill="1" applyBorder="1" applyAlignment="1">
      <alignment vertical="center"/>
    </xf>
    <xf numFmtId="0" fontId="31" fillId="8" borderId="243" xfId="0" applyFont="1" applyFill="1" applyBorder="1" applyAlignment="1">
      <alignment vertical="center" wrapText="1"/>
    </xf>
    <xf numFmtId="3" fontId="7" fillId="24" borderId="231" xfId="0" applyNumberFormat="1" applyFont="1" applyFill="1" applyBorder="1" applyAlignment="1">
      <alignment vertical="center"/>
    </xf>
    <xf numFmtId="0" fontId="57" fillId="8" borderId="225" xfId="0" applyFont="1" applyFill="1" applyBorder="1" applyAlignment="1">
      <alignment horizontal="center" vertical="center" wrapText="1"/>
    </xf>
    <xf numFmtId="0" fontId="18" fillId="0" borderId="200" xfId="0" applyFont="1" applyFill="1" applyBorder="1" applyAlignment="1">
      <alignment vertical="center"/>
    </xf>
    <xf numFmtId="3" fontId="18" fillId="0" borderId="200" xfId="0" applyNumberFormat="1" applyFont="1" applyFill="1" applyBorder="1" applyAlignment="1">
      <alignment vertical="center"/>
    </xf>
    <xf numFmtId="0" fontId="17" fillId="8" borderId="221" xfId="0" applyFont="1" applyFill="1" applyBorder="1" applyAlignment="1">
      <alignment vertical="center"/>
    </xf>
    <xf numFmtId="0" fontId="27" fillId="8" borderId="242" xfId="4" applyFont="1" applyFill="1" applyBorder="1" applyAlignment="1">
      <alignment vertical="center"/>
    </xf>
    <xf numFmtId="0" fontId="25" fillId="8" borderId="212" xfId="0" applyFont="1" applyFill="1" applyBorder="1" applyAlignment="1">
      <alignment vertical="center" wrapText="1"/>
    </xf>
    <xf numFmtId="3" fontId="25" fillId="8" borderId="240" xfId="0" applyNumberFormat="1" applyFont="1" applyFill="1" applyBorder="1" applyAlignment="1">
      <alignment vertical="center"/>
    </xf>
    <xf numFmtId="0" fontId="17" fillId="8" borderId="221" xfId="0" applyFont="1" applyFill="1" applyBorder="1" applyAlignment="1">
      <alignment vertical="top"/>
    </xf>
    <xf numFmtId="0" fontId="31" fillId="8" borderId="244" xfId="4" applyFont="1" applyFill="1" applyBorder="1" applyAlignment="1">
      <alignment vertical="top" wrapText="1"/>
    </xf>
    <xf numFmtId="0" fontId="31" fillId="8" borderId="230" xfId="0" applyFont="1" applyFill="1" applyBorder="1" applyAlignment="1">
      <alignment vertical="top" wrapText="1"/>
    </xf>
    <xf numFmtId="3" fontId="31" fillId="8" borderId="224" xfId="0" applyNumberFormat="1" applyFont="1" applyFill="1" applyBorder="1" applyAlignment="1">
      <alignment vertical="top"/>
    </xf>
    <xf numFmtId="0" fontId="18" fillId="8" borderId="225" xfId="0" applyFont="1" applyFill="1" applyBorder="1" applyAlignment="1">
      <alignment horizontal="center" vertical="top" wrapText="1"/>
    </xf>
    <xf numFmtId="0" fontId="25" fillId="6" borderId="243" xfId="4" applyFont="1" applyFill="1" applyBorder="1" applyAlignment="1">
      <alignment horizontal="left" vertical="center"/>
    </xf>
    <xf numFmtId="0" fontId="25" fillId="6" borderId="212" xfId="4" applyFont="1" applyFill="1" applyBorder="1" applyAlignment="1">
      <alignment horizontal="left" vertical="center"/>
    </xf>
    <xf numFmtId="3" fontId="25" fillId="6" borderId="202" xfId="0" applyNumberFormat="1" applyFont="1" applyFill="1" applyBorder="1" applyAlignment="1">
      <alignment vertical="center"/>
    </xf>
    <xf numFmtId="0" fontId="18" fillId="8" borderId="225" xfId="0" applyFont="1" applyFill="1" applyBorder="1" applyAlignment="1">
      <alignment horizontal="center" vertical="center" wrapText="1"/>
    </xf>
    <xf numFmtId="0" fontId="31" fillId="8" borderId="210" xfId="0" applyFont="1" applyFill="1" applyBorder="1" applyAlignment="1">
      <alignment vertical="top" wrapText="1"/>
    </xf>
    <xf numFmtId="3" fontId="31" fillId="8" borderId="246" xfId="0" applyNumberFormat="1" applyFont="1" applyFill="1" applyBorder="1" applyAlignment="1">
      <alignment vertical="top"/>
    </xf>
    <xf numFmtId="0" fontId="24" fillId="8" borderId="214" xfId="0" applyFont="1" applyFill="1" applyBorder="1" applyAlignment="1">
      <alignment vertical="center" wrapText="1"/>
    </xf>
    <xf numFmtId="0" fontId="24" fillId="8" borderId="219" xfId="0" applyFont="1" applyFill="1" applyBorder="1" applyAlignment="1">
      <alignment horizontal="center" vertical="center" wrapText="1"/>
    </xf>
    <xf numFmtId="3" fontId="25" fillId="8" borderId="247" xfId="0" applyNumberFormat="1" applyFont="1" applyFill="1" applyBorder="1" applyAlignment="1">
      <alignment vertical="top"/>
    </xf>
    <xf numFmtId="3" fontId="25" fillId="8" borderId="216" xfId="0" applyNumberFormat="1" applyFont="1" applyFill="1" applyBorder="1" applyAlignment="1">
      <alignment vertical="top"/>
    </xf>
    <xf numFmtId="3" fontId="25" fillId="8" borderId="248" xfId="0" applyNumberFormat="1" applyFont="1" applyFill="1" applyBorder="1" applyAlignment="1">
      <alignment vertical="top"/>
    </xf>
    <xf numFmtId="3" fontId="25" fillId="24" borderId="249" xfId="0" applyNumberFormat="1" applyFont="1" applyFill="1" applyBorder="1" applyAlignment="1">
      <alignment vertical="top"/>
    </xf>
    <xf numFmtId="0" fontId="18" fillId="0" borderId="200" xfId="0" applyFont="1" applyFill="1" applyBorder="1" applyAlignment="1">
      <alignment vertical="top"/>
    </xf>
    <xf numFmtId="0" fontId="24" fillId="6" borderId="243" xfId="4" applyFont="1" applyFill="1" applyBorder="1" applyAlignment="1">
      <alignment horizontal="left" vertical="center"/>
    </xf>
    <xf numFmtId="0" fontId="7" fillId="6" borderId="205" xfId="0" applyFont="1" applyFill="1" applyBorder="1" applyAlignment="1">
      <alignment vertical="top"/>
    </xf>
    <xf numFmtId="3" fontId="25" fillId="6" borderId="202" xfId="0" applyNumberFormat="1" applyFont="1" applyFill="1" applyBorder="1" applyAlignment="1"/>
    <xf numFmtId="43" fontId="25" fillId="6" borderId="202" xfId="1" applyFont="1" applyFill="1" applyBorder="1" applyAlignment="1"/>
    <xf numFmtId="43" fontId="25" fillId="6" borderId="205" xfId="1" applyFont="1" applyFill="1" applyBorder="1" applyAlignment="1"/>
    <xf numFmtId="3" fontId="25" fillId="23" borderId="231" xfId="0" applyNumberFormat="1" applyFont="1" applyFill="1" applyBorder="1" applyAlignment="1"/>
    <xf numFmtId="3" fontId="18" fillId="0" borderId="200" xfId="0" applyNumberFormat="1" applyFont="1" applyFill="1" applyBorder="1" applyAlignment="1">
      <alignment vertical="top"/>
    </xf>
    <xf numFmtId="3" fontId="29" fillId="2" borderId="243" xfId="4" applyNumberFormat="1" applyFont="1" applyFill="1" applyBorder="1" applyAlignment="1">
      <alignment vertical="top" wrapText="1"/>
    </xf>
    <xf numFmtId="3" fontId="27" fillId="2" borderId="202" xfId="0" applyNumberFormat="1" applyFont="1" applyFill="1" applyBorder="1" applyAlignment="1"/>
    <xf numFmtId="43" fontId="27" fillId="2" borderId="202" xfId="1" applyFont="1" applyFill="1" applyBorder="1" applyAlignment="1"/>
    <xf numFmtId="43" fontId="27" fillId="2" borderId="205" xfId="1" applyFont="1" applyFill="1" applyBorder="1" applyAlignment="1"/>
    <xf numFmtId="3" fontId="27" fillId="26" borderId="231" xfId="0" applyNumberFormat="1" applyFont="1" applyFill="1" applyBorder="1" applyAlignment="1"/>
    <xf numFmtId="0" fontId="7" fillId="0" borderId="239" xfId="0" applyFont="1" applyFill="1" applyBorder="1" applyAlignment="1">
      <alignment vertical="top"/>
    </xf>
    <xf numFmtId="3" fontId="31" fillId="0" borderId="208" xfId="4" applyNumberFormat="1" applyFont="1" applyFill="1" applyBorder="1" applyAlignment="1">
      <alignment vertical="center"/>
    </xf>
    <xf numFmtId="3" fontId="31" fillId="0" borderId="205" xfId="4" applyNumberFormat="1" applyFont="1" applyFill="1" applyBorder="1" applyAlignment="1"/>
    <xf numFmtId="3" fontId="31" fillId="0" borderId="202" xfId="0" applyNumberFormat="1" applyFont="1" applyFill="1" applyBorder="1" applyAlignment="1">
      <alignment vertical="top"/>
    </xf>
    <xf numFmtId="43" fontId="31" fillId="0" borderId="202" xfId="1" applyFont="1" applyFill="1" applyBorder="1" applyAlignment="1">
      <alignment vertical="top"/>
    </xf>
    <xf numFmtId="43" fontId="31" fillId="0" borderId="205" xfId="1" applyFont="1" applyFill="1" applyBorder="1" applyAlignment="1">
      <alignment vertical="top"/>
    </xf>
    <xf numFmtId="0" fontId="7" fillId="0" borderId="243" xfId="0" applyFont="1" applyFill="1" applyBorder="1" applyAlignment="1">
      <alignment vertical="top" wrapText="1"/>
    </xf>
    <xf numFmtId="3" fontId="31" fillId="26" borderId="231" xfId="0" applyNumberFormat="1" applyFont="1" applyFill="1" applyBorder="1" applyAlignment="1">
      <alignment vertical="top"/>
    </xf>
    <xf numFmtId="0" fontId="7" fillId="0" borderId="239" xfId="0" applyFont="1" applyFill="1" applyBorder="1" applyAlignment="1">
      <alignment horizontal="left" vertical="center"/>
    </xf>
    <xf numFmtId="43" fontId="31" fillId="0" borderId="224" xfId="1" applyFont="1" applyFill="1" applyBorder="1" applyAlignment="1">
      <alignment vertical="top"/>
    </xf>
    <xf numFmtId="43" fontId="31" fillId="0" borderId="208" xfId="1" applyFont="1" applyFill="1" applyBorder="1" applyAlignment="1">
      <alignment vertical="top"/>
    </xf>
    <xf numFmtId="43" fontId="31" fillId="0" borderId="208" xfId="1" applyFont="1" applyFill="1" applyBorder="1" applyAlignment="1">
      <alignment vertical="center"/>
    </xf>
    <xf numFmtId="43" fontId="0" fillId="0" borderId="201" xfId="1" applyFont="1" applyBorder="1"/>
    <xf numFmtId="43" fontId="0" fillId="0" borderId="212" xfId="1" applyFont="1" applyBorder="1"/>
    <xf numFmtId="43" fontId="0" fillId="0" borderId="240" xfId="1" applyFont="1" applyBorder="1"/>
    <xf numFmtId="3" fontId="31" fillId="26" borderId="245" xfId="0" applyNumberFormat="1" applyFont="1" applyFill="1" applyBorder="1" applyAlignment="1">
      <alignment horizontal="center" vertical="top"/>
    </xf>
    <xf numFmtId="0" fontId="7" fillId="6" borderId="252" xfId="0" applyFont="1" applyFill="1" applyBorder="1" applyAlignment="1">
      <alignment vertical="top"/>
    </xf>
    <xf numFmtId="43" fontId="25" fillId="23" borderId="241" xfId="1" applyFont="1" applyFill="1" applyBorder="1" applyAlignment="1">
      <alignment horizontal="center" vertical="center"/>
    </xf>
    <xf numFmtId="3" fontId="27" fillId="2" borderId="243" xfId="4" applyNumberFormat="1" applyFont="1" applyFill="1" applyBorder="1" applyAlignment="1">
      <alignment vertical="center" wrapText="1"/>
    </xf>
    <xf numFmtId="3" fontId="27" fillId="2" borderId="202" xfId="0" applyNumberFormat="1" applyFont="1" applyFill="1" applyBorder="1" applyAlignment="1">
      <alignment vertical="center"/>
    </xf>
    <xf numFmtId="43" fontId="27" fillId="2" borderId="202" xfId="1" applyFont="1" applyFill="1" applyBorder="1" applyAlignment="1">
      <alignment vertical="center"/>
    </xf>
    <xf numFmtId="43" fontId="27" fillId="2" borderId="205" xfId="1" applyFont="1" applyFill="1" applyBorder="1" applyAlignment="1">
      <alignment vertical="center"/>
    </xf>
    <xf numFmtId="0" fontId="7" fillId="0" borderId="226" xfId="0" applyFont="1" applyFill="1" applyBorder="1" applyAlignment="1">
      <alignment horizontal="left" vertical="center"/>
    </xf>
    <xf numFmtId="3" fontId="31" fillId="0" borderId="246" xfId="4" applyNumberFormat="1" applyFont="1" applyFill="1" applyBorder="1" applyAlignment="1">
      <alignment vertical="center"/>
    </xf>
    <xf numFmtId="3" fontId="31" fillId="0" borderId="254" xfId="4" applyNumberFormat="1" applyFont="1" applyFill="1" applyBorder="1" applyAlignment="1"/>
    <xf numFmtId="43" fontId="31" fillId="0" borderId="246" xfId="1" applyFont="1" applyFill="1" applyBorder="1" applyAlignment="1">
      <alignment vertical="top"/>
    </xf>
    <xf numFmtId="43" fontId="31" fillId="0" borderId="254" xfId="1" applyFont="1" applyFill="1" applyBorder="1" applyAlignment="1">
      <alignment vertical="top"/>
    </xf>
    <xf numFmtId="0" fontId="7" fillId="6" borderId="230" xfId="0" applyFont="1" applyFill="1" applyBorder="1" applyAlignment="1">
      <alignment vertical="top"/>
    </xf>
    <xf numFmtId="43" fontId="25" fillId="6" borderId="204" xfId="1" applyFont="1" applyFill="1" applyBorder="1" applyAlignment="1"/>
    <xf numFmtId="3" fontId="29" fillId="2" borderId="243" xfId="4" applyNumberFormat="1" applyFont="1" applyFill="1" applyBorder="1" applyAlignment="1">
      <alignment vertical="center" wrapText="1"/>
    </xf>
    <xf numFmtId="43" fontId="27" fillId="2" borderId="204" xfId="1" applyFont="1" applyFill="1" applyBorder="1" applyAlignment="1">
      <alignment vertical="center"/>
    </xf>
    <xf numFmtId="3" fontId="27" fillId="24" borderId="231" xfId="0" applyNumberFormat="1" applyFont="1" applyFill="1" applyBorder="1" applyAlignment="1"/>
    <xf numFmtId="3" fontId="31" fillId="0" borderId="202" xfId="0" applyNumberFormat="1" applyFont="1" applyFill="1" applyBorder="1" applyAlignment="1">
      <alignment vertical="center"/>
    </xf>
    <xf numFmtId="43" fontId="31" fillId="0" borderId="204" xfId="1" applyFont="1" applyFill="1" applyBorder="1" applyAlignment="1">
      <alignment vertical="center"/>
    </xf>
    <xf numFmtId="0" fontId="7" fillId="0" borderId="226" xfId="0" applyFont="1" applyFill="1" applyBorder="1" applyAlignment="1">
      <alignment vertical="center"/>
    </xf>
    <xf numFmtId="3" fontId="31" fillId="0" borderId="254" xfId="4" applyNumberFormat="1" applyFont="1" applyFill="1" applyBorder="1" applyAlignment="1">
      <alignment vertical="center"/>
    </xf>
    <xf numFmtId="3" fontId="31" fillId="0" borderId="228" xfId="0" applyNumberFormat="1" applyFont="1" applyFill="1" applyBorder="1" applyAlignment="1">
      <alignment vertical="center"/>
    </xf>
    <xf numFmtId="3" fontId="31" fillId="0" borderId="246" xfId="0" applyNumberFormat="1" applyFont="1" applyFill="1" applyBorder="1" applyAlignment="1">
      <alignment vertical="center"/>
    </xf>
    <xf numFmtId="43" fontId="31" fillId="0" borderId="255" xfId="1" applyFont="1" applyFill="1" applyBorder="1" applyAlignment="1">
      <alignment vertical="center"/>
    </xf>
    <xf numFmtId="3" fontId="31" fillId="26" borderId="256" xfId="0" applyNumberFormat="1" applyFont="1" applyFill="1" applyBorder="1" applyAlignment="1">
      <alignment vertical="top"/>
    </xf>
    <xf numFmtId="0" fontId="24" fillId="8" borderId="214" xfId="0" applyFont="1" applyFill="1" applyBorder="1" applyAlignment="1">
      <alignment vertical="top" wrapText="1"/>
    </xf>
    <xf numFmtId="3" fontId="25" fillId="8" borderId="257" xfId="0" applyNumberFormat="1" applyFont="1" applyFill="1" applyBorder="1" applyAlignment="1">
      <alignment vertical="top"/>
    </xf>
    <xf numFmtId="3" fontId="25" fillId="8" borderId="219" xfId="0" applyNumberFormat="1" applyFont="1" applyFill="1" applyBorder="1" applyAlignment="1">
      <alignment vertical="top"/>
    </xf>
    <xf numFmtId="3" fontId="31" fillId="24" borderId="258" xfId="0" applyNumberFormat="1" applyFont="1" applyFill="1" applyBorder="1" applyAlignment="1"/>
    <xf numFmtId="3" fontId="25" fillId="23" borderId="259" xfId="0" applyNumberFormat="1" applyFont="1" applyFill="1" applyBorder="1" applyAlignment="1"/>
    <xf numFmtId="3" fontId="31" fillId="0" borderId="246" xfId="4" applyNumberFormat="1" applyFont="1" applyFill="1" applyBorder="1" applyAlignment="1"/>
    <xf numFmtId="3" fontId="31" fillId="0" borderId="208" xfId="0" applyNumberFormat="1" applyFont="1" applyFill="1" applyBorder="1" applyAlignment="1">
      <alignment vertical="center"/>
    </xf>
    <xf numFmtId="43" fontId="31" fillId="0" borderId="202" xfId="1" applyFont="1" applyFill="1" applyBorder="1" applyAlignment="1">
      <alignment vertical="center"/>
    </xf>
    <xf numFmtId="43" fontId="31" fillId="0" borderId="205" xfId="1" applyFont="1" applyFill="1" applyBorder="1" applyAlignment="1">
      <alignment vertical="center"/>
    </xf>
    <xf numFmtId="43" fontId="31" fillId="0" borderId="246" xfId="1" applyFont="1" applyFill="1" applyBorder="1" applyAlignment="1">
      <alignment vertical="center"/>
    </xf>
    <xf numFmtId="3" fontId="31" fillId="24" borderId="260" xfId="0" applyNumberFormat="1" applyFont="1" applyFill="1" applyBorder="1" applyAlignment="1"/>
    <xf numFmtId="0" fontId="57" fillId="0" borderId="200" xfId="0" applyFont="1" applyFill="1" applyBorder="1" applyAlignment="1">
      <alignment vertical="top"/>
    </xf>
    <xf numFmtId="0" fontId="13" fillId="2" borderId="200" xfId="0" applyFont="1" applyFill="1" applyBorder="1" applyAlignment="1">
      <alignment horizontal="left" vertical="center" wrapText="1"/>
    </xf>
    <xf numFmtId="0" fontId="38" fillId="0" borderId="200" xfId="0" applyFont="1" applyFill="1" applyBorder="1" applyAlignment="1">
      <alignment vertical="top"/>
    </xf>
    <xf numFmtId="3" fontId="22" fillId="0" borderId="200" xfId="0" applyNumberFormat="1" applyFont="1" applyBorder="1" applyAlignment="1">
      <alignment vertical="top"/>
    </xf>
    <xf numFmtId="0" fontId="0" fillId="0" borderId="200" xfId="0" applyFont="1" applyBorder="1" applyAlignment="1">
      <alignment horizontal="center" vertical="top" wrapText="1"/>
    </xf>
    <xf numFmtId="0" fontId="0" fillId="0" borderId="202" xfId="0" applyFont="1" applyBorder="1" applyAlignment="1">
      <alignment horizontal="center" vertical="top"/>
    </xf>
    <xf numFmtId="0" fontId="37" fillId="0" borderId="200" xfId="0" applyFont="1" applyBorder="1" applyAlignment="1">
      <alignment horizontal="center" vertical="top"/>
    </xf>
    <xf numFmtId="3" fontId="37" fillId="0" borderId="200" xfId="0" applyNumberFormat="1" applyFont="1" applyBorder="1" applyAlignment="1">
      <alignment horizontal="center" vertical="top"/>
    </xf>
    <xf numFmtId="3" fontId="37" fillId="0" borderId="202" xfId="0" applyNumberFormat="1" applyFont="1" applyBorder="1" applyAlignment="1">
      <alignment vertical="top"/>
    </xf>
    <xf numFmtId="3" fontId="57" fillId="0" borderId="200" xfId="0" applyNumberFormat="1" applyFont="1" applyFill="1" applyBorder="1" applyAlignment="1">
      <alignment vertical="top"/>
    </xf>
    <xf numFmtId="0" fontId="17" fillId="0" borderId="200" xfId="0" applyFont="1" applyFill="1" applyBorder="1" applyAlignment="1">
      <alignment vertical="top"/>
    </xf>
    <xf numFmtId="3" fontId="17" fillId="0" borderId="200" xfId="0" applyNumberFormat="1" applyFont="1" applyFill="1" applyBorder="1" applyAlignment="1">
      <alignment vertical="top"/>
    </xf>
    <xf numFmtId="0" fontId="19" fillId="0" borderId="200" xfId="0" applyFont="1" applyBorder="1" applyAlignment="1">
      <alignment horizontal="center" vertical="top"/>
    </xf>
    <xf numFmtId="0" fontId="19" fillId="0" borderId="213" xfId="0" applyFont="1" applyBorder="1" applyAlignment="1">
      <alignment vertical="top"/>
    </xf>
    <xf numFmtId="0" fontId="0" fillId="0" borderId="213" xfId="0" applyFont="1" applyBorder="1" applyAlignment="1">
      <alignment vertical="top"/>
    </xf>
    <xf numFmtId="0" fontId="0" fillId="0" borderId="213" xfId="0" applyFont="1" applyBorder="1" applyAlignment="1">
      <alignment horizontal="center" vertical="top" wrapText="1"/>
    </xf>
    <xf numFmtId="0" fontId="24" fillId="0" borderId="200" xfId="0" applyFont="1" applyFill="1" applyBorder="1" applyAlignment="1">
      <alignment vertical="top"/>
    </xf>
    <xf numFmtId="0" fontId="0" fillId="0" borderId="200" xfId="0" applyFont="1" applyFill="1" applyBorder="1" applyAlignment="1">
      <alignment horizontal="center" vertical="top" wrapText="1"/>
    </xf>
    <xf numFmtId="0" fontId="19" fillId="0" borderId="261" xfId="0" applyFont="1" applyBorder="1" applyAlignment="1">
      <alignment vertical="top"/>
    </xf>
    <xf numFmtId="0" fontId="20" fillId="0" borderId="247" xfId="0" applyFont="1" applyBorder="1" applyAlignment="1">
      <alignment vertical="top" wrapText="1"/>
    </xf>
    <xf numFmtId="0" fontId="0" fillId="0" borderId="247" xfId="0" applyFont="1" applyBorder="1" applyAlignment="1">
      <alignment vertical="top"/>
    </xf>
    <xf numFmtId="0" fontId="0" fillId="0" borderId="220" xfId="0" applyFont="1" applyBorder="1" applyAlignment="1">
      <alignment horizontal="center" vertical="top" wrapText="1"/>
    </xf>
    <xf numFmtId="0" fontId="19" fillId="0" borderId="250" xfId="0" applyFont="1" applyBorder="1" applyAlignment="1">
      <alignment vertical="top"/>
    </xf>
    <xf numFmtId="0" fontId="0" fillId="0" borderId="225" xfId="0" applyFont="1" applyBorder="1" applyAlignment="1">
      <alignment horizontal="center" vertical="top" wrapText="1"/>
    </xf>
    <xf numFmtId="0" fontId="19" fillId="0" borderId="253" xfId="0" applyFont="1" applyBorder="1" applyAlignment="1">
      <alignment vertical="top"/>
    </xf>
    <xf numFmtId="0" fontId="0" fillId="0" borderId="229" xfId="0" applyFont="1" applyBorder="1" applyAlignment="1">
      <alignment horizontal="center" vertical="top" wrapText="1"/>
    </xf>
    <xf numFmtId="2" fontId="17" fillId="0" borderId="200" xfId="0" applyNumberFormat="1" applyFont="1" applyBorder="1" applyAlignment="1">
      <alignment vertical="top"/>
    </xf>
    <xf numFmtId="2" fontId="18" fillId="0" borderId="200" xfId="0" applyNumberFormat="1" applyFont="1" applyBorder="1" applyAlignment="1">
      <alignment vertical="top"/>
    </xf>
    <xf numFmtId="2" fontId="11" fillId="0" borderId="200" xfId="0" applyNumberFormat="1" applyFont="1" applyFill="1" applyBorder="1" applyAlignment="1"/>
    <xf numFmtId="2" fontId="14" fillId="2" borderId="200" xfId="3" applyNumberFormat="1" applyFont="1" applyFill="1" applyBorder="1" applyAlignment="1">
      <alignment horizontal="right" vertical="center"/>
    </xf>
    <xf numFmtId="2" fontId="15" fillId="2" borderId="200" xfId="0" applyNumberFormat="1" applyFont="1" applyFill="1" applyBorder="1" applyAlignment="1">
      <alignment horizontal="right" vertical="center"/>
    </xf>
    <xf numFmtId="2" fontId="13" fillId="0" borderId="200" xfId="0" applyNumberFormat="1" applyFont="1" applyFill="1" applyBorder="1" applyAlignment="1">
      <alignment horizontal="left"/>
    </xf>
    <xf numFmtId="2" fontId="20" fillId="2" borderId="214" xfId="0" applyNumberFormat="1" applyFont="1" applyFill="1" applyBorder="1" applyAlignment="1">
      <alignment horizontal="center" vertical="top"/>
    </xf>
    <xf numFmtId="2" fontId="0" fillId="0" borderId="200" xfId="0" applyNumberFormat="1" applyFont="1" applyBorder="1"/>
    <xf numFmtId="2" fontId="20" fillId="2" borderId="221" xfId="0" applyNumberFormat="1" applyFont="1" applyFill="1" applyBorder="1" applyAlignment="1">
      <alignment horizontal="center" vertical="top"/>
    </xf>
    <xf numFmtId="1" fontId="21" fillId="2" borderId="230" xfId="0" applyNumberFormat="1" applyFont="1" applyFill="1" applyBorder="1" applyAlignment="1">
      <alignment horizontal="center" vertical="top"/>
    </xf>
    <xf numFmtId="1" fontId="21" fillId="2" borderId="202" xfId="0" applyNumberFormat="1" applyFont="1" applyFill="1" applyBorder="1" applyAlignment="1">
      <alignment horizontal="center" vertical="top"/>
    </xf>
    <xf numFmtId="1" fontId="21" fillId="2" borderId="202" xfId="0" quotePrefix="1" applyNumberFormat="1" applyFont="1" applyFill="1" applyBorder="1" applyAlignment="1">
      <alignment horizontal="center" vertical="top"/>
    </xf>
    <xf numFmtId="1" fontId="21" fillId="0" borderId="257" xfId="0" quotePrefix="1" applyNumberFormat="1" applyFont="1" applyFill="1" applyBorder="1" applyAlignment="1">
      <alignment horizontal="center" vertical="top"/>
    </xf>
    <xf numFmtId="1" fontId="21" fillId="2" borderId="231" xfId="0" quotePrefix="1" applyNumberFormat="1" applyFont="1" applyFill="1" applyBorder="1" applyAlignment="1">
      <alignment horizontal="center" vertical="top"/>
    </xf>
    <xf numFmtId="2" fontId="17" fillId="8" borderId="221" xfId="0" applyNumberFormat="1" applyFont="1" applyFill="1" applyBorder="1" applyAlignment="1">
      <alignment vertical="center"/>
    </xf>
    <xf numFmtId="2" fontId="27" fillId="56" borderId="242" xfId="4" applyNumberFormat="1" applyFont="1" applyFill="1" applyBorder="1" applyAlignment="1">
      <alignment horizontal="left" vertical="center"/>
    </xf>
    <xf numFmtId="2" fontId="27" fillId="56" borderId="252" xfId="4" applyNumberFormat="1" applyFont="1" applyFill="1" applyBorder="1" applyAlignment="1">
      <alignment horizontal="left" vertical="center"/>
    </xf>
    <xf numFmtId="3" fontId="27" fillId="56" borderId="212" xfId="4" applyNumberFormat="1" applyFont="1" applyFill="1" applyBorder="1" applyAlignment="1">
      <alignment horizontal="right" vertical="center"/>
    </xf>
    <xf numFmtId="3" fontId="27" fillId="22" borderId="240" xfId="4" applyNumberFormat="1" applyFont="1" applyFill="1" applyBorder="1" applyAlignment="1">
      <alignment horizontal="right" vertical="center"/>
    </xf>
    <xf numFmtId="2" fontId="7" fillId="29" borderId="225" xfId="0" applyNumberFormat="1" applyFont="1" applyFill="1" applyBorder="1" applyAlignment="1">
      <alignment horizontal="center" vertical="top" wrapText="1"/>
    </xf>
    <xf numFmtId="2" fontId="27" fillId="56" borderId="225" xfId="4" applyNumberFormat="1" applyFont="1" applyFill="1" applyBorder="1" applyAlignment="1">
      <alignment horizontal="left" vertical="center"/>
    </xf>
    <xf numFmtId="2" fontId="27" fillId="56" borderId="222" xfId="4" applyNumberFormat="1" applyFont="1" applyFill="1" applyBorder="1" applyAlignment="1">
      <alignment horizontal="left" vertical="center"/>
    </xf>
    <xf numFmtId="3" fontId="27" fillId="22" borderId="223" xfId="4" applyNumberFormat="1" applyFont="1" applyFill="1" applyBorder="1" applyAlignment="1">
      <alignment horizontal="right" vertical="center"/>
    </xf>
    <xf numFmtId="2" fontId="27" fillId="56" borderId="241" xfId="0" applyNumberFormat="1" applyFont="1" applyFill="1" applyBorder="1" applyAlignment="1">
      <alignment horizontal="left" vertical="top"/>
    </xf>
    <xf numFmtId="2" fontId="24" fillId="29" borderId="221" xfId="0" applyNumberFormat="1" applyFont="1" applyFill="1" applyBorder="1" applyAlignment="1">
      <alignment vertical="top"/>
    </xf>
    <xf numFmtId="2" fontId="24" fillId="6" borderId="232" xfId="4" applyNumberFormat="1" applyFont="1" applyFill="1" applyBorder="1" applyAlignment="1">
      <alignment horizontal="left" vertical="center"/>
    </xf>
    <xf numFmtId="2" fontId="24" fillId="6" borderId="233" xfId="4" applyNumberFormat="1" applyFont="1" applyFill="1" applyBorder="1" applyAlignment="1">
      <alignment horizontal="left" vertical="center"/>
    </xf>
    <xf numFmtId="3" fontId="24" fillId="30" borderId="257" xfId="0" applyNumberFormat="1" applyFont="1" applyFill="1" applyBorder="1" applyAlignment="1">
      <alignment vertical="center"/>
    </xf>
    <xf numFmtId="3" fontId="24" fillId="23" borderId="257" xfId="0" applyNumberFormat="1" applyFont="1" applyFill="1" applyBorder="1" applyAlignment="1">
      <alignment vertical="center"/>
    </xf>
    <xf numFmtId="2" fontId="29" fillId="8" borderId="242" xfId="4" applyNumberFormat="1" applyFont="1" applyFill="1" applyBorder="1" applyAlignment="1">
      <alignment vertical="center"/>
    </xf>
    <xf numFmtId="2" fontId="7" fillId="8" borderId="230" xfId="0" applyNumberFormat="1" applyFont="1" applyFill="1" applyBorder="1" applyAlignment="1">
      <alignment vertical="center" wrapText="1"/>
    </xf>
    <xf numFmtId="3" fontId="29" fillId="8" borderId="202" xfId="0" applyNumberFormat="1" applyFont="1" applyFill="1" applyBorder="1" applyAlignment="1">
      <alignment vertical="center"/>
    </xf>
    <xf numFmtId="3" fontId="29" fillId="24" borderId="202" xfId="0" applyNumberFormat="1" applyFont="1" applyFill="1" applyBorder="1" applyAlignment="1">
      <alignment vertical="center"/>
    </xf>
    <xf numFmtId="2" fontId="18" fillId="8" borderId="225" xfId="0" applyNumberFormat="1" applyFont="1" applyFill="1" applyBorder="1" applyAlignment="1">
      <alignment horizontal="center" vertical="center" wrapText="1"/>
    </xf>
    <xf numFmtId="2" fontId="17" fillId="29" borderId="221" xfId="0" applyNumberFormat="1" applyFont="1" applyFill="1" applyBorder="1" applyAlignment="1">
      <alignment vertical="top"/>
    </xf>
    <xf numFmtId="2" fontId="7" fillId="8" borderId="242" xfId="4" applyNumberFormat="1" applyFont="1" applyFill="1" applyBorder="1" applyAlignment="1">
      <alignment vertical="center"/>
    </xf>
    <xf numFmtId="2" fontId="7" fillId="29" borderId="201" xfId="0" applyNumberFormat="1" applyFont="1" applyFill="1" applyBorder="1" applyAlignment="1">
      <alignment vertical="center" wrapText="1"/>
    </xf>
    <xf numFmtId="3" fontId="7" fillId="29" borderId="202" xfId="0" applyNumberFormat="1" applyFont="1" applyFill="1" applyBorder="1" applyAlignment="1">
      <alignment vertical="center"/>
    </xf>
    <xf numFmtId="3" fontId="7" fillId="24" borderId="202" xfId="0" applyNumberFormat="1" applyFont="1" applyFill="1" applyBorder="1" applyAlignment="1">
      <alignment vertical="center"/>
    </xf>
    <xf numFmtId="0" fontId="7" fillId="8" borderId="242" xfId="4" applyFont="1" applyFill="1" applyBorder="1" applyAlignment="1">
      <alignment horizontal="left" vertical="center"/>
    </xf>
    <xf numFmtId="2" fontId="7" fillId="29" borderId="230" xfId="0" applyNumberFormat="1" applyFont="1" applyFill="1" applyBorder="1" applyAlignment="1">
      <alignment vertical="center" wrapText="1"/>
    </xf>
    <xf numFmtId="3" fontId="7" fillId="29" borderId="212" xfId="0" applyNumberFormat="1" applyFont="1" applyFill="1" applyBorder="1" applyAlignment="1">
      <alignment vertical="center"/>
    </xf>
    <xf numFmtId="2" fontId="29" fillId="8" borderId="243" xfId="4" applyNumberFormat="1" applyFont="1" applyFill="1" applyBorder="1" applyAlignment="1">
      <alignment vertical="center"/>
    </xf>
    <xf numFmtId="2" fontId="24" fillId="8" borderId="230" xfId="0" applyNumberFormat="1" applyFont="1" applyFill="1" applyBorder="1" applyAlignment="1">
      <alignment vertical="center"/>
    </xf>
    <xf numFmtId="3" fontId="29" fillId="8" borderId="212" xfId="0" applyNumberFormat="1" applyFont="1" applyFill="1" applyBorder="1" applyAlignment="1">
      <alignment vertical="center"/>
    </xf>
    <xf numFmtId="0" fontId="7" fillId="8" borderId="244" xfId="0" applyFont="1" applyFill="1" applyBorder="1" applyAlignment="1">
      <alignment vertical="top" wrapText="1"/>
    </xf>
    <xf numFmtId="2" fontId="24" fillId="8" borderId="251" xfId="0" applyNumberFormat="1" applyFont="1" applyFill="1" applyBorder="1" applyAlignment="1">
      <alignment vertical="center"/>
    </xf>
    <xf numFmtId="3" fontId="31" fillId="8" borderId="212" xfId="0" applyNumberFormat="1" applyFont="1" applyFill="1" applyBorder="1" applyAlignment="1">
      <alignment vertical="center"/>
    </xf>
    <xf numFmtId="2" fontId="17" fillId="8" borderId="221" xfId="0" applyNumberFormat="1" applyFont="1" applyFill="1" applyBorder="1" applyAlignment="1">
      <alignment vertical="top"/>
    </xf>
    <xf numFmtId="2" fontId="7" fillId="8" borderId="244" xfId="0" applyNumberFormat="1" applyFont="1" applyFill="1" applyBorder="1" applyAlignment="1">
      <alignment vertical="top" wrapText="1"/>
    </xf>
    <xf numFmtId="2" fontId="7" fillId="8" borderId="251" xfId="0" applyNumberFormat="1" applyFont="1" applyFill="1" applyBorder="1" applyAlignment="1">
      <alignment vertical="top" wrapText="1"/>
    </xf>
    <xf numFmtId="2" fontId="18" fillId="8" borderId="225" xfId="0" applyNumberFormat="1" applyFont="1" applyFill="1" applyBorder="1" applyAlignment="1">
      <alignment horizontal="center" vertical="top" wrapText="1"/>
    </xf>
    <xf numFmtId="2" fontId="24" fillId="6" borderId="243" xfId="4" applyNumberFormat="1" applyFont="1" applyFill="1" applyBorder="1" applyAlignment="1">
      <alignment horizontal="left" vertical="center"/>
    </xf>
    <xf numFmtId="2" fontId="7" fillId="6" borderId="230" xfId="0" applyNumberFormat="1" applyFont="1" applyFill="1" applyBorder="1" applyAlignment="1">
      <alignment vertical="center" wrapText="1"/>
    </xf>
    <xf numFmtId="3" fontId="24" fillId="6" borderId="240" xfId="0" applyNumberFormat="1" applyFont="1" applyFill="1" applyBorder="1" applyAlignment="1">
      <alignment vertical="center"/>
    </xf>
    <xf numFmtId="2" fontId="7" fillId="29" borderId="225" xfId="0" applyNumberFormat="1" applyFont="1" applyFill="1" applyBorder="1" applyAlignment="1">
      <alignment horizontal="center" vertical="center" wrapText="1"/>
    </xf>
    <xf numFmtId="2" fontId="18" fillId="0" borderId="200" xfId="0" applyNumberFormat="1" applyFont="1" applyBorder="1" applyAlignment="1">
      <alignment vertical="center"/>
    </xf>
    <xf numFmtId="0" fontId="29" fillId="8" borderId="242" xfId="4" applyFont="1" applyFill="1" applyBorder="1" applyAlignment="1">
      <alignment vertical="center"/>
    </xf>
    <xf numFmtId="3" fontId="29" fillId="8" borderId="205" xfId="0" applyNumberFormat="1" applyFont="1" applyFill="1" applyBorder="1" applyAlignment="1">
      <alignment vertical="center"/>
    </xf>
    <xf numFmtId="3" fontId="31" fillId="8" borderId="205" xfId="0" applyNumberFormat="1" applyFont="1" applyFill="1" applyBorder="1" applyAlignment="1">
      <alignment vertical="center"/>
    </xf>
    <xf numFmtId="2" fontId="17" fillId="33" borderId="226" xfId="0" applyNumberFormat="1" applyFont="1" applyFill="1" applyBorder="1" applyAlignment="1">
      <alignment vertical="center"/>
    </xf>
    <xf numFmtId="3" fontId="31" fillId="8" borderId="246" xfId="0" applyNumberFormat="1" applyFont="1" applyFill="1" applyBorder="1" applyAlignment="1">
      <alignment vertical="center"/>
    </xf>
    <xf numFmtId="3" fontId="31" fillId="8" borderId="254" xfId="0" applyNumberFormat="1" applyFont="1" applyFill="1" applyBorder="1" applyAlignment="1">
      <alignment vertical="center"/>
    </xf>
    <xf numFmtId="2" fontId="18" fillId="33" borderId="229" xfId="0" applyNumberFormat="1" applyFont="1" applyFill="1" applyBorder="1" applyAlignment="1">
      <alignment horizontal="center" vertical="center" wrapText="1"/>
    </xf>
    <xf numFmtId="2" fontId="18" fillId="33" borderId="200" xfId="0" applyNumberFormat="1" applyFont="1" applyFill="1" applyBorder="1" applyAlignment="1">
      <alignment vertical="center"/>
    </xf>
    <xf numFmtId="2" fontId="25" fillId="8" borderId="214" xfId="0" applyNumberFormat="1" applyFont="1" applyFill="1" applyBorder="1" applyAlignment="1">
      <alignment vertical="center" wrapText="1"/>
    </xf>
    <xf numFmtId="2" fontId="25" fillId="8" borderId="215" xfId="0" applyNumberFormat="1" applyFont="1" applyFill="1" applyBorder="1" applyAlignment="1">
      <alignment horizontal="center" vertical="center" wrapText="1"/>
    </xf>
    <xf numFmtId="3" fontId="7" fillId="8" borderId="248" xfId="0" applyNumberFormat="1" applyFont="1" applyFill="1" applyBorder="1" applyAlignment="1">
      <alignment vertical="top"/>
    </xf>
    <xf numFmtId="3" fontId="7" fillId="8" borderId="262" xfId="0" applyNumberFormat="1" applyFont="1" applyFill="1" applyBorder="1" applyAlignment="1">
      <alignment vertical="top"/>
    </xf>
    <xf numFmtId="3" fontId="7" fillId="24" borderId="216" xfId="0" applyNumberFormat="1" applyFont="1" applyFill="1" applyBorder="1" applyAlignment="1">
      <alignment vertical="center"/>
    </xf>
    <xf numFmtId="2" fontId="25" fillId="6" borderId="243" xfId="4" applyNumberFormat="1" applyFont="1" applyFill="1" applyBorder="1" applyAlignment="1">
      <alignment horizontal="left" vertical="center"/>
    </xf>
    <xf numFmtId="2" fontId="31" fillId="6" borderId="230" xfId="0" applyNumberFormat="1" applyFont="1" applyFill="1" applyBorder="1" applyAlignment="1">
      <alignment vertical="top"/>
    </xf>
    <xf numFmtId="3" fontId="25" fillId="6" borderId="205" xfId="0" applyNumberFormat="1" applyFont="1" applyFill="1" applyBorder="1" applyAlignment="1">
      <alignment vertical="top"/>
    </xf>
    <xf numFmtId="3" fontId="25" fillId="23" borderId="202" xfId="0" applyNumberFormat="1" applyFont="1" applyFill="1" applyBorder="1" applyAlignment="1">
      <alignment vertical="top"/>
    </xf>
    <xf numFmtId="2" fontId="27" fillId="2" borderId="243" xfId="4" applyNumberFormat="1" applyFont="1" applyFill="1" applyBorder="1" applyAlignment="1">
      <alignment vertical="center" wrapText="1"/>
    </xf>
    <xf numFmtId="3" fontId="27" fillId="2" borderId="205" xfId="0" applyNumberFormat="1" applyFont="1" applyFill="1" applyBorder="1" applyAlignment="1">
      <alignment vertical="top"/>
    </xf>
    <xf numFmtId="3" fontId="25" fillId="26" borderId="202" xfId="0" applyNumberFormat="1" applyFont="1" applyFill="1" applyBorder="1" applyAlignment="1">
      <alignment vertical="top"/>
    </xf>
    <xf numFmtId="2" fontId="31" fillId="0" borderId="239" xfId="0" applyNumberFormat="1" applyFont="1" applyFill="1" applyBorder="1" applyAlignment="1">
      <alignment vertical="top"/>
    </xf>
    <xf numFmtId="3" fontId="31" fillId="0" borderId="205" xfId="0" applyNumberFormat="1" applyFont="1" applyFill="1" applyBorder="1" applyAlignment="1">
      <alignment vertical="top"/>
    </xf>
    <xf numFmtId="3" fontId="31" fillId="0" borderId="212" xfId="0" applyNumberFormat="1" applyFont="1" applyFill="1" applyBorder="1" applyAlignment="1">
      <alignment vertical="top"/>
    </xf>
    <xf numFmtId="3" fontId="31" fillId="26" borderId="240" xfId="0" applyNumberFormat="1" applyFont="1" applyFill="1" applyBorder="1" applyAlignment="1">
      <alignment vertical="top"/>
    </xf>
    <xf numFmtId="2" fontId="27" fillId="2" borderId="243" xfId="4" applyNumberFormat="1" applyFont="1" applyFill="1" applyBorder="1" applyAlignment="1">
      <alignment vertical="top"/>
    </xf>
    <xf numFmtId="3" fontId="27" fillId="0" borderId="205" xfId="0" applyNumberFormat="1" applyFont="1" applyFill="1" applyBorder="1" applyAlignment="1">
      <alignment vertical="top"/>
    </xf>
    <xf numFmtId="2" fontId="31" fillId="0" borderId="244" xfId="0" applyNumberFormat="1" applyFont="1" applyFill="1" applyBorder="1" applyAlignment="1">
      <alignment horizontal="left" vertical="center" wrapText="1"/>
    </xf>
    <xf numFmtId="3" fontId="31" fillId="0" borderId="208" xfId="0" applyNumberFormat="1" applyFont="1" applyFill="1" applyBorder="1" applyAlignment="1">
      <alignment vertical="top"/>
    </xf>
    <xf numFmtId="3" fontId="31" fillId="0" borderId="224" xfId="0" applyNumberFormat="1" applyFont="1" applyFill="1" applyBorder="1" applyAlignment="1">
      <alignment horizontal="right" vertical="center"/>
    </xf>
    <xf numFmtId="3" fontId="31" fillId="0" borderId="223" xfId="0" applyNumberFormat="1" applyFont="1" applyFill="1" applyBorder="1" applyAlignment="1">
      <alignment horizontal="right" vertical="center"/>
    </xf>
    <xf numFmtId="2" fontId="7" fillId="6" borderId="230" xfId="0" applyNumberFormat="1" applyFont="1" applyFill="1" applyBorder="1" applyAlignment="1">
      <alignment horizontal="left" vertical="center" wrapText="1"/>
    </xf>
    <xf numFmtId="3" fontId="25" fillId="6" borderId="202" xfId="0" applyNumberFormat="1" applyFont="1" applyFill="1" applyBorder="1" applyAlignment="1">
      <alignment vertical="top"/>
    </xf>
    <xf numFmtId="3" fontId="25" fillId="6" borderId="224" xfId="0" applyNumberFormat="1" applyFont="1" applyFill="1" applyBorder="1" applyAlignment="1">
      <alignment vertical="top"/>
    </xf>
    <xf numFmtId="2" fontId="27" fillId="2" borderId="263" xfId="4" applyNumberFormat="1" applyFont="1" applyFill="1" applyBorder="1" applyAlignment="1">
      <alignment vertical="center" wrapText="1"/>
    </xf>
    <xf numFmtId="3" fontId="27" fillId="2" borderId="202" xfId="0" applyNumberFormat="1" applyFont="1" applyFill="1" applyBorder="1" applyAlignment="1">
      <alignment vertical="top"/>
    </xf>
    <xf numFmtId="3" fontId="27" fillId="2" borderId="223" xfId="0" applyNumberFormat="1" applyFont="1" applyFill="1" applyBorder="1" applyAlignment="1">
      <alignment vertical="top"/>
    </xf>
    <xf numFmtId="2" fontId="31" fillId="0" borderId="264" xfId="0" applyNumberFormat="1" applyFont="1" applyFill="1" applyBorder="1" applyAlignment="1">
      <alignment vertical="top"/>
    </xf>
    <xf numFmtId="3" fontId="31" fillId="0" borderId="223" xfId="0" applyNumberFormat="1" applyFont="1" applyFill="1" applyBorder="1" applyAlignment="1">
      <alignment vertical="top"/>
    </xf>
    <xf numFmtId="2" fontId="27" fillId="2" borderId="204" xfId="4" applyNumberFormat="1" applyFont="1" applyFill="1" applyBorder="1" applyAlignment="1">
      <alignment vertical="top"/>
    </xf>
    <xf numFmtId="3" fontId="27" fillId="0" borderId="202" xfId="0" applyNumberFormat="1" applyFont="1" applyFill="1" applyBorder="1" applyAlignment="1">
      <alignment vertical="top"/>
    </xf>
    <xf numFmtId="3" fontId="27" fillId="0" borderId="223" xfId="0" applyNumberFormat="1" applyFont="1" applyFill="1" applyBorder="1" applyAlignment="1">
      <alignment vertical="top"/>
    </xf>
    <xf numFmtId="2" fontId="31" fillId="0" borderId="265" xfId="0" applyNumberFormat="1" applyFont="1" applyFill="1" applyBorder="1" applyAlignment="1">
      <alignment horizontal="left" vertical="center" wrapText="1"/>
    </xf>
    <xf numFmtId="3" fontId="31" fillId="0" borderId="246" xfId="0" applyNumberFormat="1" applyFont="1" applyFill="1" applyBorder="1" applyAlignment="1">
      <alignment vertical="top"/>
    </xf>
    <xf numFmtId="3" fontId="31" fillId="0" borderId="246" xfId="0" applyNumberFormat="1" applyFont="1" applyFill="1" applyBorder="1" applyAlignment="1">
      <alignment horizontal="right" vertical="center"/>
    </xf>
    <xf numFmtId="3" fontId="31" fillId="0" borderId="228" xfId="0" applyNumberFormat="1" applyFont="1" applyFill="1" applyBorder="1" applyAlignment="1">
      <alignment horizontal="right" vertical="center"/>
    </xf>
    <xf numFmtId="3" fontId="25" fillId="6" borderId="205" xfId="1" applyNumberFormat="1" applyFont="1" applyFill="1" applyBorder="1" applyAlignment="1">
      <alignment vertical="top"/>
    </xf>
    <xf numFmtId="3" fontId="27" fillId="2" borderId="205" xfId="1" applyNumberFormat="1" applyFont="1" applyFill="1" applyBorder="1" applyAlignment="1">
      <alignment vertical="top"/>
    </xf>
    <xf numFmtId="3" fontId="31" fillId="0" borderId="212" xfId="1" applyNumberFormat="1" applyFont="1" applyFill="1" applyBorder="1" applyAlignment="1">
      <alignment vertical="top"/>
    </xf>
    <xf numFmtId="3" fontId="27" fillId="0" borderId="205" xfId="1" applyNumberFormat="1" applyFont="1" applyFill="1" applyBorder="1" applyAlignment="1">
      <alignment vertical="top"/>
    </xf>
    <xf numFmtId="3" fontId="31" fillId="0" borderId="223" xfId="1" applyNumberFormat="1" applyFont="1" applyFill="1" applyBorder="1" applyAlignment="1">
      <alignment horizontal="right" vertical="center"/>
    </xf>
    <xf numFmtId="3" fontId="31" fillId="0" borderId="246" xfId="1" applyNumberFormat="1" applyFont="1" applyFill="1" applyBorder="1" applyAlignment="1">
      <alignment horizontal="right" vertical="center"/>
    </xf>
    <xf numFmtId="2" fontId="27" fillId="2" borderId="263" xfId="4" applyNumberFormat="1" applyFont="1" applyFill="1" applyBorder="1" applyAlignment="1">
      <alignment vertical="top"/>
    </xf>
    <xf numFmtId="2" fontId="31" fillId="0" borderId="266" xfId="0" applyNumberFormat="1" applyFont="1" applyFill="1" applyBorder="1" applyAlignment="1">
      <alignment horizontal="left" vertical="center" wrapText="1"/>
    </xf>
    <xf numFmtId="2" fontId="25" fillId="6" borderId="263" xfId="4" applyNumberFormat="1" applyFont="1" applyFill="1" applyBorder="1" applyAlignment="1">
      <alignment horizontal="left" vertical="center"/>
    </xf>
    <xf numFmtId="2" fontId="7" fillId="6" borderId="252" xfId="0" applyNumberFormat="1" applyFont="1" applyFill="1" applyBorder="1" applyAlignment="1">
      <alignment horizontal="left" vertical="center" wrapText="1"/>
    </xf>
    <xf numFmtId="2" fontId="31" fillId="0" borderId="267" xfId="0" applyNumberFormat="1" applyFont="1" applyFill="1" applyBorder="1" applyAlignment="1">
      <alignment horizontal="left" vertical="center" wrapText="1"/>
    </xf>
    <xf numFmtId="3" fontId="31" fillId="0" borderId="208" xfId="4" applyNumberFormat="1" applyFont="1" applyFill="1" applyBorder="1" applyAlignment="1"/>
    <xf numFmtId="3" fontId="25" fillId="6" borderId="212" xfId="0" applyNumberFormat="1" applyFont="1" applyFill="1" applyBorder="1" applyAlignment="1">
      <alignment vertical="top"/>
    </xf>
    <xf numFmtId="3" fontId="31" fillId="0" borderId="202" xfId="4" applyNumberFormat="1" applyFont="1" applyFill="1" applyBorder="1" applyAlignment="1">
      <alignment vertical="center"/>
    </xf>
    <xf numFmtId="3" fontId="25" fillId="33" borderId="205" xfId="0" applyNumberFormat="1" applyFont="1" applyFill="1" applyBorder="1" applyAlignment="1">
      <alignment vertical="top"/>
    </xf>
    <xf numFmtId="0" fontId="31" fillId="0" borderId="239" xfId="0" applyFont="1" applyFill="1" applyBorder="1" applyAlignment="1">
      <alignment vertical="top"/>
    </xf>
    <xf numFmtId="3" fontId="31" fillId="23" borderId="202" xfId="0" applyNumberFormat="1" applyFont="1" applyFill="1" applyBorder="1" applyAlignment="1">
      <alignment vertical="top"/>
    </xf>
    <xf numFmtId="0" fontId="27" fillId="2" borderId="243" xfId="4" applyFont="1" applyFill="1" applyBorder="1" applyAlignment="1">
      <alignment vertical="top"/>
    </xf>
    <xf numFmtId="0" fontId="31" fillId="0" borderId="244" xfId="0" applyFont="1" applyFill="1" applyBorder="1" applyAlignment="1">
      <alignment horizontal="left" vertical="center" wrapText="1"/>
    </xf>
    <xf numFmtId="3" fontId="27" fillId="2" borderId="263" xfId="4" applyNumberFormat="1" applyFont="1" applyFill="1" applyBorder="1" applyAlignment="1">
      <alignment vertical="center" wrapText="1"/>
    </xf>
    <xf numFmtId="3" fontId="25" fillId="33" borderId="212" xfId="0" applyNumberFormat="1" applyFont="1" applyFill="1" applyBorder="1" applyAlignment="1">
      <alignment vertical="top"/>
    </xf>
    <xf numFmtId="0" fontId="31" fillId="0" borderId="264" xfId="0" applyFont="1" applyFill="1" applyBorder="1" applyAlignment="1">
      <alignment vertical="top"/>
    </xf>
    <xf numFmtId="3" fontId="31" fillId="33" borderId="212" xfId="0" applyNumberFormat="1" applyFont="1" applyFill="1" applyBorder="1" applyAlignment="1">
      <alignment vertical="top"/>
    </xf>
    <xf numFmtId="3" fontId="31" fillId="33" borderId="205" xfId="0" applyNumberFormat="1" applyFont="1" applyFill="1" applyBorder="1" applyAlignment="1">
      <alignment vertical="top"/>
    </xf>
    <xf numFmtId="0" fontId="27" fillId="2" borderId="204" xfId="4" applyFont="1" applyFill="1" applyBorder="1" applyAlignment="1">
      <alignment vertical="top"/>
    </xf>
    <xf numFmtId="3" fontId="27" fillId="33" borderId="205" xfId="0" applyNumberFormat="1" applyFont="1" applyFill="1" applyBorder="1" applyAlignment="1">
      <alignment vertical="top"/>
    </xf>
    <xf numFmtId="0" fontId="31" fillId="0" borderId="265" xfId="4" applyFont="1" applyFill="1" applyBorder="1" applyAlignment="1">
      <alignment vertical="center"/>
    </xf>
    <xf numFmtId="3" fontId="31" fillId="33" borderId="254" xfId="4" applyNumberFormat="1" applyFont="1" applyFill="1" applyBorder="1" applyAlignment="1"/>
    <xf numFmtId="3" fontId="31" fillId="33" borderId="246" xfId="0" applyNumberFormat="1" applyFont="1" applyFill="1" applyBorder="1" applyAlignment="1">
      <alignment horizontal="right" vertical="center"/>
    </xf>
    <xf numFmtId="2" fontId="0" fillId="0" borderId="200" xfId="0" applyNumberFormat="1" applyFont="1" applyBorder="1" applyAlignment="1">
      <alignment horizontal="center" vertical="center"/>
    </xf>
    <xf numFmtId="2" fontId="31" fillId="0" borderId="200" xfId="0" applyNumberFormat="1" applyFont="1" applyFill="1" applyBorder="1" applyAlignment="1">
      <alignment horizontal="left" vertical="center" wrapText="1"/>
    </xf>
    <xf numFmtId="2" fontId="23" fillId="0" borderId="200" xfId="0" applyNumberFormat="1" applyFont="1" applyBorder="1" applyAlignment="1">
      <alignment horizontal="center" vertical="center" wrapText="1"/>
    </xf>
    <xf numFmtId="3" fontId="31" fillId="0" borderId="200" xfId="4" applyNumberFormat="1" applyFont="1" applyFill="1" applyBorder="1" applyAlignment="1">
      <alignment vertical="center"/>
    </xf>
    <xf numFmtId="3" fontId="31" fillId="0" borderId="200" xfId="4" applyNumberFormat="1" applyFont="1" applyFill="1" applyBorder="1" applyAlignment="1"/>
    <xf numFmtId="3" fontId="31" fillId="0" borderId="200" xfId="0" applyNumberFormat="1" applyFont="1" applyFill="1" applyBorder="1" applyAlignment="1">
      <alignment horizontal="right" vertical="center"/>
    </xf>
    <xf numFmtId="3" fontId="25" fillId="23" borderId="200" xfId="0" applyNumberFormat="1" applyFont="1" applyFill="1" applyBorder="1" applyAlignment="1">
      <alignment horizontal="center" vertical="center"/>
    </xf>
    <xf numFmtId="2" fontId="22" fillId="0" borderId="200" xfId="0" applyNumberFormat="1" applyFont="1" applyBorder="1" applyAlignment="1">
      <alignment horizontal="center" vertical="center" wrapText="1"/>
    </xf>
    <xf numFmtId="2" fontId="21" fillId="0" borderId="200" xfId="0" applyNumberFormat="1" applyFont="1" applyFill="1" applyBorder="1" applyAlignment="1">
      <alignment horizontal="left" vertical="center" wrapText="1"/>
    </xf>
    <xf numFmtId="2" fontId="26" fillId="0" borderId="200" xfId="0" applyNumberFormat="1" applyFont="1" applyBorder="1" applyAlignment="1">
      <alignment horizontal="center" vertical="center" wrapText="1"/>
    </xf>
    <xf numFmtId="2" fontId="21" fillId="0" borderId="200" xfId="0" applyNumberFormat="1" applyFont="1" applyFill="1" applyBorder="1" applyAlignment="1">
      <alignment vertical="top"/>
    </xf>
    <xf numFmtId="2" fontId="21" fillId="0" borderId="200" xfId="0" applyNumberFormat="1" applyFont="1" applyFill="1" applyBorder="1" applyAlignment="1">
      <alignment horizontal="right" vertical="center"/>
    </xf>
    <xf numFmtId="2" fontId="20" fillId="0" borderId="200" xfId="0" applyNumberFormat="1" applyFont="1" applyFill="1" applyBorder="1" applyAlignment="1">
      <alignment horizontal="center" vertical="center"/>
    </xf>
    <xf numFmtId="2" fontId="25" fillId="0" borderId="200" xfId="0" applyNumberFormat="1" applyFont="1" applyFill="1" applyBorder="1" applyAlignment="1">
      <alignment horizontal="center" vertical="center"/>
    </xf>
    <xf numFmtId="2" fontId="24" fillId="2" borderId="213" xfId="0" applyNumberFormat="1" applyFont="1" applyFill="1" applyBorder="1" applyAlignment="1">
      <alignment horizontal="left" vertical="top" wrapText="1"/>
    </xf>
    <xf numFmtId="2" fontId="18" fillId="2" borderId="213" xfId="0" applyNumberFormat="1" applyFont="1" applyFill="1" applyBorder="1" applyAlignment="1">
      <alignment vertical="top"/>
    </xf>
    <xf numFmtId="2" fontId="18" fillId="0" borderId="200" xfId="0" applyNumberFormat="1" applyFont="1" applyFill="1" applyBorder="1" applyAlignment="1">
      <alignment vertical="top"/>
    </xf>
    <xf numFmtId="2" fontId="18" fillId="31" borderId="200" xfId="0" applyNumberFormat="1" applyFont="1" applyFill="1" applyBorder="1" applyAlignment="1">
      <alignment vertical="top"/>
    </xf>
    <xf numFmtId="2" fontId="27" fillId="56" borderId="259" xfId="4" applyNumberFormat="1" applyFont="1" applyFill="1" applyBorder="1" applyAlignment="1">
      <alignment horizontal="left" vertical="center"/>
    </xf>
    <xf numFmtId="2" fontId="27" fillId="56" borderId="233" xfId="4" applyNumberFormat="1" applyFont="1" applyFill="1" applyBorder="1" applyAlignment="1">
      <alignment horizontal="left" vertical="center"/>
    </xf>
    <xf numFmtId="2" fontId="27" fillId="56" borderId="205" xfId="4" applyNumberFormat="1" applyFont="1" applyFill="1" applyBorder="1" applyAlignment="1">
      <alignment horizontal="right" vertical="center"/>
    </xf>
    <xf numFmtId="2" fontId="27" fillId="22" borderId="257" xfId="4" applyNumberFormat="1" applyFont="1" applyFill="1" applyBorder="1" applyAlignment="1">
      <alignment horizontal="right" vertical="center"/>
    </xf>
    <xf numFmtId="2" fontId="27" fillId="56" borderId="210" xfId="4" applyNumberFormat="1" applyFont="1" applyFill="1" applyBorder="1" applyAlignment="1">
      <alignment horizontal="right" vertical="center"/>
    </xf>
    <xf numFmtId="2" fontId="27" fillId="22" borderId="223" xfId="4" applyNumberFormat="1" applyFont="1" applyFill="1" applyBorder="1" applyAlignment="1">
      <alignment horizontal="right" vertical="center"/>
    </xf>
    <xf numFmtId="2" fontId="27" fillId="56" borderId="225" xfId="0" applyNumberFormat="1" applyFont="1" applyFill="1" applyBorder="1" applyAlignment="1">
      <alignment horizontal="left" vertical="top"/>
    </xf>
    <xf numFmtId="2" fontId="28" fillId="56" borderId="227" xfId="0" quotePrefix="1" applyNumberFormat="1" applyFont="1" applyFill="1" applyBorder="1" applyAlignment="1">
      <alignment horizontal="center" vertical="top"/>
    </xf>
    <xf numFmtId="2" fontId="27" fillId="56" borderId="210" xfId="0" quotePrefix="1" applyNumberFormat="1" applyFont="1" applyFill="1" applyBorder="1" applyAlignment="1">
      <alignment horizontal="right" vertical="top"/>
    </xf>
    <xf numFmtId="2" fontId="25" fillId="6" borderId="232" xfId="4" applyNumberFormat="1" applyFont="1" applyFill="1" applyBorder="1" applyAlignment="1">
      <alignment horizontal="left" vertical="center"/>
    </xf>
    <xf numFmtId="2" fontId="25" fillId="6" borderId="233" xfId="4" applyNumberFormat="1" applyFont="1" applyFill="1" applyBorder="1" applyAlignment="1">
      <alignment horizontal="left" vertical="center"/>
    </xf>
    <xf numFmtId="2" fontId="25" fillId="6" borderId="219" xfId="0" applyNumberFormat="1" applyFont="1" applyFill="1" applyBorder="1" applyAlignment="1">
      <alignment vertical="top"/>
    </xf>
    <xf numFmtId="2" fontId="25" fillId="23" borderId="257" xfId="0" applyNumberFormat="1" applyFont="1" applyFill="1" applyBorder="1" applyAlignment="1">
      <alignment vertical="top"/>
    </xf>
    <xf numFmtId="2" fontId="27" fillId="8" borderId="242" xfId="4" applyNumberFormat="1" applyFont="1" applyFill="1" applyBorder="1" applyAlignment="1">
      <alignment vertical="top"/>
    </xf>
    <xf numFmtId="2" fontId="27" fillId="8" borderId="205" xfId="0" applyNumberFormat="1" applyFont="1" applyFill="1" applyBorder="1" applyAlignment="1">
      <alignment vertical="top"/>
    </xf>
    <xf numFmtId="2" fontId="27" fillId="24" borderId="202" xfId="0" applyNumberFormat="1" applyFont="1" applyFill="1" applyBorder="1" applyAlignment="1">
      <alignment vertical="top"/>
    </xf>
    <xf numFmtId="2" fontId="31" fillId="8" borderId="243" xfId="0" applyNumberFormat="1" applyFont="1" applyFill="1" applyBorder="1" applyAlignment="1">
      <alignment vertical="top"/>
    </xf>
    <xf numFmtId="2" fontId="31" fillId="8" borderId="205" xfId="0" applyNumberFormat="1" applyFont="1" applyFill="1" applyBorder="1" applyAlignment="1">
      <alignment vertical="top"/>
    </xf>
    <xf numFmtId="2" fontId="25" fillId="24" borderId="205" xfId="0" applyNumberFormat="1" applyFont="1" applyFill="1" applyBorder="1" applyAlignment="1">
      <alignment horizontal="center" vertical="top"/>
    </xf>
    <xf numFmtId="2" fontId="7" fillId="24" borderId="224" xfId="0" applyNumberFormat="1" applyFont="1" applyFill="1" applyBorder="1" applyAlignment="1">
      <alignment vertical="top"/>
    </xf>
    <xf numFmtId="2" fontId="31" fillId="8" borderId="243" xfId="0" applyNumberFormat="1" applyFont="1" applyFill="1" applyBorder="1" applyAlignment="1">
      <alignment vertical="center"/>
    </xf>
    <xf numFmtId="2" fontId="31" fillId="8" borderId="205" xfId="0" applyNumberFormat="1" applyFont="1" applyFill="1" applyBorder="1" applyAlignment="1">
      <alignment vertical="center"/>
    </xf>
    <xf numFmtId="2" fontId="25" fillId="24" borderId="205" xfId="0" applyNumberFormat="1" applyFont="1" applyFill="1" applyBorder="1" applyAlignment="1">
      <alignment vertical="center"/>
    </xf>
    <xf numFmtId="2" fontId="18" fillId="0" borderId="200" xfId="0" applyNumberFormat="1" applyFont="1" applyFill="1" applyBorder="1" applyAlignment="1">
      <alignment vertical="center"/>
    </xf>
    <xf numFmtId="2" fontId="18" fillId="31" borderId="200" xfId="0" applyNumberFormat="1" applyFont="1" applyFill="1" applyBorder="1" applyAlignment="1">
      <alignment vertical="center"/>
    </xf>
    <xf numFmtId="2" fontId="27" fillId="8" borderId="205" xfId="0" applyNumberFormat="1" applyFont="1" applyFill="1" applyBorder="1" applyAlignment="1">
      <alignment horizontal="right" vertical="center"/>
    </xf>
    <xf numFmtId="2" fontId="27" fillId="8" borderId="202" xfId="0" applyNumberFormat="1" applyFont="1" applyFill="1" applyBorder="1" applyAlignment="1">
      <alignment horizontal="right" vertical="center"/>
    </xf>
    <xf numFmtId="2" fontId="25" fillId="24" borderId="205" xfId="0" applyNumberFormat="1" applyFont="1" applyFill="1" applyBorder="1" applyAlignment="1">
      <alignment horizontal="center" vertical="center"/>
    </xf>
    <xf numFmtId="2" fontId="20" fillId="8" borderId="225" xfId="0" applyNumberFormat="1" applyFont="1" applyFill="1" applyBorder="1" applyAlignment="1">
      <alignment horizontal="center" vertical="center" wrapText="1"/>
    </xf>
    <xf numFmtId="2" fontId="31" fillId="8" borderId="202" xfId="0" applyNumberFormat="1" applyFont="1" applyFill="1" applyBorder="1" applyAlignment="1">
      <alignment vertical="top"/>
    </xf>
    <xf numFmtId="2" fontId="25" fillId="24" borderId="202" xfId="0" applyNumberFormat="1" applyFont="1" applyFill="1" applyBorder="1" applyAlignment="1">
      <alignment horizontal="center" vertical="center"/>
    </xf>
    <xf numFmtId="2" fontId="25" fillId="6" borderId="239" xfId="4" applyNumberFormat="1" applyFont="1" applyFill="1" applyBorder="1" applyAlignment="1">
      <alignment horizontal="left" vertical="center"/>
    </xf>
    <xf numFmtId="2" fontId="25" fillId="6" borderId="252" xfId="4" applyNumberFormat="1" applyFont="1" applyFill="1" applyBorder="1" applyAlignment="1">
      <alignment horizontal="left" vertical="center"/>
    </xf>
    <xf numFmtId="2" fontId="25" fillId="6" borderId="202" xfId="4" applyNumberFormat="1" applyFont="1" applyFill="1" applyBorder="1" applyAlignment="1">
      <alignment horizontal="right" vertical="center"/>
    </xf>
    <xf numFmtId="2" fontId="25" fillId="23" borderId="240" xfId="0" applyNumberFormat="1" applyFont="1" applyFill="1" applyBorder="1" applyAlignment="1">
      <alignment vertical="top"/>
    </xf>
    <xf numFmtId="2" fontId="27" fillId="8" borderId="242" xfId="4" applyNumberFormat="1" applyFont="1" applyFill="1" applyBorder="1" applyAlignment="1">
      <alignment vertical="center"/>
    </xf>
    <xf numFmtId="2" fontId="27" fillId="8" borderId="222" xfId="4" applyNumberFormat="1" applyFont="1" applyFill="1" applyBorder="1" applyAlignment="1">
      <alignment horizontal="center" vertical="center"/>
    </xf>
    <xf numFmtId="2" fontId="25" fillId="8" borderId="205" xfId="0" applyNumberFormat="1" applyFont="1" applyFill="1" applyBorder="1" applyAlignment="1">
      <alignment vertical="center"/>
    </xf>
    <xf numFmtId="2" fontId="35" fillId="8" borderId="221" xfId="0" applyNumberFormat="1" applyFont="1" applyFill="1" applyBorder="1" applyAlignment="1">
      <alignment vertical="top"/>
    </xf>
    <xf numFmtId="2" fontId="27" fillId="8" borderId="205" xfId="0" applyNumberFormat="1" applyFont="1" applyFill="1" applyBorder="1" applyAlignment="1">
      <alignment vertical="center"/>
    </xf>
    <xf numFmtId="2" fontId="35" fillId="8" borderId="225" xfId="0" applyNumberFormat="1" applyFont="1" applyFill="1" applyBorder="1" applyAlignment="1">
      <alignment horizontal="center" vertical="center" wrapText="1"/>
    </xf>
    <xf numFmtId="2" fontId="35" fillId="0" borderId="200" xfId="0" applyNumberFormat="1" applyFont="1" applyFill="1" applyBorder="1" applyAlignment="1">
      <alignment vertical="top"/>
    </xf>
    <xf numFmtId="2" fontId="35" fillId="31" borderId="200" xfId="0" applyNumberFormat="1" applyFont="1" applyFill="1" applyBorder="1" applyAlignment="1">
      <alignment vertical="top"/>
    </xf>
    <xf numFmtId="2" fontId="24" fillId="8" borderId="232" xfId="0" applyNumberFormat="1" applyFont="1" applyFill="1" applyBorder="1" applyAlignment="1">
      <alignment vertical="center" wrapText="1"/>
    </xf>
    <xf numFmtId="2" fontId="24" fillId="8" borderId="219" xfId="0" applyNumberFormat="1" applyFont="1" applyFill="1" applyBorder="1" applyAlignment="1">
      <alignment horizontal="center" vertical="center" wrapText="1"/>
    </xf>
    <xf numFmtId="2" fontId="7" fillId="8" borderId="218" xfId="0" applyNumberFormat="1" applyFont="1" applyFill="1" applyBorder="1" applyAlignment="1">
      <alignment vertical="top"/>
    </xf>
    <xf numFmtId="2" fontId="7" fillId="8" borderId="217" xfId="0" applyNumberFormat="1" applyFont="1" applyFill="1" applyBorder="1" applyAlignment="1">
      <alignment vertical="top"/>
    </xf>
    <xf numFmtId="2" fontId="7" fillId="24" borderId="257" xfId="0" applyNumberFormat="1" applyFont="1" applyFill="1" applyBorder="1" applyAlignment="1">
      <alignment vertical="top"/>
    </xf>
    <xf numFmtId="2" fontId="24" fillId="6" borderId="239" xfId="4" applyNumberFormat="1" applyFont="1" applyFill="1" applyBorder="1" applyAlignment="1">
      <alignment horizontal="left" vertical="center"/>
    </xf>
    <xf numFmtId="2" fontId="25" fillId="6" borderId="212" xfId="4" applyNumberFormat="1" applyFont="1" applyFill="1" applyBorder="1" applyAlignment="1">
      <alignment horizontal="left" vertical="center"/>
    </xf>
    <xf numFmtId="2" fontId="25" fillId="6" borderId="212" xfId="0" applyNumberFormat="1" applyFont="1" applyFill="1" applyBorder="1" applyAlignment="1">
      <alignment vertical="top"/>
    </xf>
    <xf numFmtId="2" fontId="27" fillId="0" borderId="242" xfId="4" applyNumberFormat="1" applyFont="1" applyFill="1" applyBorder="1" applyAlignment="1">
      <alignment vertical="center"/>
    </xf>
    <xf numFmtId="2" fontId="31" fillId="0" borderId="205" xfId="0" applyNumberFormat="1" applyFont="1" applyFill="1" applyBorder="1" applyAlignment="1">
      <alignment vertical="center"/>
    </xf>
    <xf numFmtId="2" fontId="25" fillId="0" borderId="205" xfId="0" applyNumberFormat="1" applyFont="1" applyFill="1" applyBorder="1" applyAlignment="1">
      <alignment vertical="center"/>
    </xf>
    <xf numFmtId="2" fontId="31" fillId="33" borderId="243" xfId="0" applyNumberFormat="1" applyFont="1" applyFill="1" applyBorder="1" applyAlignment="1">
      <alignment vertical="center"/>
    </xf>
    <xf numFmtId="2" fontId="31" fillId="33" borderId="205" xfId="0" applyNumberFormat="1" applyFont="1" applyFill="1" applyBorder="1" applyAlignment="1">
      <alignment vertical="center"/>
    </xf>
    <xf numFmtId="2" fontId="0" fillId="0" borderId="221" xfId="0" applyNumberFormat="1" applyFont="1" applyBorder="1"/>
    <xf numFmtId="2" fontId="32" fillId="0" borderId="200" xfId="0" applyNumberFormat="1" applyFont="1" applyBorder="1"/>
    <xf numFmtId="2" fontId="25" fillId="6" borderId="205" xfId="4" applyNumberFormat="1" applyFont="1" applyFill="1" applyBorder="1" applyAlignment="1">
      <alignment horizontal="left" vertical="center"/>
    </xf>
    <xf numFmtId="2" fontId="24" fillId="8" borderId="248" xfId="0" applyNumberFormat="1" applyFont="1" applyFill="1" applyBorder="1" applyAlignment="1">
      <alignment horizontal="center" vertical="center" wrapText="1"/>
    </xf>
    <xf numFmtId="2" fontId="7" fillId="8" borderId="247" xfId="0" applyNumberFormat="1" applyFont="1" applyFill="1" applyBorder="1" applyAlignment="1">
      <alignment vertical="top"/>
    </xf>
    <xf numFmtId="2" fontId="7" fillId="24" borderId="257" xfId="0" applyNumberFormat="1" applyFont="1" applyFill="1" applyBorder="1" applyAlignment="1">
      <alignment vertical="center"/>
    </xf>
    <xf numFmtId="2" fontId="25" fillId="6" borderId="202" xfId="0" applyNumberFormat="1" applyFont="1" applyFill="1" applyBorder="1" applyAlignment="1"/>
    <xf numFmtId="2" fontId="29" fillId="2" borderId="243" xfId="4" applyNumberFormat="1" applyFont="1" applyFill="1" applyBorder="1" applyAlignment="1">
      <alignment vertical="center" wrapText="1"/>
    </xf>
    <xf numFmtId="2" fontId="27" fillId="2" borderId="202" xfId="0" applyNumberFormat="1" applyFont="1" applyFill="1" applyBorder="1" applyAlignment="1"/>
    <xf numFmtId="2" fontId="7" fillId="0" borderId="239" xfId="0" applyNumberFormat="1" applyFont="1" applyFill="1" applyBorder="1" applyAlignment="1">
      <alignment vertical="center"/>
    </xf>
    <xf numFmtId="2" fontId="31" fillId="0" borderId="205" xfId="0" applyNumberFormat="1" applyFont="1" applyFill="1" applyBorder="1" applyAlignment="1">
      <alignment vertical="top"/>
    </xf>
    <xf numFmtId="2" fontId="31" fillId="0" borderId="202" xfId="0" applyNumberFormat="1" applyFont="1" applyFill="1" applyBorder="1" applyAlignment="1">
      <alignment vertical="top"/>
    </xf>
    <xf numFmtId="2" fontId="7" fillId="0" borderId="243" xfId="0" applyNumberFormat="1" applyFont="1" applyFill="1" applyBorder="1" applyAlignment="1">
      <alignment vertical="center" wrapText="1"/>
    </xf>
    <xf numFmtId="2" fontId="31" fillId="0" borderId="224" xfId="0" applyNumberFormat="1" applyFont="1" applyFill="1" applyBorder="1" applyAlignment="1">
      <alignment vertical="top"/>
    </xf>
    <xf numFmtId="2" fontId="31" fillId="2" borderId="243" xfId="4" applyNumberFormat="1" applyFont="1" applyFill="1" applyBorder="1" applyAlignment="1">
      <alignment vertical="center" wrapText="1"/>
    </xf>
    <xf numFmtId="2" fontId="0" fillId="0" borderId="202" xfId="0" applyNumberFormat="1" applyFont="1" applyBorder="1"/>
    <xf numFmtId="2" fontId="7" fillId="24" borderId="202" xfId="0" applyNumberFormat="1" applyFont="1" applyFill="1" applyBorder="1" applyAlignment="1">
      <alignment horizontal="center" vertical="top"/>
    </xf>
    <xf numFmtId="2" fontId="25" fillId="2" borderId="202" xfId="0" applyNumberFormat="1" applyFont="1" applyFill="1" applyBorder="1" applyAlignment="1"/>
    <xf numFmtId="2" fontId="28" fillId="2" borderId="202" xfId="0" applyNumberFormat="1" applyFont="1" applyFill="1" applyBorder="1" applyAlignment="1"/>
    <xf numFmtId="2" fontId="31" fillId="2" borderId="202" xfId="0" applyNumberFormat="1" applyFont="1" applyFill="1" applyBorder="1" applyAlignment="1"/>
    <xf numFmtId="2" fontId="31" fillId="2" borderId="265" xfId="4" applyNumberFormat="1" applyFont="1" applyFill="1" applyBorder="1" applyAlignment="1">
      <alignment vertical="center" wrapText="1"/>
    </xf>
    <xf numFmtId="2" fontId="24" fillId="8" borderId="268" xfId="0" applyNumberFormat="1" applyFont="1" applyFill="1" applyBorder="1" applyAlignment="1">
      <alignment vertical="center" wrapText="1"/>
    </xf>
    <xf numFmtId="2" fontId="24" fillId="8" borderId="257" xfId="0" applyNumberFormat="1" applyFont="1" applyFill="1" applyBorder="1" applyAlignment="1">
      <alignment horizontal="center" vertical="center" wrapText="1"/>
    </xf>
    <xf numFmtId="2" fontId="7" fillId="8" borderId="219" xfId="0" applyNumberFormat="1" applyFont="1" applyFill="1" applyBorder="1" applyAlignment="1">
      <alignment vertical="top"/>
    </xf>
    <xf numFmtId="2" fontId="7" fillId="24" borderId="216" xfId="0" applyNumberFormat="1" applyFont="1" applyFill="1" applyBorder="1" applyAlignment="1">
      <alignment vertical="center"/>
    </xf>
    <xf numFmtId="2" fontId="24" fillId="6" borderId="264" xfId="4" applyNumberFormat="1" applyFont="1" applyFill="1" applyBorder="1" applyAlignment="1">
      <alignment horizontal="left" vertical="center"/>
    </xf>
    <xf numFmtId="2" fontId="25" fillId="6" borderId="202" xfId="0" applyNumberFormat="1" applyFont="1" applyFill="1" applyBorder="1" applyAlignment="1">
      <alignment vertical="center"/>
    </xf>
    <xf numFmtId="2" fontId="25" fillId="23" borderId="202" xfId="0" applyNumberFormat="1" applyFont="1" applyFill="1" applyBorder="1" applyAlignment="1">
      <alignment vertical="center"/>
    </xf>
    <xf numFmtId="2" fontId="29" fillId="0" borderId="264" xfId="0" applyNumberFormat="1" applyFont="1" applyFill="1" applyBorder="1" applyAlignment="1">
      <alignment vertical="center"/>
    </xf>
    <xf numFmtId="2" fontId="25" fillId="26" borderId="202" xfId="0" applyNumberFormat="1" applyFont="1" applyFill="1" applyBorder="1" applyAlignment="1">
      <alignment vertical="center"/>
    </xf>
    <xf numFmtId="2" fontId="30" fillId="0" borderId="200" xfId="0" applyNumberFormat="1" applyFont="1" applyBorder="1" applyAlignment="1">
      <alignment vertical="top"/>
    </xf>
    <xf numFmtId="2" fontId="7" fillId="0" borderId="267" xfId="0" applyNumberFormat="1" applyFont="1" applyFill="1" applyBorder="1" applyAlignment="1">
      <alignment vertical="center" wrapText="1"/>
    </xf>
    <xf numFmtId="2" fontId="31" fillId="0" borderId="254" xfId="0" applyNumberFormat="1" applyFont="1" applyFill="1" applyBorder="1" applyAlignment="1">
      <alignment vertical="center"/>
    </xf>
    <xf numFmtId="2" fontId="31" fillId="2" borderId="246" xfId="0" applyNumberFormat="1" applyFont="1" applyFill="1" applyBorder="1" applyAlignment="1">
      <alignment vertical="center"/>
    </xf>
    <xf numFmtId="2" fontId="31" fillId="26" borderId="228" xfId="0" applyNumberFormat="1" applyFont="1" applyFill="1" applyBorder="1" applyAlignment="1">
      <alignment vertical="center"/>
    </xf>
    <xf numFmtId="2" fontId="18" fillId="0" borderId="200" xfId="0" applyNumberFormat="1" applyFont="1" applyBorder="1" applyAlignment="1">
      <alignment horizontal="center" vertical="top" wrapText="1"/>
    </xf>
    <xf numFmtId="2" fontId="0" fillId="0" borderId="202" xfId="0" applyNumberFormat="1" applyFont="1" applyBorder="1" applyAlignment="1">
      <alignment vertical="center"/>
    </xf>
    <xf numFmtId="3" fontId="0" fillId="0" borderId="202" xfId="0" applyNumberFormat="1" applyFont="1" applyBorder="1"/>
    <xf numFmtId="3" fontId="37" fillId="0" borderId="202" xfId="0" applyNumberFormat="1" applyFont="1" applyBorder="1"/>
    <xf numFmtId="2" fontId="39" fillId="0" borderId="202" xfId="0" applyNumberFormat="1" applyFont="1" applyBorder="1" applyAlignment="1">
      <alignment vertical="center"/>
    </xf>
    <xf numFmtId="2" fontId="18" fillId="0" borderId="202" xfId="0" applyNumberFormat="1" applyFont="1" applyBorder="1" applyAlignment="1">
      <alignment vertical="top"/>
    </xf>
    <xf numFmtId="3" fontId="8" fillId="0" borderId="202" xfId="0" applyNumberFormat="1" applyFont="1" applyBorder="1" applyAlignment="1">
      <alignment vertical="top"/>
    </xf>
    <xf numFmtId="2" fontId="17" fillId="0" borderId="213" xfId="0" applyNumberFormat="1" applyFont="1" applyBorder="1" applyAlignment="1">
      <alignment vertical="top"/>
    </xf>
    <xf numFmtId="2" fontId="18" fillId="0" borderId="213" xfId="0" applyNumberFormat="1" applyFont="1" applyBorder="1" applyAlignment="1">
      <alignment vertical="top"/>
    </xf>
    <xf numFmtId="2" fontId="18" fillId="0" borderId="213" xfId="0" applyNumberFormat="1" applyFont="1" applyBorder="1" applyAlignment="1">
      <alignment horizontal="center" vertical="top" wrapText="1"/>
    </xf>
    <xf numFmtId="0" fontId="25" fillId="0" borderId="269" xfId="0" applyFont="1" applyBorder="1" applyAlignment="1">
      <alignment vertical="top"/>
    </xf>
    <xf numFmtId="0" fontId="21" fillId="0" borderId="269" xfId="0" applyFont="1" applyBorder="1" applyAlignment="1">
      <alignment vertical="top"/>
    </xf>
    <xf numFmtId="0" fontId="11" fillId="0" borderId="269" xfId="0" applyFont="1" applyFill="1" applyBorder="1" applyAlignment="1"/>
    <xf numFmtId="0" fontId="28" fillId="0" borderId="269" xfId="0" applyFont="1" applyFill="1" applyBorder="1" applyAlignment="1"/>
    <xf numFmtId="0" fontId="14" fillId="2" borderId="269" xfId="3" applyFont="1" applyFill="1" applyBorder="1" applyAlignment="1">
      <alignment horizontal="right" vertical="center"/>
    </xf>
    <xf numFmtId="0" fontId="15" fillId="2" borderId="269" xfId="0" applyFont="1" applyFill="1" applyBorder="1" applyAlignment="1">
      <alignment horizontal="right" vertical="center"/>
    </xf>
    <xf numFmtId="0" fontId="28" fillId="0" borderId="269" xfId="0" applyFont="1" applyFill="1" applyBorder="1" applyAlignment="1">
      <alignment horizontal="left"/>
    </xf>
    <xf numFmtId="3" fontId="21" fillId="0" borderId="269" xfId="0" applyNumberFormat="1" applyFont="1" applyBorder="1" applyAlignment="1">
      <alignment vertical="top"/>
    </xf>
    <xf numFmtId="0" fontId="13" fillId="0" borderId="269" xfId="0" applyFont="1" applyFill="1" applyBorder="1" applyAlignment="1">
      <alignment horizontal="left"/>
    </xf>
    <xf numFmtId="0" fontId="59" fillId="0" borderId="269" xfId="0" applyFont="1" applyFill="1" applyBorder="1" applyAlignment="1">
      <alignment vertical="top"/>
    </xf>
    <xf numFmtId="0" fontId="21" fillId="0" borderId="269" xfId="0" applyFont="1" applyFill="1" applyBorder="1" applyAlignment="1">
      <alignment vertical="top"/>
    </xf>
    <xf numFmtId="0" fontId="59" fillId="31" borderId="269" xfId="0" applyFont="1" applyFill="1" applyBorder="1" applyAlignment="1">
      <alignment vertical="top"/>
    </xf>
    <xf numFmtId="0" fontId="25" fillId="2" borderId="270" xfId="0" applyFont="1" applyFill="1" applyBorder="1" applyAlignment="1">
      <alignment horizontal="center" vertical="top"/>
    </xf>
    <xf numFmtId="0" fontId="24" fillId="2" borderId="273" xfId="0" applyFont="1" applyFill="1" applyBorder="1" applyAlignment="1">
      <alignment horizontal="center" vertical="center" wrapText="1"/>
    </xf>
    <xf numFmtId="9" fontId="25" fillId="2" borderId="280" xfId="2" applyFont="1" applyFill="1" applyBorder="1" applyAlignment="1">
      <alignment horizontal="center" vertical="top"/>
    </xf>
    <xf numFmtId="0" fontId="25" fillId="33" borderId="283" xfId="4" applyFont="1" applyFill="1" applyBorder="1" applyAlignment="1">
      <alignment horizontal="center" vertical="center" wrapText="1"/>
    </xf>
    <xf numFmtId="0" fontId="25" fillId="0" borderId="283" xfId="4" applyFont="1" applyBorder="1" applyAlignment="1">
      <alignment horizontal="center" vertical="center" wrapText="1"/>
    </xf>
    <xf numFmtId="0" fontId="25" fillId="0" borderId="284" xfId="4" applyFont="1" applyBorder="1" applyAlignment="1">
      <alignment horizontal="center" vertical="center" wrapText="1"/>
    </xf>
    <xf numFmtId="0" fontId="21" fillId="2" borderId="286" xfId="0" applyFont="1" applyFill="1" applyBorder="1" applyAlignment="1">
      <alignment horizontal="center" vertical="top"/>
    </xf>
    <xf numFmtId="0" fontId="21" fillId="2" borderId="287" xfId="0" applyFont="1" applyFill="1" applyBorder="1" applyAlignment="1">
      <alignment horizontal="center" vertical="top"/>
    </xf>
    <xf numFmtId="0" fontId="21" fillId="2" borderId="287" xfId="0" quotePrefix="1" applyFont="1" applyFill="1" applyBorder="1" applyAlignment="1">
      <alignment horizontal="center" vertical="top"/>
    </xf>
    <xf numFmtId="0" fontId="21" fillId="2" borderId="283" xfId="0" quotePrefix="1" applyFont="1" applyFill="1" applyBorder="1" applyAlignment="1">
      <alignment horizontal="center" vertical="top"/>
    </xf>
    <xf numFmtId="0" fontId="21" fillId="27" borderId="287" xfId="0" quotePrefix="1" applyFont="1" applyFill="1" applyBorder="1" applyAlignment="1">
      <alignment horizontal="center" vertical="top"/>
    </xf>
    <xf numFmtId="0" fontId="21" fillId="2" borderId="288" xfId="0" quotePrefix="1" applyFont="1" applyFill="1" applyBorder="1" applyAlignment="1">
      <alignment horizontal="center" vertical="top"/>
    </xf>
    <xf numFmtId="0" fontId="29" fillId="8" borderId="289" xfId="0" applyFont="1" applyFill="1" applyBorder="1" applyAlignment="1">
      <alignment vertical="top"/>
    </xf>
    <xf numFmtId="0" fontId="27" fillId="56" borderId="280" xfId="4" applyFont="1" applyFill="1" applyBorder="1" applyAlignment="1">
      <alignment horizontal="left" vertical="center"/>
    </xf>
    <xf numFmtId="0" fontId="27" fillId="56" borderId="281" xfId="4" applyFont="1" applyFill="1" applyBorder="1" applyAlignment="1">
      <alignment horizontal="left" vertical="center"/>
    </xf>
    <xf numFmtId="3" fontId="27" fillId="56" borderId="284" xfId="4" applyNumberFormat="1" applyFont="1" applyFill="1" applyBorder="1" applyAlignment="1">
      <alignment horizontal="right" vertical="center"/>
    </xf>
    <xf numFmtId="3" fontId="27" fillId="22" borderId="283" xfId="4" applyNumberFormat="1" applyFont="1" applyFill="1" applyBorder="1" applyAlignment="1">
      <alignment horizontal="right" vertical="center"/>
    </xf>
    <xf numFmtId="3" fontId="18" fillId="8" borderId="290" xfId="4" applyNumberFormat="1" applyFont="1" applyFill="1" applyBorder="1" applyAlignment="1">
      <alignment vertical="top" wrapText="1"/>
    </xf>
    <xf numFmtId="3" fontId="0" fillId="0" borderId="269" xfId="0" applyNumberFormat="1" applyFont="1" applyBorder="1"/>
    <xf numFmtId="0" fontId="0" fillId="0" borderId="269" xfId="0" applyFont="1" applyBorder="1"/>
    <xf numFmtId="0" fontId="7" fillId="8" borderId="289" xfId="4" applyFont="1" applyFill="1" applyBorder="1" applyAlignment="1">
      <alignment vertical="top"/>
    </xf>
    <xf numFmtId="0" fontId="27" fillId="56" borderId="291" xfId="0" applyFont="1" applyFill="1" applyBorder="1" applyAlignment="1">
      <alignment horizontal="left" vertical="top"/>
    </xf>
    <xf numFmtId="0" fontId="28" fillId="56" borderId="292" xfId="0" quotePrefix="1" applyFont="1" applyFill="1" applyBorder="1" applyAlignment="1">
      <alignment horizontal="center" vertical="top"/>
    </xf>
    <xf numFmtId="3" fontId="27" fillId="56" borderId="293" xfId="0" quotePrefix="1" applyNumberFormat="1" applyFont="1" applyFill="1" applyBorder="1" applyAlignment="1">
      <alignment horizontal="right" vertical="top"/>
    </xf>
    <xf numFmtId="3" fontId="27" fillId="22" borderId="294" xfId="4" applyNumberFormat="1" applyFont="1" applyFill="1" applyBorder="1" applyAlignment="1">
      <alignment horizontal="right" vertical="center"/>
    </xf>
    <xf numFmtId="3" fontId="27" fillId="22" borderId="295" xfId="4" applyNumberFormat="1" applyFont="1" applyFill="1" applyBorder="1" applyAlignment="1">
      <alignment horizontal="right" vertical="center"/>
    </xf>
    <xf numFmtId="3" fontId="18" fillId="8" borderId="296" xfId="4" applyNumberFormat="1" applyFont="1" applyFill="1" applyBorder="1" applyAlignment="1">
      <alignment vertical="top" wrapText="1"/>
    </xf>
    <xf numFmtId="0" fontId="25" fillId="8" borderId="297" xfId="0" applyFont="1" applyFill="1" applyBorder="1" applyAlignment="1">
      <alignment vertical="center"/>
    </xf>
    <xf numFmtId="0" fontId="25" fillId="6" borderId="280" xfId="4" applyFont="1" applyFill="1" applyBorder="1" applyAlignment="1">
      <alignment horizontal="left" vertical="center"/>
    </xf>
    <xf numFmtId="0" fontId="25" fillId="6" borderId="284" xfId="4" applyFont="1" applyFill="1" applyBorder="1" applyAlignment="1">
      <alignment horizontal="left" vertical="center"/>
    </xf>
    <xf numFmtId="3" fontId="24" fillId="6" borderId="284" xfId="4" applyNumberFormat="1" applyFont="1" applyFill="1" applyBorder="1" applyAlignment="1">
      <alignment vertical="center"/>
    </xf>
    <xf numFmtId="3" fontId="25" fillId="23" borderId="283" xfId="4" applyNumberFormat="1" applyFont="1" applyFill="1" applyBorder="1" applyAlignment="1">
      <alignment horizontal="right" vertical="center"/>
    </xf>
    <xf numFmtId="3" fontId="18" fillId="0" borderId="290" xfId="4" applyNumberFormat="1" applyFont="1" applyFill="1" applyBorder="1" applyAlignment="1">
      <alignment horizontal="center" vertical="center" wrapText="1"/>
    </xf>
    <xf numFmtId="3" fontId="6" fillId="0" borderId="269" xfId="0" applyNumberFormat="1" applyFont="1" applyFill="1" applyBorder="1" applyAlignment="1">
      <alignment vertical="center"/>
    </xf>
    <xf numFmtId="3" fontId="0" fillId="0" borderId="269" xfId="0" applyNumberFormat="1" applyFont="1" applyBorder="1" applyAlignment="1">
      <alignment vertical="center"/>
    </xf>
    <xf numFmtId="0" fontId="6" fillId="0" borderId="269" xfId="0" applyFont="1" applyFill="1" applyBorder="1" applyAlignment="1">
      <alignment vertical="center"/>
    </xf>
    <xf numFmtId="0" fontId="6" fillId="31" borderId="269" xfId="0" applyFont="1" applyFill="1" applyBorder="1" applyAlignment="1">
      <alignment vertical="center"/>
    </xf>
    <xf numFmtId="0" fontId="24" fillId="8" borderId="297" xfId="4" applyFont="1" applyFill="1" applyBorder="1" applyAlignment="1">
      <alignment horizontal="right" vertical="top"/>
    </xf>
    <xf numFmtId="0" fontId="29" fillId="8" borderId="298" xfId="4" applyFont="1" applyFill="1" applyBorder="1" applyAlignment="1">
      <alignment vertical="top"/>
    </xf>
    <xf numFmtId="0" fontId="27" fillId="8" borderId="299" xfId="4" applyFont="1" applyFill="1" applyBorder="1" applyAlignment="1">
      <alignment horizontal="left" vertical="center"/>
    </xf>
    <xf numFmtId="3" fontId="27" fillId="8" borderId="287" xfId="4" applyNumberFormat="1" applyFont="1" applyFill="1" applyBorder="1" applyAlignment="1">
      <alignment vertical="top"/>
    </xf>
    <xf numFmtId="3" fontId="27" fillId="24" borderId="287" xfId="4" applyNumberFormat="1" applyFont="1" applyFill="1" applyBorder="1" applyAlignment="1">
      <alignment vertical="top"/>
    </xf>
    <xf numFmtId="0" fontId="18" fillId="0" borderId="290" xfId="4" applyFont="1" applyFill="1" applyBorder="1" applyAlignment="1">
      <alignment horizontal="center" vertical="center" wrapText="1"/>
    </xf>
    <xf numFmtId="0" fontId="0" fillId="0" borderId="269" xfId="0" applyFont="1" applyFill="1" applyBorder="1"/>
    <xf numFmtId="0" fontId="7" fillId="8" borderId="297" xfId="4" applyFont="1" applyFill="1" applyBorder="1" applyAlignment="1">
      <alignment vertical="top"/>
    </xf>
    <xf numFmtId="0" fontId="7" fillId="8" borderId="298" xfId="4" applyFont="1" applyFill="1" applyBorder="1" applyAlignment="1">
      <alignment vertical="top"/>
    </xf>
    <xf numFmtId="0" fontId="7" fillId="8" borderId="299" xfId="4" applyFont="1" applyFill="1" applyBorder="1" applyAlignment="1">
      <alignment vertical="top"/>
    </xf>
    <xf numFmtId="3" fontId="7" fillId="8" borderId="287" xfId="4" applyNumberFormat="1" applyFont="1" applyFill="1" applyBorder="1" applyAlignment="1">
      <alignment vertical="top"/>
    </xf>
    <xf numFmtId="3" fontId="7" fillId="24" borderId="287" xfId="4" applyNumberFormat="1" applyFont="1" applyFill="1" applyBorder="1" applyAlignment="1">
      <alignment vertical="top"/>
    </xf>
    <xf numFmtId="3" fontId="32" fillId="0" borderId="269" xfId="0" applyNumberFormat="1" applyFont="1" applyFill="1" applyBorder="1"/>
    <xf numFmtId="3" fontId="0" fillId="0" borderId="269" xfId="0" applyNumberFormat="1" applyFont="1" applyFill="1" applyBorder="1"/>
    <xf numFmtId="0" fontId="7" fillId="8" borderId="298" xfId="4" applyFont="1" applyFill="1" applyBorder="1" applyAlignment="1">
      <alignment vertical="top" wrapText="1"/>
    </xf>
    <xf numFmtId="0" fontId="7" fillId="8" borderId="286" xfId="4" applyFont="1" applyFill="1" applyBorder="1" applyAlignment="1">
      <alignment vertical="top"/>
    </xf>
    <xf numFmtId="0" fontId="27" fillId="8" borderId="280" xfId="4" applyFont="1" applyFill="1" applyBorder="1" applyAlignment="1">
      <alignment horizontal="left" vertical="center"/>
    </xf>
    <xf numFmtId="0" fontId="27" fillId="8" borderId="281" xfId="4" applyFont="1" applyFill="1" applyBorder="1" applyAlignment="1">
      <alignment horizontal="left" vertical="center"/>
    </xf>
    <xf numFmtId="3" fontId="27" fillId="8" borderId="283" xfId="4" applyNumberFormat="1" applyFont="1" applyFill="1" applyBorder="1" applyAlignment="1">
      <alignment vertical="top"/>
    </xf>
    <xf numFmtId="3" fontId="27" fillId="24" borderId="283" xfId="4" applyNumberFormat="1" applyFont="1" applyFill="1" applyBorder="1" applyAlignment="1">
      <alignment vertical="top"/>
    </xf>
    <xf numFmtId="0" fontId="29" fillId="8" borderId="299" xfId="4" applyFont="1" applyFill="1" applyBorder="1" applyAlignment="1">
      <alignment horizontal="left" vertical="center"/>
    </xf>
    <xf numFmtId="0" fontId="18" fillId="0" borderId="300" xfId="4" applyFont="1" applyFill="1" applyBorder="1" applyAlignment="1">
      <alignment horizontal="center" vertical="center" wrapText="1"/>
    </xf>
    <xf numFmtId="0" fontId="25" fillId="6" borderId="281" xfId="4" applyFont="1" applyFill="1" applyBorder="1" applyAlignment="1">
      <alignment horizontal="left" vertical="center"/>
    </xf>
    <xf numFmtId="3" fontId="25" fillId="6" borderId="283" xfId="4" applyNumberFormat="1" applyFont="1" applyFill="1" applyBorder="1" applyAlignment="1">
      <alignment vertical="center"/>
    </xf>
    <xf numFmtId="0" fontId="18" fillId="0" borderId="302" xfId="4" applyFont="1" applyFill="1" applyBorder="1" applyAlignment="1">
      <alignment horizontal="center" vertical="center" wrapText="1"/>
    </xf>
    <xf numFmtId="0" fontId="7" fillId="8" borderId="304" xfId="4" applyFont="1" applyFill="1" applyBorder="1" applyAlignment="1">
      <alignment vertical="top"/>
    </xf>
    <xf numFmtId="3" fontId="7" fillId="8" borderId="303" xfId="4" applyNumberFormat="1" applyFont="1" applyFill="1" applyBorder="1" applyAlignment="1">
      <alignment vertical="top"/>
    </xf>
    <xf numFmtId="0" fontId="27" fillId="8" borderId="284" xfId="4" applyFont="1" applyFill="1" applyBorder="1" applyAlignment="1">
      <alignment horizontal="left" vertical="center"/>
    </xf>
    <xf numFmtId="0" fontId="7" fillId="8" borderId="299" xfId="4" applyFont="1" applyFill="1" applyBorder="1" applyAlignment="1">
      <alignment horizontal="left" vertical="center"/>
    </xf>
    <xf numFmtId="0" fontId="7" fillId="8" borderId="305" xfId="4" applyFont="1" applyFill="1" applyBorder="1" applyAlignment="1">
      <alignment vertical="top"/>
    </xf>
    <xf numFmtId="0" fontId="7" fillId="8" borderId="306" xfId="4" applyFont="1" applyFill="1" applyBorder="1" applyAlignment="1">
      <alignment vertical="top" wrapText="1"/>
    </xf>
    <xf numFmtId="0" fontId="31" fillId="8" borderId="307" xfId="4" applyFont="1" applyFill="1" applyBorder="1" applyAlignment="1">
      <alignment horizontal="left" vertical="center"/>
    </xf>
    <xf numFmtId="3" fontId="7" fillId="8" borderId="294" xfId="4" applyNumberFormat="1" applyFont="1" applyFill="1" applyBorder="1" applyAlignment="1">
      <alignment vertical="top"/>
    </xf>
    <xf numFmtId="0" fontId="18" fillId="0" borderId="296" xfId="4" applyFont="1" applyFill="1" applyBorder="1" applyAlignment="1">
      <alignment horizontal="center" vertical="center" wrapText="1"/>
    </xf>
    <xf numFmtId="0" fontId="24" fillId="8" borderId="308" xfId="4" applyFont="1" applyFill="1" applyBorder="1" applyAlignment="1">
      <alignment horizontal="left" vertical="center" wrapText="1"/>
    </xf>
    <xf numFmtId="3" fontId="25" fillId="8" borderId="277" xfId="4" applyNumberFormat="1" applyFont="1" applyFill="1" applyBorder="1" applyAlignment="1">
      <alignment horizontal="center" vertical="center"/>
    </xf>
    <xf numFmtId="3" fontId="7" fillId="8" borderId="309" xfId="4" applyNumberFormat="1" applyFont="1" applyFill="1" applyBorder="1" applyAlignment="1">
      <alignment horizontal="right" vertical="center"/>
    </xf>
    <xf numFmtId="3" fontId="7" fillId="8" borderId="275" xfId="4" applyNumberFormat="1" applyFont="1" applyFill="1" applyBorder="1" applyAlignment="1">
      <alignment horizontal="right" vertical="center"/>
    </xf>
    <xf numFmtId="3" fontId="7" fillId="24" borderId="309" xfId="4" applyNumberFormat="1" applyFont="1" applyFill="1" applyBorder="1" applyAlignment="1">
      <alignment horizontal="right" vertical="center"/>
    </xf>
    <xf numFmtId="0" fontId="31" fillId="0" borderId="269" xfId="0" applyFont="1" applyBorder="1" applyAlignment="1">
      <alignment vertical="top"/>
    </xf>
    <xf numFmtId="0" fontId="24" fillId="6" borderId="298" xfId="4" applyFont="1" applyFill="1" applyBorder="1" applyAlignment="1">
      <alignment horizontal="left" vertical="center"/>
    </xf>
    <xf numFmtId="3" fontId="24" fillId="6" borderId="286" xfId="4" applyNumberFormat="1" applyFont="1" applyFill="1" applyBorder="1" applyAlignment="1">
      <alignment vertical="center"/>
    </xf>
    <xf numFmtId="3" fontId="25" fillId="6" borderId="299" xfId="4" applyNumberFormat="1" applyFont="1" applyFill="1" applyBorder="1" applyAlignment="1">
      <alignment vertical="center"/>
    </xf>
    <xf numFmtId="3" fontId="25" fillId="6" borderId="311" xfId="4" applyNumberFormat="1" applyFont="1" applyFill="1" applyBorder="1" applyAlignment="1">
      <alignment vertical="center"/>
    </xf>
    <xf numFmtId="3" fontId="25" fillId="6" borderId="287" xfId="4" applyNumberFormat="1" applyFont="1" applyFill="1" applyBorder="1" applyAlignment="1">
      <alignment vertical="center"/>
    </xf>
    <xf numFmtId="3" fontId="24" fillId="6" borderId="287" xfId="4" applyNumberFormat="1" applyFont="1" applyFill="1" applyBorder="1" applyAlignment="1">
      <alignment vertical="center"/>
    </xf>
    <xf numFmtId="3" fontId="25" fillId="23" borderId="287" xfId="4" applyNumberFormat="1" applyFont="1" applyFill="1" applyBorder="1" applyAlignment="1">
      <alignment vertical="center"/>
    </xf>
    <xf numFmtId="0" fontId="29" fillId="0" borderId="298" xfId="4" applyFont="1" applyFill="1" applyBorder="1" applyAlignment="1">
      <alignment vertical="top"/>
    </xf>
    <xf numFmtId="3" fontId="29" fillId="0" borderId="287" xfId="4" applyNumberFormat="1" applyFont="1" applyFill="1" applyBorder="1" applyAlignment="1">
      <alignment horizontal="right" vertical="center"/>
    </xf>
    <xf numFmtId="3" fontId="29" fillId="0" borderId="312" xfId="4" applyNumberFormat="1" applyFont="1" applyFill="1" applyBorder="1" applyAlignment="1">
      <alignment horizontal="right" vertical="center"/>
    </xf>
    <xf numFmtId="3" fontId="27" fillId="0" borderId="287" xfId="4" applyNumberFormat="1" applyFont="1" applyFill="1" applyBorder="1" applyAlignment="1">
      <alignment horizontal="right" vertical="center"/>
    </xf>
    <xf numFmtId="3" fontId="27" fillId="26" borderId="287" xfId="4" applyNumberFormat="1" applyFont="1" applyFill="1" applyBorder="1" applyAlignment="1">
      <alignment horizontal="right" vertical="center"/>
    </xf>
    <xf numFmtId="0" fontId="7" fillId="0" borderId="298" xfId="4" applyFont="1" applyFill="1" applyBorder="1" applyAlignment="1"/>
    <xf numFmtId="3" fontId="31" fillId="0" borderId="313" xfId="4" applyNumberFormat="1" applyFont="1" applyFill="1" applyBorder="1" applyAlignment="1">
      <alignment vertical="center"/>
    </xf>
    <xf numFmtId="3" fontId="31" fillId="0" borderId="312" xfId="4" applyNumberFormat="1" applyFont="1" applyFill="1" applyBorder="1" applyAlignment="1"/>
    <xf numFmtId="3" fontId="31" fillId="0" borderId="287" xfId="4" applyNumberFormat="1" applyFont="1" applyFill="1" applyBorder="1" applyAlignment="1"/>
    <xf numFmtId="3" fontId="7" fillId="0" borderId="287" xfId="4" applyNumberFormat="1" applyFont="1" applyFill="1" applyBorder="1" applyAlignment="1"/>
    <xf numFmtId="3" fontId="7" fillId="26" borderId="287" xfId="4" applyNumberFormat="1" applyFont="1" applyFill="1" applyBorder="1" applyAlignment="1">
      <alignment vertical="center"/>
    </xf>
    <xf numFmtId="0" fontId="31" fillId="0" borderId="269" xfId="0" applyFont="1" applyBorder="1" applyAlignment="1"/>
    <xf numFmtId="0" fontId="29" fillId="0" borderId="298" xfId="4" applyFont="1" applyFill="1" applyBorder="1" applyAlignment="1">
      <alignment horizontal="left" vertical="center"/>
    </xf>
    <xf numFmtId="3" fontId="29" fillId="0" borderId="299" xfId="4" applyNumberFormat="1" applyFont="1" applyFill="1" applyBorder="1" applyAlignment="1">
      <alignment horizontal="right" vertical="center"/>
    </xf>
    <xf numFmtId="3" fontId="29" fillId="0" borderId="311" xfId="4" applyNumberFormat="1" applyFont="1" applyFill="1" applyBorder="1" applyAlignment="1">
      <alignment horizontal="right" vertical="center"/>
    </xf>
    <xf numFmtId="3" fontId="27" fillId="0" borderId="299" xfId="4" applyNumberFormat="1" applyFont="1" applyFill="1" applyBorder="1" applyAlignment="1">
      <alignment horizontal="right" vertical="center"/>
    </xf>
    <xf numFmtId="0" fontId="7" fillId="0" borderId="298" xfId="4" applyFont="1" applyFill="1" applyBorder="1" applyAlignment="1">
      <alignment vertical="top"/>
    </xf>
    <xf numFmtId="3" fontId="31" fillId="0" borderId="287" xfId="4" applyNumberFormat="1" applyFont="1" applyFill="1" applyBorder="1" applyAlignment="1">
      <alignment horizontal="right" vertical="center"/>
    </xf>
    <xf numFmtId="3" fontId="31" fillId="0" borderId="312" xfId="4" applyNumberFormat="1" applyFont="1" applyFill="1" applyBorder="1" applyAlignment="1">
      <alignment horizontal="right" vertical="center"/>
    </xf>
    <xf numFmtId="3" fontId="7" fillId="0" borderId="312" xfId="4" applyNumberFormat="1" applyFont="1" applyFill="1" applyBorder="1" applyAlignment="1">
      <alignment horizontal="right" vertical="center"/>
    </xf>
    <xf numFmtId="3" fontId="24" fillId="6" borderId="299" xfId="4" applyNumberFormat="1" applyFont="1" applyFill="1" applyBorder="1" applyAlignment="1">
      <alignment vertical="center"/>
    </xf>
    <xf numFmtId="3" fontId="24" fillId="6" borderId="311" xfId="4" applyNumberFormat="1" applyFont="1" applyFill="1" applyBorder="1" applyAlignment="1">
      <alignment vertical="center"/>
    </xf>
    <xf numFmtId="0" fontId="7" fillId="0" borderId="269" xfId="0" applyFont="1" applyBorder="1" applyAlignment="1">
      <alignment vertical="top"/>
    </xf>
    <xf numFmtId="0" fontId="7" fillId="0" borderId="306" xfId="4" applyFont="1" applyFill="1" applyBorder="1" applyAlignment="1">
      <alignment vertical="top"/>
    </xf>
    <xf numFmtId="3" fontId="31" fillId="0" borderId="294" xfId="4" applyNumberFormat="1" applyFont="1" applyFill="1" applyBorder="1" applyAlignment="1">
      <alignment vertical="center"/>
    </xf>
    <xf numFmtId="3" fontId="31" fillId="0" borderId="294" xfId="4" applyNumberFormat="1" applyFont="1" applyFill="1" applyBorder="1" applyAlignment="1"/>
    <xf numFmtId="3" fontId="31" fillId="0" borderId="294" xfId="4" applyNumberFormat="1" applyFont="1" applyFill="1" applyBorder="1" applyAlignment="1">
      <alignment vertical="top"/>
    </xf>
    <xf numFmtId="3" fontId="31" fillId="0" borderId="315" xfId="4" applyNumberFormat="1" applyFont="1" applyFill="1" applyBorder="1" applyAlignment="1">
      <alignment vertical="top"/>
    </xf>
    <xf numFmtId="3" fontId="7" fillId="0" borderId="315" xfId="4" applyNumberFormat="1" applyFont="1" applyFill="1" applyBorder="1" applyAlignment="1">
      <alignment vertical="top"/>
    </xf>
    <xf numFmtId="3" fontId="24" fillId="8" borderId="277" xfId="4" applyNumberFormat="1" applyFont="1" applyFill="1" applyBorder="1" applyAlignment="1">
      <alignment horizontal="center" vertical="center"/>
    </xf>
    <xf numFmtId="3" fontId="7" fillId="24" borderId="275" xfId="4" applyNumberFormat="1" applyFont="1" applyFill="1" applyBorder="1" applyAlignment="1">
      <alignment horizontal="right" vertical="center"/>
    </xf>
    <xf numFmtId="3" fontId="17" fillId="6" borderId="286" xfId="4" applyNumberFormat="1" applyFont="1" applyFill="1" applyBorder="1" applyAlignment="1">
      <alignment vertical="center"/>
    </xf>
    <xf numFmtId="3" fontId="24" fillId="23" borderId="287" xfId="4" applyNumberFormat="1" applyFont="1" applyFill="1" applyBorder="1" applyAlignment="1">
      <alignment vertical="center"/>
    </xf>
    <xf numFmtId="3" fontId="29" fillId="26" borderId="287" xfId="4" applyNumberFormat="1" applyFont="1" applyFill="1" applyBorder="1" applyAlignment="1">
      <alignment horizontal="right" vertical="center"/>
    </xf>
    <xf numFmtId="3" fontId="7" fillId="0" borderId="313" xfId="4" applyNumberFormat="1" applyFont="1" applyFill="1" applyBorder="1" applyAlignment="1">
      <alignment vertical="center"/>
    </xf>
    <xf numFmtId="3" fontId="7" fillId="0" borderId="287" xfId="4" applyNumberFormat="1" applyFont="1" applyFill="1" applyBorder="1" applyAlignment="1">
      <alignment vertical="top"/>
    </xf>
    <xf numFmtId="0" fontId="7" fillId="33" borderId="298" xfId="4" applyFont="1" applyFill="1" applyBorder="1" applyAlignment="1">
      <alignment vertical="top"/>
    </xf>
    <xf numFmtId="3" fontId="29" fillId="26" borderId="299" xfId="4" applyNumberFormat="1" applyFont="1" applyFill="1" applyBorder="1" applyAlignment="1">
      <alignment horizontal="right" vertical="center"/>
    </xf>
    <xf numFmtId="0" fontId="18" fillId="0" borderId="269" xfId="0" applyFont="1" applyBorder="1" applyAlignment="1">
      <alignment vertical="top"/>
    </xf>
    <xf numFmtId="0" fontId="7" fillId="33" borderId="306" xfId="4" applyFont="1" applyFill="1" applyBorder="1" applyAlignment="1">
      <alignment vertical="top"/>
    </xf>
    <xf numFmtId="3" fontId="7" fillId="0" borderId="294" xfId="4" applyNumberFormat="1" applyFont="1" applyFill="1" applyBorder="1" applyAlignment="1"/>
    <xf numFmtId="3" fontId="7" fillId="0" borderId="294" xfId="4" applyNumberFormat="1" applyFont="1" applyFill="1" applyBorder="1" applyAlignment="1">
      <alignment vertical="top"/>
    </xf>
    <xf numFmtId="0" fontId="24" fillId="0" borderId="289" xfId="4" applyFont="1" applyFill="1" applyBorder="1" applyAlignment="1">
      <alignment vertical="center"/>
    </xf>
    <xf numFmtId="0" fontId="7" fillId="0" borderId="289" xfId="4" applyFont="1" applyFill="1" applyBorder="1" applyAlignment="1">
      <alignment vertical="top"/>
    </xf>
    <xf numFmtId="0" fontId="0" fillId="0" borderId="318" xfId="0" applyFont="1" applyBorder="1" applyAlignment="1">
      <alignment wrapText="1" shrinkToFit="1"/>
    </xf>
    <xf numFmtId="3" fontId="31" fillId="0" borderId="304" xfId="4" applyNumberFormat="1" applyFont="1" applyFill="1" applyBorder="1" applyAlignment="1">
      <alignment vertical="center"/>
    </xf>
    <xf numFmtId="3" fontId="18" fillId="0" borderId="303" xfId="4" applyNumberFormat="1" applyFont="1" applyFill="1" applyBorder="1" applyAlignment="1">
      <alignment horizontal="right" vertical="center"/>
    </xf>
    <xf numFmtId="3" fontId="18" fillId="26" borderId="319" xfId="4" applyNumberFormat="1" applyFont="1" applyFill="1" applyBorder="1" applyAlignment="1">
      <alignment vertical="top"/>
    </xf>
    <xf numFmtId="0" fontId="18" fillId="0" borderId="290" xfId="4" applyFont="1" applyFill="1" applyBorder="1" applyAlignment="1">
      <alignment vertical="center" wrapText="1"/>
    </xf>
    <xf numFmtId="0" fontId="24" fillId="8" borderId="298" xfId="4" applyFont="1" applyFill="1" applyBorder="1" applyAlignment="1">
      <alignment horizontal="left" vertical="center" wrapText="1"/>
    </xf>
    <xf numFmtId="3" fontId="24" fillId="8" borderId="299" xfId="4" applyNumberFormat="1" applyFont="1" applyFill="1" applyBorder="1" applyAlignment="1">
      <alignment horizontal="center" vertical="center"/>
    </xf>
    <xf numFmtId="3" fontId="7" fillId="8" borderId="287" xfId="4" applyNumberFormat="1" applyFont="1" applyFill="1" applyBorder="1" applyAlignment="1">
      <alignment horizontal="right" vertical="center"/>
    </xf>
    <xf numFmtId="3" fontId="7" fillId="24" borderId="312" xfId="4" applyNumberFormat="1" applyFont="1" applyFill="1" applyBorder="1" applyAlignment="1">
      <alignment horizontal="right" vertical="center"/>
    </xf>
    <xf numFmtId="3" fontId="7" fillId="0" borderId="294" xfId="4" applyNumberFormat="1" applyFont="1" applyFill="1" applyBorder="1" applyAlignment="1">
      <alignment vertical="center"/>
    </xf>
    <xf numFmtId="0" fontId="24" fillId="8" borderId="320" xfId="0" applyFont="1" applyFill="1" applyBorder="1" applyAlignment="1">
      <alignment vertical="center" wrapText="1"/>
    </xf>
    <xf numFmtId="0" fontId="24" fillId="8" borderId="271" xfId="0" applyFont="1" applyFill="1" applyBorder="1" applyAlignment="1">
      <alignment horizontal="center" vertical="center" wrapText="1"/>
    </xf>
    <xf numFmtId="0" fontId="7" fillId="8" borderId="272" xfId="0" applyFont="1" applyFill="1" applyBorder="1" applyAlignment="1">
      <alignment vertical="center"/>
    </xf>
    <xf numFmtId="43" fontId="7" fillId="8" borderId="275" xfId="1" applyFont="1" applyFill="1" applyBorder="1" applyAlignment="1">
      <alignment vertical="center"/>
    </xf>
    <xf numFmtId="3" fontId="7" fillId="8" borderId="275" xfId="0" applyNumberFormat="1" applyFont="1" applyFill="1" applyBorder="1" applyAlignment="1">
      <alignment vertical="center"/>
    </xf>
    <xf numFmtId="0" fontId="7" fillId="8" borderId="275" xfId="0" applyFont="1" applyFill="1" applyBorder="1" applyAlignment="1">
      <alignment vertical="center"/>
    </xf>
    <xf numFmtId="3" fontId="7" fillId="24" borderId="309" xfId="0" applyNumberFormat="1" applyFont="1" applyFill="1" applyBorder="1" applyAlignment="1">
      <alignment vertical="center"/>
    </xf>
    <xf numFmtId="0" fontId="25" fillId="6" borderId="321" xfId="4" applyFont="1" applyFill="1" applyBorder="1" applyAlignment="1">
      <alignment horizontal="left" vertical="center"/>
    </xf>
    <xf numFmtId="0" fontId="25" fillId="6" borderId="286" xfId="4" applyFont="1" applyFill="1" applyBorder="1" applyAlignment="1">
      <alignment horizontal="left" vertical="center"/>
    </xf>
    <xf numFmtId="3" fontId="25" fillId="23" borderId="287" xfId="4" applyNumberFormat="1" applyFont="1" applyFill="1" applyBorder="1" applyAlignment="1">
      <alignment horizontal="right" vertical="center"/>
    </xf>
    <xf numFmtId="3" fontId="27" fillId="2" borderId="311" xfId="4" applyNumberFormat="1" applyFont="1" applyFill="1" applyBorder="1" applyAlignment="1">
      <alignment vertical="center" wrapText="1"/>
    </xf>
    <xf numFmtId="3" fontId="33" fillId="0" borderId="299" xfId="6" applyNumberFormat="1" applyFont="1" applyFill="1" applyBorder="1" applyAlignment="1">
      <alignment vertical="center"/>
    </xf>
    <xf numFmtId="3" fontId="27" fillId="0" borderId="313" xfId="4" applyNumberFormat="1" applyFont="1" applyFill="1" applyBorder="1" applyAlignment="1">
      <alignment horizontal="right" vertical="center"/>
    </xf>
    <xf numFmtId="3" fontId="33" fillId="0" borderId="287" xfId="6" applyNumberFormat="1" applyFont="1" applyFill="1" applyBorder="1" applyAlignment="1">
      <alignment vertical="center"/>
    </xf>
    <xf numFmtId="3" fontId="27" fillId="26" borderId="299" xfId="4" applyNumberFormat="1" applyFont="1" applyFill="1" applyBorder="1" applyAlignment="1">
      <alignment horizontal="right" vertical="center"/>
    </xf>
    <xf numFmtId="0" fontId="7" fillId="0" borderId="311" xfId="4" applyFont="1" applyFill="1" applyBorder="1" applyAlignment="1">
      <alignment vertical="center"/>
    </xf>
    <xf numFmtId="3" fontId="7" fillId="0" borderId="313" xfId="4" applyNumberFormat="1" applyFont="1" applyFill="1" applyBorder="1" applyAlignment="1">
      <alignment horizontal="right" vertical="center"/>
    </xf>
    <xf numFmtId="3" fontId="31" fillId="24" borderId="287" xfId="4" applyNumberFormat="1" applyFont="1" applyFill="1" applyBorder="1" applyAlignment="1">
      <alignment vertical="center"/>
    </xf>
    <xf numFmtId="3" fontId="27" fillId="2" borderId="321" xfId="4" applyNumberFormat="1" applyFont="1" applyFill="1" applyBorder="1" applyAlignment="1">
      <alignment vertical="center" wrapText="1"/>
    </xf>
    <xf numFmtId="0" fontId="0" fillId="0" borderId="269" xfId="0" applyFont="1" applyBorder="1" applyAlignment="1">
      <alignment vertical="center"/>
    </xf>
    <xf numFmtId="3" fontId="31" fillId="0" borderId="287" xfId="4" applyNumberFormat="1" applyFont="1" applyFill="1" applyBorder="1" applyAlignment="1">
      <alignment vertical="center"/>
    </xf>
    <xf numFmtId="3" fontId="7" fillId="0" borderId="287" xfId="4" applyNumberFormat="1" applyFont="1" applyFill="1" applyBorder="1" applyAlignment="1">
      <alignment horizontal="right" vertical="center"/>
    </xf>
    <xf numFmtId="0" fontId="0" fillId="0" borderId="323" xfId="0" applyFont="1" applyBorder="1" applyAlignment="1">
      <alignment vertical="center"/>
    </xf>
    <xf numFmtId="3" fontId="7" fillId="0" borderId="294" xfId="4" applyNumberFormat="1" applyFont="1" applyFill="1" applyBorder="1" applyAlignment="1">
      <alignment horizontal="right" vertical="center"/>
    </xf>
    <xf numFmtId="3" fontId="31" fillId="0" borderId="307" xfId="4" applyNumberFormat="1" applyFont="1" applyFill="1" applyBorder="1" applyAlignment="1">
      <alignment vertical="center"/>
    </xf>
    <xf numFmtId="0" fontId="40" fillId="2" borderId="324" xfId="0" applyFont="1" applyFill="1" applyBorder="1" applyAlignment="1">
      <alignment vertical="center"/>
    </xf>
    <xf numFmtId="0" fontId="59" fillId="2" borderId="276" xfId="0" applyFont="1" applyFill="1" applyBorder="1" applyAlignment="1">
      <alignment vertical="center"/>
    </xf>
    <xf numFmtId="0" fontId="59" fillId="37" borderId="276" xfId="0" applyFont="1" applyFill="1" applyBorder="1" applyAlignment="1">
      <alignment vertical="center"/>
    </xf>
    <xf numFmtId="0" fontId="59" fillId="2" borderId="320" xfId="0" applyFont="1" applyFill="1" applyBorder="1" applyAlignment="1">
      <alignment horizontal="center" vertical="center" wrapText="1"/>
    </xf>
    <xf numFmtId="0" fontId="21" fillId="0" borderId="269" xfId="0" applyFont="1" applyBorder="1" applyAlignment="1">
      <alignment vertical="center"/>
    </xf>
    <xf numFmtId="43" fontId="27" fillId="56" borderId="284" xfId="1" applyFont="1" applyFill="1" applyBorder="1" applyAlignment="1">
      <alignment horizontal="right" vertical="center"/>
    </xf>
    <xf numFmtId="0" fontId="27" fillId="56" borderId="298" xfId="4" applyFont="1" applyFill="1" applyBorder="1" applyAlignment="1">
      <alignment horizontal="left" vertical="center"/>
    </xf>
    <xf numFmtId="0" fontId="27" fillId="56" borderId="286" xfId="4" applyFont="1" applyFill="1" applyBorder="1" applyAlignment="1">
      <alignment horizontal="left" vertical="center"/>
    </xf>
    <xf numFmtId="3" fontId="27" fillId="56" borderId="299" xfId="4" applyNumberFormat="1" applyFont="1" applyFill="1" applyBorder="1" applyAlignment="1">
      <alignment horizontal="right" vertical="center"/>
    </xf>
    <xf numFmtId="43" fontId="27" fillId="56" borderId="299" xfId="1" applyFont="1" applyFill="1" applyBorder="1" applyAlignment="1">
      <alignment horizontal="right" vertical="center"/>
    </xf>
    <xf numFmtId="3" fontId="27" fillId="22" borderId="287" xfId="4" applyNumberFormat="1" applyFont="1" applyFill="1" applyBorder="1" applyAlignment="1">
      <alignment horizontal="right" vertical="center"/>
    </xf>
    <xf numFmtId="0" fontId="27" fillId="56" borderId="298" xfId="0" applyFont="1" applyFill="1" applyBorder="1" applyAlignment="1">
      <alignment horizontal="left" vertical="top"/>
    </xf>
    <xf numFmtId="0" fontId="28" fillId="56" borderId="286" xfId="0" quotePrefix="1" applyFont="1" applyFill="1" applyBorder="1" applyAlignment="1">
      <alignment horizontal="center" vertical="top"/>
    </xf>
    <xf numFmtId="3" fontId="27" fillId="56" borderId="299" xfId="0" quotePrefix="1" applyNumberFormat="1" applyFont="1" applyFill="1" applyBorder="1" applyAlignment="1">
      <alignment horizontal="right" vertical="top"/>
    </xf>
    <xf numFmtId="43" fontId="27" fillId="56" borderId="299" xfId="1" quotePrefix="1" applyFont="1" applyFill="1" applyBorder="1" applyAlignment="1">
      <alignment horizontal="right" vertical="top"/>
    </xf>
    <xf numFmtId="0" fontId="25" fillId="6" borderId="298" xfId="4" applyFont="1" applyFill="1" applyBorder="1" applyAlignment="1">
      <alignment horizontal="left" vertical="center"/>
    </xf>
    <xf numFmtId="0" fontId="25" fillId="6" borderId="299" xfId="0" applyFont="1" applyFill="1" applyBorder="1" applyAlignment="1">
      <alignment vertical="center"/>
    </xf>
    <xf numFmtId="3" fontId="25" fillId="6" borderId="311" xfId="0" applyNumberFormat="1" applyFont="1" applyFill="1" applyBorder="1" applyAlignment="1">
      <alignment vertical="center"/>
    </xf>
    <xf numFmtId="43" fontId="25" fillId="6" borderId="312" xfId="1" applyFont="1" applyFill="1" applyBorder="1" applyAlignment="1">
      <alignment vertical="center"/>
    </xf>
    <xf numFmtId="3" fontId="25" fillId="6" borderId="312" xfId="0" applyNumberFormat="1" applyFont="1" applyFill="1" applyBorder="1" applyAlignment="1">
      <alignment vertical="center"/>
    </xf>
    <xf numFmtId="3" fontId="25" fillId="23" borderId="287" xfId="0" applyNumberFormat="1" applyFont="1" applyFill="1" applyBorder="1" applyAlignment="1">
      <alignment vertical="center"/>
    </xf>
    <xf numFmtId="0" fontId="24" fillId="8" borderId="289" xfId="4" applyFont="1" applyFill="1" applyBorder="1" applyAlignment="1">
      <alignment horizontal="right" vertical="top"/>
    </xf>
    <xf numFmtId="43" fontId="27" fillId="8" borderId="287" xfId="1" applyFont="1" applyFill="1" applyBorder="1" applyAlignment="1">
      <alignment vertical="top"/>
    </xf>
    <xf numFmtId="43" fontId="7" fillId="8" borderId="287" xfId="1" applyFont="1" applyFill="1" applyBorder="1" applyAlignment="1">
      <alignment vertical="top"/>
    </xf>
    <xf numFmtId="3" fontId="7" fillId="26" borderId="287" xfId="4" applyNumberFormat="1" applyFont="1" applyFill="1" applyBorder="1" applyAlignment="1">
      <alignment vertical="top"/>
    </xf>
    <xf numFmtId="0" fontId="7" fillId="8" borderId="298" xfId="4" applyFont="1" applyFill="1" applyBorder="1" applyAlignment="1">
      <alignment vertical="center" wrapText="1"/>
    </xf>
    <xf numFmtId="0" fontId="7" fillId="8" borderId="299" xfId="4" applyFont="1" applyFill="1" applyBorder="1" applyAlignment="1">
      <alignment vertical="center"/>
    </xf>
    <xf numFmtId="3" fontId="7" fillId="8" borderId="287" xfId="4" applyNumberFormat="1" applyFont="1" applyFill="1" applyBorder="1" applyAlignment="1">
      <alignment vertical="center"/>
    </xf>
    <xf numFmtId="43" fontId="31" fillId="8" borderId="287" xfId="1" applyFont="1" applyFill="1" applyBorder="1" applyAlignment="1">
      <alignment vertical="center"/>
    </xf>
    <xf numFmtId="0" fontId="7" fillId="8" borderId="297" xfId="4" applyFont="1" applyFill="1" applyBorder="1" applyAlignment="1">
      <alignment vertical="center"/>
    </xf>
    <xf numFmtId="0" fontId="7" fillId="8" borderId="298" xfId="4" applyFont="1" applyFill="1" applyBorder="1" applyAlignment="1">
      <alignment vertical="center"/>
    </xf>
    <xf numFmtId="43" fontId="7" fillId="8" borderId="287" xfId="1" applyFont="1" applyFill="1" applyBorder="1" applyAlignment="1">
      <alignment vertical="center"/>
    </xf>
    <xf numFmtId="3" fontId="18" fillId="8" borderId="290" xfId="4" applyNumberFormat="1" applyFont="1" applyFill="1" applyBorder="1" applyAlignment="1">
      <alignment vertical="center" wrapText="1"/>
    </xf>
    <xf numFmtId="43" fontId="25" fillId="6" borderId="287" xfId="1" applyFont="1" applyFill="1" applyBorder="1" applyAlignment="1">
      <alignment vertical="center"/>
    </xf>
    <xf numFmtId="3" fontId="31" fillId="8" borderId="287" xfId="4" applyNumberFormat="1" applyFont="1" applyFill="1" applyBorder="1" applyAlignment="1">
      <alignment vertical="top"/>
    </xf>
    <xf numFmtId="43" fontId="31" fillId="8" borderId="287" xfId="1" applyFont="1" applyFill="1" applyBorder="1" applyAlignment="1">
      <alignment vertical="top"/>
    </xf>
    <xf numFmtId="0" fontId="7" fillId="8" borderId="306" xfId="4" applyFont="1" applyFill="1" applyBorder="1" applyAlignment="1">
      <alignment vertical="top"/>
    </xf>
    <xf numFmtId="0" fontId="7" fillId="8" borderId="307" xfId="4" applyFont="1" applyFill="1" applyBorder="1" applyAlignment="1">
      <alignment vertical="top"/>
    </xf>
    <xf numFmtId="3" fontId="31" fillId="8" borderId="294" xfId="4" applyNumberFormat="1" applyFont="1" applyFill="1" applyBorder="1" applyAlignment="1">
      <alignment vertical="top"/>
    </xf>
    <xf numFmtId="3" fontId="25" fillId="6" borderId="286" xfId="4" applyNumberFormat="1" applyFont="1" applyFill="1" applyBorder="1" applyAlignment="1">
      <alignment vertical="center"/>
    </xf>
    <xf numFmtId="0" fontId="29" fillId="0" borderId="298" xfId="4" applyFont="1" applyFill="1" applyBorder="1" applyAlignment="1">
      <alignment vertical="center"/>
    </xf>
    <xf numFmtId="0" fontId="7" fillId="0" borderId="298" xfId="4" applyFont="1" applyFill="1" applyBorder="1" applyAlignment="1">
      <alignment vertical="center"/>
    </xf>
    <xf numFmtId="3" fontId="31" fillId="26" borderId="287" xfId="4" applyNumberFormat="1" applyFont="1" applyFill="1" applyBorder="1" applyAlignment="1">
      <alignment vertical="center"/>
    </xf>
    <xf numFmtId="3" fontId="7" fillId="0" borderId="299" xfId="0" applyNumberFormat="1" applyFont="1" applyFill="1" applyBorder="1" applyAlignment="1">
      <alignment vertical="top"/>
    </xf>
    <xf numFmtId="43" fontId="7" fillId="0" borderId="287" xfId="1" applyFont="1" applyFill="1" applyBorder="1" applyAlignment="1">
      <alignment vertical="top"/>
    </xf>
    <xf numFmtId="3" fontId="31" fillId="0" borderId="287" xfId="4" applyNumberFormat="1" applyFont="1" applyFill="1" applyBorder="1" applyAlignment="1">
      <alignment vertical="top"/>
    </xf>
    <xf numFmtId="0" fontId="7" fillId="0" borderId="306" xfId="4" applyFont="1" applyFill="1" applyBorder="1" applyAlignment="1">
      <alignment vertical="center"/>
    </xf>
    <xf numFmtId="3" fontId="31" fillId="0" borderId="294" xfId="4" applyNumberFormat="1" applyFont="1" applyFill="1" applyBorder="1" applyAlignment="1">
      <alignment horizontal="right" vertical="center"/>
    </xf>
    <xf numFmtId="3" fontId="29" fillId="0" borderId="294" xfId="4" applyNumberFormat="1" applyFont="1" applyFill="1" applyBorder="1" applyAlignment="1">
      <alignment horizontal="right" vertical="center"/>
    </xf>
    <xf numFmtId="0" fontId="24" fillId="0" borderId="291" xfId="4" applyFont="1" applyFill="1" applyBorder="1" applyAlignment="1">
      <alignment vertical="center"/>
    </xf>
    <xf numFmtId="0" fontId="7" fillId="0" borderId="291" xfId="4" applyFont="1" applyFill="1" applyBorder="1" applyAlignment="1">
      <alignment vertical="top"/>
    </xf>
    <xf numFmtId="0" fontId="0" fillId="0" borderId="292" xfId="0" applyFont="1" applyBorder="1" applyAlignment="1"/>
    <xf numFmtId="3" fontId="7" fillId="0" borderId="295" xfId="0" applyNumberFormat="1" applyFont="1" applyFill="1" applyBorder="1" applyAlignment="1">
      <alignment vertical="top"/>
    </xf>
    <xf numFmtId="3" fontId="7" fillId="0" borderId="295" xfId="4" applyNumberFormat="1" applyFont="1" applyFill="1" applyBorder="1" applyAlignment="1">
      <alignment vertical="top"/>
    </xf>
    <xf numFmtId="3" fontId="29" fillId="0" borderId="295" xfId="4" applyNumberFormat="1" applyFont="1" applyFill="1" applyBorder="1" applyAlignment="1">
      <alignment horizontal="right" vertical="center"/>
    </xf>
    <xf numFmtId="3" fontId="7" fillId="0" borderId="327" xfId="4" applyNumberFormat="1" applyFont="1" applyFill="1" applyBorder="1" applyAlignment="1">
      <alignment vertical="top"/>
    </xf>
    <xf numFmtId="3" fontId="24" fillId="35" borderId="295" xfId="4" applyNumberFormat="1" applyFont="1" applyFill="1" applyBorder="1" applyAlignment="1">
      <alignment vertical="center"/>
    </xf>
    <xf numFmtId="0" fontId="18" fillId="0" borderId="293" xfId="4" applyFont="1" applyFill="1" applyBorder="1" applyAlignment="1">
      <alignment vertical="center" wrapText="1"/>
    </xf>
    <xf numFmtId="0" fontId="24" fillId="8" borderId="280" xfId="4" applyFont="1" applyFill="1" applyBorder="1" applyAlignment="1">
      <alignment horizontal="left" vertical="center" wrapText="1"/>
    </xf>
    <xf numFmtId="3" fontId="25" fillId="8" borderId="284" xfId="4" applyNumberFormat="1" applyFont="1" applyFill="1" applyBorder="1" applyAlignment="1">
      <alignment horizontal="center" vertical="center"/>
    </xf>
    <xf numFmtId="3" fontId="7" fillId="8" borderId="283" xfId="4" applyNumberFormat="1" applyFont="1" applyFill="1" applyBorder="1" applyAlignment="1">
      <alignment horizontal="right" vertical="center"/>
    </xf>
    <xf numFmtId="3" fontId="7" fillId="8" borderId="328" xfId="4" applyNumberFormat="1" applyFont="1" applyFill="1" applyBorder="1" applyAlignment="1">
      <alignment horizontal="right" vertical="center"/>
    </xf>
    <xf numFmtId="3" fontId="7" fillId="24" borderId="283" xfId="4" applyNumberFormat="1" applyFont="1" applyFill="1" applyBorder="1" applyAlignment="1">
      <alignment horizontal="right" vertical="center"/>
    </xf>
    <xf numFmtId="43" fontId="24" fillId="6" borderId="299" xfId="1" applyFont="1" applyFill="1" applyBorder="1" applyAlignment="1">
      <alignment vertical="center"/>
    </xf>
    <xf numFmtId="43" fontId="29" fillId="0" borderId="287" xfId="1" applyFont="1" applyFill="1" applyBorder="1" applyAlignment="1">
      <alignment horizontal="right" vertical="center"/>
    </xf>
    <xf numFmtId="3" fontId="7" fillId="0" borderId="294" xfId="0" applyNumberFormat="1" applyFont="1" applyFill="1" applyBorder="1" applyAlignment="1">
      <alignment vertical="top"/>
    </xf>
    <xf numFmtId="43" fontId="7" fillId="0" borderId="294" xfId="1" applyFont="1" applyFill="1" applyBorder="1" applyAlignment="1">
      <alignment vertical="top"/>
    </xf>
    <xf numFmtId="43" fontId="7" fillId="0" borderId="315" xfId="1" applyFont="1" applyFill="1" applyBorder="1" applyAlignment="1">
      <alignment vertical="top"/>
    </xf>
    <xf numFmtId="3" fontId="7" fillId="26" borderId="294" xfId="4" applyNumberFormat="1" applyFont="1" applyFill="1" applyBorder="1" applyAlignment="1">
      <alignment vertical="top"/>
    </xf>
    <xf numFmtId="3" fontId="25" fillId="8" borderId="283" xfId="4" applyNumberFormat="1" applyFont="1" applyFill="1" applyBorder="1" applyAlignment="1">
      <alignment horizontal="center" vertical="center"/>
    </xf>
    <xf numFmtId="3" fontId="7" fillId="0" borderId="287" xfId="0" applyNumberFormat="1" applyFont="1" applyFill="1" applyBorder="1" applyAlignment="1">
      <alignment vertical="top"/>
    </xf>
    <xf numFmtId="3" fontId="24" fillId="35" borderId="287" xfId="4" applyNumberFormat="1" applyFont="1" applyFill="1" applyBorder="1" applyAlignment="1">
      <alignment horizontal="center" vertical="center"/>
    </xf>
    <xf numFmtId="3" fontId="7" fillId="0" borderId="312" xfId="4" applyNumberFormat="1" applyFont="1" applyFill="1" applyBorder="1" applyAlignment="1">
      <alignment vertical="top"/>
    </xf>
    <xf numFmtId="0" fontId="37" fillId="0" borderId="287" xfId="0" applyFont="1" applyBorder="1" applyAlignment="1">
      <alignment vertical="center"/>
    </xf>
    <xf numFmtId="0" fontId="0" fillId="0" borderId="287" xfId="0" applyFont="1" applyBorder="1"/>
    <xf numFmtId="0" fontId="21" fillId="0" borderId="269" xfId="0" applyFont="1" applyBorder="1" applyAlignment="1">
      <alignment horizontal="center" vertical="top" wrapText="1"/>
    </xf>
    <xf numFmtId="0" fontId="0" fillId="0" borderId="287" xfId="0" applyFont="1" applyBorder="1" applyAlignment="1">
      <alignment vertical="center"/>
    </xf>
    <xf numFmtId="3" fontId="0" fillId="0" borderId="287" xfId="0" applyNumberFormat="1" applyFont="1" applyBorder="1"/>
    <xf numFmtId="3" fontId="37" fillId="0" borderId="287" xfId="0" applyNumberFormat="1" applyFont="1" applyBorder="1"/>
    <xf numFmtId="0" fontId="25" fillId="0" borderId="269" xfId="0" applyFont="1" applyBorder="1" applyAlignment="1">
      <alignment vertical="center"/>
    </xf>
    <xf numFmtId="0" fontId="39" fillId="0" borderId="287" xfId="0" applyFont="1" applyBorder="1" applyAlignment="1">
      <alignment vertical="center"/>
    </xf>
    <xf numFmtId="0" fontId="18" fillId="0" borderId="287" xfId="0" applyFont="1" applyBorder="1" applyAlignment="1">
      <alignment vertical="center"/>
    </xf>
    <xf numFmtId="3" fontId="8" fillId="0" borderId="287" xfId="0" applyNumberFormat="1" applyFont="1" applyBorder="1" applyAlignment="1">
      <alignment vertical="center"/>
    </xf>
    <xf numFmtId="0" fontId="21" fillId="0" borderId="269" xfId="0" applyFont="1" applyBorder="1" applyAlignment="1">
      <alignment horizontal="center" vertical="center" wrapText="1"/>
    </xf>
    <xf numFmtId="0" fontId="25" fillId="0" borderId="323" xfId="0" applyFont="1" applyBorder="1" applyAlignment="1">
      <alignment vertical="top"/>
    </xf>
    <xf numFmtId="0" fontId="21" fillId="0" borderId="323" xfId="0" applyFont="1" applyBorder="1" applyAlignment="1">
      <alignment vertical="top"/>
    </xf>
    <xf numFmtId="0" fontId="21" fillId="0" borderId="323" xfId="0" applyFont="1" applyBorder="1" applyAlignment="1">
      <alignment horizontal="center" vertical="top" wrapText="1"/>
    </xf>
    <xf numFmtId="0" fontId="17" fillId="0" borderId="329" xfId="0" applyFont="1" applyBorder="1" applyAlignment="1">
      <alignment vertical="center"/>
    </xf>
    <xf numFmtId="0" fontId="18" fillId="0" borderId="329" xfId="0" applyFont="1" applyBorder="1" applyAlignment="1">
      <alignment vertical="center"/>
    </xf>
    <xf numFmtId="0" fontId="11" fillId="0" borderId="329" xfId="0" applyFont="1" applyFill="1" applyBorder="1" applyAlignment="1">
      <alignment vertical="center"/>
    </xf>
    <xf numFmtId="0" fontId="14" fillId="2" borderId="329" xfId="3" applyFont="1" applyFill="1" applyBorder="1" applyAlignment="1">
      <alignment horizontal="right" vertical="center"/>
    </xf>
    <xf numFmtId="0" fontId="15" fillId="2" borderId="329" xfId="0" applyFont="1" applyFill="1" applyBorder="1" applyAlignment="1">
      <alignment horizontal="right" vertical="center"/>
    </xf>
    <xf numFmtId="0" fontId="17" fillId="0" borderId="269" xfId="0" applyFont="1" applyBorder="1" applyAlignment="1">
      <alignment vertical="center"/>
    </xf>
    <xf numFmtId="0" fontId="18" fillId="0" borderId="269" xfId="0" applyFont="1" applyBorder="1" applyAlignment="1">
      <alignment vertical="center"/>
    </xf>
    <xf numFmtId="3" fontId="18" fillId="0" borderId="269" xfId="0" applyNumberFormat="1" applyFont="1" applyBorder="1" applyAlignment="1">
      <alignment vertical="center"/>
    </xf>
    <xf numFmtId="0" fontId="20" fillId="2" borderId="270" xfId="0" applyFont="1" applyFill="1" applyBorder="1" applyAlignment="1">
      <alignment horizontal="center" vertical="center"/>
    </xf>
    <xf numFmtId="0" fontId="19" fillId="2" borderId="274" xfId="0" applyFont="1" applyFill="1" applyBorder="1" applyAlignment="1">
      <alignment horizontal="center" vertical="center" wrapText="1"/>
    </xf>
    <xf numFmtId="0" fontId="20" fillId="2" borderId="289" xfId="0" applyFont="1" applyFill="1" applyBorder="1" applyAlignment="1">
      <alignment horizontal="center" vertical="center"/>
    </xf>
    <xf numFmtId="0" fontId="25" fillId="33" borderId="295" xfId="4" applyFont="1" applyFill="1" applyBorder="1" applyAlignment="1">
      <alignment horizontal="center" vertical="center" wrapText="1"/>
    </xf>
    <xf numFmtId="0" fontId="25" fillId="0" borderId="295" xfId="4" applyFont="1" applyBorder="1" applyAlignment="1">
      <alignment horizontal="center" vertical="center" wrapText="1"/>
    </xf>
    <xf numFmtId="0" fontId="25" fillId="0" borderId="293" xfId="4" applyFont="1" applyBorder="1" applyAlignment="1">
      <alignment horizontal="center" vertical="center" wrapText="1"/>
    </xf>
    <xf numFmtId="0" fontId="21" fillId="27" borderId="283" xfId="0" quotePrefix="1" applyFont="1" applyFill="1" applyBorder="1" applyAlignment="1">
      <alignment horizontal="center" vertical="top"/>
    </xf>
    <xf numFmtId="0" fontId="21" fillId="2" borderId="300" xfId="0" quotePrefix="1" applyFont="1" applyFill="1" applyBorder="1" applyAlignment="1">
      <alignment horizontal="center" vertical="top"/>
    </xf>
    <xf numFmtId="0" fontId="17" fillId="8" borderId="289" xfId="4" applyFont="1" applyFill="1" applyBorder="1" applyAlignment="1">
      <alignment horizontal="center" vertical="center"/>
    </xf>
    <xf numFmtId="0" fontId="27" fillId="56" borderId="282" xfId="4" applyFont="1" applyFill="1" applyBorder="1" applyAlignment="1">
      <alignment horizontal="left" vertical="center"/>
    </xf>
    <xf numFmtId="3" fontId="27" fillId="56" borderId="281" xfId="4" applyNumberFormat="1" applyFont="1" applyFill="1" applyBorder="1" applyAlignment="1">
      <alignment horizontal="right" vertical="center"/>
    </xf>
    <xf numFmtId="0" fontId="27" fillId="56" borderId="269" xfId="4" applyFont="1" applyFill="1" applyBorder="1" applyAlignment="1">
      <alignment horizontal="left" vertical="center"/>
    </xf>
    <xf numFmtId="3" fontId="27" fillId="56" borderId="318" xfId="4" applyNumberFormat="1" applyFont="1" applyFill="1" applyBorder="1" applyAlignment="1">
      <alignment horizontal="right" vertical="center"/>
    </xf>
    <xf numFmtId="3" fontId="27" fillId="56" borderId="304" xfId="4" applyNumberFormat="1" applyFont="1" applyFill="1" applyBorder="1" applyAlignment="1">
      <alignment horizontal="right" vertical="center"/>
    </xf>
    <xf numFmtId="3" fontId="27" fillId="22" borderId="301" xfId="4" applyNumberFormat="1" applyFont="1" applyFill="1" applyBorder="1" applyAlignment="1">
      <alignment horizontal="right" vertical="center"/>
    </xf>
    <xf numFmtId="3" fontId="27" fillId="22" borderId="303" xfId="4" applyNumberFormat="1" applyFont="1" applyFill="1" applyBorder="1" applyAlignment="1">
      <alignment horizontal="right" vertical="center"/>
    </xf>
    <xf numFmtId="0" fontId="27" fillId="56" borderId="305" xfId="0" applyFont="1" applyFill="1" applyBorder="1" applyAlignment="1">
      <alignment horizontal="left" vertical="center"/>
    </xf>
    <xf numFmtId="3" fontId="27" fillId="56" borderId="292" xfId="0" quotePrefix="1" applyNumberFormat="1" applyFont="1" applyFill="1" applyBorder="1" applyAlignment="1">
      <alignment horizontal="right" vertical="center"/>
    </xf>
    <xf numFmtId="3" fontId="27" fillId="56" borderId="293" xfId="0" quotePrefix="1" applyNumberFormat="1" applyFont="1" applyFill="1" applyBorder="1" applyAlignment="1">
      <alignment horizontal="right" vertical="center"/>
    </xf>
    <xf numFmtId="0" fontId="25" fillId="6" borderId="282" xfId="4" applyFont="1" applyFill="1" applyBorder="1" applyAlignment="1">
      <alignment horizontal="left" vertical="center"/>
    </xf>
    <xf numFmtId="3" fontId="18" fillId="8" borderId="290" xfId="4" applyNumberFormat="1" applyFont="1" applyFill="1" applyBorder="1" applyAlignment="1">
      <alignment horizontal="center" vertical="center"/>
    </xf>
    <xf numFmtId="3" fontId="29" fillId="8" borderId="311" xfId="4" applyNumberFormat="1" applyFont="1" applyFill="1" applyBorder="1" applyAlignment="1">
      <alignment vertical="center" wrapText="1"/>
    </xf>
    <xf numFmtId="3" fontId="27" fillId="8" borderId="286" xfId="0" applyNumberFormat="1" applyFont="1" applyFill="1" applyBorder="1" applyAlignment="1">
      <alignment vertical="center"/>
    </xf>
    <xf numFmtId="3" fontId="29" fillId="8" borderId="287" xfId="0" applyNumberFormat="1" applyFont="1" applyFill="1" applyBorder="1" applyAlignment="1">
      <alignment vertical="center"/>
    </xf>
    <xf numFmtId="3" fontId="27" fillId="24" borderId="287" xfId="0" applyNumberFormat="1" applyFont="1" applyFill="1" applyBorder="1" applyAlignment="1">
      <alignment vertical="center"/>
    </xf>
    <xf numFmtId="0" fontId="18" fillId="8" borderId="290" xfId="4" applyFont="1" applyFill="1" applyBorder="1" applyAlignment="1">
      <alignment horizontal="center" vertical="center"/>
    </xf>
    <xf numFmtId="3" fontId="7" fillId="8" borderId="311" xfId="4" applyNumberFormat="1" applyFont="1" applyFill="1" applyBorder="1" applyAlignment="1">
      <alignment vertical="center" wrapText="1"/>
    </xf>
    <xf numFmtId="3" fontId="7" fillId="8" borderId="286" xfId="0" applyNumberFormat="1" applyFont="1" applyFill="1" applyBorder="1" applyAlignment="1">
      <alignment vertical="center"/>
    </xf>
    <xf numFmtId="3" fontId="7" fillId="8" borderId="287" xfId="0" applyNumberFormat="1" applyFont="1" applyFill="1" applyBorder="1" applyAlignment="1">
      <alignment vertical="center"/>
    </xf>
    <xf numFmtId="3" fontId="32" fillId="8" borderId="286" xfId="6" applyNumberFormat="1" applyFont="1" applyFill="1" applyBorder="1" applyAlignment="1">
      <alignment vertical="center"/>
    </xf>
    <xf numFmtId="3" fontId="32" fillId="8" borderId="299" xfId="6" applyNumberFormat="1" applyFont="1" applyFill="1" applyBorder="1" applyAlignment="1">
      <alignment vertical="center"/>
    </xf>
    <xf numFmtId="0" fontId="0" fillId="0" borderId="297" xfId="0" applyFont="1" applyBorder="1" applyAlignment="1">
      <alignment vertical="center"/>
    </xf>
    <xf numFmtId="3" fontId="7" fillId="24" borderId="287" xfId="4" applyNumberFormat="1" applyFont="1" applyFill="1" applyBorder="1" applyAlignment="1">
      <alignment vertical="center"/>
    </xf>
    <xf numFmtId="3" fontId="33" fillId="8" borderId="299" xfId="6" applyNumberFormat="1" applyFont="1" applyFill="1" applyBorder="1" applyAlignment="1">
      <alignment vertical="center"/>
    </xf>
    <xf numFmtId="0" fontId="17" fillId="8" borderId="291" xfId="4" applyFont="1" applyFill="1" applyBorder="1" applyAlignment="1">
      <alignment horizontal="center" vertical="center"/>
    </xf>
    <xf numFmtId="3" fontId="7" fillId="8" borderId="331" xfId="4" applyNumberFormat="1" applyFont="1" applyFill="1" applyBorder="1" applyAlignment="1">
      <alignment vertical="center" wrapText="1"/>
    </xf>
    <xf numFmtId="3" fontId="32" fillId="8" borderId="307" xfId="6" applyNumberFormat="1" applyFont="1" applyFill="1" applyBorder="1" applyAlignment="1">
      <alignment vertical="center"/>
    </xf>
    <xf numFmtId="0" fontId="24" fillId="8" borderId="308" xfId="0" applyFont="1" applyFill="1" applyBorder="1" applyAlignment="1">
      <alignment vertical="center" wrapText="1"/>
    </xf>
    <xf numFmtId="3" fontId="27" fillId="0" borderId="301" xfId="4" applyNumberFormat="1" applyFont="1" applyFill="1" applyBorder="1" applyAlignment="1">
      <alignment horizontal="right" vertical="center"/>
    </xf>
    <xf numFmtId="3" fontId="29" fillId="0" borderId="313" xfId="4" applyNumberFormat="1" applyFont="1" applyFill="1" applyBorder="1" applyAlignment="1">
      <alignment horizontal="right" vertical="center"/>
    </xf>
    <xf numFmtId="0" fontId="0" fillId="0" borderId="332" xfId="0" applyFont="1" applyBorder="1" applyAlignment="1">
      <alignment vertical="center"/>
    </xf>
    <xf numFmtId="3" fontId="31" fillId="24" borderId="299" xfId="4" applyNumberFormat="1" applyFont="1" applyFill="1" applyBorder="1" applyAlignment="1">
      <alignment vertical="center"/>
    </xf>
    <xf numFmtId="3" fontId="27" fillId="2" borderId="298" xfId="4" applyNumberFormat="1" applyFont="1" applyFill="1" applyBorder="1" applyAlignment="1">
      <alignment vertical="center" wrapText="1"/>
    </xf>
    <xf numFmtId="43" fontId="27" fillId="0" borderId="313" xfId="1" applyFont="1" applyFill="1" applyBorder="1" applyAlignment="1">
      <alignment horizontal="right" vertical="center"/>
    </xf>
    <xf numFmtId="3" fontId="33" fillId="0" borderId="287" xfId="1" applyNumberFormat="1" applyFont="1" applyFill="1" applyBorder="1" applyAlignment="1">
      <alignment vertical="center"/>
    </xf>
    <xf numFmtId="3" fontId="31" fillId="0" borderId="299" xfId="4" applyNumberFormat="1" applyFont="1" applyFill="1" applyBorder="1" applyAlignment="1">
      <alignment vertical="center"/>
    </xf>
    <xf numFmtId="43" fontId="7" fillId="0" borderId="299" xfId="1" applyFont="1" applyFill="1" applyBorder="1" applyAlignment="1">
      <alignment horizontal="right" vertical="center"/>
    </xf>
    <xf numFmtId="3" fontId="7" fillId="0" borderId="287" xfId="1" applyNumberFormat="1" applyFont="1" applyFill="1" applyBorder="1" applyAlignment="1">
      <alignment horizontal="right" vertical="center"/>
    </xf>
    <xf numFmtId="0" fontId="0" fillId="0" borderId="305" xfId="0" applyFont="1" applyBorder="1" applyAlignment="1">
      <alignment vertical="center"/>
    </xf>
    <xf numFmtId="0" fontId="18" fillId="8" borderId="272" xfId="0" applyFont="1" applyFill="1" applyBorder="1" applyAlignment="1">
      <alignment vertical="center"/>
    </xf>
    <xf numFmtId="43" fontId="18" fillId="8" borderId="275" xfId="1" applyFont="1" applyFill="1" applyBorder="1" applyAlignment="1">
      <alignment vertical="center"/>
    </xf>
    <xf numFmtId="3" fontId="18" fillId="8" borderId="275" xfId="0" applyNumberFormat="1" applyFont="1" applyFill="1" applyBorder="1" applyAlignment="1">
      <alignment vertical="center"/>
    </xf>
    <xf numFmtId="0" fontId="18" fillId="8" borderId="275" xfId="0" applyFont="1" applyFill="1" applyBorder="1" applyAlignment="1">
      <alignment vertical="center"/>
    </xf>
    <xf numFmtId="3" fontId="18" fillId="24" borderId="309" xfId="0" applyNumberFormat="1" applyFont="1" applyFill="1" applyBorder="1" applyAlignment="1">
      <alignment vertical="center"/>
    </xf>
    <xf numFmtId="0" fontId="20" fillId="6" borderId="286" xfId="4" applyFont="1" applyFill="1" applyBorder="1" applyAlignment="1">
      <alignment horizontal="left" vertical="center"/>
    </xf>
    <xf numFmtId="43" fontId="31" fillId="0" borderId="313" xfId="1" applyFont="1" applyFill="1" applyBorder="1" applyAlignment="1">
      <alignment vertical="center"/>
    </xf>
    <xf numFmtId="43" fontId="27" fillId="0" borderId="301" xfId="1" applyFont="1" applyFill="1" applyBorder="1" applyAlignment="1">
      <alignment horizontal="right" vertical="center"/>
    </xf>
    <xf numFmtId="3" fontId="27" fillId="24" borderId="287" xfId="4" applyNumberFormat="1" applyFont="1" applyFill="1" applyBorder="1" applyAlignment="1">
      <alignment vertical="center"/>
    </xf>
    <xf numFmtId="43" fontId="33" fillId="0" borderId="287" xfId="1" applyFont="1" applyFill="1" applyBorder="1" applyAlignment="1">
      <alignment vertical="center"/>
    </xf>
    <xf numFmtId="0" fontId="0" fillId="0" borderId="291" xfId="0" applyFont="1" applyBorder="1" applyAlignment="1">
      <alignment vertical="center"/>
    </xf>
    <xf numFmtId="43" fontId="31" fillId="0" borderId="307" xfId="1" applyFont="1" applyFill="1" applyBorder="1" applyAlignment="1">
      <alignment vertical="center"/>
    </xf>
    <xf numFmtId="43" fontId="7" fillId="0" borderId="294" xfId="1" applyFont="1" applyFill="1" applyBorder="1" applyAlignment="1">
      <alignment horizontal="right" vertical="center"/>
    </xf>
    <xf numFmtId="43" fontId="33" fillId="0" borderId="299" xfId="1" applyFont="1" applyFill="1" applyBorder="1" applyAlignment="1">
      <alignment vertical="center"/>
    </xf>
    <xf numFmtId="43" fontId="29" fillId="0" borderId="313" xfId="1" applyFont="1" applyFill="1" applyBorder="1" applyAlignment="1">
      <alignment horizontal="right" vertical="center"/>
    </xf>
    <xf numFmtId="43" fontId="7" fillId="0" borderId="313" xfId="1" applyFont="1" applyFill="1" applyBorder="1" applyAlignment="1">
      <alignment horizontal="right" vertical="center"/>
    </xf>
    <xf numFmtId="0" fontId="18" fillId="0" borderId="310" xfId="0" applyFont="1" applyFill="1" applyBorder="1" applyAlignment="1">
      <alignment vertical="center" wrapText="1"/>
    </xf>
    <xf numFmtId="3" fontId="31" fillId="0" borderId="313" xfId="4" applyNumberFormat="1" applyFont="1" applyFill="1" applyBorder="1" applyAlignment="1">
      <alignment horizontal="right" vertical="center"/>
    </xf>
    <xf numFmtId="0" fontId="0" fillId="0" borderId="269" xfId="0" applyFont="1" applyBorder="1" applyAlignment="1">
      <alignment horizontal="left" vertical="center"/>
    </xf>
    <xf numFmtId="3" fontId="27" fillId="2" borderId="333" xfId="4" applyNumberFormat="1" applyFont="1" applyFill="1" applyBorder="1" applyAlignment="1">
      <alignment vertical="center" wrapText="1"/>
    </xf>
    <xf numFmtId="3" fontId="24" fillId="33" borderId="299" xfId="4" applyNumberFormat="1" applyFont="1" applyFill="1" applyBorder="1" applyAlignment="1">
      <alignment vertical="center"/>
    </xf>
    <xf numFmtId="3" fontId="31" fillId="2" borderId="333" xfId="4" applyNumberFormat="1" applyFont="1" applyFill="1" applyBorder="1" applyAlignment="1">
      <alignment vertical="center" wrapText="1"/>
    </xf>
    <xf numFmtId="3" fontId="31" fillId="33" borderId="299" xfId="4" applyNumberFormat="1" applyFont="1" applyFill="1" applyBorder="1" applyAlignment="1">
      <alignment vertical="center"/>
    </xf>
    <xf numFmtId="0" fontId="24" fillId="8" borderId="280" xfId="0" applyFont="1" applyFill="1" applyBorder="1" applyAlignment="1">
      <alignment vertical="center" wrapText="1"/>
    </xf>
    <xf numFmtId="0" fontId="24" fillId="8" borderId="318" xfId="0" applyFont="1" applyFill="1" applyBorder="1" applyAlignment="1">
      <alignment horizontal="center" vertical="center" wrapText="1"/>
    </xf>
    <xf numFmtId="0" fontId="7" fillId="8" borderId="269" xfId="0" applyFont="1" applyFill="1" applyBorder="1" applyAlignment="1">
      <alignment vertical="center"/>
    </xf>
    <xf numFmtId="43" fontId="7" fillId="8" borderId="328" xfId="1" applyFont="1" applyFill="1" applyBorder="1" applyAlignment="1">
      <alignment vertical="center"/>
    </xf>
    <xf numFmtId="3" fontId="7" fillId="8" borderId="328" xfId="0" applyNumberFormat="1" applyFont="1" applyFill="1" applyBorder="1" applyAlignment="1">
      <alignment vertical="center"/>
    </xf>
    <xf numFmtId="0" fontId="7" fillId="8" borderId="328" xfId="0" applyFont="1" applyFill="1" applyBorder="1" applyAlignment="1">
      <alignment vertical="center"/>
    </xf>
    <xf numFmtId="3" fontId="7" fillId="24" borderId="283" xfId="0" applyNumberFormat="1" applyFont="1" applyFill="1" applyBorder="1" applyAlignment="1">
      <alignment vertical="center"/>
    </xf>
    <xf numFmtId="0" fontId="28" fillId="0" borderId="311" xfId="4" quotePrefix="1" applyFont="1" applyFill="1" applyBorder="1" applyAlignment="1">
      <alignment horizontal="right" vertical="center"/>
    </xf>
    <xf numFmtId="43" fontId="31" fillId="0" borderId="313" xfId="1" applyFont="1" applyFill="1" applyBorder="1" applyAlignment="1"/>
    <xf numFmtId="3" fontId="28" fillId="0" borderId="313" xfId="4" applyNumberFormat="1" applyFont="1" applyFill="1" applyBorder="1" applyAlignment="1">
      <alignment horizontal="right" vertical="center"/>
    </xf>
    <xf numFmtId="43" fontId="31" fillId="0" borderId="299" xfId="1" applyFont="1" applyFill="1" applyBorder="1" applyAlignment="1"/>
    <xf numFmtId="3" fontId="31" fillId="24" borderId="301" xfId="4" applyNumberFormat="1" applyFont="1" applyFill="1" applyBorder="1" applyAlignment="1">
      <alignment vertical="center"/>
    </xf>
    <xf numFmtId="3" fontId="7" fillId="8" borderId="272" xfId="0" applyNumberFormat="1" applyFont="1" applyFill="1" applyBorder="1" applyAlignment="1">
      <alignment vertical="center"/>
    </xf>
    <xf numFmtId="0" fontId="7" fillId="0" borderId="282" xfId="4" applyFont="1" applyFill="1" applyBorder="1" applyAlignment="1">
      <alignment vertical="center"/>
    </xf>
    <xf numFmtId="3" fontId="7" fillId="0" borderId="304" xfId="4" applyNumberFormat="1" applyFont="1" applyFill="1" applyBorder="1" applyAlignment="1">
      <alignment horizontal="right" vertical="center"/>
    </xf>
    <xf numFmtId="3" fontId="31" fillId="24" borderId="283" xfId="4" applyNumberFormat="1" applyFont="1" applyFill="1" applyBorder="1" applyAlignment="1">
      <alignment vertical="center"/>
    </xf>
    <xf numFmtId="3" fontId="25" fillId="2" borderId="281" xfId="4" applyNumberFormat="1" applyFont="1" applyFill="1" applyBorder="1" applyAlignment="1">
      <alignment horizontal="center" vertical="center" wrapText="1"/>
    </xf>
    <xf numFmtId="0" fontId="24" fillId="8" borderId="334" xfId="0" applyFont="1" applyFill="1" applyBorder="1" applyAlignment="1">
      <alignment horizontal="center" vertical="center" wrapText="1"/>
    </xf>
    <xf numFmtId="0" fontId="7" fillId="8" borderId="276" xfId="0" applyFont="1" applyFill="1" applyBorder="1" applyAlignment="1">
      <alignment vertical="center"/>
    </xf>
    <xf numFmtId="43" fontId="7" fillId="8" borderId="309" xfId="1" applyFont="1" applyFill="1" applyBorder="1" applyAlignment="1">
      <alignment vertical="center"/>
    </xf>
    <xf numFmtId="43" fontId="24" fillId="6" borderId="299" xfId="4" applyNumberFormat="1" applyFont="1" applyFill="1" applyBorder="1" applyAlignment="1">
      <alignment vertical="center"/>
    </xf>
    <xf numFmtId="43" fontId="33" fillId="0" borderId="299" xfId="6" applyNumberFormat="1" applyFont="1" applyFill="1" applyBorder="1" applyAlignment="1">
      <alignment vertical="center"/>
    </xf>
    <xf numFmtId="43" fontId="31" fillId="0" borderId="313" xfId="4" applyNumberFormat="1" applyFont="1" applyFill="1" applyBorder="1" applyAlignment="1">
      <alignment vertical="center"/>
    </xf>
    <xf numFmtId="0" fontId="28" fillId="0" borderId="311" xfId="4" applyFont="1" applyFill="1" applyBorder="1" applyAlignment="1">
      <alignment horizontal="right" vertical="center"/>
    </xf>
    <xf numFmtId="41" fontId="31" fillId="0" borderId="313" xfId="1" applyNumberFormat="1" applyFont="1" applyFill="1" applyBorder="1" applyAlignment="1"/>
    <xf numFmtId="43" fontId="33" fillId="0" borderId="287" xfId="6" applyNumberFormat="1" applyFont="1" applyFill="1" applyBorder="1" applyAlignment="1">
      <alignment vertical="center"/>
    </xf>
    <xf numFmtId="43" fontId="7" fillId="0" borderId="313" xfId="4" applyNumberFormat="1" applyFont="1" applyFill="1" applyBorder="1" applyAlignment="1">
      <alignment horizontal="right" vertical="center"/>
    </xf>
    <xf numFmtId="0" fontId="0" fillId="0" borderId="298" xfId="0" applyFont="1" applyBorder="1" applyAlignment="1">
      <alignment vertical="center"/>
    </xf>
    <xf numFmtId="3" fontId="32" fillId="0" borderId="313" xfId="6" applyNumberFormat="1" applyFont="1" applyFill="1" applyBorder="1" applyAlignment="1">
      <alignment vertical="center"/>
    </xf>
    <xf numFmtId="43" fontId="32" fillId="0" borderId="313" xfId="6" applyNumberFormat="1" applyFont="1" applyFill="1" applyBorder="1" applyAlignment="1">
      <alignment vertical="center"/>
    </xf>
    <xf numFmtId="3" fontId="28" fillId="2" borderId="298" xfId="4" applyNumberFormat="1" applyFont="1" applyFill="1" applyBorder="1" applyAlignment="1">
      <alignment horizontal="right" vertical="center" wrapText="1"/>
    </xf>
    <xf numFmtId="41" fontId="31" fillId="0" borderId="313" xfId="1" applyNumberFormat="1" applyFont="1" applyFill="1" applyBorder="1" applyAlignment="1">
      <alignment horizontal="right" vertical="center"/>
    </xf>
    <xf numFmtId="43" fontId="32" fillId="0" borderId="287" xfId="6" applyNumberFormat="1" applyFont="1" applyFill="1" applyBorder="1" applyAlignment="1">
      <alignment vertical="center"/>
    </xf>
    <xf numFmtId="0" fontId="39" fillId="0" borderId="298" xfId="0" applyFont="1" applyBorder="1" applyAlignment="1">
      <alignment horizontal="right" vertical="center"/>
    </xf>
    <xf numFmtId="41" fontId="31" fillId="0" borderId="299" xfId="1" applyNumberFormat="1" applyFont="1" applyFill="1" applyBorder="1" applyAlignment="1"/>
    <xf numFmtId="43" fontId="7" fillId="0" borderId="287" xfId="4" applyNumberFormat="1" applyFont="1" applyFill="1" applyBorder="1" applyAlignment="1">
      <alignment horizontal="right" vertical="center"/>
    </xf>
    <xf numFmtId="43" fontId="7" fillId="0" borderId="294" xfId="4" applyNumberFormat="1" applyFont="1" applyFill="1" applyBorder="1" applyAlignment="1">
      <alignment horizontal="right" vertical="center"/>
    </xf>
    <xf numFmtId="3" fontId="24" fillId="6" borderId="299" xfId="1" applyNumberFormat="1" applyFont="1" applyFill="1" applyBorder="1" applyAlignment="1">
      <alignment horizontal="right" vertical="center"/>
    </xf>
    <xf numFmtId="3" fontId="27" fillId="0" borderId="301" xfId="1" applyNumberFormat="1" applyFont="1" applyFill="1" applyBorder="1" applyAlignment="1">
      <alignment horizontal="right" vertical="center"/>
    </xf>
    <xf numFmtId="3" fontId="31" fillId="0" borderId="299" xfId="1" applyNumberFormat="1" applyFont="1" applyFill="1" applyBorder="1" applyAlignment="1">
      <alignment horizontal="right"/>
    </xf>
    <xf numFmtId="3" fontId="33" fillId="0" borderId="287" xfId="1" applyNumberFormat="1" applyFont="1" applyFill="1" applyBorder="1" applyAlignment="1">
      <alignment horizontal="right" vertical="center"/>
    </xf>
    <xf numFmtId="43" fontId="31" fillId="0" borderId="307" xfId="1" applyFont="1" applyFill="1" applyBorder="1" applyAlignment="1"/>
    <xf numFmtId="3" fontId="31" fillId="0" borderId="307" xfId="1" applyNumberFormat="1" applyFont="1" applyFill="1" applyBorder="1" applyAlignment="1">
      <alignment horizontal="right"/>
    </xf>
    <xf numFmtId="3" fontId="28" fillId="0" borderId="313" xfId="4" applyNumberFormat="1" applyFont="1" applyFill="1" applyBorder="1" applyAlignment="1">
      <alignment vertical="center"/>
    </xf>
    <xf numFmtId="41" fontId="28" fillId="0" borderId="313" xfId="1" applyNumberFormat="1" applyFont="1" applyFill="1" applyBorder="1" applyAlignment="1"/>
    <xf numFmtId="3" fontId="38" fillId="0" borderId="313" xfId="4" applyNumberFormat="1" applyFont="1" applyFill="1" applyBorder="1" applyAlignment="1">
      <alignment horizontal="right" vertical="center"/>
    </xf>
    <xf numFmtId="43" fontId="33" fillId="0" borderId="313" xfId="6" applyNumberFormat="1" applyFont="1" applyFill="1" applyBorder="1" applyAlignment="1">
      <alignment vertical="center"/>
    </xf>
    <xf numFmtId="3" fontId="63" fillId="0" borderId="313" xfId="6" applyNumberFormat="1" applyFont="1" applyFill="1" applyBorder="1" applyAlignment="1">
      <alignment vertical="center"/>
    </xf>
    <xf numFmtId="41" fontId="28" fillId="0" borderId="313" xfId="1" applyNumberFormat="1" applyFont="1" applyFill="1" applyBorder="1" applyAlignment="1">
      <alignment horizontal="right" vertical="center"/>
    </xf>
    <xf numFmtId="43" fontId="63" fillId="0" borderId="287" xfId="6" applyNumberFormat="1" applyFont="1" applyFill="1" applyBorder="1" applyAlignment="1">
      <alignment vertical="center"/>
    </xf>
    <xf numFmtId="41" fontId="28" fillId="0" borderId="299" xfId="1" applyNumberFormat="1" applyFont="1" applyFill="1" applyBorder="1" applyAlignment="1"/>
    <xf numFmtId="3" fontId="38" fillId="0" borderId="287" xfId="4" applyNumberFormat="1" applyFont="1" applyFill="1" applyBorder="1" applyAlignment="1">
      <alignment horizontal="right" vertical="center"/>
    </xf>
    <xf numFmtId="43" fontId="27" fillId="0" borderId="313" xfId="4" applyNumberFormat="1" applyFont="1" applyFill="1" applyBorder="1" applyAlignment="1">
      <alignment horizontal="right" vertical="center"/>
    </xf>
    <xf numFmtId="166" fontId="24" fillId="6" borderId="299" xfId="1" applyNumberFormat="1" applyFont="1" applyFill="1" applyBorder="1" applyAlignment="1">
      <alignment vertical="center"/>
    </xf>
    <xf numFmtId="3" fontId="7" fillId="0" borderId="313" xfId="1" applyNumberFormat="1" applyFont="1" applyFill="1" applyBorder="1" applyAlignment="1">
      <alignment horizontal="right" vertical="center"/>
    </xf>
    <xf numFmtId="43" fontId="7" fillId="0" borderId="313" xfId="1" applyNumberFormat="1" applyFont="1" applyFill="1" applyBorder="1" applyAlignment="1">
      <alignment horizontal="right" vertical="center"/>
    </xf>
    <xf numFmtId="3" fontId="27" fillId="2" borderId="280" xfId="4" applyNumberFormat="1" applyFont="1" applyFill="1" applyBorder="1" applyAlignment="1">
      <alignment vertical="center" wrapText="1"/>
    </xf>
    <xf numFmtId="3" fontId="33" fillId="0" borderId="283" xfId="6" applyNumberFormat="1" applyFont="1" applyFill="1" applyBorder="1" applyAlignment="1">
      <alignment vertical="center"/>
    </xf>
    <xf numFmtId="43" fontId="27" fillId="0" borderId="304" xfId="1" applyFont="1" applyFill="1" applyBorder="1" applyAlignment="1">
      <alignment horizontal="right" vertical="center"/>
    </xf>
    <xf numFmtId="43" fontId="33" fillId="0" borderId="283" xfId="1" applyFont="1" applyFill="1" applyBorder="1" applyAlignment="1">
      <alignment vertical="center"/>
    </xf>
    <xf numFmtId="43" fontId="7" fillId="0" borderId="307" xfId="1" applyFont="1" applyFill="1" applyBorder="1" applyAlignment="1">
      <alignment horizontal="right" vertical="center"/>
    </xf>
    <xf numFmtId="41" fontId="27" fillId="0" borderId="313" xfId="4" applyNumberFormat="1" applyFont="1" applyFill="1" applyBorder="1" applyAlignment="1">
      <alignment horizontal="right" vertical="center"/>
    </xf>
    <xf numFmtId="41" fontId="7" fillId="0" borderId="313" xfId="4" applyNumberFormat="1" applyFont="1" applyFill="1" applyBorder="1" applyAlignment="1">
      <alignment horizontal="right" vertical="center"/>
    </xf>
    <xf numFmtId="41" fontId="24" fillId="6" borderId="299" xfId="4" applyNumberFormat="1" applyFont="1" applyFill="1" applyBorder="1" applyAlignment="1">
      <alignment vertical="center"/>
    </xf>
    <xf numFmtId="41" fontId="33" fillId="0" borderId="287" xfId="6" applyNumberFormat="1" applyFont="1" applyFill="1" applyBorder="1" applyAlignment="1">
      <alignment vertical="center"/>
    </xf>
    <xf numFmtId="41" fontId="7" fillId="0" borderId="294" xfId="4" applyNumberFormat="1" applyFont="1" applyFill="1" applyBorder="1" applyAlignment="1">
      <alignment horizontal="right" vertical="center"/>
    </xf>
    <xf numFmtId="43" fontId="24" fillId="6" borderId="299" xfId="1" applyNumberFormat="1" applyFont="1" applyFill="1" applyBorder="1" applyAlignment="1">
      <alignment vertical="center"/>
    </xf>
    <xf numFmtId="166" fontId="31" fillId="0" borderId="313" xfId="4" applyNumberFormat="1" applyFont="1" applyFill="1" applyBorder="1" applyAlignment="1">
      <alignment vertical="center"/>
    </xf>
    <xf numFmtId="166" fontId="7" fillId="0" borderId="313" xfId="1" applyNumberFormat="1" applyFont="1" applyFill="1" applyBorder="1" applyAlignment="1">
      <alignment horizontal="right" vertical="center"/>
    </xf>
    <xf numFmtId="43" fontId="27" fillId="0" borderId="313" xfId="1" applyNumberFormat="1" applyFont="1" applyFill="1" applyBorder="1" applyAlignment="1">
      <alignment horizontal="right" vertical="center"/>
    </xf>
    <xf numFmtId="3" fontId="24" fillId="6" borderId="299" xfId="1" applyNumberFormat="1" applyFont="1" applyFill="1" applyBorder="1" applyAlignment="1">
      <alignment vertical="center"/>
    </xf>
    <xf numFmtId="166" fontId="27" fillId="0" borderId="313" xfId="1" applyNumberFormat="1" applyFont="1" applyFill="1" applyBorder="1" applyAlignment="1">
      <alignment horizontal="right" vertical="center"/>
    </xf>
    <xf numFmtId="43" fontId="33" fillId="0" borderId="287" xfId="1" applyNumberFormat="1" applyFont="1" applyFill="1" applyBorder="1" applyAlignment="1">
      <alignment vertical="center"/>
    </xf>
    <xf numFmtId="0" fontId="0" fillId="0" borderId="282" xfId="0" applyFont="1" applyBorder="1" applyAlignment="1">
      <alignment vertical="center"/>
    </xf>
    <xf numFmtId="166" fontId="7" fillId="0" borderId="299" xfId="1" applyNumberFormat="1" applyFont="1" applyFill="1" applyBorder="1" applyAlignment="1">
      <alignment horizontal="right" vertical="center"/>
    </xf>
    <xf numFmtId="43" fontId="7" fillId="0" borderId="287" xfId="1" applyNumberFormat="1" applyFont="1" applyFill="1" applyBorder="1" applyAlignment="1">
      <alignment horizontal="right" vertical="center"/>
    </xf>
    <xf numFmtId="43" fontId="7" fillId="0" borderId="299" xfId="1" applyNumberFormat="1" applyFont="1" applyFill="1" applyBorder="1" applyAlignment="1">
      <alignment horizontal="right" vertical="center"/>
    </xf>
    <xf numFmtId="3" fontId="27" fillId="2" borderId="285" xfId="4" applyNumberFormat="1" applyFont="1" applyFill="1" applyBorder="1" applyAlignment="1">
      <alignment vertical="center" wrapText="1"/>
    </xf>
    <xf numFmtId="43" fontId="33" fillId="0" borderId="283" xfId="1" applyNumberFormat="1" applyFont="1" applyFill="1" applyBorder="1" applyAlignment="1">
      <alignment vertical="center"/>
    </xf>
    <xf numFmtId="43" fontId="33" fillId="0" borderId="283" xfId="6" applyNumberFormat="1" applyFont="1" applyFill="1" applyBorder="1" applyAlignment="1">
      <alignment vertical="center"/>
    </xf>
    <xf numFmtId="43" fontId="7" fillId="0" borderId="294" xfId="1" applyNumberFormat="1" applyFont="1" applyFill="1" applyBorder="1" applyAlignment="1">
      <alignment horizontal="right" vertical="center"/>
    </xf>
    <xf numFmtId="0" fontId="16" fillId="2" borderId="335" xfId="0" applyFont="1" applyFill="1" applyBorder="1" applyAlignment="1">
      <alignment vertical="center"/>
    </xf>
    <xf numFmtId="0" fontId="34" fillId="2" borderId="336" xfId="0" applyFont="1" applyFill="1" applyBorder="1" applyAlignment="1">
      <alignment vertical="center"/>
    </xf>
    <xf numFmtId="0" fontId="34" fillId="0" borderId="336" xfId="0" applyFont="1" applyFill="1" applyBorder="1" applyAlignment="1">
      <alignment vertical="center"/>
    </xf>
    <xf numFmtId="0" fontId="34" fillId="0" borderId="337" xfId="0" applyFont="1" applyFill="1" applyBorder="1" applyAlignment="1">
      <alignment vertical="center"/>
    </xf>
    <xf numFmtId="0" fontId="30" fillId="8" borderId="270" xfId="0" applyFont="1" applyFill="1" applyBorder="1" applyAlignment="1">
      <alignment vertical="center"/>
    </xf>
    <xf numFmtId="0" fontId="27" fillId="56" borderId="320" xfId="4" applyFont="1" applyFill="1" applyBorder="1" applyAlignment="1">
      <alignment horizontal="left" vertical="center"/>
    </xf>
    <xf numFmtId="0" fontId="27" fillId="56" borderId="277" xfId="4" applyFont="1" applyFill="1" applyBorder="1" applyAlignment="1">
      <alignment horizontal="left" vertical="center"/>
    </xf>
    <xf numFmtId="3" fontId="27" fillId="56" borderId="277" xfId="4" applyNumberFormat="1" applyFont="1" applyFill="1" applyBorder="1" applyAlignment="1">
      <alignment horizontal="right" vertical="center"/>
    </xf>
    <xf numFmtId="3" fontId="27" fillId="22" borderId="309" xfId="4" applyNumberFormat="1" applyFont="1" applyFill="1" applyBorder="1" applyAlignment="1">
      <alignment horizontal="right" vertical="center"/>
    </xf>
    <xf numFmtId="0" fontId="30" fillId="8" borderId="289" xfId="0" applyFont="1" applyFill="1" applyBorder="1" applyAlignment="1">
      <alignment vertical="center"/>
    </xf>
    <xf numFmtId="0" fontId="27" fillId="56" borderId="325" xfId="4" applyFont="1" applyFill="1" applyBorder="1" applyAlignment="1">
      <alignment horizontal="left" vertical="center"/>
    </xf>
    <xf numFmtId="0" fontId="27" fillId="56" borderId="291" xfId="0" applyFont="1" applyFill="1" applyBorder="1" applyAlignment="1">
      <alignment horizontal="left" vertical="center"/>
    </xf>
    <xf numFmtId="0" fontId="24" fillId="29" borderId="289" xfId="0" applyFont="1" applyFill="1" applyBorder="1" applyAlignment="1">
      <alignment vertical="center"/>
    </xf>
    <xf numFmtId="3" fontId="24" fillId="30" borderId="283" xfId="0" applyNumberFormat="1" applyFont="1" applyFill="1" applyBorder="1" applyAlignment="1">
      <alignment vertical="center"/>
    </xf>
    <xf numFmtId="3" fontId="25" fillId="23" borderId="283" xfId="0" applyNumberFormat="1" applyFont="1" applyFill="1" applyBorder="1" applyAlignment="1">
      <alignment vertical="center"/>
    </xf>
    <xf numFmtId="0" fontId="20" fillId="8" borderId="289" xfId="0" applyFont="1" applyFill="1" applyBorder="1" applyAlignment="1">
      <alignment vertical="center"/>
    </xf>
    <xf numFmtId="0" fontId="29" fillId="8" borderId="285" xfId="4" applyFont="1" applyFill="1" applyBorder="1" applyAlignment="1">
      <alignment vertical="center"/>
    </xf>
    <xf numFmtId="3" fontId="27" fillId="8" borderId="287" xfId="0" applyNumberFormat="1" applyFont="1" applyFill="1" applyBorder="1" applyAlignment="1">
      <alignment vertical="center"/>
    </xf>
    <xf numFmtId="0" fontId="31" fillId="8" borderId="285" xfId="4" applyFont="1" applyFill="1" applyBorder="1" applyAlignment="1">
      <alignment vertical="center"/>
    </xf>
    <xf numFmtId="3" fontId="31" fillId="29" borderId="287" xfId="0" applyNumberFormat="1" applyFont="1" applyFill="1" applyBorder="1" applyAlignment="1">
      <alignment vertical="center"/>
    </xf>
    <xf numFmtId="0" fontId="7" fillId="8" borderId="285" xfId="4" applyFont="1" applyFill="1" applyBorder="1" applyAlignment="1">
      <alignment vertical="center"/>
    </xf>
    <xf numFmtId="0" fontId="17" fillId="29" borderId="289" xfId="0" applyFont="1" applyFill="1" applyBorder="1" applyAlignment="1">
      <alignment vertical="center"/>
    </xf>
    <xf numFmtId="3" fontId="32" fillId="8" borderId="314" xfId="6" applyNumberFormat="1" applyFont="1" applyFill="1" applyBorder="1" applyAlignment="1">
      <alignment vertical="center"/>
    </xf>
    <xf numFmtId="3" fontId="25" fillId="23" borderId="299" xfId="4" applyNumberFormat="1" applyFont="1" applyFill="1" applyBorder="1" applyAlignment="1">
      <alignment horizontal="right" vertical="center"/>
    </xf>
    <xf numFmtId="3" fontId="7" fillId="0" borderId="307" xfId="4" applyNumberFormat="1" applyFont="1" applyFill="1" applyBorder="1" applyAlignment="1">
      <alignment horizontal="right" vertical="center"/>
    </xf>
    <xf numFmtId="3" fontId="31" fillId="24" borderId="294" xfId="4" applyNumberFormat="1" applyFont="1" applyFill="1" applyBorder="1" applyAlignment="1">
      <alignment vertical="center"/>
    </xf>
    <xf numFmtId="0" fontId="24" fillId="8" borderId="332" xfId="0" applyFont="1" applyFill="1" applyBorder="1" applyAlignment="1">
      <alignment vertical="center" wrapText="1"/>
    </xf>
    <xf numFmtId="0" fontId="25" fillId="6" borderId="333" xfId="4" applyFont="1" applyFill="1" applyBorder="1" applyAlignment="1">
      <alignment horizontal="left" vertical="center"/>
    </xf>
    <xf numFmtId="0" fontId="25" fillId="6" borderId="311" xfId="4" applyFont="1" applyFill="1" applyBorder="1" applyAlignment="1">
      <alignment vertical="center"/>
    </xf>
    <xf numFmtId="0" fontId="25" fillId="6" borderId="287" xfId="4" applyFont="1" applyFill="1" applyBorder="1" applyAlignment="1">
      <alignment vertical="center"/>
    </xf>
    <xf numFmtId="3" fontId="33" fillId="33" borderId="287" xfId="6" applyNumberFormat="1" applyFont="1" applyFill="1" applyBorder="1" applyAlignment="1">
      <alignment horizontal="right" vertical="center"/>
    </xf>
    <xf numFmtId="3" fontId="27" fillId="33" borderId="287" xfId="4" applyNumberFormat="1" applyFont="1" applyFill="1" applyBorder="1" applyAlignment="1">
      <alignment horizontal="right" vertical="center"/>
    </xf>
    <xf numFmtId="3" fontId="27" fillId="33" borderId="313" xfId="4" applyNumberFormat="1" applyFont="1" applyFill="1" applyBorder="1" applyAlignment="1">
      <alignment horizontal="right" vertical="center"/>
    </xf>
    <xf numFmtId="0" fontId="0" fillId="0" borderId="333" xfId="0" applyFont="1" applyBorder="1" applyAlignment="1">
      <alignment vertical="center"/>
    </xf>
    <xf numFmtId="3" fontId="32" fillId="33" borderId="287" xfId="6" applyNumberFormat="1" applyFont="1" applyFill="1" applyBorder="1" applyAlignment="1">
      <alignment horizontal="right" vertical="center"/>
    </xf>
    <xf numFmtId="3" fontId="7" fillId="33" borderId="287" xfId="4" applyNumberFormat="1" applyFont="1" applyFill="1" applyBorder="1" applyAlignment="1">
      <alignment horizontal="right" vertical="center"/>
    </xf>
    <xf numFmtId="0" fontId="25" fillId="6" borderId="332" xfId="4" applyFont="1" applyFill="1" applyBorder="1" applyAlignment="1">
      <alignment horizontal="left" vertical="center"/>
    </xf>
    <xf numFmtId="3" fontId="24" fillId="6" borderId="299" xfId="4" applyNumberFormat="1" applyFont="1" applyFill="1" applyBorder="1" applyAlignment="1">
      <alignment horizontal="right" vertical="center"/>
    </xf>
    <xf numFmtId="3" fontId="24" fillId="6" borderId="304" xfId="4" applyNumberFormat="1" applyFont="1" applyFill="1" applyBorder="1" applyAlignment="1">
      <alignment vertical="center"/>
    </xf>
    <xf numFmtId="3" fontId="33" fillId="0" borderId="299" xfId="6" applyNumberFormat="1" applyFont="1" applyFill="1" applyBorder="1" applyAlignment="1">
      <alignment horizontal="right" vertical="center"/>
    </xf>
    <xf numFmtId="3" fontId="33" fillId="0" borderId="303" xfId="6" applyNumberFormat="1" applyFont="1" applyFill="1" applyBorder="1" applyAlignment="1">
      <alignment vertical="center"/>
    </xf>
    <xf numFmtId="3" fontId="32" fillId="0" borderId="294" xfId="6" applyNumberFormat="1" applyFont="1" applyFill="1" applyBorder="1" applyAlignment="1">
      <alignment horizontal="right" vertical="center"/>
    </xf>
    <xf numFmtId="3" fontId="7" fillId="0" borderId="295" xfId="4" applyNumberFormat="1" applyFont="1" applyFill="1" applyBorder="1" applyAlignment="1">
      <alignment horizontal="right" vertical="center"/>
    </xf>
    <xf numFmtId="0" fontId="18" fillId="0" borderId="269" xfId="0" applyFont="1" applyBorder="1" applyAlignment="1">
      <alignment horizontal="center" vertical="center" wrapText="1"/>
    </xf>
    <xf numFmtId="0" fontId="18" fillId="0" borderId="287" xfId="0" applyFont="1" applyBorder="1" applyAlignment="1">
      <alignment vertical="top"/>
    </xf>
    <xf numFmtId="3" fontId="8" fillId="0" borderId="287" xfId="0" applyNumberFormat="1" applyFont="1" applyBorder="1" applyAlignment="1">
      <alignment vertical="top"/>
    </xf>
    <xf numFmtId="0" fontId="17" fillId="0" borderId="329" xfId="112" applyFont="1" applyBorder="1" applyAlignment="1">
      <alignment vertical="center"/>
    </xf>
    <xf numFmtId="0" fontId="18" fillId="0" borderId="329" xfId="112" applyFont="1" applyBorder="1" applyAlignment="1">
      <alignment vertical="center"/>
    </xf>
    <xf numFmtId="0" fontId="11" fillId="0" borderId="329" xfId="112" applyFont="1" applyFill="1" applyBorder="1" applyAlignment="1">
      <alignment vertical="center"/>
    </xf>
    <xf numFmtId="0" fontId="14" fillId="2" borderId="329" xfId="113" applyFont="1" applyFill="1" applyBorder="1" applyAlignment="1">
      <alignment horizontal="right" vertical="center"/>
    </xf>
    <xf numFmtId="0" fontId="15" fillId="2" borderId="329" xfId="112" applyFont="1" applyFill="1" applyBorder="1" applyAlignment="1">
      <alignment horizontal="right" vertical="center"/>
    </xf>
    <xf numFmtId="0" fontId="17" fillId="0" borderId="269" xfId="112" applyFont="1" applyBorder="1" applyAlignment="1">
      <alignment vertical="center"/>
    </xf>
    <xf numFmtId="0" fontId="18" fillId="0" borderId="269" xfId="112" applyFont="1" applyBorder="1" applyAlignment="1">
      <alignment vertical="center"/>
    </xf>
    <xf numFmtId="0" fontId="14" fillId="2" borderId="269" xfId="113" applyFont="1" applyFill="1" applyBorder="1" applyAlignment="1">
      <alignment horizontal="right" vertical="center"/>
    </xf>
    <xf numFmtId="0" fontId="15" fillId="2" borderId="269" xfId="112" applyFont="1" applyFill="1" applyBorder="1" applyAlignment="1">
      <alignment horizontal="right" vertical="center"/>
    </xf>
    <xf numFmtId="0" fontId="20" fillId="2" borderId="270" xfId="112" applyFont="1" applyFill="1" applyBorder="1" applyAlignment="1">
      <alignment horizontal="center" vertical="center"/>
    </xf>
    <xf numFmtId="0" fontId="24" fillId="2" borderId="275" xfId="112" applyFont="1" applyFill="1" applyBorder="1" applyAlignment="1">
      <alignment horizontal="center" vertical="center" wrapText="1"/>
    </xf>
    <xf numFmtId="0" fontId="20" fillId="2" borderId="289" xfId="112" applyFont="1" applyFill="1" applyBorder="1" applyAlignment="1">
      <alignment horizontal="center" vertical="center"/>
    </xf>
    <xf numFmtId="0" fontId="17" fillId="33" borderId="295" xfId="4" applyFont="1" applyFill="1" applyBorder="1" applyAlignment="1">
      <alignment horizontal="center" vertical="center" wrapText="1"/>
    </xf>
    <xf numFmtId="0" fontId="27" fillId="56" borderId="308" xfId="4" applyFont="1" applyFill="1" applyBorder="1" applyAlignment="1">
      <alignment horizontal="left" vertical="center"/>
    </xf>
    <xf numFmtId="0" fontId="27" fillId="56" borderId="334" xfId="4" applyFont="1" applyFill="1" applyBorder="1" applyAlignment="1">
      <alignment horizontal="left" vertical="center"/>
    </xf>
    <xf numFmtId="3" fontId="29" fillId="56" borderId="277" xfId="4" applyNumberFormat="1" applyFont="1" applyFill="1" applyBorder="1" applyAlignment="1">
      <alignment horizontal="right" vertical="center"/>
    </xf>
    <xf numFmtId="3" fontId="4" fillId="0" borderId="269" xfId="112" applyNumberFormat="1" applyFont="1" applyBorder="1" applyAlignment="1">
      <alignment vertical="center"/>
    </xf>
    <xf numFmtId="0" fontId="4" fillId="0" borderId="269" xfId="112" applyFont="1" applyBorder="1" applyAlignment="1">
      <alignment vertical="center"/>
    </xf>
    <xf numFmtId="0" fontId="27" fillId="56" borderId="289" xfId="4" applyFont="1" applyFill="1" applyBorder="1" applyAlignment="1">
      <alignment horizontal="left" vertical="center"/>
    </xf>
    <xf numFmtId="0" fontId="27" fillId="56" borderId="318" xfId="4" applyFont="1" applyFill="1" applyBorder="1" applyAlignment="1">
      <alignment horizontal="left" vertical="center"/>
    </xf>
    <xf numFmtId="3" fontId="29" fillId="56" borderId="304" xfId="4" applyNumberFormat="1" applyFont="1" applyFill="1" applyBorder="1" applyAlignment="1">
      <alignment horizontal="right" vertical="center"/>
    </xf>
    <xf numFmtId="0" fontId="27" fillId="56" borderId="291" xfId="112" applyFont="1" applyFill="1" applyBorder="1" applyAlignment="1">
      <alignment horizontal="left" vertical="center"/>
    </xf>
    <xf numFmtId="0" fontId="28" fillId="56" borderId="292" xfId="112" quotePrefix="1" applyFont="1" applyFill="1" applyBorder="1" applyAlignment="1">
      <alignment horizontal="center" vertical="center"/>
    </xf>
    <xf numFmtId="3" fontId="29" fillId="56" borderId="293" xfId="112" quotePrefix="1" applyNumberFormat="1" applyFont="1" applyFill="1" applyBorder="1" applyAlignment="1">
      <alignment horizontal="right" vertical="center"/>
    </xf>
    <xf numFmtId="3" fontId="27" fillId="56" borderId="293" xfId="112" quotePrefix="1" applyNumberFormat="1" applyFont="1" applyFill="1" applyBorder="1" applyAlignment="1">
      <alignment horizontal="right" vertical="center"/>
    </xf>
    <xf numFmtId="0" fontId="25" fillId="6" borderId="285" xfId="4" applyFont="1" applyFill="1" applyBorder="1" applyAlignment="1">
      <alignment horizontal="left" vertical="center"/>
    </xf>
    <xf numFmtId="3" fontId="24" fillId="6" borderId="284" xfId="4" applyNumberFormat="1" applyFont="1" applyFill="1" applyBorder="1" applyAlignment="1">
      <alignment horizontal="right" vertical="center"/>
    </xf>
    <xf numFmtId="3" fontId="29" fillId="8" borderId="321" xfId="4" applyNumberFormat="1" applyFont="1" applyFill="1" applyBorder="1" applyAlignment="1">
      <alignment vertical="center" wrapText="1"/>
    </xf>
    <xf numFmtId="3" fontId="29" fillId="8" borderId="286" xfId="4" applyNumberFormat="1" applyFont="1" applyFill="1" applyBorder="1" applyAlignment="1">
      <alignment vertical="center" wrapText="1"/>
    </xf>
    <xf numFmtId="3" fontId="27" fillId="8" borderId="287" xfId="112" applyNumberFormat="1" applyFont="1" applyFill="1" applyBorder="1" applyAlignment="1">
      <alignment vertical="center"/>
    </xf>
    <xf numFmtId="3" fontId="27" fillId="24" borderId="287" xfId="112" applyNumberFormat="1" applyFont="1" applyFill="1" applyBorder="1" applyAlignment="1">
      <alignment vertical="center"/>
    </xf>
    <xf numFmtId="3" fontId="7" fillId="8" borderId="321" xfId="4" applyNumberFormat="1" applyFont="1" applyFill="1" applyBorder="1" applyAlignment="1">
      <alignment vertical="center" wrapText="1"/>
    </xf>
    <xf numFmtId="3" fontId="7" fillId="8" borderId="286" xfId="4" applyNumberFormat="1" applyFont="1" applyFill="1" applyBorder="1" applyAlignment="1">
      <alignment vertical="center" wrapText="1"/>
    </xf>
    <xf numFmtId="3" fontId="31" fillId="8" borderId="287" xfId="112" applyNumberFormat="1" applyFont="1" applyFill="1" applyBorder="1" applyAlignment="1">
      <alignment vertical="center"/>
    </xf>
    <xf numFmtId="3" fontId="31" fillId="26" borderId="299" xfId="4" applyNumberFormat="1" applyFont="1" applyFill="1" applyBorder="1" applyAlignment="1">
      <alignment horizontal="right" vertical="center"/>
    </xf>
    <xf numFmtId="3" fontId="7" fillId="8" borderId="287" xfId="112" applyNumberFormat="1" applyFont="1" applyFill="1" applyBorder="1" applyAlignment="1">
      <alignment vertical="center"/>
    </xf>
    <xf numFmtId="0" fontId="29" fillId="8" borderId="321" xfId="4" applyFont="1" applyFill="1" applyBorder="1" applyAlignment="1">
      <alignment vertical="center"/>
    </xf>
    <xf numFmtId="0" fontId="29" fillId="8" borderId="286" xfId="4" applyFont="1" applyFill="1" applyBorder="1" applyAlignment="1">
      <alignment vertical="center"/>
    </xf>
    <xf numFmtId="0" fontId="7" fillId="8" borderId="286" xfId="4" applyFont="1" applyFill="1" applyBorder="1" applyAlignment="1">
      <alignment vertical="center" wrapText="1"/>
    </xf>
    <xf numFmtId="3" fontId="32" fillId="8" borderId="299" xfId="114" applyNumberFormat="1" applyFont="1" applyFill="1" applyBorder="1" applyAlignment="1">
      <alignment vertical="center"/>
    </xf>
    <xf numFmtId="0" fontId="31" fillId="8" borderId="298" xfId="4" applyFont="1" applyFill="1" applyBorder="1" applyAlignment="1">
      <alignment vertical="center"/>
    </xf>
    <xf numFmtId="0" fontId="18" fillId="8" borderId="290" xfId="4" applyFont="1" applyFill="1" applyBorder="1" applyAlignment="1">
      <alignment vertical="center"/>
    </xf>
    <xf numFmtId="3" fontId="18" fillId="0" borderId="269" xfId="112" applyNumberFormat="1" applyFont="1" applyBorder="1" applyAlignment="1">
      <alignment vertical="center"/>
    </xf>
    <xf numFmtId="0" fontId="27" fillId="8" borderId="321" xfId="4" applyFont="1" applyFill="1" applyBorder="1" applyAlignment="1">
      <alignment vertical="center"/>
    </xf>
    <xf numFmtId="0" fontId="27" fillId="8" borderId="286" xfId="4" applyFont="1" applyFill="1" applyBorder="1" applyAlignment="1">
      <alignment vertical="center"/>
    </xf>
    <xf numFmtId="3" fontId="33" fillId="8" borderId="299" xfId="114" applyNumberFormat="1" applyFont="1" applyFill="1" applyBorder="1" applyAlignment="1">
      <alignment vertical="center"/>
    </xf>
    <xf numFmtId="0" fontId="31" fillId="8" borderId="286" xfId="4" applyFont="1" applyFill="1" applyBorder="1" applyAlignment="1">
      <alignment vertical="center"/>
    </xf>
    <xf numFmtId="0" fontId="17" fillId="8" borderId="289" xfId="4" applyFont="1" applyFill="1" applyBorder="1" applyAlignment="1">
      <alignment vertical="center"/>
    </xf>
    <xf numFmtId="0" fontId="27" fillId="8" borderId="285" xfId="4" applyFont="1" applyFill="1" applyBorder="1" applyAlignment="1">
      <alignment vertical="center"/>
    </xf>
    <xf numFmtId="0" fontId="27" fillId="8" borderId="281" xfId="4" applyFont="1" applyFill="1" applyBorder="1" applyAlignment="1">
      <alignment vertical="center"/>
    </xf>
    <xf numFmtId="3" fontId="33" fillId="8" borderId="284" xfId="114" applyNumberFormat="1" applyFont="1" applyFill="1" applyBorder="1" applyAlignment="1">
      <alignment vertical="center"/>
    </xf>
    <xf numFmtId="0" fontId="17" fillId="8" borderId="291" xfId="4" applyFont="1" applyFill="1" applyBorder="1" applyAlignment="1">
      <alignment vertical="center"/>
    </xf>
    <xf numFmtId="0" fontId="31" fillId="8" borderId="295" xfId="4" applyFont="1" applyFill="1" applyBorder="1" applyAlignment="1">
      <alignment vertical="center"/>
    </xf>
    <xf numFmtId="0" fontId="27" fillId="8" borderId="318" xfId="4" applyFont="1" applyFill="1" applyBorder="1" applyAlignment="1">
      <alignment vertical="center"/>
    </xf>
    <xf numFmtId="0" fontId="18" fillId="8" borderId="296" xfId="4" applyFont="1" applyFill="1" applyBorder="1" applyAlignment="1">
      <alignment vertical="center"/>
    </xf>
    <xf numFmtId="0" fontId="24" fillId="8" borderId="308" xfId="112" applyFont="1" applyFill="1" applyBorder="1" applyAlignment="1">
      <alignment vertical="center" wrapText="1"/>
    </xf>
    <xf numFmtId="0" fontId="24" fillId="8" borderId="271" xfId="112" applyFont="1" applyFill="1" applyBorder="1" applyAlignment="1">
      <alignment horizontal="center" vertical="center" wrapText="1"/>
    </xf>
    <xf numFmtId="0" fontId="7" fillId="8" borderId="272" xfId="112" applyFont="1" applyFill="1" applyBorder="1" applyAlignment="1">
      <alignment vertical="center"/>
    </xf>
    <xf numFmtId="0" fontId="7" fillId="8" borderId="275" xfId="112" applyFont="1" applyFill="1" applyBorder="1" applyAlignment="1">
      <alignment vertical="center"/>
    </xf>
    <xf numFmtId="3" fontId="7" fillId="8" borderId="275" xfId="112" applyNumberFormat="1" applyFont="1" applyFill="1" applyBorder="1" applyAlignment="1">
      <alignment vertical="center"/>
    </xf>
    <xf numFmtId="3" fontId="7" fillId="24" borderId="309" xfId="112" applyNumberFormat="1" applyFont="1" applyFill="1" applyBorder="1" applyAlignment="1">
      <alignment vertical="center"/>
    </xf>
    <xf numFmtId="0" fontId="24" fillId="6" borderId="321" xfId="4" applyFont="1" applyFill="1" applyBorder="1" applyAlignment="1">
      <alignment horizontal="left" vertical="center"/>
    </xf>
    <xf numFmtId="3" fontId="29" fillId="2" borderId="321" xfId="4" applyNumberFormat="1" applyFont="1" applyFill="1" applyBorder="1" applyAlignment="1">
      <alignment vertical="center" wrapText="1"/>
    </xf>
    <xf numFmtId="3" fontId="29" fillId="0" borderId="301" xfId="4" applyNumberFormat="1" applyFont="1" applyFill="1" applyBorder="1" applyAlignment="1">
      <alignment horizontal="right" vertical="center"/>
    </xf>
    <xf numFmtId="0" fontId="7" fillId="0" borderId="321" xfId="4" applyFont="1" applyFill="1" applyBorder="1" applyAlignment="1">
      <alignment vertical="center"/>
    </xf>
    <xf numFmtId="3" fontId="7" fillId="0" borderId="299" xfId="4" applyNumberFormat="1" applyFont="1" applyFill="1" applyBorder="1" applyAlignment="1">
      <alignment horizontal="right" vertical="center"/>
    </xf>
    <xf numFmtId="0" fontId="29" fillId="2" borderId="321" xfId="4" applyFont="1" applyFill="1" applyBorder="1" applyAlignment="1">
      <alignment vertical="center"/>
    </xf>
    <xf numFmtId="3" fontId="33" fillId="0" borderId="287" xfId="114" applyNumberFormat="1" applyFont="1" applyFill="1" applyBorder="1" applyAlignment="1">
      <alignment vertical="center"/>
    </xf>
    <xf numFmtId="0" fontId="7" fillId="0" borderId="338" xfId="4" applyFont="1" applyFill="1" applyBorder="1" applyAlignment="1">
      <alignment vertical="center"/>
    </xf>
    <xf numFmtId="3" fontId="7" fillId="0" borderId="283" xfId="112" applyNumberFormat="1" applyFont="1" applyFill="1" applyBorder="1" applyAlignment="1">
      <alignment vertical="center"/>
    </xf>
    <xf numFmtId="3" fontId="7" fillId="24" borderId="273" xfId="112" applyNumberFormat="1" applyFont="1" applyFill="1" applyBorder="1" applyAlignment="1">
      <alignment vertical="center"/>
    </xf>
    <xf numFmtId="3" fontId="27" fillId="2" borderId="299" xfId="4" applyNumberFormat="1" applyFont="1" applyFill="1" applyBorder="1" applyAlignment="1">
      <alignment vertical="center"/>
    </xf>
    <xf numFmtId="3" fontId="27" fillId="2" borderId="287" xfId="4" applyNumberFormat="1" applyFont="1" applyFill="1" applyBorder="1" applyAlignment="1">
      <alignment horizontal="right" vertical="center"/>
    </xf>
    <xf numFmtId="3" fontId="29" fillId="2" borderId="287" xfId="4" applyNumberFormat="1" applyFont="1" applyFill="1" applyBorder="1" applyAlignment="1">
      <alignment horizontal="right" vertical="center"/>
    </xf>
    <xf numFmtId="3" fontId="33" fillId="0" borderId="299" xfId="114" applyNumberFormat="1" applyFont="1" applyFill="1" applyBorder="1" applyAlignment="1">
      <alignment vertical="center"/>
    </xf>
    <xf numFmtId="0" fontId="4" fillId="0" borderId="294" xfId="112" applyFont="1" applyBorder="1" applyAlignment="1">
      <alignment vertical="center"/>
    </xf>
    <xf numFmtId="3" fontId="32" fillId="0" borderId="287" xfId="114" applyNumberFormat="1" applyFont="1" applyFill="1" applyBorder="1" applyAlignment="1">
      <alignment vertical="center"/>
    </xf>
    <xf numFmtId="3" fontId="7" fillId="0" borderId="269" xfId="4" applyNumberFormat="1" applyFont="1" applyFill="1" applyBorder="1" applyAlignment="1">
      <alignment horizontal="right" vertical="center"/>
    </xf>
    <xf numFmtId="0" fontId="4" fillId="0" borderId="304" xfId="112" applyFont="1" applyBorder="1" applyAlignment="1">
      <alignment vertical="center"/>
    </xf>
    <xf numFmtId="3" fontId="33" fillId="0" borderId="284" xfId="114" applyNumberFormat="1" applyFont="1" applyFill="1" applyBorder="1" applyAlignment="1">
      <alignment vertical="center"/>
    </xf>
    <xf numFmtId="0" fontId="4" fillId="0" borderId="323" xfId="112" applyFont="1" applyBorder="1" applyAlignment="1">
      <alignment vertical="center"/>
    </xf>
    <xf numFmtId="0" fontId="24" fillId="33" borderId="321" xfId="4" applyFont="1" applyFill="1" applyBorder="1" applyAlignment="1">
      <alignment horizontal="left" vertical="center"/>
    </xf>
    <xf numFmtId="0" fontId="25" fillId="33" borderId="322" xfId="4" applyFont="1" applyFill="1" applyBorder="1" applyAlignment="1">
      <alignment horizontal="left" vertical="center"/>
    </xf>
    <xf numFmtId="3" fontId="24" fillId="33" borderId="284" xfId="4" applyNumberFormat="1" applyFont="1" applyFill="1" applyBorder="1" applyAlignment="1">
      <alignment vertical="center"/>
    </xf>
    <xf numFmtId="3" fontId="24" fillId="33" borderId="287" xfId="4" applyNumberFormat="1" applyFont="1" applyFill="1" applyBorder="1" applyAlignment="1">
      <alignment vertical="center"/>
    </xf>
    <xf numFmtId="3" fontId="31" fillId="0" borderId="294" xfId="112" applyNumberFormat="1" applyFont="1" applyFill="1" applyBorder="1" applyAlignment="1">
      <alignment vertical="center"/>
    </xf>
    <xf numFmtId="0" fontId="24" fillId="8" borderId="320" xfId="4" applyFont="1" applyFill="1" applyBorder="1" applyAlignment="1">
      <alignment vertical="center" wrapText="1"/>
    </xf>
    <xf numFmtId="0" fontId="24" fillId="8" borderId="271" xfId="4" applyFont="1" applyFill="1" applyBorder="1" applyAlignment="1">
      <alignment horizontal="center" vertical="center" wrapText="1"/>
    </xf>
    <xf numFmtId="3" fontId="24" fillId="8" borderId="278" xfId="4" applyNumberFormat="1" applyFont="1" applyFill="1" applyBorder="1" applyAlignment="1">
      <alignment vertical="center"/>
    </xf>
    <xf numFmtId="3" fontId="24" fillId="8" borderId="273" xfId="4" applyNumberFormat="1" applyFont="1" applyFill="1" applyBorder="1" applyAlignment="1">
      <alignment horizontal="right" vertical="center"/>
    </xf>
    <xf numFmtId="3" fontId="24" fillId="24" borderId="273" xfId="4" applyNumberFormat="1" applyFont="1" applyFill="1" applyBorder="1" applyAlignment="1">
      <alignment horizontal="right" vertical="center"/>
    </xf>
    <xf numFmtId="0" fontId="4" fillId="0" borderId="269" xfId="0" applyFont="1" applyBorder="1" applyAlignment="1">
      <alignment vertical="center"/>
    </xf>
    <xf numFmtId="3" fontId="4" fillId="0" borderId="269" xfId="0" applyNumberFormat="1" applyFont="1" applyBorder="1" applyAlignment="1">
      <alignment vertical="center"/>
    </xf>
    <xf numFmtId="3" fontId="27" fillId="0" borderId="299" xfId="4" applyNumberFormat="1" applyFont="1" applyFill="1" applyBorder="1" applyAlignment="1">
      <alignment vertical="center"/>
    </xf>
    <xf numFmtId="3" fontId="29" fillId="0" borderId="299" xfId="4" applyNumberFormat="1" applyFont="1" applyFill="1" applyBorder="1" applyAlignment="1">
      <alignment vertical="center"/>
    </xf>
    <xf numFmtId="3" fontId="27" fillId="26" borderId="299" xfId="4" applyNumberFormat="1" applyFont="1" applyFill="1" applyBorder="1" applyAlignment="1">
      <alignment vertical="center"/>
    </xf>
    <xf numFmtId="0" fontId="7" fillId="0" borderId="280" xfId="0" applyFont="1" applyFill="1" applyBorder="1" applyAlignment="1">
      <alignment vertical="center"/>
    </xf>
    <xf numFmtId="3" fontId="7" fillId="0" borderId="299" xfId="4" applyNumberFormat="1" applyFont="1" applyFill="1" applyBorder="1" applyAlignment="1">
      <alignment vertical="center"/>
    </xf>
    <xf numFmtId="0" fontId="28" fillId="0" borderId="321" xfId="4" applyFont="1" applyFill="1" applyBorder="1" applyAlignment="1">
      <alignment vertical="center"/>
    </xf>
    <xf numFmtId="3" fontId="28" fillId="0" borderId="299" xfId="4" applyNumberFormat="1" applyFont="1" applyFill="1" applyBorder="1" applyAlignment="1">
      <alignment horizontal="right" vertical="center"/>
    </xf>
    <xf numFmtId="3" fontId="28" fillId="26" borderId="299" xfId="4" applyNumberFormat="1" applyFont="1" applyFill="1" applyBorder="1" applyAlignment="1">
      <alignment horizontal="right" vertical="center"/>
    </xf>
    <xf numFmtId="3" fontId="28" fillId="0" borderId="287" xfId="4" applyNumberFormat="1" applyFont="1" applyFill="1" applyBorder="1" applyAlignment="1">
      <alignment horizontal="right" vertical="center"/>
    </xf>
    <xf numFmtId="0" fontId="31" fillId="0" borderId="321" xfId="4" applyFont="1" applyFill="1" applyBorder="1" applyAlignment="1">
      <alignment vertical="center"/>
    </xf>
    <xf numFmtId="3" fontId="33" fillId="26" borderId="287" xfId="6" applyNumberFormat="1" applyFont="1" applyFill="1" applyBorder="1" applyAlignment="1">
      <alignment vertical="center"/>
    </xf>
    <xf numFmtId="0" fontId="31" fillId="0" borderId="338" xfId="4" applyFont="1" applyFill="1" applyBorder="1" applyAlignment="1">
      <alignment vertical="center"/>
    </xf>
    <xf numFmtId="3" fontId="31" fillId="0" borderId="301" xfId="4" applyNumberFormat="1" applyFont="1" applyFill="1" applyBorder="1" applyAlignment="1">
      <alignment horizontal="right" vertical="center"/>
    </xf>
    <xf numFmtId="3" fontId="27" fillId="2" borderId="281" xfId="4" applyNumberFormat="1" applyFont="1" applyFill="1" applyBorder="1" applyAlignment="1">
      <alignment horizontal="center" vertical="center" wrapText="1"/>
    </xf>
    <xf numFmtId="3" fontId="28" fillId="26" borderId="313" xfId="4" applyNumberFormat="1" applyFont="1" applyFill="1" applyBorder="1" applyAlignment="1">
      <alignment horizontal="right" vertical="center"/>
    </xf>
    <xf numFmtId="3" fontId="39" fillId="0" borderId="269" xfId="0" applyNumberFormat="1" applyFont="1" applyBorder="1" applyAlignment="1">
      <alignment vertical="center"/>
    </xf>
    <xf numFmtId="0" fontId="39" fillId="0" borderId="269" xfId="0" applyFont="1" applyBorder="1" applyAlignment="1">
      <alignment vertical="center"/>
    </xf>
    <xf numFmtId="0" fontId="29" fillId="2" borderId="298" xfId="4" applyFont="1" applyFill="1" applyBorder="1" applyAlignment="1">
      <alignment vertical="center"/>
    </xf>
    <xf numFmtId="0" fontId="4" fillId="0" borderId="287" xfId="112" applyFont="1" applyBorder="1" applyAlignment="1">
      <alignment vertical="center"/>
    </xf>
    <xf numFmtId="0" fontId="24" fillId="33" borderId="280" xfId="4" applyFont="1" applyFill="1" applyBorder="1" applyAlignment="1">
      <alignment horizontal="left" vertical="center"/>
    </xf>
    <xf numFmtId="3" fontId="27" fillId="33" borderId="284" xfId="4" applyNumberFormat="1" applyFont="1" applyFill="1" applyBorder="1" applyAlignment="1">
      <alignment vertical="center"/>
    </xf>
    <xf numFmtId="3" fontId="27" fillId="33" borderId="283" xfId="4" applyNumberFormat="1" applyFont="1" applyFill="1" applyBorder="1" applyAlignment="1">
      <alignment vertical="center"/>
    </xf>
    <xf numFmtId="0" fontId="31" fillId="0" borderId="339" xfId="4" applyFont="1" applyFill="1" applyBorder="1" applyAlignment="1">
      <alignment vertical="center"/>
    </xf>
    <xf numFmtId="43" fontId="24" fillId="6" borderId="287" xfId="1" applyFont="1" applyFill="1" applyBorder="1" applyAlignment="1">
      <alignment vertical="center"/>
    </xf>
    <xf numFmtId="43" fontId="25" fillId="6" borderId="299" xfId="1" applyFont="1" applyFill="1" applyBorder="1" applyAlignment="1">
      <alignment vertical="center"/>
    </xf>
    <xf numFmtId="43" fontId="29" fillId="0" borderId="299" xfId="1" applyFont="1" applyFill="1" applyBorder="1" applyAlignment="1">
      <alignment vertical="center"/>
    </xf>
    <xf numFmtId="43" fontId="27" fillId="0" borderId="299" xfId="1" applyFont="1" applyFill="1" applyBorder="1" applyAlignment="1">
      <alignment vertical="center"/>
    </xf>
    <xf numFmtId="43" fontId="29" fillId="0" borderId="299" xfId="1" applyFont="1" applyFill="1" applyBorder="1" applyAlignment="1">
      <alignment horizontal="right" vertical="center"/>
    </xf>
    <xf numFmtId="3" fontId="60" fillId="0" borderId="269" xfId="0" applyNumberFormat="1" applyFont="1" applyBorder="1" applyAlignment="1">
      <alignment vertical="center"/>
    </xf>
    <xf numFmtId="0" fontId="60" fillId="0" borderId="269" xfId="0" applyFont="1" applyBorder="1" applyAlignment="1">
      <alignment vertical="center"/>
    </xf>
    <xf numFmtId="43" fontId="28" fillId="0" borderId="299" xfId="1" applyFont="1" applyFill="1" applyBorder="1" applyAlignment="1">
      <alignment horizontal="right" vertical="center"/>
    </xf>
    <xf numFmtId="43" fontId="31" fillId="0" borderId="299" xfId="1" applyFont="1" applyFill="1" applyBorder="1" applyAlignment="1">
      <alignment vertical="center"/>
    </xf>
    <xf numFmtId="43" fontId="27" fillId="0" borderId="299" xfId="1" applyFont="1" applyFill="1" applyBorder="1" applyAlignment="1">
      <alignment horizontal="right" vertical="center"/>
    </xf>
    <xf numFmtId="43" fontId="31" fillId="0" borderId="301" xfId="1" applyFont="1" applyFill="1" applyBorder="1" applyAlignment="1">
      <alignment horizontal="right" vertical="center"/>
    </xf>
    <xf numFmtId="0" fontId="27" fillId="56" borderId="285" xfId="4" applyFont="1" applyFill="1" applyBorder="1" applyAlignment="1">
      <alignment horizontal="left" vertical="center"/>
    </xf>
    <xf numFmtId="0" fontId="27" fillId="56" borderId="300" xfId="0" applyFont="1" applyFill="1" applyBorder="1" applyAlignment="1">
      <alignment horizontal="left" vertical="center"/>
    </xf>
    <xf numFmtId="3" fontId="27" fillId="56" borderId="295" xfId="4" applyNumberFormat="1" applyFont="1" applyFill="1" applyBorder="1" applyAlignment="1">
      <alignment horizontal="right" vertical="center"/>
    </xf>
    <xf numFmtId="0" fontId="25" fillId="6" borderId="308" xfId="4" applyFont="1" applyFill="1" applyBorder="1" applyAlignment="1">
      <alignment horizontal="left" vertical="center"/>
    </xf>
    <xf numFmtId="0" fontId="25" fillId="6" borderId="334" xfId="4" applyFont="1" applyFill="1" applyBorder="1" applyAlignment="1">
      <alignment horizontal="left" vertical="center"/>
    </xf>
    <xf numFmtId="3" fontId="24" fillId="30" borderId="309" xfId="0" applyNumberFormat="1" applyFont="1" applyFill="1" applyBorder="1" applyAlignment="1">
      <alignment vertical="center"/>
    </xf>
    <xf numFmtId="43" fontId="31" fillId="29" borderId="287" xfId="1" applyFont="1" applyFill="1" applyBorder="1" applyAlignment="1">
      <alignment vertical="center"/>
    </xf>
    <xf numFmtId="3" fontId="31" fillId="24" borderId="287" xfId="0" applyNumberFormat="1" applyFont="1" applyFill="1" applyBorder="1" applyAlignment="1">
      <alignment vertical="center"/>
    </xf>
    <xf numFmtId="43" fontId="24" fillId="30" borderId="283" xfId="1" applyFont="1" applyFill="1" applyBorder="1" applyAlignment="1">
      <alignment vertical="center"/>
    </xf>
    <xf numFmtId="43" fontId="27" fillId="8" borderId="287" xfId="1" applyFont="1" applyFill="1" applyBorder="1" applyAlignment="1">
      <alignment vertical="center"/>
    </xf>
    <xf numFmtId="3" fontId="31" fillId="29" borderId="303" xfId="0" applyNumberFormat="1" applyFont="1" applyFill="1" applyBorder="1" applyAlignment="1">
      <alignment vertical="center"/>
    </xf>
    <xf numFmtId="0" fontId="25" fillId="8" borderId="308" xfId="0" applyFont="1" applyFill="1" applyBorder="1" applyAlignment="1">
      <alignment vertical="center" wrapText="1"/>
    </xf>
    <xf numFmtId="3" fontId="31" fillId="8" borderId="277" xfId="0" applyNumberFormat="1" applyFont="1" applyFill="1" applyBorder="1" applyAlignment="1">
      <alignment vertical="center"/>
    </xf>
    <xf numFmtId="43" fontId="31" fillId="8" borderId="273" xfId="1" applyFont="1" applyFill="1" applyBorder="1" applyAlignment="1">
      <alignment vertical="center"/>
    </xf>
    <xf numFmtId="0" fontId="31" fillId="8" borderId="273" xfId="0" applyFont="1" applyFill="1" applyBorder="1" applyAlignment="1">
      <alignment vertical="center"/>
    </xf>
    <xf numFmtId="0" fontId="7" fillId="24" borderId="273" xfId="0" applyFont="1" applyFill="1" applyBorder="1" applyAlignment="1">
      <alignment vertical="center"/>
    </xf>
    <xf numFmtId="0" fontId="31" fillId="6" borderId="286" xfId="0" applyFont="1" applyFill="1" applyBorder="1" applyAlignment="1">
      <alignment vertical="center"/>
    </xf>
    <xf numFmtId="3" fontId="25" fillId="6" borderId="299" xfId="0" applyNumberFormat="1" applyFont="1" applyFill="1" applyBorder="1" applyAlignment="1">
      <alignment vertical="center"/>
    </xf>
    <xf numFmtId="3" fontId="25" fillId="23" borderId="299" xfId="0" applyNumberFormat="1" applyFont="1" applyFill="1" applyBorder="1" applyAlignment="1">
      <alignment vertical="center"/>
    </xf>
    <xf numFmtId="3" fontId="27" fillId="0" borderId="299" xfId="0" applyNumberFormat="1" applyFont="1" applyFill="1" applyBorder="1" applyAlignment="1">
      <alignment vertical="center"/>
    </xf>
    <xf numFmtId="3" fontId="27" fillId="26" borderId="299" xfId="0" applyNumberFormat="1" applyFont="1" applyFill="1" applyBorder="1" applyAlignment="1">
      <alignment vertical="center"/>
    </xf>
    <xf numFmtId="0" fontId="31" fillId="0" borderId="306" xfId="0" applyFont="1" applyFill="1" applyBorder="1" applyAlignment="1">
      <alignment vertical="center"/>
    </xf>
    <xf numFmtId="3" fontId="31" fillId="0" borderId="294" xfId="0" applyNumberFormat="1" applyFont="1" applyFill="1" applyBorder="1" applyAlignment="1">
      <alignment vertical="center"/>
    </xf>
    <xf numFmtId="43" fontId="31" fillId="0" borderId="294" xfId="1" applyFont="1" applyFill="1" applyBorder="1" applyAlignment="1">
      <alignment vertical="center"/>
    </xf>
    <xf numFmtId="43" fontId="27" fillId="0" borderId="287" xfId="1" applyFont="1" applyFill="1" applyBorder="1" applyAlignment="1">
      <alignment vertical="center"/>
    </xf>
    <xf numFmtId="3" fontId="31" fillId="26" borderId="294" xfId="4" applyNumberFormat="1" applyFont="1" applyFill="1" applyBorder="1" applyAlignment="1">
      <alignment horizontal="right" vertical="center"/>
    </xf>
    <xf numFmtId="3" fontId="31" fillId="26" borderId="307" xfId="4" applyNumberFormat="1" applyFont="1" applyFill="1" applyBorder="1" applyAlignment="1">
      <alignment horizontal="right" vertical="center"/>
    </xf>
    <xf numFmtId="0" fontId="13" fillId="0" borderId="269" xfId="4" applyFont="1" applyFill="1" applyBorder="1" applyAlignment="1">
      <alignment horizontal="left" vertical="center" wrapText="1"/>
    </xf>
    <xf numFmtId="0" fontId="4" fillId="0" borderId="287" xfId="0" applyFont="1" applyBorder="1"/>
    <xf numFmtId="0" fontId="18" fillId="0" borderId="269" xfId="112" applyFont="1" applyBorder="1" applyAlignment="1">
      <alignment horizontal="center" vertical="center" wrapText="1"/>
    </xf>
    <xf numFmtId="0" fontId="4" fillId="0" borderId="287" xfId="0" applyFont="1" applyBorder="1" applyAlignment="1">
      <alignment vertical="center"/>
    </xf>
    <xf numFmtId="3" fontId="4" fillId="0" borderId="287" xfId="0" applyNumberFormat="1" applyFont="1" applyBorder="1"/>
    <xf numFmtId="0" fontId="0" fillId="0" borderId="329" xfId="0" applyFont="1" applyBorder="1" applyAlignment="1">
      <alignment horizontal="center" wrapText="1"/>
    </xf>
    <xf numFmtId="0" fontId="8" fillId="0" borderId="329" xfId="0" applyFont="1" applyFill="1" applyBorder="1"/>
    <xf numFmtId="0" fontId="0" fillId="0" borderId="329" xfId="0" applyFont="1" applyBorder="1"/>
    <xf numFmtId="0" fontId="8" fillId="0" borderId="329" xfId="0" applyFont="1" applyBorder="1"/>
    <xf numFmtId="0" fontId="77" fillId="2" borderId="269" xfId="0" applyFont="1" applyFill="1" applyBorder="1" applyAlignment="1">
      <alignment horizontal="center" wrapText="1"/>
    </xf>
    <xf numFmtId="0" fontId="0" fillId="0" borderId="269" xfId="0" applyFont="1" applyBorder="1" applyAlignment="1">
      <alignment horizontal="center" wrapText="1"/>
    </xf>
    <xf numFmtId="0" fontId="8" fillId="0" borderId="269" xfId="0" applyFont="1" applyFill="1" applyBorder="1"/>
    <xf numFmtId="0" fontId="8" fillId="0" borderId="269" xfId="0" applyFont="1" applyBorder="1"/>
    <xf numFmtId="0" fontId="19" fillId="0" borderId="269" xfId="0" applyFont="1" applyBorder="1" applyAlignment="1">
      <alignment horizontal="center" vertical="center" wrapText="1"/>
    </xf>
    <xf numFmtId="0" fontId="36" fillId="0" borderId="303" xfId="0" applyFont="1" applyBorder="1" applyAlignment="1">
      <alignment horizontal="center" vertical="center"/>
    </xf>
    <xf numFmtId="3" fontId="31" fillId="0" borderId="340" xfId="0" quotePrefix="1" applyNumberFormat="1" applyFont="1" applyBorder="1" applyAlignment="1">
      <alignment horizontal="center" vertical="center"/>
    </xf>
    <xf numFmtId="3" fontId="7" fillId="0" borderId="273" xfId="0" quotePrefix="1" applyNumberFormat="1" applyFont="1" applyBorder="1" applyAlignment="1">
      <alignment horizontal="center" vertical="center"/>
    </xf>
    <xf numFmtId="3" fontId="6" fillId="0" borderId="310" xfId="0" applyNumberFormat="1" applyFont="1" applyFill="1" applyBorder="1" applyAlignment="1">
      <alignment horizontal="center" vertical="center" wrapText="1"/>
    </xf>
    <xf numFmtId="3" fontId="6" fillId="0" borderId="269" xfId="0" applyNumberFormat="1" applyFont="1" applyFill="1" applyBorder="1" applyAlignment="1">
      <alignment horizontal="center" vertical="center" wrapText="1"/>
    </xf>
    <xf numFmtId="0" fontId="8" fillId="0" borderId="269" xfId="0" applyFont="1" applyFill="1" applyBorder="1" applyAlignment="1">
      <alignment vertical="center"/>
    </xf>
    <xf numFmtId="0" fontId="8" fillId="0" borderId="269" xfId="0" applyFont="1" applyBorder="1" applyAlignment="1">
      <alignment vertical="center"/>
    </xf>
    <xf numFmtId="3" fontId="62" fillId="38" borderId="340" xfId="0" applyNumberFormat="1" applyFont="1" applyFill="1" applyBorder="1" applyAlignment="1">
      <alignment vertical="center" wrapText="1"/>
    </xf>
    <xf numFmtId="3" fontId="62" fillId="39" borderId="342" xfId="0" applyNumberFormat="1" applyFont="1" applyFill="1" applyBorder="1" applyAlignment="1">
      <alignment vertical="center" wrapText="1"/>
    </xf>
    <xf numFmtId="164" fontId="62" fillId="39" borderId="269" xfId="0" applyNumberFormat="1" applyFont="1" applyFill="1" applyBorder="1" applyAlignment="1">
      <alignment vertical="center" wrapText="1"/>
    </xf>
    <xf numFmtId="164" fontId="78" fillId="0" borderId="269" xfId="0" applyNumberFormat="1" applyFont="1" applyFill="1" applyBorder="1" applyAlignment="1">
      <alignment vertical="center"/>
    </xf>
    <xf numFmtId="3" fontId="78" fillId="0" borderId="269" xfId="0" applyNumberFormat="1" applyFont="1" applyFill="1" applyBorder="1" applyAlignment="1">
      <alignment vertical="center"/>
    </xf>
    <xf numFmtId="0" fontId="78" fillId="0" borderId="269" xfId="0" applyFont="1" applyFill="1" applyBorder="1" applyAlignment="1">
      <alignment vertical="center"/>
    </xf>
    <xf numFmtId="3" fontId="62" fillId="6" borderId="340" xfId="0" applyNumberFormat="1" applyFont="1" applyFill="1" applyBorder="1" applyAlignment="1">
      <alignment vertical="center" wrapText="1"/>
    </xf>
    <xf numFmtId="3" fontId="62" fillId="40" borderId="342" xfId="0" applyNumberFormat="1" applyFont="1" applyFill="1" applyBorder="1" applyAlignment="1">
      <alignment horizontal="center" vertical="center" wrapText="1"/>
    </xf>
    <xf numFmtId="3" fontId="62" fillId="40" borderId="269" xfId="0" applyNumberFormat="1" applyFont="1" applyFill="1" applyBorder="1" applyAlignment="1">
      <alignment horizontal="center" vertical="center" wrapText="1"/>
    </xf>
    <xf numFmtId="0" fontId="69" fillId="38" borderId="335" xfId="4" applyFont="1" applyFill="1" applyBorder="1" applyAlignment="1">
      <alignment horizontal="left" vertical="center"/>
    </xf>
    <xf numFmtId="0" fontId="0" fillId="38" borderId="341" xfId="0" applyFont="1" applyFill="1" applyBorder="1" applyAlignment="1">
      <alignment vertical="center"/>
    </xf>
    <xf numFmtId="3" fontId="62" fillId="39" borderId="269" xfId="0" applyNumberFormat="1" applyFont="1" applyFill="1" applyBorder="1" applyAlignment="1">
      <alignment vertical="center" wrapText="1"/>
    </xf>
    <xf numFmtId="164" fontId="78" fillId="2" borderId="269" xfId="0" applyNumberFormat="1" applyFont="1" applyFill="1" applyBorder="1" applyAlignment="1">
      <alignment vertical="center"/>
    </xf>
    <xf numFmtId="3" fontId="78" fillId="2" borderId="269" xfId="0" applyNumberFormat="1" applyFont="1" applyFill="1" applyBorder="1" applyAlignment="1">
      <alignment vertical="center"/>
    </xf>
    <xf numFmtId="0" fontId="78" fillId="2" borderId="269" xfId="0" applyFont="1" applyFill="1" applyBorder="1" applyAlignment="1">
      <alignment vertical="center"/>
    </xf>
    <xf numFmtId="3" fontId="62" fillId="2" borderId="274" xfId="0" applyNumberFormat="1" applyFont="1" applyFill="1" applyBorder="1" applyAlignment="1">
      <alignment vertical="center" wrapText="1"/>
    </xf>
    <xf numFmtId="3" fontId="62" fillId="0" borderId="310" xfId="0" applyNumberFormat="1" applyFont="1" applyFill="1" applyBorder="1" applyAlignment="1">
      <alignment horizontal="center" vertical="center" wrapText="1"/>
    </xf>
    <xf numFmtId="3" fontId="62" fillId="0" borderId="269" xfId="0" applyNumberFormat="1" applyFont="1" applyFill="1" applyBorder="1" applyAlignment="1">
      <alignment horizontal="center" vertical="center" wrapText="1"/>
    </xf>
    <xf numFmtId="3" fontId="82" fillId="4" borderId="283" xfId="0" applyNumberFormat="1" applyFont="1" applyFill="1" applyBorder="1" applyAlignment="1">
      <alignment vertical="center" wrapText="1"/>
    </xf>
    <xf numFmtId="3" fontId="68" fillId="41" borderId="300" xfId="0" applyNumberFormat="1" applyFont="1" applyFill="1" applyBorder="1" applyAlignment="1">
      <alignment vertical="center" wrapText="1"/>
    </xf>
    <xf numFmtId="3" fontId="68" fillId="41" borderId="269" xfId="0" applyNumberFormat="1" applyFont="1" applyFill="1" applyBorder="1" applyAlignment="1">
      <alignment vertical="center" wrapText="1"/>
    </xf>
    <xf numFmtId="3" fontId="82" fillId="6" borderId="287" xfId="0" applyNumberFormat="1" applyFont="1" applyFill="1" applyBorder="1" applyAlignment="1">
      <alignment vertical="center" wrapText="1"/>
    </xf>
    <xf numFmtId="3" fontId="62" fillId="42" borderId="288" xfId="0" applyNumberFormat="1" applyFont="1" applyFill="1" applyBorder="1" applyAlignment="1">
      <alignment horizontal="center" vertical="center" wrapText="1"/>
    </xf>
    <xf numFmtId="3" fontId="62" fillId="42" borderId="269" xfId="0" applyNumberFormat="1" applyFont="1" applyFill="1" applyBorder="1" applyAlignment="1">
      <alignment horizontal="center" vertical="center" wrapText="1"/>
    </xf>
    <xf numFmtId="3" fontId="82" fillId="4" borderId="287" xfId="0" applyNumberFormat="1" applyFont="1" applyFill="1" applyBorder="1" applyAlignment="1">
      <alignment vertical="center" wrapText="1"/>
    </xf>
    <xf numFmtId="164" fontId="78" fillId="2" borderId="269" xfId="0" applyNumberFormat="1" applyFont="1" applyFill="1" applyBorder="1" applyAlignment="1">
      <alignment vertical="center" wrapText="1"/>
    </xf>
    <xf numFmtId="3" fontId="78" fillId="2" borderId="269" xfId="0" applyNumberFormat="1" applyFont="1" applyFill="1" applyBorder="1" applyAlignment="1">
      <alignment vertical="center" wrapText="1"/>
    </xf>
    <xf numFmtId="0" fontId="78" fillId="2" borderId="269" xfId="0" applyFont="1" applyFill="1" applyBorder="1" applyAlignment="1">
      <alignment vertical="center" wrapText="1"/>
    </xf>
    <xf numFmtId="3" fontId="68" fillId="41" borderId="288" xfId="0" applyNumberFormat="1" applyFont="1" applyFill="1" applyBorder="1" applyAlignment="1">
      <alignment horizontal="center" vertical="center" wrapText="1"/>
    </xf>
    <xf numFmtId="3" fontId="68" fillId="41" borderId="269" xfId="0" applyNumberFormat="1" applyFont="1" applyFill="1" applyBorder="1" applyAlignment="1">
      <alignment horizontal="center" vertical="center" wrapText="1"/>
    </xf>
    <xf numFmtId="3" fontId="97" fillId="4" borderId="287" xfId="0" applyNumberFormat="1" applyFont="1" applyFill="1" applyBorder="1" applyAlignment="1">
      <alignment vertical="center" wrapText="1"/>
    </xf>
    <xf numFmtId="3" fontId="97" fillId="4" borderId="283" xfId="0" applyNumberFormat="1" applyFont="1" applyFill="1" applyBorder="1" applyAlignment="1">
      <alignment vertical="center" wrapText="1"/>
    </xf>
    <xf numFmtId="3" fontId="98" fillId="41" borderId="300" xfId="0" applyNumberFormat="1" applyFont="1" applyFill="1" applyBorder="1" applyAlignment="1">
      <alignment vertical="center" wrapText="1"/>
    </xf>
    <xf numFmtId="3" fontId="98" fillId="41" borderId="269" xfId="0" applyNumberFormat="1" applyFont="1" applyFill="1" applyBorder="1" applyAlignment="1">
      <alignment vertical="center" wrapText="1"/>
    </xf>
    <xf numFmtId="3" fontId="97" fillId="6" borderId="287" xfId="0" applyNumberFormat="1" applyFont="1" applyFill="1" applyBorder="1" applyAlignment="1">
      <alignment vertical="center" wrapText="1"/>
    </xf>
    <xf numFmtId="3" fontId="98" fillId="41" borderId="288" xfId="0" applyNumberFormat="1" applyFont="1" applyFill="1" applyBorder="1" applyAlignment="1">
      <alignment horizontal="center" vertical="center" wrapText="1"/>
    </xf>
    <xf numFmtId="3" fontId="98" fillId="41" borderId="269" xfId="0" applyNumberFormat="1" applyFont="1" applyFill="1" applyBorder="1" applyAlignment="1">
      <alignment horizontal="center" vertical="center" wrapText="1"/>
    </xf>
    <xf numFmtId="3" fontId="62" fillId="38" borderId="295" xfId="0" applyNumberFormat="1" applyFont="1" applyFill="1" applyBorder="1" applyAlignment="1">
      <alignment vertical="center" wrapText="1"/>
    </xf>
    <xf numFmtId="0" fontId="8" fillId="0" borderId="269" xfId="0" applyFont="1" applyBorder="1" applyAlignment="1">
      <alignment horizontal="center" vertical="center"/>
    </xf>
    <xf numFmtId="0" fontId="6" fillId="0" borderId="269" xfId="0" applyFont="1" applyBorder="1"/>
    <xf numFmtId="3" fontId="6" fillId="0" borderId="269" xfId="0" applyNumberFormat="1" applyFont="1" applyBorder="1"/>
    <xf numFmtId="3" fontId="8" fillId="0" borderId="269" xfId="0" applyNumberFormat="1" applyFont="1" applyBorder="1"/>
    <xf numFmtId="164" fontId="8" fillId="0" borderId="269" xfId="0" applyNumberFormat="1" applyFont="1" applyBorder="1"/>
    <xf numFmtId="0" fontId="68" fillId="0" borderId="269" xfId="0" applyFont="1" applyBorder="1"/>
    <xf numFmtId="0" fontId="36" fillId="0" borderId="269" xfId="0" applyFont="1" applyBorder="1" applyAlignment="1">
      <alignment horizontal="right"/>
    </xf>
    <xf numFmtId="0" fontId="36" fillId="0" borderId="269" xfId="0" applyFont="1" applyBorder="1" applyAlignment="1">
      <alignment horizontal="center" vertical="center"/>
    </xf>
    <xf numFmtId="0" fontId="8" fillId="0" borderId="269" xfId="0" applyFont="1" applyBorder="1" applyAlignment="1">
      <alignment wrapText="1"/>
    </xf>
    <xf numFmtId="0" fontId="36" fillId="0" borderId="269" xfId="0" applyFont="1" applyBorder="1" applyAlignment="1">
      <alignment horizontal="left" vertical="center"/>
    </xf>
    <xf numFmtId="0" fontId="8" fillId="0" borderId="330" xfId="0" applyFont="1" applyBorder="1" applyAlignment="1">
      <alignment horizontal="center" vertical="center"/>
    </xf>
    <xf numFmtId="0" fontId="20" fillId="0" borderId="272" xfId="0" applyFont="1" applyBorder="1" applyAlignment="1">
      <alignment wrapText="1"/>
    </xf>
    <xf numFmtId="0" fontId="6" fillId="0" borderId="272" xfId="0" applyFont="1" applyBorder="1"/>
    <xf numFmtId="0" fontId="8" fillId="0" borderId="272" xfId="0" applyFont="1" applyBorder="1"/>
    <xf numFmtId="0" fontId="8" fillId="0" borderId="272" xfId="0" applyFont="1" applyFill="1" applyBorder="1"/>
    <xf numFmtId="0" fontId="0" fillId="0" borderId="272" xfId="0" applyFont="1" applyBorder="1"/>
    <xf numFmtId="0" fontId="8" fillId="0" borderId="297" xfId="0" applyFont="1" applyBorder="1" applyAlignment="1">
      <alignment horizontal="center" vertical="center"/>
    </xf>
    <xf numFmtId="0" fontId="8" fillId="0" borderId="305" xfId="0" applyFont="1" applyBorder="1" applyAlignment="1">
      <alignment horizontal="center" vertical="center"/>
    </xf>
    <xf numFmtId="0" fontId="8" fillId="0" borderId="323" xfId="0" applyFont="1" applyBorder="1"/>
    <xf numFmtId="0" fontId="6" fillId="0" borderId="323" xfId="0" applyFont="1" applyBorder="1"/>
    <xf numFmtId="0" fontId="8" fillId="0" borderId="323" xfId="0" applyFont="1" applyFill="1" applyBorder="1"/>
    <xf numFmtId="0" fontId="0" fillId="0" borderId="323" xfId="0" applyFont="1" applyBorder="1"/>
    <xf numFmtId="0" fontId="4" fillId="0" borderId="329" xfId="0" applyFont="1" applyBorder="1" applyAlignment="1">
      <alignment vertical="center"/>
    </xf>
    <xf numFmtId="0" fontId="4" fillId="0" borderId="269" xfId="0" applyFont="1" applyBorder="1" applyAlignment="1">
      <alignment horizontal="center" vertical="center"/>
    </xf>
    <xf numFmtId="0" fontId="16" fillId="2" borderId="269" xfId="4" applyFont="1" applyFill="1" applyBorder="1" applyAlignment="1">
      <alignment horizontal="center" vertical="center"/>
    </xf>
    <xf numFmtId="0" fontId="34" fillId="2" borderId="269" xfId="4" applyFont="1" applyFill="1" applyBorder="1" applyAlignment="1">
      <alignment vertical="center"/>
    </xf>
    <xf numFmtId="0" fontId="26" fillId="33" borderId="323" xfId="6" applyFont="1" applyFill="1" applyBorder="1" applyAlignment="1">
      <alignment horizontal="center" vertical="center"/>
    </xf>
    <xf numFmtId="0" fontId="26" fillId="69" borderId="343" xfId="6" applyFont="1" applyFill="1" applyBorder="1" applyAlignment="1">
      <alignment horizontal="center" vertical="center"/>
    </xf>
    <xf numFmtId="0" fontId="26" fillId="0" borderId="323" xfId="6" applyFont="1" applyBorder="1" applyAlignment="1">
      <alignment horizontal="center" vertical="center"/>
    </xf>
    <xf numFmtId="0" fontId="26" fillId="0" borderId="295" xfId="6" applyFont="1" applyBorder="1" applyAlignment="1">
      <alignment horizontal="center" vertical="center"/>
    </xf>
    <xf numFmtId="0" fontId="26" fillId="0" borderId="326" xfId="6" applyFont="1" applyBorder="1" applyAlignment="1">
      <alignment horizontal="center" vertical="center"/>
    </xf>
    <xf numFmtId="0" fontId="21" fillId="2" borderId="343" xfId="0" applyFont="1" applyFill="1" applyBorder="1" applyAlignment="1">
      <alignment horizontal="center" vertical="center"/>
    </xf>
    <xf numFmtId="0" fontId="21" fillId="2" borderId="337" xfId="0" applyFont="1" applyFill="1" applyBorder="1" applyAlignment="1">
      <alignment horizontal="center" vertical="center"/>
    </xf>
    <xf numFmtId="0" fontId="21" fillId="2" borderId="336" xfId="0" applyFont="1" applyFill="1" applyBorder="1" applyAlignment="1">
      <alignment horizontal="center" vertical="center"/>
    </xf>
    <xf numFmtId="0" fontId="21" fillId="2" borderId="340" xfId="0" quotePrefix="1" applyFont="1" applyFill="1" applyBorder="1" applyAlignment="1">
      <alignment horizontal="center" vertical="center"/>
    </xf>
    <xf numFmtId="0" fontId="21" fillId="2" borderId="344" xfId="0" quotePrefix="1" applyFont="1" applyFill="1" applyBorder="1" applyAlignment="1">
      <alignment horizontal="center" vertical="center"/>
    </xf>
    <xf numFmtId="0" fontId="21" fillId="2" borderId="342" xfId="0" quotePrefix="1" applyFont="1" applyFill="1" applyBorder="1" applyAlignment="1">
      <alignment horizontal="center" vertical="center"/>
    </xf>
    <xf numFmtId="0" fontId="21" fillId="2" borderId="337" xfId="0" quotePrefix="1" applyFont="1" applyFill="1" applyBorder="1" applyAlignment="1">
      <alignment horizontal="center" vertical="center"/>
    </xf>
    <xf numFmtId="0" fontId="75" fillId="21" borderId="270" xfId="0" applyFont="1" applyFill="1" applyBorder="1" applyAlignment="1">
      <alignment horizontal="center" vertical="center" wrapText="1"/>
    </xf>
    <xf numFmtId="0" fontId="72" fillId="21" borderId="270" xfId="0" applyFont="1" applyFill="1" applyBorder="1" applyAlignment="1">
      <alignment horizontal="center" vertical="center" wrapText="1"/>
    </xf>
    <xf numFmtId="43" fontId="72" fillId="21" borderId="330" xfId="1" applyFont="1" applyFill="1" applyBorder="1" applyAlignment="1">
      <alignment horizontal="center" vertical="center" wrapText="1"/>
    </xf>
    <xf numFmtId="43" fontId="21" fillId="21" borderId="274" xfId="1" quotePrefix="1" applyFont="1" applyFill="1" applyBorder="1" applyAlignment="1">
      <alignment horizontal="center" vertical="center"/>
    </xf>
    <xf numFmtId="3" fontId="62" fillId="21" borderId="278" xfId="0" quotePrefix="1" applyNumberFormat="1" applyFont="1" applyFill="1" applyBorder="1" applyAlignment="1">
      <alignment horizontal="right" vertical="center"/>
    </xf>
    <xf numFmtId="3" fontId="62" fillId="21" borderId="279" xfId="0" quotePrefix="1" applyNumberFormat="1" applyFont="1" applyFill="1" applyBorder="1" applyAlignment="1">
      <alignment horizontal="right" vertical="center"/>
    </xf>
    <xf numFmtId="0" fontId="21" fillId="73" borderId="270" xfId="0" applyFont="1" applyFill="1" applyBorder="1" applyAlignment="1">
      <alignment horizontal="center" vertical="center"/>
    </xf>
    <xf numFmtId="0" fontId="93" fillId="73" borderId="279" xfId="0" applyFont="1" applyFill="1" applyBorder="1" applyAlignment="1">
      <alignment horizontal="center" vertical="center"/>
    </xf>
    <xf numFmtId="0" fontId="21" fillId="73" borderId="272" xfId="0" applyFont="1" applyFill="1" applyBorder="1" applyAlignment="1">
      <alignment horizontal="center" vertical="center"/>
    </xf>
    <xf numFmtId="0" fontId="21" fillId="73" borderId="274" xfId="0" quotePrefix="1" applyFont="1" applyFill="1" applyBorder="1" applyAlignment="1">
      <alignment horizontal="center" vertical="center"/>
    </xf>
    <xf numFmtId="0" fontId="21" fillId="73" borderId="278" xfId="0" quotePrefix="1" applyFont="1" applyFill="1" applyBorder="1" applyAlignment="1">
      <alignment horizontal="center" vertical="center"/>
    </xf>
    <xf numFmtId="0" fontId="21" fillId="73" borderId="272" xfId="0" quotePrefix="1" applyFont="1" applyFill="1" applyBorder="1" applyAlignment="1">
      <alignment horizontal="center" vertical="center"/>
    </xf>
    <xf numFmtId="0" fontId="21" fillId="73" borderId="279" xfId="0" quotePrefix="1" applyFont="1" applyFill="1" applyBorder="1" applyAlignment="1">
      <alignment horizontal="center" vertical="center"/>
    </xf>
    <xf numFmtId="0" fontId="4" fillId="73" borderId="269" xfId="0" applyFont="1" applyFill="1" applyBorder="1" applyAlignment="1">
      <alignment vertical="center"/>
    </xf>
    <xf numFmtId="0" fontId="67" fillId="72" borderId="297" xfId="4" applyFont="1" applyFill="1" applyBorder="1" applyAlignment="1">
      <alignment horizontal="center" vertical="center" wrapText="1"/>
    </xf>
    <xf numFmtId="0" fontId="66" fillId="72" borderId="343" xfId="4" applyFont="1" applyFill="1" applyBorder="1" applyAlignment="1">
      <alignment horizontal="left" vertical="center" wrapText="1"/>
    </xf>
    <xf numFmtId="0" fontId="7" fillId="72" borderId="336" xfId="4" applyFont="1" applyFill="1" applyBorder="1" applyAlignment="1">
      <alignment vertical="center"/>
    </xf>
    <xf numFmtId="0" fontId="32" fillId="72" borderId="340" xfId="0" applyFont="1" applyFill="1" applyBorder="1" applyAlignment="1">
      <alignment horizontal="center" vertical="center" wrapText="1"/>
    </xf>
    <xf numFmtId="3" fontId="37" fillId="72" borderId="340" xfId="4" applyNumberFormat="1" applyFont="1" applyFill="1" applyBorder="1" applyAlignment="1">
      <alignment horizontal="right" vertical="center"/>
    </xf>
    <xf numFmtId="3" fontId="37" fillId="72" borderId="342" xfId="4" applyNumberFormat="1" applyFont="1" applyFill="1" applyBorder="1" applyAlignment="1">
      <alignment horizontal="right" vertical="center"/>
    </xf>
    <xf numFmtId="3" fontId="37" fillId="72" borderId="337" xfId="4" applyNumberFormat="1" applyFont="1" applyFill="1" applyBorder="1" applyAlignment="1">
      <alignment horizontal="right" vertical="center"/>
    </xf>
    <xf numFmtId="0" fontId="66" fillId="62" borderId="343" xfId="4" applyFont="1" applyFill="1" applyBorder="1" applyAlignment="1">
      <alignment horizontal="center" vertical="center" wrapText="1"/>
    </xf>
    <xf numFmtId="0" fontId="66" fillId="62" borderId="343" xfId="4" applyFont="1" applyFill="1" applyBorder="1" applyAlignment="1">
      <alignment horizontal="left" vertical="center" wrapText="1"/>
    </xf>
    <xf numFmtId="0" fontId="7" fillId="62" borderId="336" xfId="4" applyFont="1" applyFill="1" applyBorder="1" applyAlignment="1">
      <alignment vertical="center"/>
    </xf>
    <xf numFmtId="0" fontId="32" fillId="62" borderId="340" xfId="0" applyFont="1" applyFill="1" applyBorder="1" applyAlignment="1">
      <alignment horizontal="center" vertical="center" wrapText="1"/>
    </xf>
    <xf numFmtId="3" fontId="37" fillId="62" borderId="340" xfId="4" applyNumberFormat="1" applyFont="1" applyFill="1" applyBorder="1" applyAlignment="1">
      <alignment horizontal="right" vertical="center"/>
    </xf>
    <xf numFmtId="3" fontId="37" fillId="62" borderId="342" xfId="4" applyNumberFormat="1" applyFont="1" applyFill="1" applyBorder="1" applyAlignment="1">
      <alignment horizontal="right" vertical="center"/>
    </xf>
    <xf numFmtId="3" fontId="37" fillId="62" borderId="337" xfId="4" applyNumberFormat="1" applyFont="1" applyFill="1" applyBorder="1" applyAlignment="1">
      <alignment horizontal="right" vertical="center"/>
    </xf>
    <xf numFmtId="0" fontId="66" fillId="33" borderId="289" xfId="4" applyFont="1" applyFill="1" applyBorder="1" applyAlignment="1">
      <alignment horizontal="center" vertical="center" wrapText="1"/>
    </xf>
    <xf numFmtId="0" fontId="22" fillId="33" borderId="289" xfId="4" applyFont="1" applyFill="1" applyBorder="1" applyAlignment="1">
      <alignment horizontal="left" vertical="center" wrapText="1"/>
    </xf>
    <xf numFmtId="3" fontId="7" fillId="33" borderId="269" xfId="4" applyNumberFormat="1" applyFont="1" applyFill="1" applyBorder="1" applyAlignment="1">
      <alignment vertical="center"/>
    </xf>
    <xf numFmtId="0" fontId="32" fillId="33" borderId="303" xfId="0" applyFont="1" applyFill="1" applyBorder="1" applyAlignment="1">
      <alignment horizontal="center" vertical="center" wrapText="1"/>
    </xf>
    <xf numFmtId="3" fontId="37" fillId="33" borderId="303" xfId="4" applyNumberFormat="1" applyFont="1" applyFill="1" applyBorder="1" applyAlignment="1">
      <alignment horizontal="right" vertical="center"/>
    </xf>
    <xf numFmtId="3" fontId="37" fillId="33" borderId="290" xfId="4" applyNumberFormat="1" applyFont="1" applyFill="1" applyBorder="1" applyAlignment="1">
      <alignment horizontal="right" vertical="center"/>
    </xf>
    <xf numFmtId="3" fontId="37" fillId="33" borderId="325" xfId="4" applyNumberFormat="1" applyFont="1" applyFill="1" applyBorder="1" applyAlignment="1">
      <alignment horizontal="right" vertical="center"/>
    </xf>
    <xf numFmtId="0" fontId="4" fillId="33" borderId="269" xfId="0" applyFont="1" applyFill="1" applyBorder="1" applyAlignment="1">
      <alignment vertical="center"/>
    </xf>
    <xf numFmtId="0" fontId="67" fillId="62" borderId="332" xfId="4" applyFont="1" applyFill="1" applyBorder="1" applyAlignment="1">
      <alignment horizontal="center" vertical="center" wrapText="1"/>
    </xf>
    <xf numFmtId="0" fontId="74" fillId="62" borderId="328" xfId="4" applyFont="1" applyFill="1" applyBorder="1" applyAlignment="1">
      <alignment horizontal="left" vertical="center" wrapText="1"/>
    </xf>
    <xf numFmtId="0" fontId="28" fillId="71" borderId="284" xfId="4" applyFont="1" applyFill="1" applyBorder="1" applyAlignment="1">
      <alignment vertical="center"/>
    </xf>
    <xf numFmtId="0" fontId="32" fillId="71" borderId="283" xfId="0" applyFont="1" applyFill="1" applyBorder="1" applyAlignment="1">
      <alignment horizontal="center" vertical="center" wrapText="1"/>
    </xf>
    <xf numFmtId="3" fontId="37" fillId="71" borderId="283" xfId="4" applyNumberFormat="1" applyFont="1" applyFill="1" applyBorder="1" applyAlignment="1">
      <alignment horizontal="right" vertical="center"/>
    </xf>
    <xf numFmtId="3" fontId="37" fillId="71" borderId="269" xfId="4" applyNumberFormat="1" applyFont="1" applyFill="1" applyBorder="1" applyAlignment="1">
      <alignment horizontal="right" vertical="center"/>
    </xf>
    <xf numFmtId="0" fontId="7" fillId="33" borderId="269" xfId="4" applyFont="1" applyFill="1" applyBorder="1" applyAlignment="1">
      <alignment vertical="center"/>
    </xf>
    <xf numFmtId="3" fontId="37" fillId="33" borderId="319" xfId="4" applyNumberFormat="1" applyFont="1" applyFill="1" applyBorder="1" applyAlignment="1">
      <alignment horizontal="right" vertical="center"/>
    </xf>
    <xf numFmtId="0" fontId="24" fillId="0" borderId="316" xfId="4" applyFont="1" applyFill="1" applyBorder="1" applyAlignment="1">
      <alignment vertical="center" wrapText="1"/>
    </xf>
    <xf numFmtId="0" fontId="24" fillId="0" borderId="334" xfId="4" applyFont="1" applyFill="1" applyBorder="1" applyAlignment="1">
      <alignment horizontal="center" vertical="center" wrapText="1"/>
    </xf>
    <xf numFmtId="165" fontId="65" fillId="0" borderId="309" xfId="0" applyNumberFormat="1" applyFont="1" applyFill="1" applyBorder="1" applyAlignment="1">
      <alignment horizontal="center" vertical="center" wrapText="1"/>
    </xf>
    <xf numFmtId="3" fontId="7" fillId="0" borderId="309" xfId="4" applyNumberFormat="1" applyFont="1" applyFill="1" applyBorder="1" applyAlignment="1">
      <alignment horizontal="right" vertical="center"/>
    </xf>
    <xf numFmtId="3" fontId="24" fillId="0" borderId="309" xfId="4" applyNumberFormat="1" applyFont="1" applyFill="1" applyBorder="1" applyAlignment="1">
      <alignment horizontal="right" vertical="center"/>
    </xf>
    <xf numFmtId="3" fontId="24" fillId="0" borderId="275" xfId="4" applyNumberFormat="1" applyFont="1" applyFill="1" applyBorder="1" applyAlignment="1">
      <alignment horizontal="right" vertical="center"/>
    </xf>
    <xf numFmtId="3" fontId="24" fillId="0" borderId="316" xfId="4" applyNumberFormat="1" applyFont="1" applyFill="1" applyBorder="1" applyAlignment="1">
      <alignment horizontal="right" vertical="center"/>
    </xf>
    <xf numFmtId="3" fontId="24" fillId="0" borderId="279" xfId="4" applyNumberFormat="1" applyFont="1" applyFill="1" applyBorder="1" applyAlignment="1">
      <alignment horizontal="right" vertical="center"/>
    </xf>
    <xf numFmtId="0" fontId="25" fillId="57" borderId="300" xfId="4" applyFont="1" applyFill="1" applyBorder="1" applyAlignment="1">
      <alignment horizontal="left" vertical="center"/>
    </xf>
    <xf numFmtId="0" fontId="25" fillId="57" borderId="282" xfId="4" applyFont="1" applyFill="1" applyBorder="1" applyAlignment="1">
      <alignment horizontal="left" vertical="center"/>
    </xf>
    <xf numFmtId="0" fontId="25" fillId="57" borderId="283" xfId="4" applyFont="1" applyFill="1" applyBorder="1" applyAlignment="1">
      <alignment horizontal="left" vertical="center"/>
    </xf>
    <xf numFmtId="3" fontId="25" fillId="57" borderId="283" xfId="4" applyNumberFormat="1" applyFont="1" applyFill="1" applyBorder="1" applyAlignment="1">
      <alignment horizontal="right" vertical="center"/>
    </xf>
    <xf numFmtId="3" fontId="25" fillId="57" borderId="284" xfId="4" applyNumberFormat="1" applyFont="1" applyFill="1" applyBorder="1" applyAlignment="1">
      <alignment horizontal="right" vertical="center"/>
    </xf>
    <xf numFmtId="3" fontId="25" fillId="57" borderId="285" xfId="4" applyNumberFormat="1" applyFont="1" applyFill="1" applyBorder="1" applyAlignment="1">
      <alignment horizontal="right" vertical="center"/>
    </xf>
    <xf numFmtId="3" fontId="25" fillId="57" borderId="325" xfId="4" applyNumberFormat="1" applyFont="1" applyFill="1" applyBorder="1" applyAlignment="1">
      <alignment horizontal="right" vertical="center"/>
    </xf>
    <xf numFmtId="3" fontId="27" fillId="2" borderId="288" xfId="4" applyNumberFormat="1" applyFont="1" applyFill="1" applyBorder="1" applyAlignment="1">
      <alignment vertical="center" wrapText="1"/>
    </xf>
    <xf numFmtId="3" fontId="25" fillId="2" borderId="287" xfId="4" applyNumberFormat="1" applyFont="1" applyFill="1" applyBorder="1" applyAlignment="1">
      <alignment horizontal="center" vertical="center" wrapText="1"/>
    </xf>
    <xf numFmtId="3" fontId="27" fillId="2" borderId="304" xfId="4" applyNumberFormat="1" applyFont="1" applyFill="1" applyBorder="1" applyAlignment="1">
      <alignment horizontal="right" vertical="center"/>
    </xf>
    <xf numFmtId="3" fontId="27" fillId="2" borderId="325" xfId="4" applyNumberFormat="1" applyFont="1" applyFill="1" applyBorder="1" applyAlignment="1">
      <alignment horizontal="right" vertical="center"/>
    </xf>
    <xf numFmtId="0" fontId="21" fillId="0" borderId="317" xfId="4" applyFont="1" applyFill="1" applyBorder="1" applyAlignment="1">
      <alignment vertical="center"/>
    </xf>
    <xf numFmtId="0" fontId="7" fillId="0" borderId="331" xfId="4" applyFont="1" applyFill="1" applyBorder="1" applyAlignment="1">
      <alignment vertical="center"/>
    </xf>
    <xf numFmtId="0" fontId="32" fillId="0" borderId="295" xfId="0" applyFont="1" applyBorder="1" applyAlignment="1">
      <alignment horizontal="center" vertical="center" wrapText="1"/>
    </xf>
    <xf numFmtId="3" fontId="21" fillId="2" borderId="295" xfId="4" applyNumberFormat="1" applyFont="1" applyFill="1" applyBorder="1" applyAlignment="1">
      <alignment horizontal="right" vertical="center"/>
    </xf>
    <xf numFmtId="3" fontId="21" fillId="0" borderId="294" xfId="4" applyNumberFormat="1" applyFont="1" applyFill="1" applyBorder="1" applyAlignment="1">
      <alignment horizontal="right" vertical="center"/>
    </xf>
    <xf numFmtId="3" fontId="21" fillId="0" borderId="317" xfId="4" applyNumberFormat="1" applyFont="1" applyFill="1" applyBorder="1" applyAlignment="1">
      <alignment horizontal="right" vertical="center"/>
    </xf>
    <xf numFmtId="3" fontId="21" fillId="0" borderId="325" xfId="4" applyNumberFormat="1" applyFont="1" applyFill="1" applyBorder="1" applyAlignment="1">
      <alignment horizontal="right" vertical="center"/>
    </xf>
    <xf numFmtId="0" fontId="25" fillId="59" borderId="296" xfId="4" applyFont="1" applyFill="1" applyBorder="1" applyAlignment="1">
      <alignment horizontal="left" vertical="center"/>
    </xf>
    <xf numFmtId="0" fontId="25" fillId="59" borderId="323" xfId="4" applyFont="1" applyFill="1" applyBorder="1" applyAlignment="1">
      <alignment horizontal="left" vertical="center"/>
    </xf>
    <xf numFmtId="0" fontId="25" fillId="59" borderId="295" xfId="4" applyFont="1" applyFill="1" applyBorder="1" applyAlignment="1">
      <alignment horizontal="left" vertical="center"/>
    </xf>
    <xf numFmtId="3" fontId="25" fillId="59" borderId="295" xfId="4" applyNumberFormat="1" applyFont="1" applyFill="1" applyBorder="1" applyAlignment="1">
      <alignment horizontal="right" vertical="center"/>
    </xf>
    <xf numFmtId="3" fontId="25" fillId="59" borderId="293" xfId="4" applyNumberFormat="1" applyFont="1" applyFill="1" applyBorder="1" applyAlignment="1">
      <alignment horizontal="right" vertical="center"/>
    </xf>
    <xf numFmtId="3" fontId="25" fillId="59" borderId="326" xfId="4" applyNumberFormat="1" applyFont="1" applyFill="1" applyBorder="1" applyAlignment="1">
      <alignment horizontal="right" vertical="center"/>
    </xf>
    <xf numFmtId="3" fontId="7" fillId="0" borderId="331" xfId="4" applyNumberFormat="1" applyFont="1" applyFill="1" applyBorder="1" applyAlignment="1">
      <alignment vertical="center"/>
    </xf>
    <xf numFmtId="0" fontId="26" fillId="0" borderId="296" xfId="6" applyFont="1" applyBorder="1" applyAlignment="1">
      <alignment horizontal="center" vertical="center"/>
    </xf>
    <xf numFmtId="3" fontId="27" fillId="2" borderId="288" xfId="4" applyNumberFormat="1" applyFont="1" applyFill="1" applyBorder="1" applyAlignment="1">
      <alignment vertical="center"/>
    </xf>
    <xf numFmtId="0" fontId="24" fillId="64" borderId="316" xfId="4" applyFont="1" applyFill="1" applyBorder="1" applyAlignment="1">
      <alignment vertical="center" wrapText="1"/>
    </xf>
    <xf numFmtId="0" fontId="24" fillId="63" borderId="316" xfId="4" applyFont="1" applyFill="1" applyBorder="1" applyAlignment="1">
      <alignment vertical="center" wrapText="1"/>
    </xf>
    <xf numFmtId="0" fontId="25" fillId="59" borderId="342" xfId="4" applyFont="1" applyFill="1" applyBorder="1" applyAlignment="1">
      <alignment horizontal="left" vertical="center"/>
    </xf>
    <xf numFmtId="0" fontId="25" fillId="59" borderId="336" xfId="4" applyFont="1" applyFill="1" applyBorder="1" applyAlignment="1">
      <alignment horizontal="left" vertical="center"/>
    </xf>
    <xf numFmtId="0" fontId="25" fillId="59" borderId="340" xfId="4" applyFont="1" applyFill="1" applyBorder="1" applyAlignment="1">
      <alignment horizontal="left" vertical="center"/>
    </xf>
    <xf numFmtId="0" fontId="24" fillId="33" borderId="345" xfId="4" applyFont="1" applyFill="1" applyBorder="1" applyAlignment="1">
      <alignment vertical="center" wrapText="1"/>
    </xf>
    <xf numFmtId="0" fontId="24" fillId="0" borderId="346" xfId="4" applyFont="1" applyFill="1" applyBorder="1" applyAlignment="1">
      <alignment horizontal="center" vertical="center" wrapText="1"/>
    </xf>
    <xf numFmtId="165" fontId="65" fillId="0" borderId="345" xfId="0" applyNumberFormat="1" applyFont="1" applyFill="1" applyBorder="1" applyAlignment="1">
      <alignment horizontal="center" vertical="center" wrapText="1"/>
    </xf>
    <xf numFmtId="3" fontId="7" fillId="0" borderId="347" xfId="4" applyNumberFormat="1" applyFont="1" applyFill="1" applyBorder="1" applyAlignment="1">
      <alignment horizontal="right" vertical="center"/>
    </xf>
    <xf numFmtId="3" fontId="24" fillId="0" borderId="347" xfId="4" applyNumberFormat="1" applyFont="1" applyFill="1" applyBorder="1" applyAlignment="1">
      <alignment horizontal="right" vertical="center"/>
    </xf>
    <xf numFmtId="3" fontId="24" fillId="0" borderId="348" xfId="4" applyNumberFormat="1" applyFont="1" applyFill="1" applyBorder="1" applyAlignment="1">
      <alignment horizontal="right" vertical="center"/>
    </xf>
    <xf numFmtId="3" fontId="24" fillId="0" borderId="349" xfId="4" applyNumberFormat="1" applyFont="1" applyFill="1" applyBorder="1" applyAlignment="1">
      <alignment horizontal="right" vertical="center"/>
    </xf>
    <xf numFmtId="0" fontId="25" fillId="57" borderId="311" xfId="4" applyFont="1" applyFill="1" applyBorder="1" applyAlignment="1">
      <alignment horizontal="center" vertical="center"/>
    </xf>
    <xf numFmtId="0" fontId="25" fillId="57" borderId="287" xfId="4" applyFont="1" applyFill="1" applyBorder="1" applyAlignment="1">
      <alignment horizontal="left" vertical="center"/>
    </xf>
    <xf numFmtId="3" fontId="27" fillId="2" borderId="287" xfId="4" applyNumberFormat="1" applyFont="1" applyFill="1" applyBorder="1" applyAlignment="1">
      <alignment vertical="center" wrapText="1"/>
    </xf>
    <xf numFmtId="3" fontId="27" fillId="2" borderId="311" xfId="4" applyNumberFormat="1" applyFont="1" applyFill="1" applyBorder="1" applyAlignment="1">
      <alignment horizontal="center" vertical="center" wrapText="1"/>
    </xf>
    <xf numFmtId="3" fontId="27" fillId="2" borderId="313" xfId="4" applyNumberFormat="1" applyFont="1" applyFill="1" applyBorder="1" applyAlignment="1">
      <alignment horizontal="right" vertical="center"/>
    </xf>
    <xf numFmtId="3" fontId="27" fillId="2" borderId="338" xfId="4" applyNumberFormat="1" applyFont="1" applyFill="1" applyBorder="1" applyAlignment="1">
      <alignment horizontal="right" vertical="center"/>
    </xf>
    <xf numFmtId="0" fontId="21" fillId="0" borderId="301" xfId="4" applyFont="1" applyFill="1" applyBorder="1" applyAlignment="1">
      <alignment vertical="center"/>
    </xf>
    <xf numFmtId="0" fontId="7" fillId="0" borderId="329" xfId="4" applyFont="1" applyFill="1" applyBorder="1" applyAlignment="1">
      <alignment horizontal="center" vertical="center"/>
    </xf>
    <xf numFmtId="3" fontId="21" fillId="2" borderId="294" xfId="4" applyNumberFormat="1" applyFont="1" applyFill="1" applyBorder="1" applyAlignment="1">
      <alignment horizontal="right" vertical="center"/>
    </xf>
    <xf numFmtId="3" fontId="21" fillId="0" borderId="326" xfId="4" applyNumberFormat="1" applyFont="1" applyFill="1" applyBorder="1" applyAlignment="1">
      <alignment horizontal="right" vertical="center"/>
    </xf>
    <xf numFmtId="0" fontId="25" fillId="59" borderId="337" xfId="4" applyFont="1" applyFill="1" applyBorder="1" applyAlignment="1">
      <alignment horizontal="left" vertical="center"/>
    </xf>
    <xf numFmtId="0" fontId="25" fillId="59" borderId="293" xfId="4" applyFont="1" applyFill="1" applyBorder="1" applyAlignment="1">
      <alignment horizontal="left" vertical="center"/>
    </xf>
    <xf numFmtId="0" fontId="24" fillId="0" borderId="300" xfId="4" applyFont="1" applyFill="1" applyBorder="1" applyAlignment="1">
      <alignment vertical="center" wrapText="1"/>
    </xf>
    <xf numFmtId="0" fontId="24" fillId="0" borderId="281" xfId="4" applyFont="1" applyFill="1" applyBorder="1" applyAlignment="1">
      <alignment horizontal="center" vertical="center" wrapText="1"/>
    </xf>
    <xf numFmtId="0" fontId="24" fillId="57" borderId="300" xfId="4" applyFont="1" applyFill="1" applyBorder="1" applyAlignment="1">
      <alignment horizontal="left" vertical="center"/>
    </xf>
    <xf numFmtId="3" fontId="29" fillId="2" borderId="288" xfId="4" applyNumberFormat="1" applyFont="1" applyFill="1" applyBorder="1" applyAlignment="1">
      <alignment vertical="center" wrapText="1"/>
    </xf>
    <xf numFmtId="0" fontId="18" fillId="0" borderId="317" xfId="4" applyFont="1" applyFill="1" applyBorder="1" applyAlignment="1">
      <alignment vertical="center"/>
    </xf>
    <xf numFmtId="0" fontId="24" fillId="59" borderId="296" xfId="4" applyFont="1" applyFill="1" applyBorder="1" applyAlignment="1">
      <alignment horizontal="left" vertical="center"/>
    </xf>
    <xf numFmtId="0" fontId="24" fillId="33" borderId="349" xfId="4" applyFont="1" applyFill="1" applyBorder="1" applyAlignment="1">
      <alignment vertical="center" wrapText="1"/>
    </xf>
    <xf numFmtId="3" fontId="7" fillId="0" borderId="345" xfId="4" applyNumberFormat="1" applyFont="1" applyFill="1" applyBorder="1" applyAlignment="1">
      <alignment horizontal="right" vertical="center"/>
    </xf>
    <xf numFmtId="3" fontId="24" fillId="0" borderId="345" xfId="4" applyNumberFormat="1" applyFont="1" applyFill="1" applyBorder="1" applyAlignment="1">
      <alignment horizontal="right" vertical="center"/>
    </xf>
    <xf numFmtId="3" fontId="24" fillId="0" borderId="350" xfId="4" applyNumberFormat="1" applyFont="1" applyFill="1" applyBorder="1" applyAlignment="1">
      <alignment horizontal="right" vertical="center"/>
    </xf>
    <xf numFmtId="3" fontId="24" fillId="0" borderId="351" xfId="4" applyNumberFormat="1" applyFont="1" applyFill="1" applyBorder="1" applyAlignment="1">
      <alignment horizontal="right" vertical="center"/>
    </xf>
    <xf numFmtId="3" fontId="24" fillId="0" borderId="325" xfId="4" applyNumberFormat="1" applyFont="1" applyFill="1" applyBorder="1" applyAlignment="1">
      <alignment horizontal="right" vertical="center"/>
    </xf>
    <xf numFmtId="3" fontId="27" fillId="2" borderId="329" xfId="4" applyNumberFormat="1" applyFont="1" applyFill="1" applyBorder="1" applyAlignment="1">
      <alignment vertical="center" wrapText="1"/>
    </xf>
    <xf numFmtId="0" fontId="22" fillId="0" borderId="294" xfId="0" applyFont="1" applyBorder="1" applyAlignment="1">
      <alignment vertical="center"/>
    </xf>
    <xf numFmtId="3" fontId="25" fillId="59" borderId="325" xfId="4" applyNumberFormat="1" applyFont="1" applyFill="1" applyBorder="1" applyAlignment="1">
      <alignment horizontal="right" vertical="center"/>
    </xf>
    <xf numFmtId="0" fontId="24" fillId="33" borderId="316" xfId="4" applyFont="1" applyFill="1" applyBorder="1" applyAlignment="1">
      <alignment vertical="center" wrapText="1"/>
    </xf>
    <xf numFmtId="0" fontId="24" fillId="33" borderId="352" xfId="4" applyFont="1" applyFill="1" applyBorder="1" applyAlignment="1">
      <alignment vertical="center" wrapText="1"/>
    </xf>
    <xf numFmtId="0" fontId="24" fillId="0" borderId="353" xfId="4" applyFont="1" applyFill="1" applyBorder="1" applyAlignment="1">
      <alignment horizontal="center" vertical="center" wrapText="1"/>
    </xf>
    <xf numFmtId="0" fontId="25" fillId="57" borderId="285" xfId="4" applyFont="1" applyFill="1" applyBorder="1" applyAlignment="1">
      <alignment horizontal="left" vertical="center"/>
    </xf>
    <xf numFmtId="0" fontId="21" fillId="0" borderId="339" xfId="4" applyFont="1" applyFill="1" applyBorder="1" applyAlignment="1">
      <alignment vertical="center"/>
    </xf>
    <xf numFmtId="0" fontId="24" fillId="33" borderId="318" xfId="4" applyFont="1" applyFill="1" applyBorder="1" applyAlignment="1">
      <alignment horizontal="center" vertical="center"/>
    </xf>
    <xf numFmtId="0" fontId="24" fillId="63" borderId="352" xfId="4" applyFont="1" applyFill="1" applyBorder="1" applyAlignment="1">
      <alignment vertical="center" wrapText="1"/>
    </xf>
    <xf numFmtId="0" fontId="24" fillId="57" borderId="285" xfId="4" applyFont="1" applyFill="1" applyBorder="1" applyAlignment="1">
      <alignment horizontal="left" vertical="center"/>
    </xf>
    <xf numFmtId="3" fontId="24" fillId="57" borderId="283" xfId="4" applyNumberFormat="1" applyFont="1" applyFill="1" applyBorder="1" applyAlignment="1">
      <alignment horizontal="right" vertical="center"/>
    </xf>
    <xf numFmtId="3" fontId="24" fillId="57" borderId="284" xfId="4" applyNumberFormat="1" applyFont="1" applyFill="1" applyBorder="1" applyAlignment="1">
      <alignment horizontal="right" vertical="center"/>
    </xf>
    <xf numFmtId="3" fontId="29" fillId="2" borderId="304" xfId="4" applyNumberFormat="1" applyFont="1" applyFill="1" applyBorder="1" applyAlignment="1">
      <alignment horizontal="right" vertical="center"/>
    </xf>
    <xf numFmtId="0" fontId="18" fillId="0" borderId="339" xfId="4" applyFont="1" applyFill="1" applyBorder="1" applyAlignment="1">
      <alignment vertical="center"/>
    </xf>
    <xf numFmtId="3" fontId="18" fillId="2" borderId="295" xfId="4" applyNumberFormat="1" applyFont="1" applyFill="1" applyBorder="1" applyAlignment="1">
      <alignment horizontal="right" vertical="center"/>
    </xf>
    <xf numFmtId="3" fontId="18" fillId="0" borderId="294" xfId="4" applyNumberFormat="1" applyFont="1" applyFill="1" applyBorder="1" applyAlignment="1">
      <alignment horizontal="right" vertical="center"/>
    </xf>
    <xf numFmtId="3" fontId="24" fillId="59" borderId="295" xfId="4" applyNumberFormat="1" applyFont="1" applyFill="1" applyBorder="1" applyAlignment="1">
      <alignment horizontal="right" vertical="center"/>
    </xf>
    <xf numFmtId="3" fontId="24" fillId="59" borderId="293" xfId="4" applyNumberFormat="1" applyFont="1" applyFill="1" applyBorder="1" applyAlignment="1">
      <alignment horizontal="right" vertical="center"/>
    </xf>
    <xf numFmtId="0" fontId="21" fillId="0" borderId="338" xfId="4" applyFont="1" applyFill="1" applyBorder="1" applyAlignment="1">
      <alignment vertical="center"/>
    </xf>
    <xf numFmtId="0" fontId="32" fillId="0" borderId="303" xfId="0" applyFont="1" applyBorder="1" applyAlignment="1">
      <alignment horizontal="center" vertical="center" wrapText="1"/>
    </xf>
    <xf numFmtId="3" fontId="21" fillId="2" borderId="303" xfId="4" applyNumberFormat="1" applyFont="1" applyFill="1" applyBorder="1" applyAlignment="1">
      <alignment horizontal="right" vertical="center"/>
    </xf>
    <xf numFmtId="3" fontId="21" fillId="0" borderId="301" xfId="4" applyNumberFormat="1" applyFont="1" applyFill="1" applyBorder="1" applyAlignment="1">
      <alignment horizontal="right" vertical="center"/>
    </xf>
    <xf numFmtId="3" fontId="21" fillId="0" borderId="302" xfId="4" applyNumberFormat="1" applyFont="1" applyFill="1" applyBorder="1" applyAlignment="1">
      <alignment horizontal="right" vertical="center"/>
    </xf>
    <xf numFmtId="0" fontId="24" fillId="33" borderId="297" xfId="4" applyFont="1" applyFill="1" applyBorder="1" applyAlignment="1">
      <alignment horizontal="center" vertical="center"/>
    </xf>
    <xf numFmtId="0" fontId="24" fillId="59" borderId="343" xfId="4" applyFont="1" applyFill="1" applyBorder="1" applyAlignment="1">
      <alignment horizontal="left" vertical="center"/>
    </xf>
    <xf numFmtId="3" fontId="24" fillId="59" borderId="340" xfId="4" applyNumberFormat="1" applyFont="1" applyFill="1" applyBorder="1" applyAlignment="1">
      <alignment horizontal="right" vertical="center"/>
    </xf>
    <xf numFmtId="3" fontId="24" fillId="59" borderId="341" xfId="4" applyNumberFormat="1" applyFont="1" applyFill="1" applyBorder="1" applyAlignment="1">
      <alignment horizontal="right" vertical="center"/>
    </xf>
    <xf numFmtId="3" fontId="25" fillId="59" borderId="341" xfId="4" applyNumberFormat="1" applyFont="1" applyFill="1" applyBorder="1" applyAlignment="1">
      <alignment horizontal="right" vertical="center"/>
    </xf>
    <xf numFmtId="3" fontId="25" fillId="59" borderId="337" xfId="4" applyNumberFormat="1" applyFont="1" applyFill="1" applyBorder="1" applyAlignment="1">
      <alignment horizontal="right" vertical="center"/>
    </xf>
    <xf numFmtId="0" fontId="24" fillId="33" borderId="334" xfId="4" applyFont="1" applyFill="1" applyBorder="1" applyAlignment="1">
      <alignment horizontal="center" vertical="center" wrapText="1"/>
    </xf>
    <xf numFmtId="0" fontId="24" fillId="33" borderId="353" xfId="4" applyFont="1" applyFill="1" applyBorder="1" applyAlignment="1">
      <alignment horizontal="center" vertical="center" wrapText="1"/>
    </xf>
    <xf numFmtId="165" fontId="65" fillId="80" borderId="345" xfId="0" applyNumberFormat="1" applyFont="1" applyFill="1" applyBorder="1" applyAlignment="1">
      <alignment horizontal="center" vertical="center" wrapText="1"/>
    </xf>
    <xf numFmtId="0" fontId="24" fillId="33" borderId="290" xfId="4" applyFont="1" applyFill="1" applyBorder="1" applyAlignment="1">
      <alignment horizontal="left" vertical="center"/>
    </xf>
    <xf numFmtId="0" fontId="25" fillId="33" borderId="269" xfId="4" applyFont="1" applyFill="1" applyBorder="1" applyAlignment="1">
      <alignment horizontal="left" vertical="center"/>
    </xf>
    <xf numFmtId="0" fontId="25" fillId="33" borderId="303" xfId="4" applyFont="1" applyFill="1" applyBorder="1" applyAlignment="1">
      <alignment horizontal="left" vertical="center"/>
    </xf>
    <xf numFmtId="3" fontId="24" fillId="33" borderId="303" xfId="4" applyNumberFormat="1" applyFont="1" applyFill="1" applyBorder="1" applyAlignment="1">
      <alignment horizontal="right" vertical="center"/>
    </xf>
    <xf numFmtId="3" fontId="24" fillId="33" borderId="304" xfId="4" applyNumberFormat="1" applyFont="1" applyFill="1" applyBorder="1" applyAlignment="1">
      <alignment horizontal="right" vertical="center"/>
    </xf>
    <xf numFmtId="3" fontId="24" fillId="33" borderId="269" xfId="4" applyNumberFormat="1" applyFont="1" applyFill="1" applyBorder="1" applyAlignment="1">
      <alignment horizontal="right" vertical="center"/>
    </xf>
    <xf numFmtId="3" fontId="25" fillId="33" borderId="269" xfId="4" applyNumberFormat="1" applyFont="1" applyFill="1" applyBorder="1" applyAlignment="1">
      <alignment horizontal="right" vertical="center"/>
    </xf>
    <xf numFmtId="3" fontId="25" fillId="33" borderId="325" xfId="4" applyNumberFormat="1" applyFont="1" applyFill="1" applyBorder="1" applyAlignment="1">
      <alignment horizontal="right" vertical="center"/>
    </xf>
    <xf numFmtId="0" fontId="24" fillId="63" borderId="318" xfId="4" applyFont="1" applyFill="1" applyBorder="1" applyAlignment="1">
      <alignment horizontal="center" vertical="center"/>
    </xf>
    <xf numFmtId="0" fontId="66" fillId="63" borderId="290" xfId="4" applyFont="1" applyFill="1" applyBorder="1" applyAlignment="1">
      <alignment horizontal="left" vertical="center" wrapText="1"/>
    </xf>
    <xf numFmtId="0" fontId="25" fillId="63" borderId="269" xfId="4" applyFont="1" applyFill="1" applyBorder="1" applyAlignment="1">
      <alignment horizontal="left" vertical="center"/>
    </xf>
    <xf numFmtId="0" fontId="25" fillId="63" borderId="303" xfId="4" applyFont="1" applyFill="1" applyBorder="1" applyAlignment="1">
      <alignment horizontal="left" vertical="center"/>
    </xf>
    <xf numFmtId="3" fontId="25" fillId="63" borderId="303" xfId="4" applyNumberFormat="1" applyFont="1" applyFill="1" applyBorder="1" applyAlignment="1">
      <alignment horizontal="right" vertical="center"/>
    </xf>
    <xf numFmtId="3" fontId="25" fillId="63" borderId="304" xfId="4" applyNumberFormat="1" applyFont="1" applyFill="1" applyBorder="1" applyAlignment="1">
      <alignment horizontal="right" vertical="center"/>
    </xf>
    <xf numFmtId="3" fontId="25" fillId="63" borderId="327" xfId="4" applyNumberFormat="1" applyFont="1" applyFill="1" applyBorder="1" applyAlignment="1">
      <alignment horizontal="right" vertical="center"/>
    </xf>
    <xf numFmtId="3" fontId="25" fillId="63" borderId="295" xfId="4" applyNumberFormat="1" applyFont="1" applyFill="1" applyBorder="1" applyAlignment="1">
      <alignment horizontal="right" vertical="center"/>
    </xf>
    <xf numFmtId="3" fontId="25" fillId="63" borderId="269" xfId="4" applyNumberFormat="1" applyFont="1" applyFill="1" applyBorder="1" applyAlignment="1">
      <alignment horizontal="right" vertical="center"/>
    </xf>
    <xf numFmtId="3" fontId="25" fillId="63" borderId="325" xfId="4" applyNumberFormat="1" applyFont="1" applyFill="1" applyBorder="1" applyAlignment="1">
      <alignment horizontal="right" vertical="center"/>
    </xf>
    <xf numFmtId="0" fontId="24" fillId="75" borderId="316" xfId="4" applyFont="1" applyFill="1" applyBorder="1" applyAlignment="1">
      <alignment vertical="center" wrapText="1"/>
    </xf>
    <xf numFmtId="3" fontId="24" fillId="0" borderId="273" xfId="4" applyNumberFormat="1" applyFont="1" applyFill="1" applyBorder="1" applyAlignment="1">
      <alignment horizontal="right" vertical="center"/>
    </xf>
    <xf numFmtId="3" fontId="24" fillId="0" borderId="310" xfId="4" applyNumberFormat="1" applyFont="1" applyFill="1" applyBorder="1" applyAlignment="1">
      <alignment horizontal="right" vertical="center"/>
    </xf>
    <xf numFmtId="3" fontId="25" fillId="57" borderId="269" xfId="4" applyNumberFormat="1" applyFont="1" applyFill="1" applyBorder="1" applyAlignment="1">
      <alignment horizontal="right" vertical="center"/>
    </xf>
    <xf numFmtId="3" fontId="27" fillId="2" borderId="269" xfId="4" applyNumberFormat="1" applyFont="1" applyFill="1" applyBorder="1" applyAlignment="1">
      <alignment horizontal="right" vertical="center"/>
    </xf>
    <xf numFmtId="3" fontId="21" fillId="0" borderId="319" xfId="4" applyNumberFormat="1" applyFont="1" applyFill="1" applyBorder="1" applyAlignment="1">
      <alignment horizontal="right" vertical="center"/>
    </xf>
    <xf numFmtId="3" fontId="21" fillId="0" borderId="290" xfId="4" applyNumberFormat="1" applyFont="1" applyFill="1" applyBorder="1" applyAlignment="1">
      <alignment horizontal="right" vertical="center"/>
    </xf>
    <xf numFmtId="3" fontId="25" fillId="59" borderId="323" xfId="4" applyNumberFormat="1" applyFont="1" applyFill="1" applyBorder="1" applyAlignment="1">
      <alignment horizontal="right" vertical="center"/>
    </xf>
    <xf numFmtId="165" fontId="65" fillId="75" borderId="309" xfId="0" applyNumberFormat="1" applyFont="1" applyFill="1" applyBorder="1" applyAlignment="1">
      <alignment horizontal="center" vertical="center" wrapText="1"/>
    </xf>
    <xf numFmtId="0" fontId="66" fillId="63" borderId="290" xfId="4" applyFont="1" applyFill="1" applyBorder="1" applyAlignment="1">
      <alignment horizontal="left" vertical="center"/>
    </xf>
    <xf numFmtId="0" fontId="25" fillId="75" borderId="316" xfId="4" applyFont="1" applyFill="1" applyBorder="1" applyAlignment="1">
      <alignment vertical="center" wrapText="1"/>
    </xf>
    <xf numFmtId="0" fontId="24" fillId="64" borderId="354" xfId="4" applyFont="1" applyFill="1" applyBorder="1" applyAlignment="1">
      <alignment horizontal="center" vertical="center"/>
    </xf>
    <xf numFmtId="0" fontId="27" fillId="64" borderId="342" xfId="4" applyFont="1" applyFill="1" applyBorder="1" applyAlignment="1">
      <alignment horizontal="center" vertical="center"/>
    </xf>
    <xf numFmtId="0" fontId="25" fillId="64" borderId="336" xfId="4" applyFont="1" applyFill="1" applyBorder="1" applyAlignment="1">
      <alignment horizontal="left" vertical="center"/>
    </xf>
    <xf numFmtId="0" fontId="25" fillId="64" borderId="340" xfId="4" applyFont="1" applyFill="1" applyBorder="1" applyAlignment="1">
      <alignment horizontal="left" vertical="center"/>
    </xf>
    <xf numFmtId="3" fontId="25" fillId="64" borderId="340" xfId="4" applyNumberFormat="1" applyFont="1" applyFill="1" applyBorder="1" applyAlignment="1">
      <alignment horizontal="right" vertical="center"/>
    </xf>
    <xf numFmtId="3" fontId="25" fillId="64" borderId="341" xfId="4" applyNumberFormat="1" applyFont="1" applyFill="1" applyBorder="1" applyAlignment="1">
      <alignment horizontal="right" vertical="center"/>
    </xf>
    <xf numFmtId="3" fontId="25" fillId="64" borderId="336" xfId="4" applyNumberFormat="1" applyFont="1" applyFill="1" applyBorder="1" applyAlignment="1">
      <alignment horizontal="right" vertical="center"/>
    </xf>
    <xf numFmtId="3" fontId="25" fillId="64" borderId="337" xfId="4" applyNumberFormat="1" applyFont="1" applyFill="1" applyBorder="1" applyAlignment="1">
      <alignment horizontal="right" vertical="center"/>
    </xf>
    <xf numFmtId="0" fontId="27" fillId="33" borderId="290" xfId="4" applyFont="1" applyFill="1" applyBorder="1" applyAlignment="1">
      <alignment horizontal="center" vertical="center" wrapText="1"/>
    </xf>
    <xf numFmtId="3" fontId="25" fillId="33" borderId="303" xfId="4" applyNumberFormat="1" applyFont="1" applyFill="1" applyBorder="1" applyAlignment="1">
      <alignment horizontal="right" vertical="center"/>
    </xf>
    <xf numFmtId="3" fontId="25" fillId="33" borderId="304" xfId="4" applyNumberFormat="1" applyFont="1" applyFill="1" applyBorder="1" applyAlignment="1">
      <alignment horizontal="right" vertical="center"/>
    </xf>
    <xf numFmtId="0" fontId="25" fillId="59" borderId="269" xfId="4" applyFont="1" applyFill="1" applyBorder="1" applyAlignment="1">
      <alignment horizontal="left" vertical="center"/>
    </xf>
    <xf numFmtId="0" fontId="25" fillId="59" borderId="303" xfId="4" applyFont="1" applyFill="1" applyBorder="1" applyAlignment="1">
      <alignment horizontal="left" vertical="center"/>
    </xf>
    <xf numFmtId="3" fontId="25" fillId="59" borderId="304" xfId="4" applyNumberFormat="1" applyFont="1" applyFill="1" applyBorder="1" applyAlignment="1">
      <alignment horizontal="right" vertical="center"/>
    </xf>
    <xf numFmtId="0" fontId="24" fillId="73" borderId="335" xfId="4" applyFont="1" applyFill="1" applyBorder="1" applyAlignment="1">
      <alignment horizontal="center" vertical="center"/>
    </xf>
    <xf numFmtId="0" fontId="93" fillId="81" borderId="336" xfId="0" applyFont="1" applyFill="1" applyBorder="1" applyAlignment="1">
      <alignment horizontal="center" vertical="center"/>
    </xf>
    <xf numFmtId="0" fontId="7" fillId="73" borderId="294" xfId="4" applyFont="1" applyFill="1" applyBorder="1" applyAlignment="1">
      <alignment vertical="center"/>
    </xf>
    <xf numFmtId="0" fontId="32" fillId="73" borderId="294" xfId="0" applyFont="1" applyFill="1" applyBorder="1" applyAlignment="1">
      <alignment horizontal="center" vertical="center" wrapText="1"/>
    </xf>
    <xf numFmtId="3" fontId="21" fillId="73" borderId="294" xfId="4" applyNumberFormat="1" applyFont="1" applyFill="1" applyBorder="1" applyAlignment="1">
      <alignment horizontal="right" vertical="center"/>
    </xf>
    <xf numFmtId="3" fontId="21" fillId="73" borderId="336" xfId="4" applyNumberFormat="1" applyFont="1" applyFill="1" applyBorder="1" applyAlignment="1">
      <alignment horizontal="right" vertical="center"/>
    </xf>
    <xf numFmtId="3" fontId="21" fillId="73" borderId="337" xfId="4" applyNumberFormat="1" applyFont="1" applyFill="1" applyBorder="1" applyAlignment="1">
      <alignment horizontal="right" vertical="center"/>
    </xf>
    <xf numFmtId="0" fontId="67" fillId="72" borderId="326" xfId="4" applyFont="1" applyFill="1" applyBorder="1" applyAlignment="1">
      <alignment horizontal="left" vertical="center" wrapText="1"/>
    </xf>
    <xf numFmtId="0" fontId="25" fillId="72" borderId="269" xfId="4" applyFont="1" applyFill="1" applyBorder="1" applyAlignment="1">
      <alignment vertical="center"/>
    </xf>
    <xf numFmtId="0" fontId="32" fillId="72" borderId="269" xfId="0" applyFont="1" applyFill="1" applyBorder="1" applyAlignment="1">
      <alignment horizontal="center" vertical="center" wrapText="1"/>
    </xf>
    <xf numFmtId="3" fontId="37" fillId="72" borderId="295" xfId="4" applyNumberFormat="1" applyFont="1" applyFill="1" applyBorder="1" applyAlignment="1">
      <alignment horizontal="right" vertical="center"/>
    </xf>
    <xf numFmtId="3" fontId="37" fillId="72" borderId="283" xfId="4" applyNumberFormat="1" applyFont="1" applyFill="1" applyBorder="1" applyAlignment="1">
      <alignment horizontal="right" vertical="center"/>
    </xf>
    <xf numFmtId="3" fontId="37" fillId="72" borderId="300" xfId="4" applyNumberFormat="1" applyFont="1" applyFill="1" applyBorder="1" applyAlignment="1">
      <alignment horizontal="right" vertical="center"/>
    </xf>
    <xf numFmtId="3" fontId="37" fillId="72" borderId="269" xfId="4" applyNumberFormat="1" applyFont="1" applyFill="1" applyBorder="1" applyAlignment="1">
      <alignment horizontal="right" vertical="center"/>
    </xf>
    <xf numFmtId="0" fontId="67" fillId="62" borderId="343" xfId="4" applyFont="1" applyFill="1" applyBorder="1" applyAlignment="1">
      <alignment horizontal="center" vertical="center" wrapText="1"/>
    </xf>
    <xf numFmtId="0" fontId="67" fillId="62" borderId="337" xfId="4" applyFont="1" applyFill="1" applyBorder="1" applyAlignment="1">
      <alignment horizontal="left" vertical="center" wrapText="1"/>
    </xf>
    <xf numFmtId="3" fontId="37" fillId="62" borderId="295" xfId="4" applyNumberFormat="1" applyFont="1" applyFill="1" applyBorder="1" applyAlignment="1">
      <alignment horizontal="right" vertical="center"/>
    </xf>
    <xf numFmtId="3" fontId="37" fillId="62" borderId="296" xfId="4" applyNumberFormat="1" applyFont="1" applyFill="1" applyBorder="1" applyAlignment="1">
      <alignment horizontal="right" vertical="center"/>
    </xf>
    <xf numFmtId="3" fontId="37" fillId="62" borderId="269" xfId="4" applyNumberFormat="1" applyFont="1" applyFill="1" applyBorder="1" applyAlignment="1">
      <alignment horizontal="right" vertical="center"/>
    </xf>
    <xf numFmtId="0" fontId="67" fillId="33" borderId="324" xfId="4" applyFont="1" applyFill="1" applyBorder="1" applyAlignment="1">
      <alignment horizontal="center" vertical="center" wrapText="1"/>
    </xf>
    <xf numFmtId="0" fontId="4" fillId="33" borderId="275" xfId="4" applyFont="1" applyFill="1" applyBorder="1" applyAlignment="1">
      <alignment horizontal="left" vertical="center" wrapText="1"/>
    </xf>
    <xf numFmtId="3" fontId="7" fillId="33" borderId="276" xfId="4" applyNumberFormat="1" applyFont="1" applyFill="1" applyBorder="1" applyAlignment="1">
      <alignment vertical="center"/>
    </xf>
    <xf numFmtId="0" fontId="32" fillId="33" borderId="276" xfId="0" applyFont="1" applyFill="1" applyBorder="1" applyAlignment="1">
      <alignment horizontal="center" vertical="center" wrapText="1"/>
    </xf>
    <xf numFmtId="3" fontId="37" fillId="33" borderId="276" xfId="4" applyNumberFormat="1" applyFont="1" applyFill="1" applyBorder="1" applyAlignment="1">
      <alignment horizontal="right" vertical="center"/>
    </xf>
    <xf numFmtId="3" fontId="37" fillId="33" borderId="320" xfId="4" applyNumberFormat="1" applyFont="1" applyFill="1" applyBorder="1" applyAlignment="1">
      <alignment horizontal="right" vertical="center"/>
    </xf>
    <xf numFmtId="3" fontId="37" fillId="33" borderId="269" xfId="4" applyNumberFormat="1" applyFont="1" applyFill="1" applyBorder="1" applyAlignment="1">
      <alignment horizontal="right" vertical="center"/>
    </xf>
    <xf numFmtId="0" fontId="67" fillId="62" borderId="297" xfId="4" applyFont="1" applyFill="1" applyBorder="1" applyAlignment="1">
      <alignment horizontal="center" vertical="center" wrapText="1"/>
    </xf>
    <xf numFmtId="0" fontId="25" fillId="62" borderId="282" xfId="4" applyFont="1" applyFill="1" applyBorder="1" applyAlignment="1">
      <alignment vertical="center"/>
    </xf>
    <xf numFmtId="0" fontId="32" fillId="62" borderId="294" xfId="0" applyFont="1" applyFill="1" applyBorder="1" applyAlignment="1">
      <alignment horizontal="center" vertical="center" wrapText="1"/>
    </xf>
    <xf numFmtId="3" fontId="37" fillId="62" borderId="323" xfId="4" applyNumberFormat="1" applyFont="1" applyFill="1" applyBorder="1" applyAlignment="1">
      <alignment horizontal="right" vertical="center"/>
    </xf>
    <xf numFmtId="3" fontId="37" fillId="62" borderId="282" xfId="4" applyNumberFormat="1" applyFont="1" applyFill="1" applyBorder="1" applyAlignment="1">
      <alignment horizontal="right" vertical="center"/>
    </xf>
    <xf numFmtId="3" fontId="37" fillId="62" borderId="285" xfId="4" applyNumberFormat="1" applyFont="1" applyFill="1" applyBorder="1" applyAlignment="1">
      <alignment horizontal="right" vertical="center"/>
    </xf>
    <xf numFmtId="165" fontId="65" fillId="0" borderId="283" xfId="0" applyNumberFormat="1" applyFont="1" applyFill="1" applyBorder="1" applyAlignment="1">
      <alignment horizontal="center" vertical="center" wrapText="1"/>
    </xf>
    <xf numFmtId="3" fontId="7" fillId="0" borderId="283" xfId="4" applyNumberFormat="1" applyFont="1" applyFill="1" applyBorder="1" applyAlignment="1">
      <alignment horizontal="right" vertical="center"/>
    </xf>
    <xf numFmtId="3" fontId="24" fillId="0" borderId="283" xfId="4" applyNumberFormat="1" applyFont="1" applyFill="1" applyBorder="1" applyAlignment="1">
      <alignment horizontal="right" vertical="center"/>
    </xf>
    <xf numFmtId="3" fontId="24" fillId="0" borderId="328" xfId="4" applyNumberFormat="1" applyFont="1" applyFill="1" applyBorder="1" applyAlignment="1">
      <alignment horizontal="right" vertical="center"/>
    </xf>
    <xf numFmtId="3" fontId="24" fillId="0" borderId="319" xfId="4" applyNumberFormat="1" applyFont="1" applyFill="1" applyBorder="1" applyAlignment="1">
      <alignment horizontal="right" vertical="center"/>
    </xf>
    <xf numFmtId="3" fontId="24" fillId="0" borderId="300" xfId="4" applyNumberFormat="1" applyFont="1" applyFill="1" applyBorder="1" applyAlignment="1">
      <alignment horizontal="right" vertical="center"/>
    </xf>
    <xf numFmtId="0" fontId="24" fillId="33" borderId="300" xfId="4" applyFont="1" applyFill="1" applyBorder="1" applyAlignment="1">
      <alignment vertical="center" wrapText="1"/>
    </xf>
    <xf numFmtId="0" fontId="24" fillId="57" borderId="282" xfId="4" applyFont="1" applyFill="1" applyBorder="1" applyAlignment="1">
      <alignment horizontal="left" vertical="center"/>
    </xf>
    <xf numFmtId="3" fontId="29" fillId="2" borderId="311" xfId="4" applyNumberFormat="1" applyFont="1" applyFill="1" applyBorder="1" applyAlignment="1">
      <alignment vertical="center" wrapText="1"/>
    </xf>
    <xf numFmtId="0" fontId="24" fillId="59" borderId="323" xfId="4" applyFont="1" applyFill="1" applyBorder="1" applyAlignment="1">
      <alignment horizontal="left" vertical="center"/>
    </xf>
    <xf numFmtId="0" fontId="25" fillId="64" borderId="316" xfId="4" applyFont="1" applyFill="1" applyBorder="1" applyAlignment="1">
      <alignment vertical="center" wrapText="1"/>
    </xf>
    <xf numFmtId="0" fontId="25" fillId="57" borderId="286" xfId="4" applyFont="1" applyFill="1" applyBorder="1" applyAlignment="1">
      <alignment horizontal="left" vertical="center"/>
    </xf>
    <xf numFmtId="0" fontId="25" fillId="33" borderId="290" xfId="4" applyFont="1" applyFill="1" applyBorder="1" applyAlignment="1">
      <alignment horizontal="left" vertical="center"/>
    </xf>
    <xf numFmtId="3" fontId="25" fillId="33" borderId="295" xfId="4" applyNumberFormat="1" applyFont="1" applyFill="1" applyBorder="1" applyAlignment="1">
      <alignment horizontal="right" vertical="center"/>
    </xf>
    <xf numFmtId="0" fontId="25" fillId="0" borderId="316" xfId="4" applyFont="1" applyFill="1" applyBorder="1" applyAlignment="1">
      <alignment vertical="center" wrapText="1"/>
    </xf>
    <xf numFmtId="0" fontId="86" fillId="64" borderId="270" xfId="0" applyFont="1" applyFill="1" applyBorder="1" applyAlignment="1">
      <alignment horizontal="center" vertical="center" wrapText="1"/>
    </xf>
    <xf numFmtId="0" fontId="72" fillId="64" borderId="270" xfId="0" applyFont="1" applyFill="1" applyBorder="1" applyAlignment="1">
      <alignment horizontal="center" vertical="center" wrapText="1"/>
    </xf>
    <xf numFmtId="43" fontId="72" fillId="64" borderId="330" xfId="1" applyFont="1" applyFill="1" applyBorder="1" applyAlignment="1">
      <alignment horizontal="center" vertical="center" wrapText="1"/>
    </xf>
    <xf numFmtId="43" fontId="21" fillId="68" borderId="274" xfId="1" quotePrefix="1" applyFont="1" applyFill="1" applyBorder="1" applyAlignment="1">
      <alignment horizontal="center" vertical="center"/>
    </xf>
    <xf numFmtId="3" fontId="62" fillId="68" borderId="278" xfId="0" quotePrefix="1" applyNumberFormat="1" applyFont="1" applyFill="1" applyBorder="1" applyAlignment="1">
      <alignment horizontal="right" vertical="center"/>
    </xf>
    <xf numFmtId="3" fontId="62" fillId="68" borderId="279" xfId="0" quotePrefix="1" applyNumberFormat="1" applyFont="1" applyFill="1" applyBorder="1" applyAlignment="1">
      <alignment horizontal="right" vertical="center"/>
    </xf>
    <xf numFmtId="3" fontId="62" fillId="68" borderId="269" xfId="0" quotePrefix="1" applyNumberFormat="1" applyFont="1" applyFill="1" applyBorder="1" applyAlignment="1">
      <alignment horizontal="right" vertical="center"/>
    </xf>
    <xf numFmtId="0" fontId="4" fillId="68" borderId="269" xfId="0" applyFont="1" applyFill="1" applyBorder="1" applyAlignment="1">
      <alignment vertical="center"/>
    </xf>
    <xf numFmtId="0" fontId="93" fillId="73" borderId="337" xfId="0" applyFont="1" applyFill="1" applyBorder="1" applyAlignment="1">
      <alignment horizontal="center" vertical="center"/>
    </xf>
    <xf numFmtId="0" fontId="7" fillId="73" borderId="336" xfId="4" applyFont="1" applyFill="1" applyBorder="1" applyAlignment="1">
      <alignment vertical="center"/>
    </xf>
    <xf numFmtId="0" fontId="32" fillId="73" borderId="336" xfId="0" applyFont="1" applyFill="1" applyBorder="1" applyAlignment="1">
      <alignment horizontal="center" vertical="center" wrapText="1"/>
    </xf>
    <xf numFmtId="3" fontId="21" fillId="73" borderId="269" xfId="4" applyNumberFormat="1" applyFont="1" applyFill="1" applyBorder="1" applyAlignment="1">
      <alignment horizontal="right" vertical="center"/>
    </xf>
    <xf numFmtId="3" fontId="21" fillId="73" borderId="325" xfId="4" applyNumberFormat="1" applyFont="1" applyFill="1" applyBorder="1" applyAlignment="1">
      <alignment horizontal="right" vertical="center"/>
    </xf>
    <xf numFmtId="0" fontId="66" fillId="71" borderId="335" xfId="4" applyFont="1" applyFill="1" applyBorder="1" applyAlignment="1">
      <alignment horizontal="center" vertical="center" wrapText="1"/>
    </xf>
    <xf numFmtId="0" fontId="66" fillId="71" borderId="323" xfId="4" applyFont="1" applyFill="1" applyBorder="1" applyAlignment="1">
      <alignment horizontal="left" vertical="center" wrapText="1"/>
    </xf>
    <xf numFmtId="0" fontId="7" fillId="71" borderId="323" xfId="4" applyFont="1" applyFill="1" applyBorder="1" applyAlignment="1">
      <alignment vertical="center"/>
    </xf>
    <xf numFmtId="0" fontId="32" fillId="71" borderId="295" xfId="0" applyFont="1" applyFill="1" applyBorder="1" applyAlignment="1">
      <alignment horizontal="center" vertical="center" wrapText="1"/>
    </xf>
    <xf numFmtId="3" fontId="37" fillId="71" borderId="295" xfId="4" applyNumberFormat="1" applyFont="1" applyFill="1" applyBorder="1" applyAlignment="1">
      <alignment horizontal="right" vertical="center"/>
    </xf>
    <xf numFmtId="3" fontId="37" fillId="71" borderId="296" xfId="4" applyNumberFormat="1" applyFont="1" applyFill="1" applyBorder="1" applyAlignment="1">
      <alignment horizontal="right" vertical="center"/>
    </xf>
    <xf numFmtId="0" fontId="4" fillId="71" borderId="269" xfId="0" applyFont="1" applyFill="1" applyBorder="1" applyAlignment="1">
      <alignment vertical="center"/>
    </xf>
    <xf numFmtId="0" fontId="66" fillId="71" borderId="305" xfId="4" applyFont="1" applyFill="1" applyBorder="1" applyAlignment="1">
      <alignment horizontal="center" vertical="center" wrapText="1"/>
    </xf>
    <xf numFmtId="0" fontId="66" fillId="71" borderId="269" xfId="4" applyFont="1" applyFill="1" applyBorder="1" applyAlignment="1">
      <alignment horizontal="left" vertical="center" wrapText="1"/>
    </xf>
    <xf numFmtId="0" fontId="7" fillId="71" borderId="269" xfId="4" applyFont="1" applyFill="1" applyBorder="1" applyAlignment="1">
      <alignment vertical="center"/>
    </xf>
    <xf numFmtId="0" fontId="32" fillId="71" borderId="303" xfId="0" applyFont="1" applyFill="1" applyBorder="1" applyAlignment="1">
      <alignment horizontal="center" vertical="center" wrapText="1"/>
    </xf>
    <xf numFmtId="3" fontId="37" fillId="71" borderId="303" xfId="4" applyNumberFormat="1" applyFont="1" applyFill="1" applyBorder="1" applyAlignment="1">
      <alignment horizontal="right" vertical="center"/>
    </xf>
    <xf numFmtId="3" fontId="37" fillId="71" borderId="290" xfId="4" applyNumberFormat="1" applyFont="1" applyFill="1" applyBorder="1" applyAlignment="1">
      <alignment horizontal="right" vertical="center"/>
    </xf>
    <xf numFmtId="165" fontId="65" fillId="76" borderId="309" xfId="0" applyNumberFormat="1" applyFont="1" applyFill="1" applyBorder="1" applyAlignment="1">
      <alignment horizontal="center" vertical="center" wrapText="1"/>
    </xf>
    <xf numFmtId="165" fontId="65" fillId="64" borderId="309" xfId="0" applyNumberFormat="1" applyFont="1" applyFill="1" applyBorder="1" applyAlignment="1">
      <alignment horizontal="center" vertical="center" wrapText="1"/>
    </xf>
    <xf numFmtId="165" fontId="65" fillId="33" borderId="309" xfId="0" applyNumberFormat="1" applyFont="1" applyFill="1" applyBorder="1" applyAlignment="1">
      <alignment horizontal="center" vertical="center" wrapText="1"/>
    </xf>
    <xf numFmtId="3" fontId="7" fillId="33" borderId="309" xfId="4" applyNumberFormat="1" applyFont="1" applyFill="1" applyBorder="1" applyAlignment="1">
      <alignment horizontal="right" vertical="center"/>
    </xf>
    <xf numFmtId="3" fontId="24" fillId="33" borderId="309" xfId="4" applyNumberFormat="1" applyFont="1" applyFill="1" applyBorder="1" applyAlignment="1">
      <alignment horizontal="right" vertical="center"/>
    </xf>
    <xf numFmtId="3" fontId="24" fillId="33" borderId="275" xfId="4" applyNumberFormat="1" applyFont="1" applyFill="1" applyBorder="1" applyAlignment="1">
      <alignment horizontal="right" vertical="center"/>
    </xf>
    <xf numFmtId="3" fontId="24" fillId="33" borderId="316" xfId="4" applyNumberFormat="1" applyFont="1" applyFill="1" applyBorder="1" applyAlignment="1">
      <alignment horizontal="right" vertical="center"/>
    </xf>
    <xf numFmtId="3" fontId="24" fillId="33" borderId="279" xfId="4" applyNumberFormat="1" applyFont="1" applyFill="1" applyBorder="1" applyAlignment="1">
      <alignment horizontal="right" vertical="center"/>
    </xf>
    <xf numFmtId="0" fontId="24" fillId="75" borderId="334" xfId="4" applyFont="1" applyFill="1" applyBorder="1" applyAlignment="1">
      <alignment horizontal="center" vertical="center" wrapText="1"/>
    </xf>
    <xf numFmtId="0" fontId="4" fillId="74" borderId="297" xfId="0" applyFont="1" applyFill="1" applyBorder="1" applyAlignment="1">
      <alignment horizontal="center" vertical="center"/>
    </xf>
    <xf numFmtId="0" fontId="74" fillId="74" borderId="269" xfId="0" applyFont="1" applyFill="1" applyBorder="1" applyAlignment="1">
      <alignment vertical="center"/>
    </xf>
    <xf numFmtId="0" fontId="4" fillId="74" borderId="269" xfId="0" applyFont="1" applyFill="1" applyBorder="1" applyAlignment="1">
      <alignment vertical="center"/>
    </xf>
    <xf numFmtId="0" fontId="4" fillId="74" borderId="344" xfId="0" applyFont="1" applyFill="1" applyBorder="1" applyAlignment="1">
      <alignment vertical="center"/>
    </xf>
    <xf numFmtId="0" fontId="4" fillId="74" borderId="340" xfId="0" applyFont="1" applyFill="1" applyBorder="1" applyAlignment="1">
      <alignment vertical="center"/>
    </xf>
    <xf numFmtId="0" fontId="4" fillId="74" borderId="325" xfId="0" applyFont="1" applyFill="1" applyBorder="1" applyAlignment="1">
      <alignment vertical="center"/>
    </xf>
    <xf numFmtId="0" fontId="19" fillId="73" borderId="335" xfId="4" applyFont="1" applyFill="1" applyBorder="1" applyAlignment="1">
      <alignment horizontal="center" vertical="center"/>
    </xf>
    <xf numFmtId="0" fontId="7" fillId="62" borderId="340" xfId="4" applyFont="1" applyFill="1" applyBorder="1" applyAlignment="1">
      <alignment vertical="center"/>
    </xf>
    <xf numFmtId="3" fontId="21" fillId="62" borderId="340" xfId="4" applyNumberFormat="1" applyFont="1" applyFill="1" applyBorder="1" applyAlignment="1">
      <alignment horizontal="right" vertical="center"/>
    </xf>
    <xf numFmtId="3" fontId="21" fillId="62" borderId="342" xfId="4" applyNumberFormat="1" applyFont="1" applyFill="1" applyBorder="1" applyAlignment="1">
      <alignment horizontal="right" vertical="center"/>
    </xf>
    <xf numFmtId="3" fontId="21" fillId="62" borderId="337" xfId="4" applyNumberFormat="1" applyFont="1" applyFill="1" applyBorder="1" applyAlignment="1">
      <alignment horizontal="right" vertical="center"/>
    </xf>
    <xf numFmtId="0" fontId="7" fillId="62" borderId="278" xfId="4" applyFont="1" applyFill="1" applyBorder="1" applyAlignment="1">
      <alignment vertical="center"/>
    </xf>
    <xf numFmtId="0" fontId="32" fillId="62" borderId="274" xfId="0" applyFont="1" applyFill="1" applyBorder="1" applyAlignment="1">
      <alignment horizontal="center" vertical="center" wrapText="1"/>
    </xf>
    <xf numFmtId="3" fontId="37" fillId="62" borderId="273" xfId="4" applyNumberFormat="1" applyFont="1" applyFill="1" applyBorder="1" applyAlignment="1">
      <alignment horizontal="right" vertical="center"/>
    </xf>
    <xf numFmtId="3" fontId="21" fillId="62" borderId="274" xfId="4" applyNumberFormat="1" applyFont="1" applyFill="1" applyBorder="1" applyAlignment="1">
      <alignment horizontal="right" vertical="center"/>
    </xf>
    <xf numFmtId="3" fontId="21" fillId="62" borderId="310" xfId="4" applyNumberFormat="1" applyFont="1" applyFill="1" applyBorder="1" applyAlignment="1">
      <alignment horizontal="right" vertical="center"/>
    </xf>
    <xf numFmtId="3" fontId="21" fillId="62" borderId="279" xfId="4" applyNumberFormat="1" applyFont="1" applyFill="1" applyBorder="1" applyAlignment="1">
      <alignment horizontal="right" vertical="center"/>
    </xf>
    <xf numFmtId="2" fontId="24" fillId="33" borderId="316" xfId="4" applyNumberFormat="1" applyFont="1" applyFill="1" applyBorder="1" applyAlignment="1">
      <alignment vertical="center" wrapText="1"/>
    </xf>
    <xf numFmtId="0" fontId="24" fillId="0" borderId="297" xfId="4" applyFont="1" applyFill="1" applyBorder="1" applyAlignment="1">
      <alignment horizontal="center" vertical="center"/>
    </xf>
    <xf numFmtId="0" fontId="21" fillId="0" borderId="269" xfId="4" applyFont="1" applyFill="1" applyBorder="1" applyAlignment="1">
      <alignment vertical="center"/>
    </xf>
    <xf numFmtId="0" fontId="7" fillId="0" borderId="269" xfId="4" applyFont="1" applyFill="1" applyBorder="1" applyAlignment="1">
      <alignment vertical="center"/>
    </xf>
    <xf numFmtId="0" fontId="32" fillId="0" borderId="269" xfId="0" applyFont="1" applyBorder="1" applyAlignment="1">
      <alignment horizontal="center" vertical="center" wrapText="1"/>
    </xf>
    <xf numFmtId="3" fontId="21" fillId="2" borderId="269" xfId="4" applyNumberFormat="1" applyFont="1" applyFill="1" applyBorder="1" applyAlignment="1">
      <alignment horizontal="right" vertical="center"/>
    </xf>
    <xf numFmtId="3" fontId="21" fillId="0" borderId="269" xfId="4" applyNumberFormat="1" applyFont="1" applyFill="1" applyBorder="1" applyAlignment="1">
      <alignment horizontal="right" vertical="center"/>
    </xf>
    <xf numFmtId="0" fontId="29" fillId="57" borderId="286" xfId="4" applyFont="1" applyFill="1" applyBorder="1" applyAlignment="1">
      <alignment horizontal="center" vertical="center"/>
    </xf>
    <xf numFmtId="0" fontId="27" fillId="79" borderId="287" xfId="4" applyFont="1" applyFill="1" applyBorder="1" applyAlignment="1">
      <alignment horizontal="center" vertical="center"/>
    </xf>
    <xf numFmtId="0" fontId="29" fillId="79" borderId="287" xfId="4" applyFont="1" applyFill="1" applyBorder="1" applyAlignment="1">
      <alignment vertical="center"/>
    </xf>
    <xf numFmtId="0" fontId="33" fillId="79" borderId="287" xfId="0" applyFont="1" applyFill="1" applyBorder="1" applyAlignment="1">
      <alignment horizontal="center" vertical="center" wrapText="1"/>
    </xf>
    <xf numFmtId="3" fontId="35" fillId="79" borderId="287" xfId="4" applyNumberFormat="1" applyFont="1" applyFill="1" applyBorder="1" applyAlignment="1">
      <alignment horizontal="right" vertical="center"/>
    </xf>
    <xf numFmtId="3" fontId="35" fillId="79" borderId="288" xfId="4" applyNumberFormat="1" applyFont="1" applyFill="1" applyBorder="1" applyAlignment="1">
      <alignment horizontal="right" vertical="center"/>
    </xf>
    <xf numFmtId="3" fontId="35" fillId="63" borderId="311" xfId="4" applyNumberFormat="1" applyFont="1" applyFill="1" applyBorder="1" applyAlignment="1">
      <alignment horizontal="right" vertical="center"/>
    </xf>
    <xf numFmtId="0" fontId="60" fillId="63" borderId="287" xfId="0" applyFont="1" applyFill="1" applyBorder="1" applyAlignment="1">
      <alignment vertical="center"/>
    </xf>
    <xf numFmtId="0" fontId="24" fillId="64" borderId="297" xfId="4" applyFont="1" applyFill="1" applyBorder="1" applyAlignment="1">
      <alignment horizontal="center" vertical="center"/>
    </xf>
    <xf numFmtId="0" fontId="67" fillId="64" borderId="269" xfId="4" applyFont="1" applyFill="1" applyBorder="1" applyAlignment="1">
      <alignment vertical="center"/>
    </xf>
    <xf numFmtId="0" fontId="7" fillId="64" borderId="269" xfId="4" applyFont="1" applyFill="1" applyBorder="1" applyAlignment="1">
      <alignment vertical="center"/>
    </xf>
    <xf numFmtId="0" fontId="32" fillId="64" borderId="269" xfId="0" applyFont="1" applyFill="1" applyBorder="1" applyAlignment="1">
      <alignment horizontal="center" vertical="center" wrapText="1"/>
    </xf>
    <xf numFmtId="3" fontId="21" fillId="64" borderId="269" xfId="4" applyNumberFormat="1" applyFont="1" applyFill="1" applyBorder="1" applyAlignment="1">
      <alignment horizontal="right" vertical="center"/>
    </xf>
    <xf numFmtId="3" fontId="21" fillId="64" borderId="325" xfId="4" applyNumberFormat="1" applyFont="1" applyFill="1" applyBorder="1" applyAlignment="1">
      <alignment horizontal="right" vertical="center"/>
    </xf>
    <xf numFmtId="0" fontId="36" fillId="57" borderId="287" xfId="4" applyFont="1" applyFill="1" applyBorder="1" applyAlignment="1">
      <alignment vertical="center" wrapText="1"/>
    </xf>
    <xf numFmtId="0" fontId="7" fillId="57" borderId="287" xfId="4" applyFont="1" applyFill="1" applyBorder="1" applyAlignment="1">
      <alignment vertical="center"/>
    </xf>
    <xf numFmtId="0" fontId="32" fillId="57" borderId="287" xfId="0" applyFont="1" applyFill="1" applyBorder="1" applyAlignment="1">
      <alignment horizontal="center" vertical="center" wrapText="1"/>
    </xf>
    <xf numFmtId="3" fontId="21" fillId="57" borderId="287" xfId="4" applyNumberFormat="1" applyFont="1" applyFill="1" applyBorder="1" applyAlignment="1">
      <alignment horizontal="right" vertical="center"/>
    </xf>
    <xf numFmtId="3" fontId="36" fillId="57" borderId="287" xfId="4" applyNumberFormat="1" applyFont="1" applyFill="1" applyBorder="1" applyAlignment="1">
      <alignment horizontal="right" vertical="center"/>
    </xf>
    <xf numFmtId="3" fontId="21" fillId="57" borderId="288" xfId="4" applyNumberFormat="1" applyFont="1" applyFill="1" applyBorder="1" applyAlignment="1">
      <alignment horizontal="right" vertical="center"/>
    </xf>
    <xf numFmtId="3" fontId="21" fillId="57" borderId="269" xfId="4" applyNumberFormat="1" applyFont="1" applyFill="1" applyBorder="1" applyAlignment="1">
      <alignment horizontal="right" vertical="center"/>
    </xf>
    <xf numFmtId="0" fontId="31" fillId="0" borderId="287" xfId="4" applyFont="1" applyFill="1" applyBorder="1" applyAlignment="1">
      <alignment vertical="center" wrapText="1"/>
    </xf>
    <xf numFmtId="0" fontId="7" fillId="0" borderId="287" xfId="4" applyFont="1" applyFill="1" applyBorder="1" applyAlignment="1">
      <alignment vertical="center"/>
    </xf>
    <xf numFmtId="0" fontId="32" fillId="0" borderId="287" xfId="0" applyFont="1" applyFill="1" applyBorder="1" applyAlignment="1">
      <alignment horizontal="center" vertical="center" wrapText="1"/>
    </xf>
    <xf numFmtId="3" fontId="21" fillId="2" borderId="287" xfId="4" applyNumberFormat="1" applyFont="1" applyFill="1" applyBorder="1" applyAlignment="1">
      <alignment horizontal="right" vertical="center"/>
    </xf>
    <xf numFmtId="3" fontId="21" fillId="0" borderId="287" xfId="4" applyNumberFormat="1" applyFont="1" applyFill="1" applyBorder="1" applyAlignment="1">
      <alignment horizontal="right" vertical="center"/>
    </xf>
    <xf numFmtId="3" fontId="31" fillId="33" borderId="287" xfId="4" applyNumberFormat="1" applyFont="1" applyFill="1" applyBorder="1" applyAlignment="1">
      <alignment horizontal="right" vertical="center"/>
    </xf>
    <xf numFmtId="3" fontId="31" fillId="70" borderId="287" xfId="4" applyNumberFormat="1" applyFont="1" applyFill="1" applyBorder="1" applyAlignment="1">
      <alignment horizontal="right" vertical="center"/>
    </xf>
    <xf numFmtId="3" fontId="21" fillId="0" borderId="288" xfId="4" applyNumberFormat="1" applyFont="1" applyFill="1" applyBorder="1" applyAlignment="1">
      <alignment horizontal="right" vertical="center"/>
    </xf>
    <xf numFmtId="0" fontId="4" fillId="0" borderId="269" xfId="0" applyFont="1" applyFill="1" applyBorder="1" applyAlignment="1">
      <alignment vertical="center"/>
    </xf>
    <xf numFmtId="0" fontId="32" fillId="0" borderId="287" xfId="0" applyFont="1" applyBorder="1" applyAlignment="1">
      <alignment horizontal="center" vertical="center" wrapText="1"/>
    </xf>
    <xf numFmtId="0" fontId="6" fillId="0" borderId="287" xfId="4" applyFont="1" applyFill="1" applyBorder="1" applyAlignment="1">
      <alignment vertical="center" wrapText="1"/>
    </xf>
    <xf numFmtId="0" fontId="6" fillId="70" borderId="287" xfId="4" applyFont="1" applyFill="1" applyBorder="1" applyAlignment="1">
      <alignment vertical="center" wrapText="1"/>
    </xf>
    <xf numFmtId="0" fontId="7" fillId="70" borderId="287" xfId="4" applyFont="1" applyFill="1" applyBorder="1" applyAlignment="1">
      <alignment vertical="center"/>
    </xf>
    <xf numFmtId="0" fontId="32" fillId="70" borderId="287" xfId="0" applyFont="1" applyFill="1" applyBorder="1" applyAlignment="1">
      <alignment horizontal="center" vertical="center" wrapText="1"/>
    </xf>
    <xf numFmtId="3" fontId="21" fillId="70" borderId="287" xfId="4" applyNumberFormat="1" applyFont="1" applyFill="1" applyBorder="1" applyAlignment="1">
      <alignment horizontal="right" vertical="center"/>
    </xf>
    <xf numFmtId="3" fontId="27" fillId="70" borderId="287" xfId="4" applyNumberFormat="1" applyFont="1" applyFill="1" applyBorder="1" applyAlignment="1">
      <alignment horizontal="right" vertical="center"/>
    </xf>
    <xf numFmtId="3" fontId="20" fillId="70" borderId="287" xfId="4" applyNumberFormat="1" applyFont="1" applyFill="1" applyBorder="1" applyAlignment="1">
      <alignment horizontal="right" vertical="center"/>
    </xf>
    <xf numFmtId="3" fontId="20" fillId="70" borderId="288" xfId="4" applyNumberFormat="1" applyFont="1" applyFill="1" applyBorder="1" applyAlignment="1">
      <alignment horizontal="right" vertical="center"/>
    </xf>
    <xf numFmtId="3" fontId="25" fillId="70" borderId="287" xfId="4" applyNumberFormat="1" applyFont="1" applyFill="1" applyBorder="1" applyAlignment="1">
      <alignment horizontal="right" vertical="center"/>
    </xf>
    <xf numFmtId="4" fontId="25" fillId="70" borderId="287" xfId="4" applyNumberFormat="1" applyFont="1" applyFill="1" applyBorder="1" applyAlignment="1">
      <alignment horizontal="right" vertical="center"/>
    </xf>
    <xf numFmtId="4" fontId="20" fillId="70" borderId="287" xfId="4" applyNumberFormat="1" applyFont="1" applyFill="1" applyBorder="1" applyAlignment="1">
      <alignment horizontal="right" vertical="center"/>
    </xf>
    <xf numFmtId="4" fontId="25" fillId="57" borderId="287" xfId="4" applyNumberFormat="1" applyFont="1" applyFill="1" applyBorder="1" applyAlignment="1">
      <alignment horizontal="right" vertical="center"/>
    </xf>
    <xf numFmtId="4" fontId="31" fillId="57" borderId="287" xfId="4" applyNumberFormat="1" applyFont="1" applyFill="1" applyBorder="1" applyAlignment="1">
      <alignment horizontal="right" vertical="center"/>
    </xf>
    <xf numFmtId="0" fontId="68" fillId="62" borderId="287" xfId="4" applyFont="1" applyFill="1" applyBorder="1" applyAlignment="1">
      <alignment horizontal="left" vertical="center" wrapText="1"/>
    </xf>
    <xf numFmtId="0" fontId="38" fillId="62" borderId="287" xfId="4" applyFont="1" applyFill="1" applyBorder="1" applyAlignment="1">
      <alignment vertical="center"/>
    </xf>
    <xf numFmtId="0" fontId="63" fillId="62" borderId="287" xfId="0" applyFont="1" applyFill="1" applyBorder="1" applyAlignment="1">
      <alignment horizontal="center" vertical="center" wrapText="1"/>
    </xf>
    <xf numFmtId="3" fontId="13" fillId="62" borderId="287" xfId="4" applyNumberFormat="1" applyFont="1" applyFill="1" applyBorder="1" applyAlignment="1">
      <alignment horizontal="right" vertical="center"/>
    </xf>
    <xf numFmtId="3" fontId="68" fillId="62" borderId="287" xfId="4" applyNumberFormat="1" applyFont="1" applyFill="1" applyBorder="1" applyAlignment="1">
      <alignment horizontal="right" vertical="center"/>
    </xf>
    <xf numFmtId="3" fontId="21" fillId="33" borderId="287" xfId="4" applyNumberFormat="1" applyFont="1" applyFill="1" applyBorder="1" applyAlignment="1">
      <alignment horizontal="right" vertical="center"/>
    </xf>
    <xf numFmtId="3" fontId="21" fillId="33" borderId="288" xfId="4" applyNumberFormat="1" applyFont="1" applyFill="1" applyBorder="1" applyAlignment="1">
      <alignment horizontal="right" vertical="center"/>
    </xf>
    <xf numFmtId="3" fontId="21" fillId="33" borderId="269" xfId="4" applyNumberFormat="1" applyFont="1" applyFill="1" applyBorder="1" applyAlignment="1">
      <alignment horizontal="right" vertical="center"/>
    </xf>
    <xf numFmtId="0" fontId="6" fillId="67" borderId="287" xfId="4" applyFont="1" applyFill="1" applyBorder="1" applyAlignment="1">
      <alignment vertical="center" wrapText="1"/>
    </xf>
    <xf numFmtId="0" fontId="36" fillId="67" borderId="287" xfId="4" applyFont="1" applyFill="1" applyBorder="1" applyAlignment="1">
      <alignment horizontal="center" vertical="center"/>
    </xf>
    <xf numFmtId="0" fontId="32" fillId="67" borderId="287" xfId="0" applyFont="1" applyFill="1" applyBorder="1" applyAlignment="1">
      <alignment horizontal="center" vertical="center" wrapText="1"/>
    </xf>
    <xf numFmtId="3" fontId="21" fillId="67" borderId="287" xfId="4" applyNumberFormat="1" applyFont="1" applyFill="1" applyBorder="1" applyAlignment="1">
      <alignment horizontal="right" vertical="center"/>
    </xf>
    <xf numFmtId="3" fontId="6" fillId="67" borderId="287" xfId="4" applyNumberFormat="1" applyFont="1" applyFill="1" applyBorder="1" applyAlignment="1">
      <alignment horizontal="right" vertical="center"/>
    </xf>
    <xf numFmtId="3" fontId="36" fillId="33" borderId="287" xfId="4" applyNumberFormat="1" applyFont="1" applyFill="1" applyBorder="1" applyAlignment="1">
      <alignment horizontal="right" vertical="center"/>
    </xf>
    <xf numFmtId="0" fontId="36" fillId="66" borderId="287" xfId="4" applyFont="1" applyFill="1" applyBorder="1" applyAlignment="1">
      <alignment vertical="center" wrapText="1"/>
    </xf>
    <xf numFmtId="0" fontId="36" fillId="66" borderId="287" xfId="4" applyFont="1" applyFill="1" applyBorder="1" applyAlignment="1">
      <alignment horizontal="center" vertical="center"/>
    </xf>
    <xf numFmtId="0" fontId="32" fillId="66" borderId="287" xfId="0" applyFont="1" applyFill="1" applyBorder="1" applyAlignment="1">
      <alignment horizontal="center" vertical="center" wrapText="1"/>
    </xf>
    <xf numFmtId="3" fontId="21" fillId="66" borderId="287" xfId="4" applyNumberFormat="1" applyFont="1" applyFill="1" applyBorder="1" applyAlignment="1">
      <alignment horizontal="right" vertical="center"/>
    </xf>
    <xf numFmtId="3" fontId="36" fillId="66" borderId="287" xfId="4" applyNumberFormat="1" applyFont="1" applyFill="1" applyBorder="1" applyAlignment="1">
      <alignment horizontal="right" vertical="center"/>
    </xf>
    <xf numFmtId="3" fontId="21" fillId="66" borderId="288" xfId="4" applyNumberFormat="1" applyFont="1" applyFill="1" applyBorder="1" applyAlignment="1">
      <alignment horizontal="right" vertical="center"/>
    </xf>
    <xf numFmtId="3" fontId="21" fillId="66" borderId="269" xfId="4" applyNumberFormat="1" applyFont="1" applyFill="1" applyBorder="1" applyAlignment="1">
      <alignment horizontal="right" vertical="center"/>
    </xf>
    <xf numFmtId="0" fontId="36" fillId="33" borderId="287" xfId="4" applyFont="1" applyFill="1" applyBorder="1" applyAlignment="1">
      <alignment vertical="center" wrapText="1"/>
    </xf>
    <xf numFmtId="0" fontId="36" fillId="33" borderId="287" xfId="4" applyFont="1" applyFill="1" applyBorder="1" applyAlignment="1">
      <alignment horizontal="center" vertical="center"/>
    </xf>
    <xf numFmtId="0" fontId="32" fillId="33" borderId="287" xfId="0" applyFont="1" applyFill="1" applyBorder="1" applyAlignment="1">
      <alignment horizontal="center" vertical="center" wrapText="1"/>
    </xf>
    <xf numFmtId="0" fontId="24" fillId="58" borderId="301" xfId="4" applyFont="1" applyFill="1" applyBorder="1" applyAlignment="1">
      <alignment horizontal="center" vertical="center"/>
    </xf>
    <xf numFmtId="0" fontId="36" fillId="58" borderId="287" xfId="4" applyFont="1" applyFill="1" applyBorder="1" applyAlignment="1">
      <alignment horizontal="center" vertical="center" wrapText="1"/>
    </xf>
    <xf numFmtId="0" fontId="25" fillId="58" borderId="287" xfId="4" applyFont="1" applyFill="1" applyBorder="1" applyAlignment="1">
      <alignment horizontal="center" vertical="center"/>
    </xf>
    <xf numFmtId="0" fontId="32" fillId="58" borderId="287" xfId="0" applyFont="1" applyFill="1" applyBorder="1" applyAlignment="1">
      <alignment horizontal="center" vertical="center" wrapText="1"/>
    </xf>
    <xf numFmtId="3" fontId="21" fillId="58" borderId="287" xfId="4" applyNumberFormat="1" applyFont="1" applyFill="1" applyBorder="1" applyAlignment="1">
      <alignment horizontal="right" vertical="center"/>
    </xf>
    <xf numFmtId="3" fontId="36" fillId="58" borderId="287" xfId="4" applyNumberFormat="1" applyFont="1" applyFill="1" applyBorder="1" applyAlignment="1">
      <alignment horizontal="right" vertical="center"/>
    </xf>
    <xf numFmtId="3" fontId="21" fillId="58" borderId="288" xfId="4" applyNumberFormat="1" applyFont="1" applyFill="1" applyBorder="1" applyAlignment="1">
      <alignment horizontal="right" vertical="center"/>
    </xf>
    <xf numFmtId="3" fontId="21" fillId="58" borderId="269" xfId="4" applyNumberFormat="1" applyFont="1" applyFill="1" applyBorder="1" applyAlignment="1">
      <alignment horizontal="right" vertical="center"/>
    </xf>
    <xf numFmtId="0" fontId="24" fillId="58" borderId="283" xfId="4" applyFont="1" applyFill="1" applyBorder="1" applyAlignment="1">
      <alignment horizontal="center" vertical="center"/>
    </xf>
    <xf numFmtId="3" fontId="36" fillId="58" borderId="301" xfId="4" applyNumberFormat="1" applyFont="1" applyFill="1" applyBorder="1" applyAlignment="1">
      <alignment horizontal="right" vertical="center"/>
    </xf>
    <xf numFmtId="0" fontId="37" fillId="65" borderId="287" xfId="0" applyFont="1" applyFill="1" applyBorder="1" applyAlignment="1">
      <alignment horizontal="right" vertical="center"/>
    </xf>
    <xf numFmtId="0" fontId="31" fillId="65" borderId="287" xfId="152" applyFont="1" applyFill="1" applyBorder="1" applyAlignment="1">
      <alignment vertical="center" wrapText="1"/>
    </xf>
    <xf numFmtId="0" fontId="4" fillId="65" borderId="287" xfId="0" applyFont="1" applyFill="1" applyBorder="1" applyAlignment="1">
      <alignment horizontal="center" vertical="center" wrapText="1"/>
    </xf>
    <xf numFmtId="3" fontId="4" fillId="65" borderId="287" xfId="152" applyNumberFormat="1" applyFont="1" applyFill="1" applyBorder="1" applyAlignment="1">
      <alignment vertical="center"/>
    </xf>
    <xf numFmtId="3" fontId="4" fillId="65" borderId="312" xfId="152" applyNumberFormat="1" applyFont="1" applyFill="1" applyBorder="1" applyAlignment="1">
      <alignment vertical="center"/>
    </xf>
    <xf numFmtId="3" fontId="4" fillId="65" borderId="335" xfId="152" applyNumberFormat="1" applyFont="1" applyFill="1" applyBorder="1" applyAlignment="1">
      <alignment vertical="center"/>
    </xf>
    <xf numFmtId="3" fontId="4" fillId="65" borderId="344" xfId="152" applyNumberFormat="1" applyFont="1" applyFill="1" applyBorder="1" applyAlignment="1">
      <alignment vertical="center"/>
    </xf>
    <xf numFmtId="3" fontId="4" fillId="65" borderId="342" xfId="152" applyNumberFormat="1" applyFont="1" applyFill="1" applyBorder="1" applyAlignment="1">
      <alignment vertical="center"/>
    </xf>
    <xf numFmtId="3" fontId="4" fillId="0" borderId="299" xfId="152" applyNumberFormat="1" applyFont="1" applyBorder="1" applyAlignment="1">
      <alignment vertical="center"/>
    </xf>
    <xf numFmtId="3" fontId="4" fillId="0" borderId="287" xfId="152" applyNumberFormat="1" applyFont="1" applyBorder="1" applyAlignment="1">
      <alignment vertical="center"/>
    </xf>
    <xf numFmtId="0" fontId="4" fillId="0" borderId="288" xfId="0" applyFont="1" applyBorder="1" applyAlignment="1">
      <alignment vertical="center"/>
    </xf>
    <xf numFmtId="0" fontId="37" fillId="0" borderId="287" xfId="0" applyFont="1" applyBorder="1" applyAlignment="1">
      <alignment horizontal="right" vertical="center"/>
    </xf>
    <xf numFmtId="0" fontId="31" fillId="33" borderId="287" xfId="152" applyFont="1" applyFill="1" applyBorder="1" applyAlignment="1">
      <alignment vertical="center" wrapText="1"/>
    </xf>
    <xf numFmtId="0" fontId="4" fillId="0" borderId="287" xfId="0" applyFont="1" applyBorder="1" applyAlignment="1">
      <alignment horizontal="center" vertical="center" wrapText="1"/>
    </xf>
    <xf numFmtId="3" fontId="4" fillId="0" borderId="283" xfId="152" applyNumberFormat="1" applyFont="1" applyBorder="1" applyAlignment="1">
      <alignment vertical="center"/>
    </xf>
    <xf numFmtId="0" fontId="31" fillId="33" borderId="301" xfId="152" applyFont="1" applyFill="1" applyBorder="1" applyAlignment="1">
      <alignment vertical="center" wrapText="1"/>
    </xf>
    <xf numFmtId="0" fontId="4" fillId="0" borderId="301" xfId="0" applyFont="1" applyBorder="1" applyAlignment="1">
      <alignment horizontal="center" vertical="center" wrapText="1"/>
    </xf>
    <xf numFmtId="3" fontId="4" fillId="0" borderId="301" xfId="152" applyNumberFormat="1" applyFont="1" applyBorder="1" applyAlignment="1">
      <alignment vertical="center"/>
    </xf>
    <xf numFmtId="3" fontId="4" fillId="65" borderId="340" xfId="152" applyNumberFormat="1" applyFont="1" applyFill="1" applyBorder="1" applyAlignment="1">
      <alignment vertical="center"/>
    </xf>
    <xf numFmtId="3" fontId="4" fillId="65" borderId="341" xfId="152" applyNumberFormat="1" applyFont="1" applyFill="1" applyBorder="1" applyAlignment="1">
      <alignment vertical="center"/>
    </xf>
    <xf numFmtId="3" fontId="4" fillId="65" borderId="337" xfId="152" applyNumberFormat="1" applyFont="1" applyFill="1" applyBorder="1" applyAlignment="1">
      <alignment vertical="center"/>
    </xf>
    <xf numFmtId="0" fontId="31" fillId="33" borderId="269" xfId="152" applyFont="1" applyFill="1" applyBorder="1" applyAlignment="1">
      <alignment vertical="center" wrapText="1"/>
    </xf>
    <xf numFmtId="0" fontId="4" fillId="0" borderId="269" xfId="0" applyFont="1" applyBorder="1" applyAlignment="1">
      <alignment horizontal="center" vertical="center" wrapText="1"/>
    </xf>
    <xf numFmtId="3" fontId="4" fillId="0" borderId="269" xfId="152" applyNumberFormat="1" applyFont="1" applyBorder="1" applyAlignment="1">
      <alignment vertical="center"/>
    </xf>
    <xf numFmtId="0" fontId="37" fillId="0" borderId="269" xfId="0" applyFont="1" applyBorder="1" applyAlignment="1">
      <alignment vertical="center"/>
    </xf>
    <xf numFmtId="3" fontId="37" fillId="0" borderId="269" xfId="0" applyNumberFormat="1" applyFont="1" applyBorder="1" applyAlignment="1">
      <alignment vertical="center"/>
    </xf>
    <xf numFmtId="3" fontId="4" fillId="78" borderId="269" xfId="0" applyNumberFormat="1" applyFont="1" applyFill="1" applyBorder="1" applyAlignment="1">
      <alignment vertical="center"/>
    </xf>
    <xf numFmtId="0" fontId="4" fillId="0" borderId="269" xfId="0" applyFont="1" applyBorder="1" applyAlignment="1">
      <alignment horizontal="left" vertical="center"/>
    </xf>
    <xf numFmtId="3" fontId="4" fillId="33" borderId="269" xfId="0" applyNumberFormat="1" applyFont="1" applyFill="1" applyBorder="1" applyAlignment="1">
      <alignment vertical="center"/>
    </xf>
    <xf numFmtId="3" fontId="4" fillId="0" borderId="287" xfId="0" applyNumberFormat="1" applyFont="1" applyBorder="1" applyAlignment="1">
      <alignment vertical="center"/>
    </xf>
    <xf numFmtId="0" fontId="90" fillId="57" borderId="200" xfId="0" applyFont="1" applyFill="1" applyBorder="1" applyAlignment="1">
      <alignment horizontal="left" vertical="center" wrapText="1"/>
    </xf>
    <xf numFmtId="0" fontId="90" fillId="57" borderId="200" xfId="0" applyFont="1" applyFill="1" applyBorder="1" applyAlignment="1">
      <alignment horizontal="center" vertical="center"/>
    </xf>
    <xf numFmtId="0" fontId="90" fillId="57" borderId="201" xfId="0" applyFont="1" applyFill="1" applyBorder="1" applyAlignment="1">
      <alignment horizontal="center" vertical="center"/>
    </xf>
    <xf numFmtId="0" fontId="100" fillId="0" borderId="203" xfId="0" applyFont="1" applyBorder="1" applyAlignment="1">
      <alignment horizontal="left" vertical="center" wrapText="1"/>
    </xf>
    <xf numFmtId="0" fontId="100" fillId="0" borderId="204" xfId="0" applyFont="1" applyBorder="1" applyAlignment="1">
      <alignment horizontal="left" vertical="center" wrapText="1"/>
    </xf>
    <xf numFmtId="0" fontId="100" fillId="0" borderId="205" xfId="0" applyFont="1" applyBorder="1" applyAlignment="1">
      <alignment horizontal="left" vertical="center" wrapText="1"/>
    </xf>
    <xf numFmtId="0" fontId="0" fillId="0" borderId="206" xfId="0" applyFont="1" applyBorder="1" applyAlignment="1">
      <alignment horizontal="center"/>
    </xf>
    <xf numFmtId="0" fontId="0" fillId="0" borderId="207" xfId="0" applyFont="1" applyBorder="1" applyAlignment="1">
      <alignment horizontal="center"/>
    </xf>
    <xf numFmtId="0" fontId="0" fillId="0" borderId="208" xfId="0" applyFont="1" applyBorder="1" applyAlignment="1">
      <alignment horizontal="center"/>
    </xf>
    <xf numFmtId="0" fontId="0" fillId="0" borderId="209" xfId="0" applyFont="1" applyBorder="1" applyAlignment="1">
      <alignment horizontal="center"/>
    </xf>
    <xf numFmtId="0" fontId="0" fillId="0" borderId="200" xfId="0" applyFont="1" applyBorder="1" applyAlignment="1">
      <alignment horizontal="center"/>
    </xf>
    <xf numFmtId="0" fontId="0" fillId="0" borderId="210" xfId="0" applyFont="1" applyBorder="1" applyAlignment="1">
      <alignment horizontal="center"/>
    </xf>
    <xf numFmtId="0" fontId="0" fillId="0" borderId="211" xfId="0" applyFont="1" applyBorder="1" applyAlignment="1">
      <alignment horizontal="center"/>
    </xf>
    <xf numFmtId="0" fontId="0" fillId="0" borderId="201" xfId="0" applyFont="1" applyBorder="1" applyAlignment="1">
      <alignment horizontal="center"/>
    </xf>
    <xf numFmtId="0" fontId="0" fillId="0" borderId="212" xfId="0" applyFont="1" applyBorder="1" applyAlignment="1">
      <alignment horizontal="center"/>
    </xf>
    <xf numFmtId="0" fontId="36" fillId="15" borderId="4" xfId="0" applyFont="1" applyFill="1" applyBorder="1" applyAlignment="1">
      <alignment horizontal="center" vertical="center" wrapText="1"/>
    </xf>
    <xf numFmtId="0" fontId="36" fillId="15" borderId="23" xfId="0" applyFont="1" applyFill="1" applyBorder="1" applyAlignment="1">
      <alignment horizontal="center" vertical="center" wrapText="1"/>
    </xf>
    <xf numFmtId="0" fontId="36" fillId="16" borderId="4" xfId="0" applyFont="1" applyFill="1" applyBorder="1" applyAlignment="1">
      <alignment horizontal="center" wrapText="1"/>
    </xf>
    <xf numFmtId="0" fontId="36" fillId="16" borderId="23" xfId="0" applyFont="1" applyFill="1" applyBorder="1" applyAlignment="1">
      <alignment horizontal="center" wrapText="1"/>
    </xf>
    <xf numFmtId="0" fontId="76" fillId="2" borderId="0" xfId="0" applyFont="1" applyFill="1" applyBorder="1" applyAlignment="1">
      <alignment horizontal="center" wrapText="1"/>
    </xf>
    <xf numFmtId="0" fontId="40" fillId="2" borderId="2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74" xfId="0" applyFont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40" fillId="2" borderId="24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25" fillId="0" borderId="15" xfId="4" applyFont="1" applyBorder="1" applyAlignment="1">
      <alignment horizontal="center" vertical="center" wrapText="1"/>
    </xf>
    <xf numFmtId="0" fontId="25" fillId="0" borderId="13" xfId="4" applyFont="1" applyBorder="1" applyAlignment="1">
      <alignment horizontal="center" vertical="center" wrapText="1"/>
    </xf>
    <xf numFmtId="0" fontId="25" fillId="0" borderId="12" xfId="4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3" fontId="62" fillId="10" borderId="193" xfId="0" applyNumberFormat="1" applyFont="1" applyFill="1" applyBorder="1" applyAlignment="1">
      <alignment horizontal="center" vertical="center" wrapText="1"/>
    </xf>
    <xf numFmtId="0" fontId="0" fillId="10" borderId="26" xfId="0" applyFont="1" applyFill="1" applyBorder="1" applyAlignment="1">
      <alignment horizontal="center" vertical="center" wrapText="1"/>
    </xf>
    <xf numFmtId="0" fontId="0" fillId="10" borderId="68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3" fontId="62" fillId="10" borderId="186" xfId="0" applyNumberFormat="1" applyFont="1" applyFill="1" applyBorder="1" applyAlignment="1">
      <alignment horizontal="center" vertical="center" wrapText="1"/>
    </xf>
    <xf numFmtId="0" fontId="0" fillId="10" borderId="11" xfId="0" applyFont="1" applyFill="1" applyBorder="1" applyAlignment="1">
      <alignment horizontal="center" vertical="center" wrapText="1"/>
    </xf>
    <xf numFmtId="0" fontId="0" fillId="10" borderId="25" xfId="0" applyFont="1" applyFill="1" applyBorder="1" applyAlignment="1">
      <alignment horizontal="center" vertical="center" wrapText="1"/>
    </xf>
    <xf numFmtId="0" fontId="8" fillId="0" borderId="108" xfId="0" applyFont="1" applyBorder="1" applyAlignment="1">
      <alignment horizontal="center"/>
    </xf>
    <xf numFmtId="0" fontId="8" fillId="0" borderId="105" xfId="0" applyFont="1" applyBorder="1" applyAlignment="1">
      <alignment horizontal="center"/>
    </xf>
    <xf numFmtId="0" fontId="23" fillId="0" borderId="179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3" fontId="18" fillId="0" borderId="42" xfId="4" applyNumberFormat="1" applyFont="1" applyFill="1" applyBorder="1" applyAlignment="1">
      <alignment horizontal="center" vertical="center" wrapText="1"/>
    </xf>
    <xf numFmtId="3" fontId="18" fillId="0" borderId="43" xfId="4" applyNumberFormat="1" applyFont="1" applyFill="1" applyBorder="1" applyAlignment="1">
      <alignment horizontal="center" vertical="center" wrapText="1"/>
    </xf>
    <xf numFmtId="3" fontId="18" fillId="0" borderId="41" xfId="4" applyNumberFormat="1" applyFont="1" applyFill="1" applyBorder="1" applyAlignment="1">
      <alignment horizontal="center" vertical="center" wrapText="1"/>
    </xf>
    <xf numFmtId="0" fontId="17" fillId="0" borderId="5" xfId="4" applyFont="1" applyFill="1" applyBorder="1" applyAlignment="1">
      <alignment horizontal="center" vertical="center"/>
    </xf>
    <xf numFmtId="0" fontId="17" fillId="0" borderId="11" xfId="4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17" fillId="28" borderId="5" xfId="4" applyFont="1" applyFill="1" applyBorder="1" applyAlignment="1">
      <alignment horizontal="center" vertical="center"/>
    </xf>
    <xf numFmtId="0" fontId="17" fillId="28" borderId="11" xfId="4" applyFont="1" applyFill="1" applyBorder="1" applyAlignment="1">
      <alignment horizontal="center" vertical="center"/>
    </xf>
    <xf numFmtId="0" fontId="17" fillId="28" borderId="25" xfId="4" applyFont="1" applyFill="1" applyBorder="1" applyAlignment="1">
      <alignment horizontal="center" vertical="center"/>
    </xf>
    <xf numFmtId="3" fontId="25" fillId="2" borderId="127" xfId="4" applyNumberFormat="1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3" fontId="25" fillId="2" borderId="73" xfId="4" applyNumberFormat="1" applyFont="1" applyFill="1" applyBorder="1" applyAlignment="1">
      <alignment horizontal="center" vertical="center" wrapText="1"/>
    </xf>
    <xf numFmtId="3" fontId="25" fillId="2" borderId="6" xfId="4" applyNumberFormat="1" applyFont="1" applyFill="1" applyBorder="1" applyAlignment="1">
      <alignment horizontal="center" vertical="center" wrapText="1"/>
    </xf>
    <xf numFmtId="3" fontId="25" fillId="2" borderId="22" xfId="4" applyNumberFormat="1" applyFont="1" applyFill="1" applyBorder="1" applyAlignment="1">
      <alignment horizontal="center" vertical="center" wrapText="1"/>
    </xf>
    <xf numFmtId="0" fontId="18" fillId="0" borderId="42" xfId="4" applyFont="1" applyFill="1" applyBorder="1" applyAlignment="1">
      <alignment horizontal="center" vertical="center" wrapText="1"/>
    </xf>
    <xf numFmtId="0" fontId="18" fillId="0" borderId="43" xfId="4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3" fontId="25" fillId="2" borderId="179" xfId="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vertical="center"/>
    </xf>
    <xf numFmtId="0" fontId="32" fillId="0" borderId="25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/>
    </xf>
    <xf numFmtId="0" fontId="18" fillId="0" borderId="46" xfId="4" applyFont="1" applyFill="1" applyBorder="1" applyAlignment="1">
      <alignment horizontal="center" vertical="center" wrapText="1"/>
    </xf>
    <xf numFmtId="0" fontId="18" fillId="0" borderId="49" xfId="4" applyFont="1" applyFill="1" applyBorder="1" applyAlignment="1">
      <alignment horizontal="center" vertical="center" wrapText="1"/>
    </xf>
    <xf numFmtId="0" fontId="18" fillId="0" borderId="48" xfId="4" applyFont="1" applyFill="1" applyBorder="1" applyAlignment="1">
      <alignment horizontal="center" vertical="center" wrapText="1"/>
    </xf>
    <xf numFmtId="0" fontId="24" fillId="28" borderId="66" xfId="4" applyFont="1" applyFill="1" applyBorder="1" applyAlignment="1">
      <alignment horizontal="center" vertical="center" wrapText="1"/>
    </xf>
    <xf numFmtId="0" fontId="24" fillId="28" borderId="67" xfId="4" applyFont="1" applyFill="1" applyBorder="1" applyAlignment="1">
      <alignment horizontal="center" vertical="center" wrapText="1"/>
    </xf>
    <xf numFmtId="0" fontId="24" fillId="28" borderId="69" xfId="4" applyFont="1" applyFill="1" applyBorder="1" applyAlignment="1">
      <alignment horizontal="center" vertical="center" wrapText="1"/>
    </xf>
    <xf numFmtId="0" fontId="24" fillId="2" borderId="5" xfId="4" applyFont="1" applyFill="1" applyBorder="1" applyAlignment="1">
      <alignment horizontal="center" vertical="center"/>
    </xf>
    <xf numFmtId="0" fontId="24" fillId="2" borderId="11" xfId="4" applyFont="1" applyFill="1" applyBorder="1" applyAlignment="1">
      <alignment horizontal="center" vertical="center"/>
    </xf>
    <xf numFmtId="0" fontId="24" fillId="2" borderId="25" xfId="4" applyFont="1" applyFill="1" applyBorder="1" applyAlignment="1">
      <alignment horizontal="center" vertical="center"/>
    </xf>
    <xf numFmtId="0" fontId="23" fillId="0" borderId="73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4" fillId="0" borderId="5" xfId="4" applyFont="1" applyFill="1" applyBorder="1" applyAlignment="1">
      <alignment horizontal="center" vertical="center"/>
    </xf>
    <xf numFmtId="0" fontId="24" fillId="0" borderId="11" xfId="4" applyFont="1" applyFill="1" applyBorder="1" applyAlignment="1">
      <alignment horizontal="center" vertical="center"/>
    </xf>
    <xf numFmtId="0" fontId="7" fillId="8" borderId="43" xfId="4" applyFont="1" applyFill="1" applyBorder="1" applyAlignment="1">
      <alignment horizontal="center" vertical="center"/>
    </xf>
    <xf numFmtId="0" fontId="7" fillId="8" borderId="41" xfId="4" applyFont="1" applyFill="1" applyBorder="1" applyAlignment="1">
      <alignment horizontal="center" vertical="center"/>
    </xf>
    <xf numFmtId="3" fontId="25" fillId="27" borderId="63" xfId="4" applyNumberFormat="1" applyFont="1" applyFill="1" applyBorder="1" applyAlignment="1">
      <alignment horizontal="center" vertical="center"/>
    </xf>
    <xf numFmtId="3" fontId="25" fillId="27" borderId="13" xfId="4" applyNumberFormat="1" applyFont="1" applyFill="1" applyBorder="1" applyAlignment="1">
      <alignment horizontal="center" vertical="center"/>
    </xf>
    <xf numFmtId="3" fontId="25" fillId="27" borderId="12" xfId="4" applyNumberFormat="1" applyFont="1" applyFill="1" applyBorder="1" applyAlignment="1">
      <alignment horizontal="center" vertical="center"/>
    </xf>
    <xf numFmtId="3" fontId="18" fillId="28" borderId="42" xfId="4" applyNumberFormat="1" applyFont="1" applyFill="1" applyBorder="1" applyAlignment="1">
      <alignment horizontal="center" vertical="center" wrapText="1"/>
    </xf>
    <xf numFmtId="3" fontId="18" fillId="28" borderId="43" xfId="4" applyNumberFormat="1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left" vertical="center" wrapText="1"/>
    </xf>
    <xf numFmtId="3" fontId="32" fillId="0" borderId="26" xfId="0" applyNumberFormat="1" applyFont="1" applyBorder="1" applyAlignment="1">
      <alignment horizontal="left" vertical="center" wrapText="1"/>
    </xf>
    <xf numFmtId="0" fontId="23" fillId="0" borderId="103" xfId="0" applyFont="1" applyBorder="1" applyAlignment="1">
      <alignment horizontal="center" vertical="center"/>
    </xf>
    <xf numFmtId="3" fontId="18" fillId="0" borderId="42" xfId="4" applyNumberFormat="1" applyFont="1" applyFill="1" applyBorder="1" applyAlignment="1">
      <alignment horizontal="center" vertical="center"/>
    </xf>
    <xf numFmtId="3" fontId="18" fillId="0" borderId="43" xfId="4" applyNumberFormat="1" applyFont="1" applyFill="1" applyBorder="1" applyAlignment="1">
      <alignment horizontal="center" vertical="center"/>
    </xf>
    <xf numFmtId="3" fontId="18" fillId="0" borderId="41" xfId="4" applyNumberFormat="1" applyFont="1" applyFill="1" applyBorder="1" applyAlignment="1">
      <alignment horizontal="center" vertical="center"/>
    </xf>
    <xf numFmtId="0" fontId="17" fillId="0" borderId="25" xfId="4" applyFont="1" applyFill="1" applyBorder="1" applyAlignment="1">
      <alignment horizontal="center" vertical="center"/>
    </xf>
    <xf numFmtId="3" fontId="24" fillId="2" borderId="127" xfId="4" applyNumberFormat="1" applyFont="1" applyFill="1" applyBorder="1" applyAlignment="1">
      <alignment horizontal="center" vertical="center" wrapText="1"/>
    </xf>
    <xf numFmtId="3" fontId="24" fillId="2" borderId="6" xfId="4" applyNumberFormat="1" applyFont="1" applyFill="1" applyBorder="1" applyAlignment="1">
      <alignment horizontal="center" vertical="center" wrapText="1"/>
    </xf>
    <xf numFmtId="3" fontId="24" fillId="2" borderId="20" xfId="4" applyNumberFormat="1" applyFont="1" applyFill="1" applyBorder="1" applyAlignment="1">
      <alignment horizontal="center" vertical="center" wrapText="1"/>
    </xf>
    <xf numFmtId="3" fontId="25" fillId="27" borderId="165" xfId="4" applyNumberFormat="1" applyFont="1" applyFill="1" applyBorder="1" applyAlignment="1">
      <alignment horizontal="center" vertical="center"/>
    </xf>
    <xf numFmtId="0" fontId="22" fillId="0" borderId="126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3" fontId="25" fillId="2" borderId="20" xfId="4" applyNumberFormat="1" applyFont="1" applyFill="1" applyBorder="1" applyAlignment="1">
      <alignment horizontal="center" vertical="center" wrapText="1"/>
    </xf>
    <xf numFmtId="3" fontId="18" fillId="0" borderId="46" xfId="4" applyNumberFormat="1" applyFont="1" applyFill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187" xfId="0" applyFont="1" applyBorder="1" applyAlignment="1">
      <alignment horizontal="center" vertical="center" wrapText="1"/>
    </xf>
    <xf numFmtId="0" fontId="24" fillId="13" borderId="5" xfId="4" applyFont="1" applyFill="1" applyBorder="1" applyAlignment="1">
      <alignment horizontal="center" vertical="center"/>
    </xf>
    <xf numFmtId="0" fontId="24" fillId="13" borderId="11" xfId="4" applyFont="1" applyFill="1" applyBorder="1" applyAlignment="1">
      <alignment horizontal="center" vertical="center"/>
    </xf>
    <xf numFmtId="0" fontId="24" fillId="13" borderId="25" xfId="4" applyFont="1" applyFill="1" applyBorder="1" applyAlignment="1">
      <alignment horizontal="center" vertical="center"/>
    </xf>
    <xf numFmtId="3" fontId="25" fillId="27" borderId="172" xfId="4" applyNumberFormat="1" applyFont="1" applyFill="1" applyBorder="1" applyAlignment="1">
      <alignment horizontal="center" vertical="center"/>
    </xf>
    <xf numFmtId="3" fontId="25" fillId="27" borderId="27" xfId="4" applyNumberFormat="1" applyFont="1" applyFill="1" applyBorder="1" applyAlignment="1">
      <alignment horizontal="center" vertical="center"/>
    </xf>
    <xf numFmtId="3" fontId="25" fillId="27" borderId="23" xfId="4" applyNumberFormat="1" applyFont="1" applyFill="1" applyBorder="1" applyAlignment="1">
      <alignment horizontal="center" vertical="center"/>
    </xf>
    <xf numFmtId="3" fontId="32" fillId="26" borderId="177" xfId="6" applyNumberFormat="1" applyFont="1" applyFill="1" applyBorder="1" applyAlignment="1">
      <alignment horizontal="center" vertical="center"/>
    </xf>
    <xf numFmtId="3" fontId="32" fillId="26" borderId="13" xfId="6" applyNumberFormat="1" applyFont="1" applyFill="1" applyBorder="1" applyAlignment="1">
      <alignment horizontal="center" vertical="center"/>
    </xf>
    <xf numFmtId="3" fontId="32" fillId="26" borderId="12" xfId="6" applyNumberFormat="1" applyFont="1" applyFill="1" applyBorder="1" applyAlignment="1">
      <alignment horizontal="center" vertical="center"/>
    </xf>
    <xf numFmtId="0" fontId="25" fillId="2" borderId="127" xfId="4" applyFont="1" applyFill="1" applyBorder="1" applyAlignment="1">
      <alignment horizontal="center" vertical="center" wrapText="1"/>
    </xf>
    <xf numFmtId="0" fontId="32" fillId="0" borderId="6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3" fontId="25" fillId="27" borderId="157" xfId="4" applyNumberFormat="1" applyFont="1" applyFill="1" applyBorder="1" applyAlignment="1">
      <alignment horizontal="center" vertical="center"/>
    </xf>
    <xf numFmtId="0" fontId="32" fillId="0" borderId="20" xfId="0" applyFont="1" applyBorder="1" applyAlignment="1">
      <alignment horizontal="center" vertical="center" wrapText="1"/>
    </xf>
    <xf numFmtId="0" fontId="32" fillId="0" borderId="126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18" fillId="0" borderId="81" xfId="4" applyFont="1" applyFill="1" applyBorder="1" applyAlignment="1">
      <alignment horizontal="center" vertical="center" wrapText="1"/>
    </xf>
    <xf numFmtId="0" fontId="18" fillId="0" borderId="41" xfId="4" applyFont="1" applyFill="1" applyBorder="1" applyAlignment="1">
      <alignment horizontal="center" vertical="center" wrapText="1"/>
    </xf>
    <xf numFmtId="3" fontId="24" fillId="27" borderId="13" xfId="4" applyNumberFormat="1" applyFont="1" applyFill="1" applyBorder="1" applyAlignment="1">
      <alignment horizontal="center" vertical="center"/>
    </xf>
    <xf numFmtId="3" fontId="24" fillId="27" borderId="12" xfId="4" applyNumberFormat="1" applyFont="1" applyFill="1" applyBorder="1" applyAlignment="1">
      <alignment horizontal="center" vertical="center"/>
    </xf>
    <xf numFmtId="0" fontId="17" fillId="0" borderId="5" xfId="4" applyFont="1" applyFill="1" applyBorder="1" applyAlignment="1">
      <alignment horizontal="center" vertical="center" wrapText="1"/>
    </xf>
    <xf numFmtId="0" fontId="17" fillId="0" borderId="11" xfId="4" applyFont="1" applyFill="1" applyBorder="1" applyAlignment="1">
      <alignment horizontal="center" vertical="center" wrapText="1"/>
    </xf>
    <xf numFmtId="0" fontId="17" fillId="0" borderId="25" xfId="4" applyFont="1" applyFill="1" applyBorder="1" applyAlignment="1">
      <alignment horizontal="center" vertical="center" wrapText="1"/>
    </xf>
    <xf numFmtId="3" fontId="24" fillId="27" borderId="177" xfId="4" applyNumberFormat="1" applyFont="1" applyFill="1" applyBorder="1" applyAlignment="1">
      <alignment horizontal="center" vertical="center"/>
    </xf>
    <xf numFmtId="3" fontId="24" fillId="27" borderId="165" xfId="4" applyNumberFormat="1" applyFont="1" applyFill="1" applyBorder="1" applyAlignment="1">
      <alignment horizontal="center" vertical="center"/>
    </xf>
    <xf numFmtId="3" fontId="25" fillId="27" borderId="177" xfId="4" applyNumberFormat="1" applyFont="1" applyFill="1" applyBorder="1" applyAlignment="1">
      <alignment horizontal="center" vertical="center"/>
    </xf>
    <xf numFmtId="0" fontId="25" fillId="2" borderId="179" xfId="4" applyFont="1" applyFill="1" applyBorder="1" applyAlignment="1">
      <alignment horizontal="center" vertical="center" wrapText="1"/>
    </xf>
    <xf numFmtId="0" fontId="32" fillId="0" borderId="187" xfId="0" applyFont="1" applyBorder="1" applyAlignment="1">
      <alignment horizontal="center" vertical="center" wrapText="1"/>
    </xf>
    <xf numFmtId="0" fontId="16" fillId="2" borderId="0" xfId="4" applyFont="1" applyFill="1" applyBorder="1" applyAlignment="1">
      <alignment horizontal="left" vertical="center" wrapText="1"/>
    </xf>
    <xf numFmtId="0" fontId="18" fillId="0" borderId="14" xfId="4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18" fillId="0" borderId="2" xfId="4" applyFont="1" applyBorder="1" applyAlignment="1">
      <alignment horizontal="center" vertical="center" wrapText="1"/>
    </xf>
    <xf numFmtId="0" fontId="22" fillId="0" borderId="74" xfId="6" applyFont="1" applyBorder="1" applyAlignment="1">
      <alignment horizontal="center" vertical="center" wrapText="1"/>
    </xf>
    <xf numFmtId="0" fontId="21" fillId="0" borderId="66" xfId="4" applyFont="1" applyBorder="1" applyAlignment="1">
      <alignment horizontal="center" vertical="center" wrapText="1"/>
    </xf>
    <xf numFmtId="0" fontId="21" fillId="0" borderId="69" xfId="4" applyFont="1" applyBorder="1" applyAlignment="1">
      <alignment horizontal="center" vertical="center" wrapText="1"/>
    </xf>
    <xf numFmtId="0" fontId="18" fillId="8" borderId="5" xfId="4" applyFont="1" applyFill="1" applyBorder="1" applyAlignment="1">
      <alignment horizontal="center" vertical="center" wrapText="1"/>
    </xf>
    <xf numFmtId="0" fontId="18" fillId="8" borderId="11" xfId="4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/>
    </xf>
    <xf numFmtId="0" fontId="20" fillId="19" borderId="15" xfId="4" applyFont="1" applyFill="1" applyBorder="1" applyAlignment="1">
      <alignment horizontal="center" vertical="center" wrapText="1"/>
    </xf>
    <xf numFmtId="0" fontId="0" fillId="19" borderId="12" xfId="0" applyFont="1" applyFill="1" applyBorder="1" applyAlignment="1">
      <alignment horizontal="center" vertical="center" wrapText="1"/>
    </xf>
    <xf numFmtId="3" fontId="25" fillId="24" borderId="165" xfId="4" applyNumberFormat="1" applyFont="1" applyFill="1" applyBorder="1" applyAlignment="1">
      <alignment horizontal="center" vertical="center"/>
    </xf>
    <xf numFmtId="3" fontId="25" fillId="24" borderId="13" xfId="4" applyNumberFormat="1" applyFont="1" applyFill="1" applyBorder="1" applyAlignment="1">
      <alignment horizontal="center" vertical="center"/>
    </xf>
    <xf numFmtId="3" fontId="25" fillId="24" borderId="12" xfId="4" applyNumberFormat="1" applyFont="1" applyFill="1" applyBorder="1" applyAlignment="1">
      <alignment horizontal="center" vertical="center"/>
    </xf>
    <xf numFmtId="3" fontId="24" fillId="25" borderId="165" xfId="4" applyNumberFormat="1" applyFont="1" applyFill="1" applyBorder="1" applyAlignment="1">
      <alignment horizontal="center" vertical="center"/>
    </xf>
    <xf numFmtId="3" fontId="24" fillId="25" borderId="13" xfId="4" applyNumberFormat="1" applyFont="1" applyFill="1" applyBorder="1" applyAlignment="1">
      <alignment horizontal="center" vertical="center"/>
    </xf>
    <xf numFmtId="3" fontId="24" fillId="25" borderId="12" xfId="4" applyNumberFormat="1" applyFont="1" applyFill="1" applyBorder="1" applyAlignment="1">
      <alignment horizontal="center" vertical="center"/>
    </xf>
    <xf numFmtId="0" fontId="25" fillId="0" borderId="78" xfId="4" applyFont="1" applyBorder="1" applyAlignment="1">
      <alignment horizontal="center" vertical="center" wrapText="1"/>
    </xf>
    <xf numFmtId="0" fontId="25" fillId="0" borderId="18" xfId="4" applyFont="1" applyBorder="1" applyAlignment="1">
      <alignment horizontal="center" vertical="center" wrapText="1"/>
    </xf>
    <xf numFmtId="0" fontId="25" fillId="0" borderId="17" xfId="4" applyFont="1" applyBorder="1" applyAlignment="1">
      <alignment horizontal="center" vertical="center" wrapText="1"/>
    </xf>
    <xf numFmtId="0" fontId="23" fillId="0" borderId="15" xfId="6" applyFont="1" applyBorder="1" applyAlignment="1">
      <alignment horizontal="center" vertical="center" wrapText="1"/>
    </xf>
    <xf numFmtId="0" fontId="23" fillId="0" borderId="12" xfId="6" applyFont="1" applyBorder="1" applyAlignment="1">
      <alignment horizontal="center" vertical="center"/>
    </xf>
    <xf numFmtId="0" fontId="17" fillId="0" borderId="14" xfId="4" applyFont="1" applyBorder="1" applyAlignment="1">
      <alignment horizontal="center" vertical="center"/>
    </xf>
    <xf numFmtId="0" fontId="17" fillId="0" borderId="20" xfId="4" applyFont="1" applyBorder="1" applyAlignment="1">
      <alignment horizontal="center" vertical="center"/>
    </xf>
    <xf numFmtId="0" fontId="17" fillId="0" borderId="70" xfId="4" applyFont="1" applyBorder="1" applyAlignment="1">
      <alignment horizontal="center" vertical="center" wrapText="1"/>
    </xf>
    <xf numFmtId="0" fontId="17" fillId="0" borderId="155" xfId="4" applyFont="1" applyBorder="1" applyAlignment="1">
      <alignment horizontal="center" vertical="center" wrapText="1"/>
    </xf>
    <xf numFmtId="3" fontId="31" fillId="27" borderId="165" xfId="4" applyNumberFormat="1" applyFont="1" applyFill="1" applyBorder="1" applyAlignment="1">
      <alignment horizontal="center" vertical="center"/>
    </xf>
    <xf numFmtId="3" fontId="31" fillId="27" borderId="13" xfId="4" applyNumberFormat="1" applyFont="1" applyFill="1" applyBorder="1" applyAlignment="1">
      <alignment horizontal="center" vertical="center"/>
    </xf>
    <xf numFmtId="3" fontId="31" fillId="27" borderId="12" xfId="4" applyNumberFormat="1" applyFont="1" applyFill="1" applyBorder="1" applyAlignment="1">
      <alignment horizontal="center" vertical="center"/>
    </xf>
    <xf numFmtId="3" fontId="24" fillId="2" borderId="179" xfId="4" applyNumberFormat="1" applyFont="1" applyFill="1" applyBorder="1" applyAlignment="1">
      <alignment horizontal="center" vertical="center" wrapText="1"/>
    </xf>
    <xf numFmtId="0" fontId="25" fillId="2" borderId="6" xfId="4" applyFont="1" applyFill="1" applyBorder="1" applyAlignment="1">
      <alignment horizontal="center" vertical="center" wrapText="1"/>
    </xf>
    <xf numFmtId="0" fontId="26" fillId="0" borderId="127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3" fontId="24" fillId="27" borderId="172" xfId="4" applyNumberFormat="1" applyFont="1" applyFill="1" applyBorder="1" applyAlignment="1">
      <alignment horizontal="center" vertical="center"/>
    </xf>
    <xf numFmtId="3" fontId="24" fillId="27" borderId="27" xfId="4" applyNumberFormat="1" applyFont="1" applyFill="1" applyBorder="1" applyAlignment="1">
      <alignment horizontal="center" vertical="center"/>
    </xf>
    <xf numFmtId="3" fontId="24" fillId="27" borderId="23" xfId="4" applyNumberFormat="1" applyFont="1" applyFill="1" applyBorder="1" applyAlignment="1">
      <alignment horizontal="center" vertical="center"/>
    </xf>
    <xf numFmtId="3" fontId="24" fillId="27" borderId="63" xfId="4" applyNumberFormat="1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 wrapText="1"/>
    </xf>
    <xf numFmtId="3" fontId="25" fillId="2" borderId="103" xfId="4" applyNumberFormat="1" applyFont="1" applyFill="1" applyBorder="1" applyAlignment="1">
      <alignment horizontal="center" vertical="center" wrapText="1"/>
    </xf>
    <xf numFmtId="0" fontId="18" fillId="13" borderId="42" xfId="4" applyFont="1" applyFill="1" applyBorder="1" applyAlignment="1">
      <alignment horizontal="center" vertical="center" wrapText="1"/>
    </xf>
    <xf numFmtId="0" fontId="18" fillId="13" borderId="43" xfId="4" applyFont="1" applyFill="1" applyBorder="1" applyAlignment="1">
      <alignment horizontal="center" vertical="center" wrapText="1"/>
    </xf>
    <xf numFmtId="0" fontId="23" fillId="0" borderId="127" xfId="0" applyFont="1" applyBorder="1" applyAlignment="1">
      <alignment horizontal="center" vertical="center"/>
    </xf>
    <xf numFmtId="43" fontId="24" fillId="23" borderId="62" xfId="1" applyFont="1" applyFill="1" applyBorder="1" applyAlignment="1">
      <alignment horizontal="center" vertical="center"/>
    </xf>
    <xf numFmtId="43" fontId="24" fillId="23" borderId="10" xfId="1" applyFont="1" applyFill="1" applyBorder="1" applyAlignment="1">
      <alignment horizontal="center" vertical="center"/>
    </xf>
    <xf numFmtId="43" fontId="24" fillId="23" borderId="74" xfId="1" applyFont="1" applyFill="1" applyBorder="1" applyAlignment="1">
      <alignment horizontal="center" vertical="center"/>
    </xf>
    <xf numFmtId="43" fontId="24" fillId="23" borderId="165" xfId="1" applyFont="1" applyFill="1" applyBorder="1" applyAlignment="1">
      <alignment horizontal="center" vertical="center"/>
    </xf>
    <xf numFmtId="43" fontId="24" fillId="23" borderId="13" xfId="1" applyFont="1" applyFill="1" applyBorder="1" applyAlignment="1">
      <alignment horizontal="center" vertical="center"/>
    </xf>
    <xf numFmtId="43" fontId="24" fillId="23" borderId="12" xfId="1" applyFont="1" applyFill="1" applyBorder="1" applyAlignment="1">
      <alignment horizontal="center" vertical="center"/>
    </xf>
    <xf numFmtId="3" fontId="25" fillId="26" borderId="177" xfId="4" applyNumberFormat="1" applyFont="1" applyFill="1" applyBorder="1" applyAlignment="1">
      <alignment horizontal="center" vertical="center"/>
    </xf>
    <xf numFmtId="3" fontId="25" fillId="26" borderId="13" xfId="4" applyNumberFormat="1" applyFont="1" applyFill="1" applyBorder="1" applyAlignment="1">
      <alignment horizontal="center" vertical="center"/>
    </xf>
    <xf numFmtId="3" fontId="25" fillId="26" borderId="12" xfId="4" applyNumberFormat="1" applyFont="1" applyFill="1" applyBorder="1" applyAlignment="1">
      <alignment horizontal="center" vertical="center"/>
    </xf>
    <xf numFmtId="3" fontId="25" fillId="26" borderId="63" xfId="4" applyNumberFormat="1" applyFont="1" applyFill="1" applyBorder="1" applyAlignment="1">
      <alignment horizontal="center" vertical="center"/>
    </xf>
    <xf numFmtId="3" fontId="18" fillId="0" borderId="126" xfId="4" applyNumberFormat="1" applyFont="1" applyFill="1" applyBorder="1" applyAlignment="1">
      <alignment horizontal="center" vertical="center" wrapText="1"/>
    </xf>
    <xf numFmtId="0" fontId="24" fillId="0" borderId="5" xfId="4" applyFont="1" applyFill="1" applyBorder="1" applyAlignment="1">
      <alignment horizontal="center" vertical="center" wrapText="1"/>
    </xf>
    <xf numFmtId="0" fontId="24" fillId="0" borderId="11" xfId="4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22" fillId="0" borderId="43" xfId="0" applyFont="1" applyBorder="1" applyAlignment="1">
      <alignment vertical="center" wrapText="1"/>
    </xf>
    <xf numFmtId="0" fontId="22" fillId="0" borderId="41" xfId="0" applyFont="1" applyBorder="1" applyAlignment="1">
      <alignment vertical="center" wrapText="1"/>
    </xf>
    <xf numFmtId="3" fontId="18" fillId="0" borderId="81" xfId="4" applyNumberFormat="1" applyFont="1" applyFill="1" applyBorder="1" applyAlignment="1">
      <alignment horizontal="center" vertical="center" wrapText="1"/>
    </xf>
    <xf numFmtId="0" fontId="23" fillId="0" borderId="127" xfId="0" applyFont="1" applyBorder="1" applyAlignment="1">
      <alignment horizontal="center" vertical="center" wrapText="1"/>
    </xf>
    <xf numFmtId="3" fontId="25" fillId="26" borderId="165" xfId="4" applyNumberFormat="1" applyFont="1" applyFill="1" applyBorder="1" applyAlignment="1">
      <alignment horizontal="center" vertical="center"/>
    </xf>
    <xf numFmtId="43" fontId="24" fillId="23" borderId="108" xfId="1" applyFont="1" applyFill="1" applyBorder="1" applyAlignment="1">
      <alignment horizontal="center" vertical="center"/>
    </xf>
    <xf numFmtId="0" fontId="24" fillId="28" borderId="5" xfId="4" applyFont="1" applyFill="1" applyBorder="1" applyAlignment="1">
      <alignment horizontal="center" vertical="center" wrapText="1"/>
    </xf>
    <xf numFmtId="0" fontId="24" fillId="28" borderId="11" xfId="4" applyFont="1" applyFill="1" applyBorder="1" applyAlignment="1">
      <alignment horizontal="center" vertical="center" wrapText="1"/>
    </xf>
    <xf numFmtId="0" fontId="24" fillId="28" borderId="25" xfId="4" applyFont="1" applyFill="1" applyBorder="1" applyAlignment="1">
      <alignment horizontal="center" vertical="center" wrapText="1"/>
    </xf>
    <xf numFmtId="0" fontId="24" fillId="0" borderId="25" xfId="4" applyFont="1" applyFill="1" applyBorder="1" applyAlignment="1">
      <alignment horizontal="center" vertical="center"/>
    </xf>
    <xf numFmtId="3" fontId="31" fillId="26" borderId="27" xfId="4" applyNumberFormat="1" applyFont="1" applyFill="1" applyBorder="1" applyAlignment="1">
      <alignment horizontal="center" vertical="center"/>
    </xf>
    <xf numFmtId="3" fontId="31" fillId="26" borderId="23" xfId="4" applyNumberFormat="1" applyFont="1" applyFill="1" applyBorder="1" applyAlignment="1">
      <alignment horizontal="center" vertical="center"/>
    </xf>
    <xf numFmtId="0" fontId="24" fillId="0" borderId="42" xfId="4" applyFont="1" applyFill="1" applyBorder="1" applyAlignment="1">
      <alignment horizontal="center" vertical="center" wrapText="1"/>
    </xf>
    <xf numFmtId="0" fontId="24" fillId="0" borderId="43" xfId="4" applyFont="1" applyFill="1" applyBorder="1" applyAlignment="1">
      <alignment horizontal="center" vertical="center" wrapText="1"/>
    </xf>
    <xf numFmtId="0" fontId="24" fillId="0" borderId="46" xfId="4" applyFont="1" applyFill="1" applyBorder="1" applyAlignment="1">
      <alignment horizontal="center" vertical="center" wrapText="1"/>
    </xf>
    <xf numFmtId="3" fontId="25" fillId="2" borderId="155" xfId="4" applyNumberFormat="1" applyFont="1" applyFill="1" applyBorder="1" applyAlignment="1">
      <alignment horizontal="center" vertical="center" wrapText="1"/>
    </xf>
    <xf numFmtId="0" fontId="32" fillId="0" borderId="155" xfId="0" applyFont="1" applyBorder="1" applyAlignment="1">
      <alignment horizontal="center" vertical="center" wrapText="1"/>
    </xf>
    <xf numFmtId="0" fontId="32" fillId="0" borderId="181" xfId="0" applyFont="1" applyBorder="1" applyAlignment="1">
      <alignment horizontal="center" vertical="center" wrapText="1"/>
    </xf>
    <xf numFmtId="3" fontId="24" fillId="27" borderId="181" xfId="4" applyNumberFormat="1" applyFont="1" applyFill="1" applyBorder="1" applyAlignment="1">
      <alignment horizontal="center" vertical="center"/>
    </xf>
    <xf numFmtId="3" fontId="24" fillId="27" borderId="191" xfId="4" applyNumberFormat="1" applyFont="1" applyFill="1" applyBorder="1" applyAlignment="1">
      <alignment horizontal="center" vertical="center"/>
    </xf>
    <xf numFmtId="0" fontId="23" fillId="0" borderId="181" xfId="0" applyFont="1" applyBorder="1" applyAlignment="1">
      <alignment horizontal="center" vertical="center" wrapText="1"/>
    </xf>
    <xf numFmtId="0" fontId="23" fillId="0" borderId="191" xfId="0" applyFont="1" applyBorder="1" applyAlignment="1">
      <alignment horizontal="center" vertical="center" wrapText="1"/>
    </xf>
    <xf numFmtId="0" fontId="17" fillId="0" borderId="16" xfId="4" applyFont="1" applyFill="1" applyBorder="1" applyAlignment="1">
      <alignment horizontal="center" vertical="center" wrapText="1"/>
    </xf>
    <xf numFmtId="0" fontId="17" fillId="0" borderId="173" xfId="4" applyFont="1" applyFill="1" applyBorder="1" applyAlignment="1">
      <alignment horizontal="center" vertical="center" wrapText="1"/>
    </xf>
    <xf numFmtId="0" fontId="17" fillId="0" borderId="182" xfId="4" applyFont="1" applyFill="1" applyBorder="1" applyAlignment="1">
      <alignment horizontal="center" vertical="center" wrapText="1"/>
    </xf>
    <xf numFmtId="0" fontId="0" fillId="0" borderId="173" xfId="0" applyFont="1" applyBorder="1" applyAlignment="1">
      <alignment horizontal="center" vertical="center" wrapText="1"/>
    </xf>
    <xf numFmtId="0" fontId="0" fillId="0" borderId="182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3" fontId="25" fillId="0" borderId="175" xfId="4" applyNumberFormat="1" applyFont="1" applyFill="1" applyBorder="1" applyAlignment="1">
      <alignment horizontal="center" vertical="center" wrapText="1"/>
    </xf>
    <xf numFmtId="0" fontId="32" fillId="0" borderId="175" xfId="0" applyFont="1" applyFill="1" applyBorder="1" applyAlignment="1">
      <alignment horizontal="center" vertical="center" wrapText="1"/>
    </xf>
    <xf numFmtId="0" fontId="32" fillId="0" borderId="181" xfId="0" applyFont="1" applyFill="1" applyBorder="1" applyAlignment="1">
      <alignment horizontal="center" vertical="center" wrapText="1"/>
    </xf>
    <xf numFmtId="3" fontId="24" fillId="27" borderId="175" xfId="4" applyNumberFormat="1" applyFont="1" applyFill="1" applyBorder="1" applyAlignment="1">
      <alignment horizontal="center" vertical="center"/>
    </xf>
    <xf numFmtId="3" fontId="24" fillId="27" borderId="119" xfId="4" applyNumberFormat="1" applyFont="1" applyFill="1" applyBorder="1" applyAlignment="1">
      <alignment horizontal="center" vertical="center"/>
    </xf>
    <xf numFmtId="0" fontId="23" fillId="0" borderId="187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177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3" fontId="25" fillId="2" borderId="171" xfId="4" applyNumberFormat="1" applyFont="1" applyFill="1" applyBorder="1" applyAlignment="1">
      <alignment horizontal="center" vertical="center" wrapText="1"/>
    </xf>
    <xf numFmtId="0" fontId="32" fillId="0" borderId="171" xfId="0" applyFont="1" applyBorder="1" applyAlignment="1">
      <alignment horizontal="center" vertical="center" wrapText="1"/>
    </xf>
    <xf numFmtId="3" fontId="24" fillId="27" borderId="171" xfId="4" applyNumberFormat="1" applyFont="1" applyFill="1" applyBorder="1" applyAlignment="1">
      <alignment horizontal="center" vertical="center"/>
    </xf>
    <xf numFmtId="0" fontId="17" fillId="0" borderId="182" xfId="4" applyFont="1" applyFill="1" applyBorder="1" applyAlignment="1">
      <alignment horizontal="center" vertical="center"/>
    </xf>
    <xf numFmtId="0" fontId="17" fillId="0" borderId="37" xfId="4" applyFont="1" applyFill="1" applyBorder="1" applyAlignment="1">
      <alignment horizontal="center" vertical="center"/>
    </xf>
    <xf numFmtId="3" fontId="25" fillId="2" borderId="181" xfId="4" applyNumberFormat="1" applyFont="1" applyFill="1" applyBorder="1" applyAlignment="1">
      <alignment horizontal="center" vertical="center" wrapText="1"/>
    </xf>
    <xf numFmtId="0" fontId="25" fillId="2" borderId="181" xfId="4" applyFont="1" applyFill="1" applyBorder="1" applyAlignment="1">
      <alignment horizontal="center" vertical="center" wrapText="1"/>
    </xf>
    <xf numFmtId="0" fontId="32" fillId="0" borderId="181" xfId="0" applyFont="1" applyBorder="1" applyAlignment="1">
      <alignment wrapText="1"/>
    </xf>
    <xf numFmtId="0" fontId="32" fillId="0" borderId="191" xfId="0" applyFont="1" applyBorder="1" applyAlignment="1">
      <alignment wrapText="1"/>
    </xf>
    <xf numFmtId="0" fontId="17" fillId="0" borderId="16" xfId="4" quotePrefix="1" applyFont="1" applyFill="1" applyBorder="1" applyAlignment="1">
      <alignment horizontal="center" vertical="center" wrapText="1"/>
    </xf>
    <xf numFmtId="0" fontId="17" fillId="0" borderId="160" xfId="4" applyFont="1" applyFill="1" applyBorder="1" applyAlignment="1">
      <alignment horizontal="center" vertical="center" wrapText="1"/>
    </xf>
    <xf numFmtId="0" fontId="0" fillId="0" borderId="160" xfId="0" applyFont="1" applyBorder="1" applyAlignment="1">
      <alignment horizontal="center" vertical="center" wrapText="1"/>
    </xf>
    <xf numFmtId="3" fontId="25" fillId="0" borderId="155" xfId="4" applyNumberFormat="1" applyFont="1" applyFill="1" applyBorder="1" applyAlignment="1">
      <alignment horizontal="center" vertical="center" wrapText="1"/>
    </xf>
    <xf numFmtId="0" fontId="32" fillId="0" borderId="155" xfId="0" applyFont="1" applyFill="1" applyBorder="1" applyAlignment="1">
      <alignment horizontal="center" vertical="center" wrapText="1"/>
    </xf>
    <xf numFmtId="0" fontId="25" fillId="0" borderId="165" xfId="4" applyFont="1" applyFill="1" applyBorder="1" applyAlignment="1">
      <alignment horizontal="center" wrapText="1"/>
    </xf>
    <xf numFmtId="0" fontId="32" fillId="0" borderId="13" xfId="0" applyFont="1" applyFill="1" applyBorder="1" applyAlignment="1">
      <alignment horizontal="center" wrapText="1"/>
    </xf>
    <xf numFmtId="0" fontId="32" fillId="0" borderId="12" xfId="0" applyFont="1" applyFill="1" applyBorder="1" applyAlignment="1">
      <alignment horizontal="center" wrapText="1"/>
    </xf>
    <xf numFmtId="3" fontId="24" fillId="27" borderId="155" xfId="4" applyNumberFormat="1" applyFont="1" applyFill="1" applyBorder="1" applyAlignment="1">
      <alignment horizontal="center" vertical="center"/>
    </xf>
    <xf numFmtId="0" fontId="24" fillId="0" borderId="187" xfId="4" applyFont="1" applyFill="1" applyBorder="1" applyAlignment="1">
      <alignment horizontal="center" vertical="center" wrapText="1"/>
    </xf>
    <xf numFmtId="0" fontId="16" fillId="2" borderId="23" xfId="4" applyFont="1" applyFill="1" applyBorder="1" applyAlignment="1">
      <alignment horizontal="left" vertical="center" wrapText="1"/>
    </xf>
    <xf numFmtId="0" fontId="16" fillId="2" borderId="12" xfId="4" applyFont="1" applyFill="1" applyBorder="1" applyAlignment="1">
      <alignment horizontal="left" vertical="center" wrapText="1"/>
    </xf>
    <xf numFmtId="0" fontId="16" fillId="2" borderId="74" xfId="4" applyFont="1" applyFill="1" applyBorder="1" applyAlignment="1">
      <alignment horizontal="left" vertical="center" wrapText="1"/>
    </xf>
    <xf numFmtId="0" fontId="18" fillId="0" borderId="70" xfId="4" applyFont="1" applyBorder="1" applyAlignment="1">
      <alignment horizontal="center" vertical="center" wrapText="1"/>
    </xf>
    <xf numFmtId="0" fontId="0" fillId="0" borderId="155" xfId="0" applyFont="1" applyBorder="1" applyAlignment="1">
      <alignment horizontal="center" vertical="center" wrapText="1"/>
    </xf>
    <xf numFmtId="0" fontId="22" fillId="0" borderId="155" xfId="6" applyFont="1" applyBorder="1" applyAlignment="1">
      <alignment horizontal="center" vertical="center" wrapText="1"/>
    </xf>
    <xf numFmtId="0" fontId="17" fillId="0" borderId="44" xfId="4" applyFont="1" applyBorder="1" applyAlignment="1">
      <alignment horizontal="center" vertical="center" wrapText="1"/>
    </xf>
    <xf numFmtId="0" fontId="17" fillId="0" borderId="158" xfId="4" applyFont="1" applyBorder="1" applyAlignment="1">
      <alignment horizontal="center" vertical="center" wrapText="1"/>
    </xf>
    <xf numFmtId="0" fontId="20" fillId="19" borderId="70" xfId="4" applyFont="1" applyFill="1" applyBorder="1" applyAlignment="1">
      <alignment horizontal="center" vertical="center" wrapText="1"/>
    </xf>
    <xf numFmtId="0" fontId="0" fillId="19" borderId="155" xfId="0" applyFont="1" applyFill="1" applyBorder="1" applyAlignment="1">
      <alignment horizontal="center" vertical="center" wrapText="1"/>
    </xf>
    <xf numFmtId="0" fontId="17" fillId="0" borderId="160" xfId="4" quotePrefix="1" applyFont="1" applyFill="1" applyBorder="1" applyAlignment="1">
      <alignment horizontal="center" vertical="center" wrapText="1"/>
    </xf>
    <xf numFmtId="0" fontId="17" fillId="0" borderId="162" xfId="4" applyFont="1" applyFill="1" applyBorder="1" applyAlignment="1">
      <alignment horizontal="center" vertical="center" wrapText="1"/>
    </xf>
    <xf numFmtId="0" fontId="32" fillId="0" borderId="156" xfId="0" applyFont="1" applyBorder="1" applyAlignment="1">
      <alignment horizontal="center" vertical="center" wrapText="1"/>
    </xf>
    <xf numFmtId="0" fontId="25" fillId="2" borderId="155" xfId="4" applyFont="1" applyFill="1" applyBorder="1" applyAlignment="1">
      <alignment horizontal="center" vertical="center" wrapText="1"/>
    </xf>
    <xf numFmtId="0" fontId="32" fillId="0" borderId="155" xfId="0" applyFont="1" applyBorder="1" applyAlignment="1">
      <alignment wrapText="1"/>
    </xf>
    <xf numFmtId="0" fontId="32" fillId="0" borderId="119" xfId="0" applyFont="1" applyBorder="1" applyAlignment="1">
      <alignment wrapText="1"/>
    </xf>
    <xf numFmtId="3" fontId="24" fillId="23" borderId="155" xfId="4" applyNumberFormat="1" applyFont="1" applyFill="1" applyBorder="1" applyAlignment="1">
      <alignment horizontal="center" vertical="center"/>
    </xf>
    <xf numFmtId="3" fontId="24" fillId="23" borderId="165" xfId="4" applyNumberFormat="1" applyFont="1" applyFill="1" applyBorder="1" applyAlignment="1">
      <alignment horizontal="center" vertical="center"/>
    </xf>
    <xf numFmtId="3" fontId="24" fillId="23" borderId="119" xfId="4" applyNumberFormat="1" applyFont="1" applyFill="1" applyBorder="1" applyAlignment="1">
      <alignment horizontal="center" vertical="center"/>
    </xf>
    <xf numFmtId="0" fontId="23" fillId="0" borderId="35" xfId="6" applyFont="1" applyBorder="1" applyAlignment="1">
      <alignment horizontal="center" vertical="center"/>
    </xf>
    <xf numFmtId="0" fontId="23" fillId="0" borderId="177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0" fontId="23" fillId="0" borderId="13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17" fillId="0" borderId="37" xfId="4" applyFont="1" applyFill="1" applyBorder="1" applyAlignment="1">
      <alignment horizontal="center" vertical="center" wrapText="1"/>
    </xf>
    <xf numFmtId="0" fontId="17" fillId="0" borderId="20" xfId="4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3" fontId="25" fillId="0" borderId="181" xfId="4" applyNumberFormat="1" applyFont="1" applyFill="1" applyBorder="1" applyAlignment="1">
      <alignment horizontal="center" vertical="center" wrapText="1"/>
    </xf>
    <xf numFmtId="0" fontId="17" fillId="0" borderId="20" xfId="4" applyFont="1" applyFill="1" applyBorder="1" applyAlignment="1">
      <alignment horizontal="center" vertical="center"/>
    </xf>
    <xf numFmtId="0" fontId="17" fillId="0" borderId="160" xfId="4" applyFont="1" applyFill="1" applyBorder="1" applyAlignment="1">
      <alignment horizontal="center" vertical="center"/>
    </xf>
    <xf numFmtId="0" fontId="23" fillId="0" borderId="171" xfId="0" applyFont="1" applyBorder="1" applyAlignment="1">
      <alignment horizontal="center" vertical="center" wrapText="1"/>
    </xf>
    <xf numFmtId="0" fontId="23" fillId="0" borderId="119" xfId="0" applyFont="1" applyBorder="1" applyAlignment="1">
      <alignment horizontal="center" vertical="center" wrapText="1"/>
    </xf>
    <xf numFmtId="0" fontId="23" fillId="0" borderId="165" xfId="0" applyFont="1" applyFill="1" applyBorder="1" applyAlignment="1">
      <alignment horizontal="center" vertical="center" wrapText="1"/>
    </xf>
    <xf numFmtId="0" fontId="16" fillId="2" borderId="213" xfId="0" applyFont="1" applyFill="1" applyBorder="1" applyAlignment="1">
      <alignment vertical="top"/>
    </xf>
    <xf numFmtId="0" fontId="18" fillId="0" borderId="215" xfId="4" applyFont="1" applyBorder="1" applyAlignment="1">
      <alignment horizontal="center" vertical="center" wrapText="1"/>
    </xf>
    <xf numFmtId="0" fontId="0" fillId="0" borderId="222" xfId="0" applyFont="1" applyBorder="1" applyAlignment="1">
      <alignment horizontal="center" vertical="center" wrapText="1"/>
    </xf>
    <xf numFmtId="0" fontId="0" fillId="0" borderId="227" xfId="0" applyFont="1" applyBorder="1" applyAlignment="1">
      <alignment horizontal="center" vertical="center" wrapText="1"/>
    </xf>
    <xf numFmtId="0" fontId="18" fillId="0" borderId="216" xfId="4" applyFont="1" applyBorder="1" applyAlignment="1">
      <alignment horizontal="center" vertical="center" wrapText="1"/>
    </xf>
    <xf numFmtId="0" fontId="22" fillId="0" borderId="223" xfId="6" applyFont="1" applyBorder="1" applyAlignment="1">
      <alignment horizontal="center" vertical="center" wrapText="1"/>
    </xf>
    <xf numFmtId="0" fontId="22" fillId="0" borderId="228" xfId="6" applyFont="1" applyBorder="1" applyAlignment="1">
      <alignment horizontal="center" vertical="center" wrapText="1"/>
    </xf>
    <xf numFmtId="0" fontId="24" fillId="2" borderId="216" xfId="0" applyFont="1" applyFill="1" applyBorder="1" applyAlignment="1">
      <alignment horizontal="center" vertical="center" wrapText="1"/>
    </xf>
    <xf numFmtId="0" fontId="24" fillId="2" borderId="223" xfId="0" applyFont="1" applyFill="1" applyBorder="1" applyAlignment="1">
      <alignment horizontal="center" vertical="center" wrapText="1"/>
    </xf>
    <xf numFmtId="0" fontId="24" fillId="2" borderId="228" xfId="0" applyFont="1" applyFill="1" applyBorder="1" applyAlignment="1">
      <alignment horizontal="center" vertical="center" wrapText="1"/>
    </xf>
    <xf numFmtId="0" fontId="57" fillId="0" borderId="200" xfId="0" applyFont="1" applyFill="1" applyBorder="1" applyAlignment="1">
      <alignment horizontal="left" vertical="top"/>
    </xf>
    <xf numFmtId="0" fontId="13" fillId="2" borderId="200" xfId="0" applyFont="1" applyFill="1" applyBorder="1" applyAlignment="1">
      <alignment horizontal="left" vertical="center" wrapText="1"/>
    </xf>
    <xf numFmtId="0" fontId="24" fillId="2" borderId="251" xfId="0" applyFont="1" applyFill="1" applyBorder="1" applyAlignment="1">
      <alignment horizontal="center" vertical="center" wrapText="1"/>
    </xf>
    <xf numFmtId="0" fontId="24" fillId="2" borderId="222" xfId="0" applyFont="1" applyFill="1" applyBorder="1" applyAlignment="1">
      <alignment horizontal="center" vertical="center" wrapText="1"/>
    </xf>
    <xf numFmtId="0" fontId="24" fillId="2" borderId="227" xfId="0" applyFont="1" applyFill="1" applyBorder="1" applyAlignment="1">
      <alignment horizontal="center" vertical="center" wrapText="1"/>
    </xf>
    <xf numFmtId="0" fontId="17" fillId="2" borderId="214" xfId="0" quotePrefix="1" applyFont="1" applyFill="1" applyBorder="1" applyAlignment="1">
      <alignment horizontal="center" vertical="center" wrapText="1"/>
    </xf>
    <xf numFmtId="0" fontId="17" fillId="2" borderId="221" xfId="0" quotePrefix="1" applyFont="1" applyFill="1" applyBorder="1" applyAlignment="1">
      <alignment horizontal="center" vertical="center" wrapText="1"/>
    </xf>
    <xf numFmtId="0" fontId="17" fillId="2" borderId="226" xfId="0" quotePrefix="1" applyFont="1" applyFill="1" applyBorder="1" applyAlignment="1">
      <alignment horizontal="center" vertical="center" wrapText="1"/>
    </xf>
    <xf numFmtId="0" fontId="17" fillId="0" borderId="220" xfId="4" applyFont="1" applyBorder="1" applyAlignment="1">
      <alignment horizontal="center" vertical="center" wrapText="1"/>
    </xf>
    <xf numFmtId="0" fontId="17" fillId="0" borderId="225" xfId="4" applyFont="1" applyBorder="1" applyAlignment="1">
      <alignment horizontal="center" vertical="center" wrapText="1"/>
    </xf>
    <xf numFmtId="0" fontId="17" fillId="0" borderId="229" xfId="4" applyFont="1" applyBorder="1" applyAlignment="1">
      <alignment horizontal="center" vertical="center" wrapText="1"/>
    </xf>
    <xf numFmtId="0" fontId="20" fillId="19" borderId="216" xfId="4" applyFont="1" applyFill="1" applyBorder="1" applyAlignment="1">
      <alignment horizontal="center" vertical="center" wrapText="1"/>
    </xf>
    <xf numFmtId="0" fontId="0" fillId="19" borderId="223" xfId="0" applyFont="1" applyFill="1" applyBorder="1" applyAlignment="1">
      <alignment horizontal="center" vertical="center" wrapText="1"/>
    </xf>
    <xf numFmtId="0" fontId="0" fillId="19" borderId="228" xfId="0" applyFont="1" applyFill="1" applyBorder="1" applyAlignment="1">
      <alignment horizontal="center" vertical="center" wrapText="1"/>
    </xf>
    <xf numFmtId="3" fontId="25" fillId="23" borderId="235" xfId="0" applyNumberFormat="1" applyFont="1" applyFill="1" applyBorder="1" applyAlignment="1">
      <alignment horizontal="center" vertical="center"/>
    </xf>
    <xf numFmtId="3" fontId="25" fillId="23" borderId="245" xfId="0" applyNumberFormat="1" applyFont="1" applyFill="1" applyBorder="1" applyAlignment="1">
      <alignment horizontal="center" vertical="center"/>
    </xf>
    <xf numFmtId="3" fontId="25" fillId="23" borderId="238" xfId="0" applyNumberFormat="1" applyFont="1" applyFill="1" applyBorder="1" applyAlignment="1">
      <alignment horizontal="center" vertical="center"/>
    </xf>
    <xf numFmtId="0" fontId="25" fillId="0" borderId="217" xfId="4" applyFont="1" applyBorder="1" applyAlignment="1">
      <alignment horizontal="center" vertical="center" wrapText="1"/>
    </xf>
    <xf numFmtId="0" fontId="25" fillId="0" borderId="218" xfId="4" applyFont="1" applyBorder="1" applyAlignment="1">
      <alignment horizontal="center" vertical="center" wrapText="1"/>
    </xf>
    <xf numFmtId="0" fontId="25" fillId="0" borderId="219" xfId="4" applyFont="1" applyBorder="1" applyAlignment="1">
      <alignment horizontal="center" vertical="center" wrapText="1"/>
    </xf>
    <xf numFmtId="0" fontId="23" fillId="0" borderId="224" xfId="6" applyFont="1" applyBorder="1" applyAlignment="1">
      <alignment horizontal="center" vertical="center"/>
    </xf>
    <xf numFmtId="0" fontId="23" fillId="0" borderId="228" xfId="6" applyFont="1" applyBorder="1" applyAlignment="1">
      <alignment horizontal="center" vertical="center"/>
    </xf>
    <xf numFmtId="0" fontId="23" fillId="0" borderId="216" xfId="6" applyFont="1" applyBorder="1" applyAlignment="1">
      <alignment horizontal="center" vertical="center" wrapText="1"/>
    </xf>
    <xf numFmtId="0" fontId="23" fillId="0" borderId="223" xfId="6" applyFont="1" applyBorder="1" applyAlignment="1">
      <alignment horizontal="center" vertical="center" wrapText="1"/>
    </xf>
    <xf numFmtId="0" fontId="23" fillId="0" borderId="228" xfId="6" applyFont="1" applyBorder="1" applyAlignment="1">
      <alignment horizontal="center" vertical="center" wrapText="1"/>
    </xf>
    <xf numFmtId="0" fontId="18" fillId="0" borderId="200" xfId="0" applyFont="1" applyFill="1" applyBorder="1" applyAlignment="1">
      <alignment horizontal="left" vertical="top" wrapText="1"/>
    </xf>
    <xf numFmtId="0" fontId="24" fillId="0" borderId="251" xfId="0" applyFont="1" applyFill="1" applyBorder="1" applyAlignment="1">
      <alignment horizontal="center" vertical="center" wrapText="1"/>
    </xf>
    <xf numFmtId="0" fontId="23" fillId="0" borderId="222" xfId="0" applyFont="1" applyBorder="1" applyAlignment="1">
      <alignment horizontal="center" vertical="center" wrapText="1"/>
    </xf>
    <xf numFmtId="0" fontId="23" fillId="0" borderId="252" xfId="0" applyFont="1" applyBorder="1" applyAlignment="1">
      <alignment horizontal="center" vertical="center" wrapText="1"/>
    </xf>
    <xf numFmtId="0" fontId="37" fillId="0" borderId="251" xfId="0" applyFont="1" applyBorder="1" applyAlignment="1">
      <alignment horizontal="center" vertical="center" wrapText="1"/>
    </xf>
    <xf numFmtId="0" fontId="37" fillId="0" borderId="222" xfId="0" applyFont="1" applyBorder="1" applyAlignment="1">
      <alignment horizontal="center" vertical="center" wrapText="1"/>
    </xf>
    <xf numFmtId="0" fontId="37" fillId="0" borderId="227" xfId="0" applyFont="1" applyBorder="1" applyAlignment="1">
      <alignment horizontal="center" vertical="center" wrapText="1"/>
    </xf>
    <xf numFmtId="43" fontId="25" fillId="23" borderId="235" xfId="1" applyFont="1" applyFill="1" applyBorder="1" applyAlignment="1">
      <alignment horizontal="center" vertical="center"/>
    </xf>
    <xf numFmtId="43" fontId="25" fillId="23" borderId="245" xfId="1" applyFont="1" applyFill="1" applyBorder="1" applyAlignment="1">
      <alignment horizontal="center" vertical="center"/>
    </xf>
    <xf numFmtId="43" fontId="25" fillId="23" borderId="238" xfId="1" applyFont="1" applyFill="1" applyBorder="1" applyAlignment="1">
      <alignment horizontal="center" vertical="center"/>
    </xf>
    <xf numFmtId="0" fontId="0" fillId="0" borderId="250" xfId="0" applyFont="1" applyBorder="1"/>
    <xf numFmtId="0" fontId="0" fillId="0" borderId="253" xfId="0" applyFont="1" applyBorder="1"/>
    <xf numFmtId="0" fontId="18" fillId="0" borderId="220" xfId="0" applyFont="1" applyFill="1" applyBorder="1" applyAlignment="1">
      <alignment horizontal="center" vertical="center" wrapText="1"/>
    </xf>
    <xf numFmtId="0" fontId="18" fillId="0" borderId="225" xfId="0" applyFont="1" applyFill="1" applyBorder="1" applyAlignment="1">
      <alignment horizontal="center" vertical="center" wrapText="1"/>
    </xf>
    <xf numFmtId="0" fontId="0" fillId="0" borderId="225" xfId="0" applyFont="1" applyBorder="1" applyAlignment="1">
      <alignment horizontal="center" wrapText="1"/>
    </xf>
    <xf numFmtId="0" fontId="0" fillId="0" borderId="229" xfId="0" applyFont="1" applyBorder="1" applyAlignment="1">
      <alignment horizontal="center" wrapText="1"/>
    </xf>
    <xf numFmtId="49" fontId="22" fillId="0" borderId="214" xfId="3" applyNumberFormat="1" applyFont="1" applyBorder="1" applyAlignment="1">
      <alignment horizontal="center" vertical="center" wrapText="1"/>
    </xf>
    <xf numFmtId="49" fontId="22" fillId="0" borderId="221" xfId="3" applyNumberFormat="1" applyFont="1" applyBorder="1" applyAlignment="1">
      <alignment horizontal="center" vertical="center" wrapText="1"/>
    </xf>
    <xf numFmtId="49" fontId="22" fillId="0" borderId="226" xfId="3" applyNumberFormat="1" applyFont="1" applyBorder="1" applyAlignment="1">
      <alignment horizontal="center" vertical="center" wrapText="1"/>
    </xf>
    <xf numFmtId="49" fontId="22" fillId="0" borderId="220" xfId="3" applyNumberFormat="1" applyFont="1" applyBorder="1" applyAlignment="1">
      <alignment horizontal="center" vertical="center" wrapText="1"/>
    </xf>
    <xf numFmtId="49" fontId="22" fillId="0" borderId="225" xfId="3" applyNumberFormat="1" applyFont="1" applyBorder="1" applyAlignment="1">
      <alignment horizontal="center" vertical="center" wrapText="1"/>
    </xf>
    <xf numFmtId="49" fontId="22" fillId="0" borderId="229" xfId="3" applyNumberFormat="1" applyFont="1" applyBorder="1" applyAlignment="1">
      <alignment horizontal="center" vertical="center" wrapText="1"/>
    </xf>
    <xf numFmtId="49" fontId="99" fillId="0" borderId="220" xfId="3" applyNumberFormat="1" applyFont="1" applyBorder="1" applyAlignment="1">
      <alignment horizontal="center" vertical="center" wrapText="1"/>
    </xf>
    <xf numFmtId="49" fontId="99" fillId="0" borderId="225" xfId="3" applyNumberFormat="1" applyFont="1" applyBorder="1" applyAlignment="1">
      <alignment horizontal="center" vertical="center" wrapText="1"/>
    </xf>
    <xf numFmtId="49" fontId="99" fillId="0" borderId="229" xfId="3" applyNumberFormat="1" applyFont="1" applyBorder="1" applyAlignment="1">
      <alignment horizontal="center" vertical="center" wrapText="1"/>
    </xf>
    <xf numFmtId="2" fontId="17" fillId="0" borderId="214" xfId="0" applyNumberFormat="1" applyFont="1" applyFill="1" applyBorder="1" applyAlignment="1">
      <alignment horizontal="center" vertical="center"/>
    </xf>
    <xf numFmtId="2" fontId="17" fillId="0" borderId="221" xfId="0" applyNumberFormat="1" applyFont="1" applyFill="1" applyBorder="1" applyAlignment="1">
      <alignment horizontal="center" vertical="center"/>
    </xf>
    <xf numFmtId="2" fontId="0" fillId="0" borderId="226" xfId="0" applyNumberFormat="1" applyFont="1" applyBorder="1" applyAlignment="1">
      <alignment horizontal="center" vertical="center"/>
    </xf>
    <xf numFmtId="2" fontId="22" fillId="0" borderId="249" xfId="0" applyNumberFormat="1" applyFont="1" applyBorder="1" applyAlignment="1">
      <alignment horizontal="center" vertical="center" wrapText="1"/>
    </xf>
    <xf numFmtId="2" fontId="22" fillId="0" borderId="245" xfId="0" applyNumberFormat="1" applyFont="1" applyBorder="1" applyAlignment="1">
      <alignment horizontal="center" vertical="center" wrapText="1"/>
    </xf>
    <xf numFmtId="2" fontId="22" fillId="0" borderId="238" xfId="0" applyNumberFormat="1" applyFont="1" applyBorder="1" applyAlignment="1">
      <alignment horizontal="center" vertical="center" wrapText="1"/>
    </xf>
    <xf numFmtId="3" fontId="25" fillId="23" borderId="224" xfId="0" applyNumberFormat="1" applyFont="1" applyFill="1" applyBorder="1" applyAlignment="1">
      <alignment horizontal="center" vertical="center"/>
    </xf>
    <xf numFmtId="3" fontId="25" fillId="23" borderId="223" xfId="0" applyNumberFormat="1" applyFont="1" applyFill="1" applyBorder="1" applyAlignment="1">
      <alignment horizontal="center" vertical="center"/>
    </xf>
    <xf numFmtId="3" fontId="25" fillId="23" borderId="228" xfId="0" applyNumberFormat="1" applyFont="1" applyFill="1" applyBorder="1" applyAlignment="1">
      <alignment horizontal="center" vertical="center"/>
    </xf>
    <xf numFmtId="2" fontId="25" fillId="33" borderId="251" xfId="0" applyNumberFormat="1" applyFont="1" applyFill="1" applyBorder="1" applyAlignment="1">
      <alignment horizontal="center" vertical="center" wrapText="1"/>
    </xf>
    <xf numFmtId="2" fontId="25" fillId="33" borderId="222" xfId="0" applyNumberFormat="1" applyFont="1" applyFill="1" applyBorder="1" applyAlignment="1">
      <alignment horizontal="center" vertical="center" wrapText="1"/>
    </xf>
    <xf numFmtId="2" fontId="25" fillId="33" borderId="227" xfId="0" applyNumberFormat="1" applyFont="1" applyFill="1" applyBorder="1" applyAlignment="1">
      <alignment horizontal="center" vertical="center" wrapText="1"/>
    </xf>
    <xf numFmtId="3" fontId="24" fillId="23" borderId="224" xfId="0" applyNumberFormat="1" applyFont="1" applyFill="1" applyBorder="1" applyAlignment="1">
      <alignment horizontal="center" vertical="center"/>
    </xf>
    <xf numFmtId="3" fontId="24" fillId="23" borderId="223" xfId="0" applyNumberFormat="1" applyFont="1" applyFill="1" applyBorder="1" applyAlignment="1">
      <alignment horizontal="center" vertical="center"/>
    </xf>
    <xf numFmtId="3" fontId="24" fillId="23" borderId="228" xfId="0" applyNumberFormat="1" applyFont="1" applyFill="1" applyBorder="1" applyAlignment="1">
      <alignment horizontal="center" vertical="center"/>
    </xf>
    <xf numFmtId="2" fontId="18" fillId="0" borderId="220" xfId="0" applyNumberFormat="1" applyFont="1" applyFill="1" applyBorder="1" applyAlignment="1">
      <alignment horizontal="center" vertical="center" wrapText="1"/>
    </xf>
    <xf numFmtId="2" fontId="0" fillId="0" borderId="225" xfId="0" applyNumberFormat="1" applyFont="1" applyBorder="1" applyAlignment="1">
      <alignment horizontal="center" wrapText="1"/>
    </xf>
    <xf numFmtId="2" fontId="0" fillId="0" borderId="229" xfId="0" applyNumberFormat="1" applyFont="1" applyBorder="1" applyAlignment="1">
      <alignment horizontal="center" wrapText="1"/>
    </xf>
    <xf numFmtId="2" fontId="23" fillId="0" borderId="251" xfId="0" applyNumberFormat="1" applyFont="1" applyBorder="1" applyAlignment="1">
      <alignment horizontal="center" vertical="center" wrapText="1"/>
    </xf>
    <xf numFmtId="2" fontId="23" fillId="0" borderId="252" xfId="0" applyNumberFormat="1" applyFont="1" applyBorder="1" applyAlignment="1">
      <alignment horizontal="center" vertical="center" wrapText="1"/>
    </xf>
    <xf numFmtId="2" fontId="23" fillId="0" borderId="227" xfId="0" applyNumberFormat="1" applyFont="1" applyBorder="1" applyAlignment="1">
      <alignment horizontal="center" vertical="center" wrapText="1"/>
    </xf>
    <xf numFmtId="2" fontId="16" fillId="2" borderId="213" xfId="0" applyNumberFormat="1" applyFont="1" applyFill="1" applyBorder="1" applyAlignment="1">
      <alignment horizontal="left" vertical="center" wrapText="1"/>
    </xf>
    <xf numFmtId="2" fontId="20" fillId="0" borderId="214" xfId="0" applyNumberFormat="1" applyFont="1" applyBorder="1" applyAlignment="1">
      <alignment horizontal="center" vertical="center" wrapText="1"/>
    </xf>
    <xf numFmtId="2" fontId="20" fillId="0" borderId="221" xfId="0" applyNumberFormat="1" applyFont="1" applyBorder="1" applyAlignment="1">
      <alignment horizontal="center" vertical="center" wrapText="1"/>
    </xf>
    <xf numFmtId="2" fontId="20" fillId="0" borderId="226" xfId="0" applyNumberFormat="1" applyFont="1" applyBorder="1" applyAlignment="1">
      <alignment horizontal="center" vertical="center" wrapText="1"/>
    </xf>
    <xf numFmtId="2" fontId="18" fillId="0" borderId="215" xfId="4" applyNumberFormat="1" applyFont="1" applyBorder="1" applyAlignment="1">
      <alignment horizontal="center" vertical="center" wrapText="1"/>
    </xf>
    <xf numFmtId="2" fontId="18" fillId="0" borderId="222" xfId="4" applyNumberFormat="1" applyFont="1" applyBorder="1" applyAlignment="1">
      <alignment horizontal="center" vertical="center" wrapText="1"/>
    </xf>
    <xf numFmtId="2" fontId="18" fillId="0" borderId="227" xfId="4" applyNumberFormat="1" applyFont="1" applyBorder="1" applyAlignment="1">
      <alignment horizontal="center" vertical="center" wrapText="1"/>
    </xf>
    <xf numFmtId="2" fontId="18" fillId="0" borderId="216" xfId="4" applyNumberFormat="1" applyFont="1" applyBorder="1" applyAlignment="1">
      <alignment horizontal="center" vertical="center" wrapText="1"/>
    </xf>
    <xf numFmtId="2" fontId="18" fillId="0" borderId="223" xfId="4" applyNumberFormat="1" applyFont="1" applyBorder="1" applyAlignment="1">
      <alignment horizontal="center" vertical="center" wrapText="1"/>
    </xf>
    <xf numFmtId="2" fontId="18" fillId="0" borderId="228" xfId="4" applyNumberFormat="1" applyFont="1" applyBorder="1" applyAlignment="1">
      <alignment horizontal="center" vertical="center" wrapText="1"/>
    </xf>
    <xf numFmtId="2" fontId="17" fillId="0" borderId="220" xfId="4" applyNumberFormat="1" applyFont="1" applyBorder="1" applyAlignment="1">
      <alignment horizontal="center" vertical="center" wrapText="1"/>
    </xf>
    <xf numFmtId="2" fontId="17" fillId="0" borderId="225" xfId="4" applyNumberFormat="1" applyFont="1" applyBorder="1" applyAlignment="1">
      <alignment horizontal="center" vertical="center" wrapText="1"/>
    </xf>
    <xf numFmtId="2" fontId="17" fillId="0" borderId="229" xfId="4" applyNumberFormat="1" applyFont="1" applyBorder="1" applyAlignment="1">
      <alignment horizontal="center" vertical="center" wrapText="1"/>
    </xf>
    <xf numFmtId="2" fontId="20" fillId="19" borderId="216" xfId="4" applyNumberFormat="1" applyFont="1" applyFill="1" applyBorder="1" applyAlignment="1">
      <alignment horizontal="center" vertical="center" wrapText="1"/>
    </xf>
    <xf numFmtId="2" fontId="0" fillId="19" borderId="223" xfId="0" applyNumberFormat="1" applyFont="1" applyFill="1" applyBorder="1" applyAlignment="1">
      <alignment horizontal="center" vertical="center" wrapText="1"/>
    </xf>
    <xf numFmtId="2" fontId="0" fillId="19" borderId="228" xfId="0" applyNumberFormat="1" applyFont="1" applyFill="1" applyBorder="1" applyAlignment="1">
      <alignment horizontal="center" vertical="center" wrapText="1"/>
    </xf>
    <xf numFmtId="2" fontId="24" fillId="2" borderId="216" xfId="0" applyNumberFormat="1" applyFont="1" applyFill="1" applyBorder="1" applyAlignment="1">
      <alignment horizontal="center" vertical="center" wrapText="1"/>
    </xf>
    <xf numFmtId="2" fontId="24" fillId="2" borderId="223" xfId="0" applyNumberFormat="1" applyFont="1" applyFill="1" applyBorder="1" applyAlignment="1">
      <alignment horizontal="center" vertical="center" wrapText="1"/>
    </xf>
    <xf numFmtId="2" fontId="24" fillId="2" borderId="228" xfId="0" applyNumberFormat="1" applyFont="1" applyFill="1" applyBorder="1" applyAlignment="1">
      <alignment horizontal="center" vertical="center" wrapText="1"/>
    </xf>
    <xf numFmtId="2" fontId="23" fillId="0" borderId="216" xfId="6" applyNumberFormat="1" applyFont="1" applyBorder="1" applyAlignment="1">
      <alignment horizontal="center" vertical="center" wrapText="1"/>
    </xf>
    <xf numFmtId="2" fontId="23" fillId="0" borderId="223" xfId="6" applyNumberFormat="1" applyFont="1" applyBorder="1" applyAlignment="1">
      <alignment horizontal="center" vertical="center" wrapText="1"/>
    </xf>
    <xf numFmtId="2" fontId="23" fillId="0" borderId="228" xfId="6" applyNumberFormat="1" applyFont="1" applyBorder="1" applyAlignment="1">
      <alignment horizontal="center" vertical="center" wrapText="1"/>
    </xf>
    <xf numFmtId="2" fontId="25" fillId="0" borderId="217" xfId="4" applyNumberFormat="1" applyFont="1" applyBorder="1" applyAlignment="1">
      <alignment horizontal="center" vertical="center" wrapText="1"/>
    </xf>
    <xf numFmtId="2" fontId="25" fillId="0" borderId="218" xfId="4" applyNumberFormat="1" applyFont="1" applyBorder="1" applyAlignment="1">
      <alignment horizontal="center" vertical="center" wrapText="1"/>
    </xf>
    <xf numFmtId="2" fontId="25" fillId="0" borderId="219" xfId="4" applyNumberFormat="1" applyFont="1" applyBorder="1" applyAlignment="1">
      <alignment horizontal="center" vertical="center" wrapText="1"/>
    </xf>
    <xf numFmtId="2" fontId="23" fillId="0" borderId="224" xfId="6" applyNumberFormat="1" applyFont="1" applyBorder="1" applyAlignment="1">
      <alignment horizontal="center" vertical="center"/>
    </xf>
    <xf numFmtId="2" fontId="23" fillId="0" borderId="228" xfId="6" applyNumberFormat="1" applyFont="1" applyBorder="1" applyAlignment="1">
      <alignment horizontal="center" vertical="center"/>
    </xf>
    <xf numFmtId="2" fontId="0" fillId="0" borderId="251" xfId="0" applyNumberFormat="1" applyFont="1" applyBorder="1" applyAlignment="1">
      <alignment horizontal="center" vertical="center"/>
    </xf>
    <xf numFmtId="2" fontId="0" fillId="0" borderId="222" xfId="0" applyNumberFormat="1" applyFont="1" applyBorder="1" applyAlignment="1">
      <alignment horizontal="center" vertical="center"/>
    </xf>
    <xf numFmtId="2" fontId="0" fillId="0" borderId="227" xfId="0" applyNumberFormat="1" applyFont="1" applyBorder="1" applyAlignment="1">
      <alignment horizontal="center" vertical="center"/>
    </xf>
    <xf numFmtId="2" fontId="25" fillId="23" borderId="224" xfId="0" applyNumberFormat="1" applyFont="1" applyFill="1" applyBorder="1" applyAlignment="1">
      <alignment horizontal="center" vertical="center"/>
    </xf>
    <xf numFmtId="2" fontId="25" fillId="23" borderId="223" xfId="0" applyNumberFormat="1" applyFont="1" applyFill="1" applyBorder="1" applyAlignment="1">
      <alignment horizontal="center" vertical="center"/>
    </xf>
    <xf numFmtId="2" fontId="25" fillId="23" borderId="228" xfId="0" applyNumberFormat="1" applyFont="1" applyFill="1" applyBorder="1" applyAlignment="1">
      <alignment horizontal="center" vertical="center"/>
    </xf>
    <xf numFmtId="2" fontId="23" fillId="0" borderId="222" xfId="0" applyNumberFormat="1" applyFont="1" applyBorder="1" applyAlignment="1">
      <alignment horizontal="center" vertical="center" wrapText="1"/>
    </xf>
    <xf numFmtId="2" fontId="17" fillId="57" borderId="214" xfId="0" applyNumberFormat="1" applyFont="1" applyFill="1" applyBorder="1" applyAlignment="1">
      <alignment horizontal="center" vertical="center" wrapText="1"/>
    </xf>
    <xf numFmtId="2" fontId="0" fillId="57" borderId="221" xfId="0" applyNumberFormat="1" applyFont="1" applyFill="1" applyBorder="1" applyAlignment="1">
      <alignment vertical="center" wrapText="1"/>
    </xf>
    <xf numFmtId="2" fontId="0" fillId="57" borderId="226" xfId="0" applyNumberFormat="1" applyFont="1" applyFill="1" applyBorder="1" applyAlignment="1">
      <alignment vertical="center" wrapText="1"/>
    </xf>
    <xf numFmtId="2" fontId="0" fillId="0" borderId="221" xfId="0" applyNumberFormat="1" applyFont="1" applyBorder="1" applyAlignment="1">
      <alignment horizontal="center" vertical="center"/>
    </xf>
    <xf numFmtId="2" fontId="25" fillId="2" borderId="251" xfId="0" applyNumberFormat="1" applyFont="1" applyFill="1" applyBorder="1" applyAlignment="1">
      <alignment horizontal="center" vertical="center" wrapText="1"/>
    </xf>
    <xf numFmtId="2" fontId="17" fillId="0" borderId="214" xfId="0" applyNumberFormat="1" applyFont="1" applyFill="1" applyBorder="1" applyAlignment="1">
      <alignment horizontal="center" vertical="center" wrapText="1"/>
    </xf>
    <xf numFmtId="2" fontId="0" fillId="0" borderId="221" xfId="0" applyNumberFormat="1" applyFont="1" applyBorder="1" applyAlignment="1">
      <alignment vertical="center" wrapText="1"/>
    </xf>
    <xf numFmtId="2" fontId="0" fillId="0" borderId="226" xfId="0" applyNumberFormat="1" applyFont="1" applyBorder="1" applyAlignment="1">
      <alignment vertical="center" wrapText="1"/>
    </xf>
    <xf numFmtId="2" fontId="23" fillId="0" borderId="224" xfId="0" applyNumberFormat="1" applyFont="1" applyBorder="1" applyAlignment="1">
      <alignment horizontal="center" vertical="center" wrapText="1"/>
    </xf>
    <xf numFmtId="2" fontId="23" fillId="0" borderId="228" xfId="0" applyNumberFormat="1" applyFont="1" applyBorder="1" applyAlignment="1">
      <alignment horizontal="center" vertical="center" wrapText="1"/>
    </xf>
    <xf numFmtId="2" fontId="17" fillId="0" borderId="221" xfId="0" applyNumberFormat="1" applyFont="1" applyFill="1" applyBorder="1" applyAlignment="1">
      <alignment horizontal="center" vertical="center" wrapText="1"/>
    </xf>
    <xf numFmtId="2" fontId="18" fillId="0" borderId="245" xfId="0" applyNumberFormat="1" applyFont="1" applyFill="1" applyBorder="1" applyAlignment="1">
      <alignment horizontal="center" vertical="center" wrapText="1"/>
    </xf>
    <xf numFmtId="2" fontId="0" fillId="0" borderId="225" xfId="0" applyNumberFormat="1" applyFont="1" applyBorder="1"/>
    <xf numFmtId="2" fontId="0" fillId="0" borderId="200" xfId="0" applyNumberFormat="1" applyFont="1" applyBorder="1"/>
    <xf numFmtId="2" fontId="21" fillId="0" borderId="245" xfId="0" applyNumberFormat="1" applyFont="1" applyFill="1" applyBorder="1" applyAlignment="1">
      <alignment horizontal="center" vertical="center" wrapText="1"/>
    </xf>
    <xf numFmtId="2" fontId="21" fillId="0" borderId="238" xfId="0" applyNumberFormat="1" applyFont="1" applyFill="1" applyBorder="1" applyAlignment="1">
      <alignment horizontal="center" vertical="center" wrapText="1"/>
    </xf>
    <xf numFmtId="2" fontId="20" fillId="0" borderId="249" xfId="0" applyNumberFormat="1" applyFont="1" applyFill="1" applyBorder="1" applyAlignment="1">
      <alignment horizontal="center" vertical="center" wrapText="1"/>
    </xf>
    <xf numFmtId="2" fontId="20" fillId="0" borderId="245" xfId="0" applyNumberFormat="1" applyFont="1" applyFill="1" applyBorder="1" applyAlignment="1">
      <alignment horizontal="center" vertical="center" wrapText="1"/>
    </xf>
    <xf numFmtId="2" fontId="20" fillId="0" borderId="241" xfId="0" applyNumberFormat="1" applyFont="1" applyFill="1" applyBorder="1" applyAlignment="1">
      <alignment horizontal="center" vertical="center" wrapText="1"/>
    </xf>
    <xf numFmtId="2" fontId="20" fillId="32" borderId="249" xfId="0" applyNumberFormat="1" applyFont="1" applyFill="1" applyBorder="1" applyAlignment="1">
      <alignment horizontal="center" vertical="center" wrapText="1"/>
    </xf>
    <xf numFmtId="2" fontId="20" fillId="32" borderId="245" xfId="0" applyNumberFormat="1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3" fillId="0" borderId="43" xfId="0" applyFont="1" applyBorder="1" applyAlignment="1">
      <alignment horizontal="center" wrapText="1"/>
    </xf>
    <xf numFmtId="0" fontId="23" fillId="0" borderId="41" xfId="0" applyFont="1" applyBorder="1" applyAlignment="1">
      <alignment horizontal="center" wrapText="1"/>
    </xf>
    <xf numFmtId="0" fontId="25" fillId="2" borderId="90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3" fontId="25" fillId="23" borderId="93" xfId="0" applyNumberFormat="1" applyFont="1" applyFill="1" applyBorder="1" applyAlignment="1">
      <alignment horizontal="center" vertical="center"/>
    </xf>
    <xf numFmtId="3" fontId="25" fillId="23" borderId="13" xfId="0" applyNumberFormat="1" applyFont="1" applyFill="1" applyBorder="1" applyAlignment="1">
      <alignment horizontal="center" vertical="center"/>
    </xf>
    <xf numFmtId="3" fontId="25" fillId="23" borderId="12" xfId="0" applyNumberFormat="1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0" fontId="6" fillId="0" borderId="103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6" fillId="0" borderId="20" xfId="4" applyFont="1" applyFill="1" applyBorder="1" applyAlignment="1">
      <alignment horizontal="center" vertical="center" wrapText="1"/>
    </xf>
    <xf numFmtId="0" fontId="7" fillId="0" borderId="10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3" fontId="25" fillId="23" borderId="99" xfId="0" applyNumberFormat="1" applyFont="1" applyFill="1" applyBorder="1" applyAlignment="1">
      <alignment horizontal="center" vertical="center"/>
    </xf>
    <xf numFmtId="0" fontId="8" fillId="0" borderId="103" xfId="4" applyFont="1" applyFill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1" fillId="33" borderId="0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 wrapText="1"/>
    </xf>
    <xf numFmtId="0" fontId="32" fillId="0" borderId="41" xfId="0" applyFont="1" applyBorder="1"/>
    <xf numFmtId="3" fontId="25" fillId="29" borderId="42" xfId="0" applyNumberFormat="1" applyFont="1" applyFill="1" applyBorder="1" applyAlignment="1">
      <alignment horizontal="center" vertical="center" wrapText="1"/>
    </xf>
    <xf numFmtId="3" fontId="25" fillId="29" borderId="43" xfId="0" applyNumberFormat="1" applyFont="1" applyFill="1" applyBorder="1" applyAlignment="1">
      <alignment horizontal="center" vertical="center" wrapText="1"/>
    </xf>
    <xf numFmtId="3" fontId="25" fillId="29" borderId="41" xfId="0" applyNumberFormat="1" applyFont="1" applyFill="1" applyBorder="1" applyAlignment="1">
      <alignment horizontal="center" vertical="center" wrapText="1"/>
    </xf>
    <xf numFmtId="0" fontId="25" fillId="8" borderId="127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0" fontId="25" fillId="2" borderId="127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3" fontId="25" fillId="23" borderId="165" xfId="0" applyNumberFormat="1" applyFont="1" applyFill="1" applyBorder="1" applyAlignment="1">
      <alignment horizontal="center" vertical="center"/>
    </xf>
    <xf numFmtId="0" fontId="24" fillId="0" borderId="4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25" fillId="0" borderId="127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left" vertical="center" wrapText="1"/>
    </xf>
    <xf numFmtId="0" fontId="20" fillId="0" borderId="52" xfId="0" applyFont="1" applyBorder="1" applyAlignment="1">
      <alignment horizontal="center" vertical="center" wrapText="1"/>
    </xf>
    <xf numFmtId="0" fontId="18" fillId="0" borderId="15" xfId="4" applyFont="1" applyBorder="1" applyAlignment="1">
      <alignment horizontal="center" vertical="center" wrapText="1"/>
    </xf>
    <xf numFmtId="0" fontId="22" fillId="0" borderId="12" xfId="6" applyFont="1" applyBorder="1" applyAlignment="1">
      <alignment horizontal="center" vertical="center" wrapText="1"/>
    </xf>
    <xf numFmtId="0" fontId="17" fillId="0" borderId="66" xfId="4" applyFont="1" applyBorder="1" applyAlignment="1">
      <alignment horizontal="center" vertical="center" wrapText="1"/>
    </xf>
    <xf numFmtId="0" fontId="17" fillId="0" borderId="69" xfId="4" applyFont="1" applyBorder="1" applyAlignment="1">
      <alignment horizontal="center" vertical="center" wrapText="1"/>
    </xf>
    <xf numFmtId="0" fontId="20" fillId="19" borderId="12" xfId="4" applyFont="1" applyFill="1" applyBorder="1" applyAlignment="1">
      <alignment horizontal="center" vertical="center" wrapText="1"/>
    </xf>
    <xf numFmtId="3" fontId="24" fillId="23" borderId="93" xfId="0" applyNumberFormat="1" applyFont="1" applyFill="1" applyBorder="1" applyAlignment="1">
      <alignment horizontal="center" vertical="center"/>
    </xf>
    <xf numFmtId="3" fontId="24" fillId="23" borderId="13" xfId="0" applyNumberFormat="1" applyFont="1" applyFill="1" applyBorder="1" applyAlignment="1">
      <alignment horizontal="center" vertical="center"/>
    </xf>
    <xf numFmtId="3" fontId="24" fillId="23" borderId="12" xfId="0" applyNumberFormat="1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5" fillId="2" borderId="103" xfId="0" applyFont="1" applyFill="1" applyBorder="1" applyAlignment="1">
      <alignment horizontal="center" vertical="center" wrapText="1"/>
    </xf>
    <xf numFmtId="0" fontId="7" fillId="0" borderId="17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179" xfId="4" applyFont="1" applyFill="1" applyBorder="1" applyAlignment="1">
      <alignment horizontal="center" vertical="center" wrapText="1"/>
    </xf>
    <xf numFmtId="0" fontId="25" fillId="2" borderId="179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37" fillId="0" borderId="43" xfId="0" applyFont="1" applyBorder="1" applyAlignment="1">
      <alignment horizontal="center" wrapText="1"/>
    </xf>
    <xf numFmtId="0" fontId="37" fillId="0" borderId="41" xfId="0" applyFont="1" applyBorder="1" applyAlignment="1">
      <alignment horizontal="center" wrapText="1"/>
    </xf>
    <xf numFmtId="3" fontId="25" fillId="23" borderId="177" xfId="0" applyNumberFormat="1" applyFont="1" applyFill="1" applyBorder="1" applyAlignment="1">
      <alignment horizontal="center" vertical="center"/>
    </xf>
    <xf numFmtId="0" fontId="19" fillId="0" borderId="26" xfId="4" applyFont="1" applyFill="1" applyBorder="1" applyAlignment="1">
      <alignment horizontal="center" vertical="center" wrapText="1"/>
    </xf>
    <xf numFmtId="3" fontId="24" fillId="23" borderId="99" xfId="0" applyNumberFormat="1" applyFont="1" applyFill="1" applyBorder="1" applyAlignment="1">
      <alignment horizontal="center" vertical="center"/>
    </xf>
    <xf numFmtId="3" fontId="24" fillId="23" borderId="35" xfId="0" applyNumberFormat="1" applyFont="1" applyFill="1" applyBorder="1" applyAlignment="1">
      <alignment horizontal="center" vertical="center"/>
    </xf>
    <xf numFmtId="3" fontId="25" fillId="23" borderId="35" xfId="0" applyNumberFormat="1" applyFont="1" applyFill="1" applyBorder="1" applyAlignment="1">
      <alignment horizontal="center" vertical="center"/>
    </xf>
    <xf numFmtId="0" fontId="17" fillId="0" borderId="104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23" fillId="0" borderId="179" xfId="0" applyFont="1" applyBorder="1" applyAlignment="1">
      <alignment horizontal="center" vertical="center" wrapText="1"/>
    </xf>
    <xf numFmtId="0" fontId="24" fillId="2" borderId="42" xfId="0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19" fillId="0" borderId="163" xfId="4" applyFont="1" applyFill="1" applyBorder="1" applyAlignment="1">
      <alignment horizontal="center" vertical="center" wrapText="1"/>
    </xf>
    <xf numFmtId="0" fontId="19" fillId="0" borderId="68" xfId="4" applyFont="1" applyFill="1" applyBorder="1" applyAlignment="1">
      <alignment horizontal="center" vertical="center" wrapText="1"/>
    </xf>
    <xf numFmtId="3" fontId="24" fillId="23" borderId="165" xfId="0" applyNumberFormat="1" applyFont="1" applyFill="1" applyBorder="1" applyAlignment="1">
      <alignment horizontal="center" vertical="center"/>
    </xf>
    <xf numFmtId="3" fontId="0" fillId="0" borderId="26" xfId="0" applyNumberFormat="1" applyFont="1" applyBorder="1" applyAlignment="1">
      <alignment horizontal="justify" vertical="top" wrapText="1"/>
    </xf>
    <xf numFmtId="3" fontId="0" fillId="0" borderId="0" xfId="0" applyNumberFormat="1" applyFont="1" applyBorder="1" applyAlignment="1">
      <alignment horizontal="justify" vertical="top" wrapText="1"/>
    </xf>
    <xf numFmtId="0" fontId="25" fillId="2" borderId="42" xfId="0" applyFont="1" applyFill="1" applyBorder="1" applyAlignment="1">
      <alignment horizontal="center" vertical="center" wrapText="1"/>
    </xf>
    <xf numFmtId="0" fontId="23" fillId="2" borderId="43" xfId="0" applyFont="1" applyFill="1" applyBorder="1" applyAlignment="1">
      <alignment horizontal="center" wrapText="1"/>
    </xf>
    <xf numFmtId="0" fontId="23" fillId="2" borderId="41" xfId="0" applyFont="1" applyFill="1" applyBorder="1" applyAlignment="1">
      <alignment horizontal="center" wrapText="1"/>
    </xf>
    <xf numFmtId="3" fontId="25" fillId="23" borderId="124" xfId="0" applyNumberFormat="1" applyFont="1" applyFill="1" applyBorder="1" applyAlignment="1">
      <alignment horizontal="center" vertical="center"/>
    </xf>
    <xf numFmtId="3" fontId="25" fillId="2" borderId="123" xfId="4" applyNumberFormat="1" applyFont="1" applyFill="1" applyBorder="1" applyAlignment="1">
      <alignment horizontal="center" vertical="center" wrapText="1"/>
    </xf>
    <xf numFmtId="0" fontId="32" fillId="0" borderId="124" xfId="0" applyFont="1" applyBorder="1" applyAlignment="1">
      <alignment horizontal="center" vertical="center"/>
    </xf>
    <xf numFmtId="0" fontId="23" fillId="0" borderId="12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3" fontId="25" fillId="2" borderId="124" xfId="4" applyNumberFormat="1" applyFont="1" applyFill="1" applyBorder="1" applyAlignment="1">
      <alignment horizontal="center" vertical="center" wrapText="1"/>
    </xf>
    <xf numFmtId="3" fontId="25" fillId="2" borderId="13" xfId="4" applyNumberFormat="1" applyFont="1" applyFill="1" applyBorder="1" applyAlignment="1">
      <alignment horizontal="center" vertical="center" wrapText="1"/>
    </xf>
    <xf numFmtId="3" fontId="25" fillId="2" borderId="35" xfId="4" applyNumberFormat="1" applyFont="1" applyFill="1" applyBorder="1" applyAlignment="1">
      <alignment horizontal="center" vertical="center" wrapText="1"/>
    </xf>
    <xf numFmtId="3" fontId="25" fillId="26" borderId="108" xfId="0" applyNumberFormat="1" applyFont="1" applyFill="1" applyBorder="1" applyAlignment="1">
      <alignment horizontal="center" vertical="center"/>
    </xf>
    <xf numFmtId="3" fontId="25" fillId="26" borderId="10" xfId="0" applyNumberFormat="1" applyFont="1" applyFill="1" applyBorder="1" applyAlignment="1">
      <alignment horizontal="center" vertical="center"/>
    </xf>
    <xf numFmtId="3" fontId="25" fillId="26" borderId="74" xfId="0" applyNumberFormat="1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3" fontId="25" fillId="2" borderId="177" xfId="4" applyNumberFormat="1" applyFont="1" applyFill="1" applyBorder="1" applyAlignment="1">
      <alignment horizontal="center" vertical="center" wrapText="1"/>
    </xf>
    <xf numFmtId="0" fontId="23" fillId="0" borderId="177" xfId="0" applyFont="1" applyBorder="1" applyAlignment="1">
      <alignment horizontal="center" vertical="center"/>
    </xf>
    <xf numFmtId="3" fontId="25" fillId="26" borderId="190" xfId="0" applyNumberFormat="1" applyFont="1" applyFill="1" applyBorder="1" applyAlignment="1">
      <alignment horizontal="center" vertical="center"/>
    </xf>
    <xf numFmtId="0" fontId="0" fillId="0" borderId="68" xfId="0" applyFont="1" applyBorder="1"/>
    <xf numFmtId="0" fontId="21" fillId="0" borderId="67" xfId="0" applyFont="1" applyFill="1" applyBorder="1" applyAlignment="1">
      <alignment horizontal="center" vertical="center" wrapText="1"/>
    </xf>
    <xf numFmtId="0" fontId="0" fillId="0" borderId="69" xfId="0" applyFont="1" applyBorder="1"/>
    <xf numFmtId="0" fontId="23" fillId="0" borderId="13" xfId="0" applyFont="1" applyBorder="1" applyAlignment="1">
      <alignment horizontal="center" vertical="center"/>
    </xf>
    <xf numFmtId="3" fontId="25" fillId="26" borderId="124" xfId="0" applyNumberFormat="1" applyFont="1" applyFill="1" applyBorder="1" applyAlignment="1">
      <alignment horizontal="center" vertical="center"/>
    </xf>
    <xf numFmtId="3" fontId="25" fillId="26" borderId="13" xfId="0" applyNumberFormat="1" applyFont="1" applyFill="1" applyBorder="1" applyAlignment="1">
      <alignment horizontal="center" vertical="center"/>
    </xf>
    <xf numFmtId="3" fontId="25" fillId="26" borderId="12" xfId="0" applyNumberFormat="1" applyFont="1" applyFill="1" applyBorder="1" applyAlignment="1">
      <alignment horizontal="center" vertical="center"/>
    </xf>
    <xf numFmtId="0" fontId="20" fillId="0" borderId="39" xfId="0" applyFont="1" applyBorder="1" applyAlignment="1">
      <alignment horizontal="center" vertical="center" wrapText="1"/>
    </xf>
    <xf numFmtId="0" fontId="18" fillId="0" borderId="4" xfId="4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3" fontId="20" fillId="8" borderId="43" xfId="0" applyNumberFormat="1" applyFont="1" applyFill="1" applyBorder="1" applyAlignment="1">
      <alignment horizontal="center" vertical="center" wrapText="1"/>
    </xf>
    <xf numFmtId="3" fontId="20" fillId="8" borderId="41" xfId="0" applyNumberFormat="1" applyFont="1" applyFill="1" applyBorder="1" applyAlignment="1">
      <alignment horizontal="center" vertical="center" wrapText="1"/>
    </xf>
    <xf numFmtId="0" fontId="27" fillId="8" borderId="123" xfId="4" applyFont="1" applyFill="1" applyBorder="1" applyAlignment="1">
      <alignment horizontal="center" vertical="center"/>
    </xf>
    <xf numFmtId="0" fontId="27" fillId="8" borderId="181" xfId="4" applyFont="1" applyFill="1" applyBorder="1" applyAlignment="1">
      <alignment horizontal="center" vertical="center"/>
    </xf>
    <xf numFmtId="0" fontId="27" fillId="8" borderId="124" xfId="4" applyFont="1" applyFill="1" applyBorder="1" applyAlignment="1">
      <alignment horizontal="center" vertical="center"/>
    </xf>
    <xf numFmtId="0" fontId="27" fillId="8" borderId="13" xfId="4" applyFont="1" applyFill="1" applyBorder="1" applyAlignment="1">
      <alignment horizontal="center" vertical="center"/>
    </xf>
    <xf numFmtId="0" fontId="27" fillId="8" borderId="12" xfId="4" applyFont="1" applyFill="1" applyBorder="1" applyAlignment="1">
      <alignment horizontal="center" vertical="center"/>
    </xf>
    <xf numFmtId="0" fontId="20" fillId="19" borderId="4" xfId="4" applyFont="1" applyFill="1" applyBorder="1" applyAlignment="1">
      <alignment horizontal="center" vertical="center" wrapText="1"/>
    </xf>
    <xf numFmtId="0" fontId="0" fillId="19" borderId="23" xfId="0" applyFont="1" applyFill="1" applyBorder="1" applyAlignment="1">
      <alignment horizontal="center" vertical="center" wrapText="1"/>
    </xf>
    <xf numFmtId="3" fontId="25" fillId="24" borderId="124" xfId="0" applyNumberFormat="1" applyFont="1" applyFill="1" applyBorder="1" applyAlignment="1">
      <alignment horizontal="center" vertical="center"/>
    </xf>
    <xf numFmtId="3" fontId="25" fillId="24" borderId="13" xfId="0" applyNumberFormat="1" applyFont="1" applyFill="1" applyBorder="1" applyAlignment="1">
      <alignment horizontal="center" vertical="center"/>
    </xf>
    <xf numFmtId="3" fontId="25" fillId="24" borderId="12" xfId="0" applyNumberFormat="1" applyFont="1" applyFill="1" applyBorder="1" applyAlignment="1">
      <alignment horizontal="center" vertical="center"/>
    </xf>
    <xf numFmtId="3" fontId="25" fillId="23" borderId="124" xfId="0" applyNumberFormat="1" applyFont="1" applyFill="1" applyBorder="1" applyAlignment="1">
      <alignment horizontal="center" vertical="top"/>
    </xf>
    <xf numFmtId="3" fontId="25" fillId="23" borderId="13" xfId="0" applyNumberFormat="1" applyFont="1" applyFill="1" applyBorder="1" applyAlignment="1">
      <alignment horizontal="center" vertical="top"/>
    </xf>
    <xf numFmtId="3" fontId="25" fillId="23" borderId="12" xfId="0" applyNumberFormat="1" applyFont="1" applyFill="1" applyBorder="1" applyAlignment="1">
      <alignment horizontal="center" vertical="top"/>
    </xf>
    <xf numFmtId="3" fontId="20" fillId="2" borderId="165" xfId="4" applyNumberFormat="1" applyFont="1" applyFill="1" applyBorder="1" applyAlignment="1">
      <alignment horizontal="center" vertical="center" wrapText="1"/>
    </xf>
    <xf numFmtId="3" fontId="20" fillId="2" borderId="13" xfId="4" applyNumberFormat="1" applyFont="1" applyFill="1" applyBorder="1" applyAlignment="1">
      <alignment horizontal="center" vertical="center" wrapText="1"/>
    </xf>
    <xf numFmtId="3" fontId="20" fillId="2" borderId="35" xfId="4" applyNumberFormat="1" applyFont="1" applyFill="1" applyBorder="1" applyAlignment="1">
      <alignment horizontal="center" vertical="center" wrapText="1"/>
    </xf>
    <xf numFmtId="3" fontId="20" fillId="2" borderId="12" xfId="4" applyNumberFormat="1" applyFont="1" applyFill="1" applyBorder="1" applyAlignment="1">
      <alignment horizontal="center" vertical="center" wrapText="1"/>
    </xf>
    <xf numFmtId="0" fontId="0" fillId="0" borderId="41" xfId="0" applyFont="1" applyBorder="1"/>
    <xf numFmtId="3" fontId="25" fillId="2" borderId="12" xfId="4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18" fillId="0" borderId="310" xfId="0" applyFont="1" applyFill="1" applyBorder="1" applyAlignment="1">
      <alignment horizontal="center" vertical="center" wrapText="1"/>
    </xf>
    <xf numFmtId="0" fontId="18" fillId="0" borderId="290" xfId="0" applyFont="1" applyFill="1" applyBorder="1" applyAlignment="1">
      <alignment horizontal="center" vertical="center" wrapText="1"/>
    </xf>
    <xf numFmtId="0" fontId="18" fillId="0" borderId="300" xfId="0" applyFont="1" applyFill="1" applyBorder="1" applyAlignment="1">
      <alignment horizontal="center" vertical="center" wrapText="1"/>
    </xf>
    <xf numFmtId="3" fontId="25" fillId="2" borderId="322" xfId="4" applyNumberFormat="1" applyFont="1" applyFill="1" applyBorder="1" applyAlignment="1">
      <alignment horizontal="center" vertical="center" wrapText="1"/>
    </xf>
    <xf numFmtId="3" fontId="25" fillId="2" borderId="318" xfId="4" applyNumberFormat="1" applyFont="1" applyFill="1" applyBorder="1" applyAlignment="1">
      <alignment horizontal="center" vertical="center" wrapText="1"/>
    </xf>
    <xf numFmtId="3" fontId="25" fillId="2" borderId="281" xfId="4" applyNumberFormat="1" applyFont="1" applyFill="1" applyBorder="1" applyAlignment="1">
      <alignment horizontal="center" vertical="center" wrapText="1"/>
    </xf>
    <xf numFmtId="3" fontId="24" fillId="27" borderId="301" xfId="4" applyNumberFormat="1" applyFont="1" applyFill="1" applyBorder="1" applyAlignment="1">
      <alignment horizontal="center" vertical="center"/>
    </xf>
    <xf numFmtId="3" fontId="24" fillId="27" borderId="303" xfId="4" applyNumberFormat="1" applyFont="1" applyFill="1" applyBorder="1" applyAlignment="1">
      <alignment horizontal="center" vertical="center"/>
    </xf>
    <xf numFmtId="3" fontId="24" fillId="27" borderId="295" xfId="4" applyNumberFormat="1" applyFont="1" applyFill="1" applyBorder="1" applyAlignment="1">
      <alignment horizontal="center" vertical="center"/>
    </xf>
    <xf numFmtId="0" fontId="18" fillId="0" borderId="296" xfId="0" applyFont="1" applyFill="1" applyBorder="1" applyAlignment="1">
      <alignment horizontal="center" vertical="center" wrapText="1"/>
    </xf>
    <xf numFmtId="0" fontId="25" fillId="2" borderId="322" xfId="4" applyFont="1" applyFill="1" applyBorder="1" applyAlignment="1">
      <alignment horizontal="center" vertical="center" wrapText="1"/>
    </xf>
    <xf numFmtId="0" fontId="32" fillId="0" borderId="292" xfId="0" applyFont="1" applyBorder="1" applyAlignment="1">
      <alignment horizontal="center" vertical="center" wrapText="1"/>
    </xf>
    <xf numFmtId="0" fontId="18" fillId="0" borderId="310" xfId="4" applyFont="1" applyFill="1" applyBorder="1" applyAlignment="1">
      <alignment horizontal="center" vertical="center" wrapText="1"/>
    </xf>
    <xf numFmtId="0" fontId="18" fillId="0" borderId="290" xfId="4" applyFont="1" applyFill="1" applyBorder="1" applyAlignment="1">
      <alignment horizontal="center" vertical="center" wrapText="1"/>
    </xf>
    <xf numFmtId="0" fontId="18" fillId="0" borderId="296" xfId="4" applyFont="1" applyFill="1" applyBorder="1" applyAlignment="1">
      <alignment horizontal="center" vertical="center" wrapText="1"/>
    </xf>
    <xf numFmtId="0" fontId="25" fillId="0" borderId="286" xfId="4" applyFont="1" applyFill="1" applyBorder="1" applyAlignment="1">
      <alignment horizontal="center" vertical="center" wrapText="1"/>
    </xf>
    <xf numFmtId="0" fontId="32" fillId="0" borderId="286" xfId="0" applyFont="1" applyFill="1" applyBorder="1" applyAlignment="1">
      <alignment horizontal="center" vertical="center" wrapText="1"/>
    </xf>
    <xf numFmtId="0" fontId="32" fillId="0" borderId="314" xfId="0" applyFont="1" applyFill="1" applyBorder="1" applyAlignment="1">
      <alignment horizontal="center" vertical="center" wrapText="1"/>
    </xf>
    <xf numFmtId="3" fontId="24" fillId="35" borderId="287" xfId="4" applyNumberFormat="1" applyFont="1" applyFill="1" applyBorder="1" applyAlignment="1">
      <alignment horizontal="center" vertical="center"/>
    </xf>
    <xf numFmtId="3" fontId="24" fillId="35" borderId="294" xfId="4" applyNumberFormat="1" applyFont="1" applyFill="1" applyBorder="1" applyAlignment="1">
      <alignment horizontal="center" vertical="center"/>
    </xf>
    <xf numFmtId="0" fontId="21" fillId="0" borderId="269" xfId="0" applyFont="1" applyBorder="1" applyAlignment="1">
      <alignment horizontal="center" vertical="top"/>
    </xf>
    <xf numFmtId="0" fontId="40" fillId="2" borderId="269" xfId="0" applyFont="1" applyFill="1" applyBorder="1" applyAlignment="1">
      <alignment horizontal="left" wrapText="1"/>
    </xf>
    <xf numFmtId="0" fontId="20" fillId="0" borderId="270" xfId="0" applyFont="1" applyBorder="1" applyAlignment="1">
      <alignment horizontal="center" vertical="center" wrapText="1"/>
    </xf>
    <xf numFmtId="0" fontId="20" fillId="0" borderId="280" xfId="0" applyFont="1" applyBorder="1" applyAlignment="1">
      <alignment horizontal="center" vertical="center" wrapText="1"/>
    </xf>
    <xf numFmtId="0" fontId="21" fillId="0" borderId="271" xfId="0" applyFont="1" applyBorder="1" applyAlignment="1">
      <alignment horizontal="center" vertical="center" wrapText="1"/>
    </xf>
    <xf numFmtId="0" fontId="21" fillId="0" borderId="281" xfId="0" applyFont="1" applyBorder="1" applyAlignment="1">
      <alignment horizontal="center" vertical="center" wrapText="1"/>
    </xf>
    <xf numFmtId="0" fontId="21" fillId="0" borderId="272" xfId="0" applyFont="1" applyBorder="1" applyAlignment="1">
      <alignment horizontal="center" vertical="center" wrapText="1"/>
    </xf>
    <xf numFmtId="0" fontId="21" fillId="0" borderId="282" xfId="0" applyFont="1" applyBorder="1" applyAlignment="1">
      <alignment horizontal="center" vertical="center" wrapText="1"/>
    </xf>
    <xf numFmtId="0" fontId="17" fillId="0" borderId="279" xfId="4" applyFont="1" applyBorder="1" applyAlignment="1">
      <alignment horizontal="center" vertical="center" wrapText="1"/>
    </xf>
    <xf numFmtId="0" fontId="17" fillId="0" borderId="285" xfId="4" applyFont="1" applyBorder="1" applyAlignment="1">
      <alignment horizontal="center" vertical="center" wrapText="1"/>
    </xf>
    <xf numFmtId="0" fontId="20" fillId="19" borderId="278" xfId="4" applyFont="1" applyFill="1" applyBorder="1" applyAlignment="1">
      <alignment horizontal="center" vertical="center" wrapText="1"/>
    </xf>
    <xf numFmtId="0" fontId="0" fillId="19" borderId="284" xfId="0" applyFont="1" applyFill="1" applyBorder="1" applyAlignment="1">
      <alignment horizontal="center" vertical="center" wrapText="1"/>
    </xf>
    <xf numFmtId="3" fontId="25" fillId="23" borderId="301" xfId="4" applyNumberFormat="1" applyFont="1" applyFill="1" applyBorder="1" applyAlignment="1">
      <alignment horizontal="center" vertical="center"/>
    </xf>
    <xf numFmtId="3" fontId="25" fillId="23" borderId="303" xfId="4" applyNumberFormat="1" applyFont="1" applyFill="1" applyBorder="1" applyAlignment="1">
      <alignment horizontal="center" vertical="center"/>
    </xf>
    <xf numFmtId="3" fontId="25" fillId="23" borderId="295" xfId="4" applyNumberFormat="1" applyFont="1" applyFill="1" applyBorder="1" applyAlignment="1">
      <alignment horizontal="center" vertical="center"/>
    </xf>
    <xf numFmtId="0" fontId="25" fillId="0" borderId="274" xfId="4" applyFont="1" applyBorder="1" applyAlignment="1">
      <alignment horizontal="center" vertical="center" wrapText="1"/>
    </xf>
    <xf numFmtId="0" fontId="25" fillId="0" borderId="283" xfId="4" applyFont="1" applyBorder="1" applyAlignment="1">
      <alignment horizontal="center" vertical="center" wrapText="1"/>
    </xf>
    <xf numFmtId="0" fontId="25" fillId="0" borderId="275" xfId="4" applyFont="1" applyBorder="1" applyAlignment="1">
      <alignment horizontal="center" vertical="center" wrapText="1"/>
    </xf>
    <xf numFmtId="0" fontId="25" fillId="0" borderId="276" xfId="4" applyFont="1" applyBorder="1" applyAlignment="1">
      <alignment horizontal="center" vertical="center" wrapText="1"/>
    </xf>
    <xf numFmtId="0" fontId="25" fillId="0" borderId="277" xfId="4" applyFont="1" applyBorder="1" applyAlignment="1">
      <alignment horizontal="center" vertical="center" wrapText="1"/>
    </xf>
    <xf numFmtId="0" fontId="18" fillId="0" borderId="316" xfId="4" applyFont="1" applyFill="1" applyBorder="1" applyAlignment="1">
      <alignment horizontal="center" vertical="center" wrapText="1"/>
    </xf>
    <xf numFmtId="0" fontId="18" fillId="0" borderId="288" xfId="4" applyFont="1" applyFill="1" applyBorder="1" applyAlignment="1">
      <alignment horizontal="center" vertical="center" wrapText="1"/>
    </xf>
    <xf numFmtId="0" fontId="18" fillId="0" borderId="317" xfId="4" applyFont="1" applyFill="1" applyBorder="1" applyAlignment="1">
      <alignment horizontal="center" vertical="center" wrapText="1"/>
    </xf>
    <xf numFmtId="0" fontId="24" fillId="2" borderId="286" xfId="4" applyFont="1" applyFill="1" applyBorder="1" applyAlignment="1">
      <alignment horizontal="center" vertical="center" wrapText="1"/>
    </xf>
    <xf numFmtId="0" fontId="24" fillId="2" borderId="286" xfId="4" applyFont="1" applyFill="1" applyBorder="1" applyAlignment="1">
      <alignment horizontal="center" vertical="center" wrapText="1" shrinkToFit="1"/>
    </xf>
    <xf numFmtId="0" fontId="24" fillId="2" borderId="314" xfId="4" applyFont="1" applyFill="1" applyBorder="1" applyAlignment="1">
      <alignment horizontal="center" vertical="center" wrapText="1" shrinkToFit="1"/>
    </xf>
    <xf numFmtId="3" fontId="24" fillId="23" borderId="287" xfId="4" applyNumberFormat="1" applyFont="1" applyFill="1" applyBorder="1" applyAlignment="1">
      <alignment horizontal="center" vertical="center"/>
    </xf>
    <xf numFmtId="3" fontId="24" fillId="23" borderId="294" xfId="4" applyNumberFormat="1" applyFont="1" applyFill="1" applyBorder="1" applyAlignment="1">
      <alignment horizontal="center" vertical="center"/>
    </xf>
    <xf numFmtId="0" fontId="18" fillId="0" borderId="279" xfId="4" applyFont="1" applyFill="1" applyBorder="1" applyAlignment="1">
      <alignment horizontal="center" vertical="center" wrapText="1"/>
    </xf>
    <xf numFmtId="0" fontId="18" fillId="0" borderId="325" xfId="4" applyFont="1" applyFill="1" applyBorder="1" applyAlignment="1">
      <alignment horizontal="center" vertical="center" wrapText="1"/>
    </xf>
    <xf numFmtId="0" fontId="18" fillId="0" borderId="326" xfId="4" applyFont="1" applyFill="1" applyBorder="1" applyAlignment="1">
      <alignment horizontal="center" vertical="center" wrapText="1"/>
    </xf>
    <xf numFmtId="0" fontId="25" fillId="2" borderId="286" xfId="4" applyFont="1" applyFill="1" applyBorder="1" applyAlignment="1">
      <alignment horizontal="center" vertical="center" wrapText="1"/>
    </xf>
    <xf numFmtId="0" fontId="0" fillId="0" borderId="286" xfId="0" applyFont="1" applyBorder="1"/>
    <xf numFmtId="0" fontId="32" fillId="0" borderId="286" xfId="0" applyFont="1" applyBorder="1" applyAlignment="1">
      <alignment horizontal="center" vertical="center" wrapText="1"/>
    </xf>
    <xf numFmtId="3" fontId="24" fillId="35" borderId="301" xfId="4" applyNumberFormat="1" applyFont="1" applyFill="1" applyBorder="1" applyAlignment="1">
      <alignment horizontal="center" vertical="center"/>
    </xf>
    <xf numFmtId="3" fontId="24" fillId="35" borderId="303" xfId="4" applyNumberFormat="1" applyFont="1" applyFill="1" applyBorder="1" applyAlignment="1">
      <alignment horizontal="center" vertical="center"/>
    </xf>
    <xf numFmtId="3" fontId="24" fillId="35" borderId="295" xfId="4" applyNumberFormat="1" applyFont="1" applyFill="1" applyBorder="1" applyAlignment="1">
      <alignment horizontal="center" vertical="center"/>
    </xf>
    <xf numFmtId="0" fontId="24" fillId="0" borderId="290" xfId="4" applyFont="1" applyFill="1" applyBorder="1" applyAlignment="1">
      <alignment horizontal="center" vertical="center"/>
    </xf>
    <xf numFmtId="0" fontId="18" fillId="0" borderId="304" xfId="4" applyFont="1" applyFill="1" applyBorder="1" applyAlignment="1">
      <alignment horizontal="center" vertical="center" wrapText="1"/>
    </xf>
    <xf numFmtId="0" fontId="0" fillId="0" borderId="311" xfId="0" applyFont="1" applyBorder="1"/>
    <xf numFmtId="0" fontId="24" fillId="0" borderId="296" xfId="4" applyFont="1" applyFill="1" applyBorder="1" applyAlignment="1">
      <alignment horizontal="center" vertical="center"/>
    </xf>
    <xf numFmtId="0" fontId="18" fillId="0" borderId="293" xfId="4" applyFont="1" applyFill="1" applyBorder="1" applyAlignment="1">
      <alignment horizontal="center" vertical="center" wrapText="1"/>
    </xf>
    <xf numFmtId="0" fontId="32" fillId="0" borderId="314" xfId="0" applyFont="1" applyBorder="1" applyAlignment="1">
      <alignment horizontal="center" vertical="center" wrapText="1"/>
    </xf>
    <xf numFmtId="0" fontId="24" fillId="0" borderId="270" xfId="4" applyFont="1" applyFill="1" applyBorder="1" applyAlignment="1">
      <alignment horizontal="center" vertical="center"/>
    </xf>
    <xf numFmtId="0" fontId="24" fillId="0" borderId="289" xfId="4" applyFont="1" applyFill="1" applyBorder="1" applyAlignment="1">
      <alignment horizontal="center" vertical="center"/>
    </xf>
    <xf numFmtId="0" fontId="24" fillId="0" borderId="291" xfId="4" applyFont="1" applyFill="1" applyBorder="1" applyAlignment="1">
      <alignment horizontal="center" vertical="center"/>
    </xf>
    <xf numFmtId="0" fontId="25" fillId="2" borderId="292" xfId="4" applyFont="1" applyFill="1" applyBorder="1" applyAlignment="1">
      <alignment horizontal="center" vertical="center" wrapText="1"/>
    </xf>
    <xf numFmtId="0" fontId="22" fillId="0" borderId="270" xfId="0" applyFont="1" applyBorder="1" applyAlignment="1">
      <alignment horizontal="center" vertical="center" wrapText="1"/>
    </xf>
    <xf numFmtId="0" fontId="22" fillId="0" borderId="289" xfId="0" applyFont="1" applyBorder="1" applyAlignment="1">
      <alignment horizontal="center" vertical="center" wrapText="1"/>
    </xf>
    <xf numFmtId="0" fontId="22" fillId="0" borderId="291" xfId="0" applyFont="1" applyBorder="1" applyAlignment="1">
      <alignment horizontal="center" vertical="center" wrapText="1"/>
    </xf>
    <xf numFmtId="0" fontId="26" fillId="0" borderId="270" xfId="0" applyFont="1" applyBorder="1" applyAlignment="1">
      <alignment horizontal="center" vertical="center" wrapText="1"/>
    </xf>
    <xf numFmtId="0" fontId="26" fillId="0" borderId="289" xfId="0" applyFont="1" applyBorder="1" applyAlignment="1">
      <alignment horizontal="center" vertical="center" wrapText="1"/>
    </xf>
    <xf numFmtId="0" fontId="26" fillId="0" borderId="291" xfId="0" applyFont="1" applyBorder="1" applyAlignment="1">
      <alignment horizontal="center" vertical="center" wrapText="1"/>
    </xf>
    <xf numFmtId="0" fontId="25" fillId="2" borderId="318" xfId="4" applyFont="1" applyFill="1" applyBorder="1" applyAlignment="1">
      <alignment horizontal="center" vertical="center" wrapText="1"/>
    </xf>
    <xf numFmtId="0" fontId="17" fillId="0" borderId="289" xfId="0" applyFont="1" applyFill="1" applyBorder="1" applyAlignment="1">
      <alignment horizontal="center" vertical="center" wrapText="1"/>
    </xf>
    <xf numFmtId="0" fontId="0" fillId="0" borderId="289" xfId="0" applyFont="1" applyBorder="1" applyAlignment="1">
      <alignment vertical="center" wrapText="1"/>
    </xf>
    <xf numFmtId="0" fontId="0" fillId="0" borderId="291" xfId="0" applyFont="1" applyBorder="1" applyAlignment="1">
      <alignment vertical="center" wrapText="1"/>
    </xf>
    <xf numFmtId="0" fontId="17" fillId="0" borderId="270" xfId="0" applyFont="1" applyFill="1" applyBorder="1" applyAlignment="1">
      <alignment horizontal="center" vertical="center" wrapText="1"/>
    </xf>
    <xf numFmtId="0" fontId="18" fillId="0" borderId="302" xfId="0" applyFont="1" applyFill="1" applyBorder="1" applyAlignment="1">
      <alignment horizontal="center" vertical="center" wrapText="1"/>
    </xf>
    <xf numFmtId="3" fontId="25" fillId="2" borderId="304" xfId="4" applyNumberFormat="1" applyFont="1" applyFill="1" applyBorder="1" applyAlignment="1">
      <alignment horizontal="center" vertical="center" wrapText="1"/>
    </xf>
    <xf numFmtId="3" fontId="25" fillId="2" borderId="284" xfId="4" applyNumberFormat="1" applyFont="1" applyFill="1" applyBorder="1" applyAlignment="1">
      <alignment horizontal="center" vertical="center" wrapText="1"/>
    </xf>
    <xf numFmtId="0" fontId="18" fillId="0" borderId="269" xfId="0" applyFont="1" applyBorder="1" applyAlignment="1">
      <alignment horizontal="left" vertical="center" wrapText="1"/>
    </xf>
    <xf numFmtId="0" fontId="17" fillId="33" borderId="289" xfId="0" applyFont="1" applyFill="1" applyBorder="1" applyAlignment="1">
      <alignment horizontal="center" vertical="center" wrapText="1"/>
    </xf>
    <xf numFmtId="0" fontId="18" fillId="33" borderId="319" xfId="0" applyFont="1" applyFill="1" applyBorder="1" applyAlignment="1">
      <alignment horizontal="center" vertical="center" wrapText="1"/>
    </xf>
    <xf numFmtId="3" fontId="25" fillId="33" borderId="286" xfId="4" applyNumberFormat="1" applyFont="1" applyFill="1" applyBorder="1" applyAlignment="1">
      <alignment horizontal="center" vertical="center" wrapText="1"/>
    </xf>
    <xf numFmtId="0" fontId="32" fillId="33" borderId="286" xfId="0" applyFont="1" applyFill="1" applyBorder="1" applyAlignment="1">
      <alignment horizontal="center" vertical="center" wrapText="1"/>
    </xf>
    <xf numFmtId="0" fontId="17" fillId="0" borderId="270" xfId="0" applyFont="1" applyBorder="1" applyAlignment="1">
      <alignment horizontal="center" vertical="center"/>
    </xf>
    <xf numFmtId="0" fontId="17" fillId="0" borderId="289" xfId="0" applyFont="1" applyBorder="1" applyAlignment="1">
      <alignment horizontal="center" vertical="center"/>
    </xf>
    <xf numFmtId="0" fontId="17" fillId="0" borderId="291" xfId="0" applyFont="1" applyBorder="1" applyAlignment="1">
      <alignment horizontal="center" vertical="center"/>
    </xf>
    <xf numFmtId="0" fontId="0" fillId="0" borderId="297" xfId="0" applyFont="1" applyBorder="1" applyAlignment="1">
      <alignment vertical="center" wrapText="1"/>
    </xf>
    <xf numFmtId="3" fontId="25" fillId="2" borderId="292" xfId="4" applyNumberFormat="1" applyFont="1" applyFill="1" applyBorder="1" applyAlignment="1">
      <alignment horizontal="center" vertical="center" wrapText="1"/>
    </xf>
    <xf numFmtId="0" fontId="25" fillId="8" borderId="322" xfId="0" applyFont="1" applyFill="1" applyBorder="1" applyAlignment="1">
      <alignment horizontal="center" vertical="center" wrapText="1"/>
    </xf>
    <xf numFmtId="0" fontId="25" fillId="8" borderId="318" xfId="0" applyFont="1" applyFill="1" applyBorder="1" applyAlignment="1">
      <alignment horizontal="center" vertical="center" wrapText="1"/>
    </xf>
    <xf numFmtId="3" fontId="25" fillId="29" borderId="310" xfId="0" applyNumberFormat="1" applyFont="1" applyFill="1" applyBorder="1" applyAlignment="1">
      <alignment horizontal="center" vertical="center" wrapText="1"/>
    </xf>
    <xf numFmtId="3" fontId="25" fillId="29" borderId="290" xfId="0" applyNumberFormat="1" applyFont="1" applyFill="1" applyBorder="1" applyAlignment="1">
      <alignment horizontal="center" vertical="center" wrapText="1"/>
    </xf>
    <xf numFmtId="3" fontId="25" fillId="29" borderId="296" xfId="0" applyNumberFormat="1" applyFont="1" applyFill="1" applyBorder="1" applyAlignment="1">
      <alignment horizontal="center" vertical="center" wrapText="1"/>
    </xf>
    <xf numFmtId="0" fontId="0" fillId="0" borderId="290" xfId="0" applyFont="1" applyBorder="1" applyAlignment="1">
      <alignment horizontal="center" vertical="center" wrapText="1"/>
    </xf>
    <xf numFmtId="0" fontId="0" fillId="0" borderId="296" xfId="0" applyFont="1" applyBorder="1" applyAlignment="1">
      <alignment horizontal="center" vertical="center" wrapText="1"/>
    </xf>
    <xf numFmtId="0" fontId="17" fillId="0" borderId="291" xfId="0" applyFont="1" applyFill="1" applyBorder="1" applyAlignment="1">
      <alignment horizontal="center" vertical="center" wrapText="1"/>
    </xf>
    <xf numFmtId="0" fontId="22" fillId="0" borderId="302" xfId="0" applyFont="1" applyBorder="1" applyAlignment="1">
      <alignment horizontal="center" vertical="center" wrapText="1"/>
    </xf>
    <xf numFmtId="0" fontId="22" fillId="0" borderId="290" xfId="0" applyFont="1" applyBorder="1" applyAlignment="1">
      <alignment horizontal="center" vertical="center" wrapText="1"/>
    </xf>
    <xf numFmtId="0" fontId="22" fillId="0" borderId="296" xfId="0" applyFont="1" applyBorder="1" applyAlignment="1">
      <alignment horizontal="center" vertical="center" wrapText="1"/>
    </xf>
    <xf numFmtId="0" fontId="16" fillId="2" borderId="323" xfId="0" applyFont="1" applyFill="1" applyBorder="1" applyAlignment="1">
      <alignment horizontal="left" vertical="center" wrapText="1"/>
    </xf>
    <xf numFmtId="0" fontId="20" fillId="0" borderId="330" xfId="0" applyFont="1" applyBorder="1" applyAlignment="1">
      <alignment horizontal="center" vertical="center" wrapText="1"/>
    </xf>
    <xf numFmtId="0" fontId="20" fillId="0" borderId="305" xfId="0" applyFont="1" applyBorder="1" applyAlignment="1">
      <alignment horizontal="center" vertical="center" wrapText="1"/>
    </xf>
    <xf numFmtId="0" fontId="18" fillId="0" borderId="271" xfId="4" applyFont="1" applyBorder="1" applyAlignment="1">
      <alignment horizontal="center" vertical="center" wrapText="1"/>
    </xf>
    <xf numFmtId="0" fontId="0" fillId="0" borderId="292" xfId="0" applyFont="1" applyBorder="1" applyAlignment="1">
      <alignment vertical="center"/>
    </xf>
    <xf numFmtId="0" fontId="18" fillId="0" borderId="274" xfId="4" applyFont="1" applyBorder="1" applyAlignment="1">
      <alignment horizontal="center" vertical="center" wrapText="1"/>
    </xf>
    <xf numFmtId="0" fontId="18" fillId="0" borderId="295" xfId="4" applyFont="1" applyBorder="1" applyAlignment="1">
      <alignment horizontal="center" vertical="center" wrapText="1"/>
    </xf>
    <xf numFmtId="0" fontId="17" fillId="0" borderId="326" xfId="4" applyFont="1" applyBorder="1" applyAlignment="1">
      <alignment horizontal="center" vertical="center" wrapText="1"/>
    </xf>
    <xf numFmtId="0" fontId="0" fillId="19" borderId="293" xfId="0" applyFont="1" applyFill="1" applyBorder="1" applyAlignment="1">
      <alignment horizontal="center" vertical="center" wrapText="1"/>
    </xf>
    <xf numFmtId="0" fontId="25" fillId="0" borderId="295" xfId="4" applyFont="1" applyBorder="1" applyAlignment="1">
      <alignment horizontal="center" vertical="center" wrapText="1"/>
    </xf>
    <xf numFmtId="3" fontId="25" fillId="2" borderId="314" xfId="4" applyNumberFormat="1" applyFont="1" applyFill="1" applyBorder="1" applyAlignment="1">
      <alignment horizontal="center" vertical="center" wrapText="1"/>
    </xf>
    <xf numFmtId="3" fontId="17" fillId="27" borderId="301" xfId="4" applyNumberFormat="1" applyFont="1" applyFill="1" applyBorder="1" applyAlignment="1">
      <alignment horizontal="center" vertical="center"/>
    </xf>
    <xf numFmtId="3" fontId="17" fillId="27" borderId="303" xfId="4" applyNumberFormat="1" applyFont="1" applyFill="1" applyBorder="1" applyAlignment="1">
      <alignment horizontal="center" vertical="center"/>
    </xf>
    <xf numFmtId="3" fontId="17" fillId="27" borderId="295" xfId="4" applyNumberFormat="1" applyFont="1" applyFill="1" applyBorder="1" applyAlignment="1">
      <alignment horizontal="center" vertical="center"/>
    </xf>
    <xf numFmtId="0" fontId="25" fillId="33" borderId="301" xfId="4" applyFont="1" applyFill="1" applyBorder="1" applyAlignment="1">
      <alignment horizontal="center" vertical="center" wrapText="1"/>
    </xf>
    <xf numFmtId="0" fontId="25" fillId="33" borderId="303" xfId="4" applyFont="1" applyFill="1" applyBorder="1" applyAlignment="1">
      <alignment horizontal="center" vertical="center" wrapText="1"/>
    </xf>
    <xf numFmtId="0" fontId="25" fillId="33" borderId="295" xfId="4" applyFont="1" applyFill="1" applyBorder="1" applyAlignment="1">
      <alignment horizontal="center" vertical="center" wrapText="1"/>
    </xf>
    <xf numFmtId="0" fontId="25" fillId="0" borderId="322" xfId="4" applyFont="1" applyFill="1" applyBorder="1" applyAlignment="1">
      <alignment horizontal="center" vertical="center"/>
    </xf>
    <xf numFmtId="0" fontId="25" fillId="0" borderId="281" xfId="4" applyFont="1" applyFill="1" applyBorder="1" applyAlignment="1">
      <alignment horizontal="center" vertical="center"/>
    </xf>
    <xf numFmtId="0" fontId="25" fillId="2" borderId="281" xfId="4" applyFont="1" applyFill="1" applyBorder="1" applyAlignment="1">
      <alignment horizontal="center" vertical="center" wrapText="1"/>
    </xf>
    <xf numFmtId="0" fontId="0" fillId="0" borderId="302" xfId="0" applyFont="1" applyBorder="1" applyAlignment="1">
      <alignment horizontal="center" vertical="center" wrapText="1"/>
    </xf>
    <xf numFmtId="0" fontId="17" fillId="0" borderId="270" xfId="0" applyFont="1" applyFill="1" applyBorder="1" applyAlignment="1">
      <alignment horizontal="center" vertical="center"/>
    </xf>
    <xf numFmtId="0" fontId="17" fillId="0" borderId="289" xfId="0" applyFont="1" applyFill="1" applyBorder="1" applyAlignment="1">
      <alignment horizontal="center" vertical="center"/>
    </xf>
    <xf numFmtId="0" fontId="17" fillId="0" borderId="291" xfId="0" applyFont="1" applyFill="1" applyBorder="1" applyAlignment="1">
      <alignment horizontal="center" vertical="center"/>
    </xf>
    <xf numFmtId="0" fontId="17" fillId="0" borderId="310" xfId="0" applyFont="1" applyFill="1" applyBorder="1" applyAlignment="1">
      <alignment horizontal="center" vertical="center" wrapText="1"/>
    </xf>
    <xf numFmtId="0" fontId="17" fillId="0" borderId="290" xfId="0" applyFont="1" applyFill="1" applyBorder="1" applyAlignment="1">
      <alignment horizontal="center" vertical="center" wrapText="1"/>
    </xf>
    <xf numFmtId="0" fontId="22" fillId="0" borderId="296" xfId="0" applyFont="1" applyBorder="1" applyAlignment="1">
      <alignment vertical="center"/>
    </xf>
    <xf numFmtId="0" fontId="25" fillId="0" borderId="322" xfId="0" applyFont="1" applyFill="1" applyBorder="1" applyAlignment="1">
      <alignment horizontal="center" vertical="center" wrapText="1"/>
    </xf>
    <xf numFmtId="0" fontId="23" fillId="0" borderId="292" xfId="0" applyFont="1" applyBorder="1" applyAlignment="1">
      <alignment horizontal="center" vertical="center" wrapText="1"/>
    </xf>
    <xf numFmtId="2" fontId="17" fillId="0" borderId="270" xfId="4" applyNumberFormat="1" applyFont="1" applyFill="1" applyBorder="1" applyAlignment="1">
      <alignment horizontal="center" vertical="center"/>
    </xf>
    <xf numFmtId="2" fontId="4" fillId="0" borderId="289" xfId="112" applyNumberFormat="1" applyFont="1" applyBorder="1" applyAlignment="1">
      <alignment horizontal="center" vertical="center" wrapText="1"/>
    </xf>
    <xf numFmtId="2" fontId="4" fillId="0" borderId="291" xfId="112" applyNumberFormat="1" applyFont="1" applyBorder="1" applyAlignment="1">
      <alignment horizontal="center" vertical="center" wrapText="1"/>
    </xf>
    <xf numFmtId="0" fontId="17" fillId="0" borderId="270" xfId="112" applyFont="1" applyFill="1" applyBorder="1" applyAlignment="1">
      <alignment horizontal="center" vertical="center" wrapText="1"/>
    </xf>
    <xf numFmtId="0" fontId="17" fillId="0" borderId="289" xfId="112" applyFont="1" applyFill="1" applyBorder="1" applyAlignment="1">
      <alignment horizontal="center" vertical="center" wrapText="1"/>
    </xf>
    <xf numFmtId="0" fontId="17" fillId="0" borderId="291" xfId="112" applyFont="1" applyFill="1" applyBorder="1" applyAlignment="1">
      <alignment horizontal="center" vertical="center" wrapText="1"/>
    </xf>
    <xf numFmtId="0" fontId="18" fillId="0" borderId="279" xfId="112" applyFont="1" applyFill="1" applyBorder="1" applyAlignment="1">
      <alignment horizontal="center" vertical="center" wrapText="1"/>
    </xf>
    <xf numFmtId="0" fontId="18" fillId="0" borderId="325" xfId="112" applyFont="1" applyFill="1" applyBorder="1" applyAlignment="1">
      <alignment horizontal="center" vertical="center" wrapText="1"/>
    </xf>
    <xf numFmtId="0" fontId="4" fillId="0" borderId="325" xfId="112" applyFont="1" applyBorder="1" applyAlignment="1">
      <alignment horizontal="center" vertical="center" wrapText="1"/>
    </xf>
    <xf numFmtId="0" fontId="4" fillId="0" borderId="326" xfId="112" applyFont="1" applyBorder="1" applyAlignment="1">
      <alignment horizontal="center" vertical="center" wrapText="1"/>
    </xf>
    <xf numFmtId="0" fontId="32" fillId="0" borderId="318" xfId="112" applyFont="1" applyBorder="1" applyAlignment="1">
      <alignment horizontal="center" vertical="center" wrapText="1"/>
    </xf>
    <xf numFmtId="0" fontId="32" fillId="0" borderId="292" xfId="112" applyFont="1" applyBorder="1" applyAlignment="1">
      <alignment horizontal="center" vertical="center" wrapText="1"/>
    </xf>
    <xf numFmtId="0" fontId="4" fillId="0" borderId="269" xfId="0" applyFont="1" applyBorder="1" applyAlignment="1">
      <alignment vertical="center"/>
    </xf>
    <xf numFmtId="3" fontId="25" fillId="23" borderId="301" xfId="0" applyNumberFormat="1" applyFont="1" applyFill="1" applyBorder="1" applyAlignment="1">
      <alignment horizontal="center" vertical="center"/>
    </xf>
    <xf numFmtId="3" fontId="25" fillId="23" borderId="303" xfId="0" applyNumberFormat="1" applyFont="1" applyFill="1" applyBorder="1" applyAlignment="1">
      <alignment horizontal="center" vertical="center"/>
    </xf>
    <xf numFmtId="3" fontId="25" fillId="23" borderId="295" xfId="0" applyNumberFormat="1" applyFont="1" applyFill="1" applyBorder="1" applyAlignment="1">
      <alignment horizontal="center" vertical="center"/>
    </xf>
    <xf numFmtId="2" fontId="60" fillId="0" borderId="291" xfId="112" applyNumberFormat="1" applyFont="1" applyBorder="1" applyAlignment="1">
      <alignment horizontal="center" vertical="center" wrapText="1"/>
    </xf>
    <xf numFmtId="0" fontId="30" fillId="0" borderId="326" xfId="4" applyFont="1" applyFill="1" applyBorder="1" applyAlignment="1">
      <alignment horizontal="center" vertical="center" wrapText="1"/>
    </xf>
    <xf numFmtId="3" fontId="25" fillId="26" borderId="301" xfId="4" applyNumberFormat="1" applyFont="1" applyFill="1" applyBorder="1" applyAlignment="1">
      <alignment horizontal="center" vertical="center"/>
    </xf>
    <xf numFmtId="3" fontId="25" fillId="26" borderId="303" xfId="4" applyNumberFormat="1" applyFont="1" applyFill="1" applyBorder="1" applyAlignment="1">
      <alignment horizontal="center" vertical="center"/>
    </xf>
    <xf numFmtId="3" fontId="25" fillId="26" borderId="295" xfId="4" applyNumberFormat="1" applyFont="1" applyFill="1" applyBorder="1" applyAlignment="1">
      <alignment horizontal="center" vertical="center"/>
    </xf>
    <xf numFmtId="0" fontId="13" fillId="0" borderId="269" xfId="4" applyFont="1" applyFill="1" applyBorder="1" applyAlignment="1">
      <alignment horizontal="left" vertical="center" wrapText="1"/>
    </xf>
    <xf numFmtId="0" fontId="16" fillId="2" borderId="323" xfId="112" applyFont="1" applyFill="1" applyBorder="1" applyAlignment="1">
      <alignment horizontal="left" vertical="center" wrapText="1"/>
    </xf>
    <xf numFmtId="0" fontId="20" fillId="0" borderId="270" xfId="112" applyFont="1" applyBorder="1" applyAlignment="1">
      <alignment horizontal="center" vertical="center" wrapText="1"/>
    </xf>
    <xf numFmtId="0" fontId="20" fillId="0" borderId="291" xfId="112" applyFont="1" applyBorder="1" applyAlignment="1">
      <alignment horizontal="center" vertical="center" wrapText="1"/>
    </xf>
    <xf numFmtId="0" fontId="18" fillId="0" borderId="292" xfId="4" applyFont="1" applyBorder="1" applyAlignment="1">
      <alignment horizontal="center" vertical="center" wrapText="1"/>
    </xf>
    <xf numFmtId="0" fontId="4" fillId="19" borderId="293" xfId="112" applyFont="1" applyFill="1" applyBorder="1" applyAlignment="1">
      <alignment horizontal="center" vertical="center" wrapText="1"/>
    </xf>
    <xf numFmtId="0" fontId="4" fillId="0" borderId="289" xfId="112" applyFont="1" applyBorder="1" applyAlignment="1">
      <alignment vertical="center" wrapText="1"/>
    </xf>
    <xf numFmtId="0" fontId="4" fillId="0" borderId="291" xfId="112" applyFont="1" applyBorder="1" applyAlignment="1">
      <alignment vertical="center" wrapText="1"/>
    </xf>
    <xf numFmtId="0" fontId="77" fillId="2" borderId="329" xfId="0" applyFont="1" applyFill="1" applyBorder="1" applyAlignment="1">
      <alignment horizontal="center" wrapText="1"/>
    </xf>
    <xf numFmtId="0" fontId="0" fillId="0" borderId="329" xfId="0" applyFont="1" applyBorder="1" applyAlignment="1">
      <alignment horizontal="center" wrapText="1"/>
    </xf>
    <xf numFmtId="0" fontId="19" fillId="2" borderId="330" xfId="0" applyFont="1" applyFill="1" applyBorder="1" applyAlignment="1">
      <alignment horizontal="center" vertical="center"/>
    </xf>
    <xf numFmtId="0" fontId="19" fillId="2" borderId="278" xfId="0" applyFont="1" applyFill="1" applyBorder="1" applyAlignment="1">
      <alignment horizontal="center" vertical="center"/>
    </xf>
    <xf numFmtId="0" fontId="19" fillId="2" borderId="297" xfId="0" applyFont="1" applyFill="1" applyBorder="1" applyAlignment="1">
      <alignment horizontal="center" vertical="center"/>
    </xf>
    <xf numFmtId="0" fontId="19" fillId="2" borderId="304" xfId="0" applyFont="1" applyFill="1" applyBorder="1" applyAlignment="1">
      <alignment horizontal="center" vertical="center"/>
    </xf>
    <xf numFmtId="0" fontId="19" fillId="2" borderId="305" xfId="0" applyFont="1" applyFill="1" applyBorder="1" applyAlignment="1">
      <alignment horizontal="center" vertical="center"/>
    </xf>
    <xf numFmtId="0" fontId="19" fillId="2" borderId="293" xfId="0" applyFont="1" applyFill="1" applyBorder="1" applyAlignment="1">
      <alignment horizontal="center" vertical="center"/>
    </xf>
    <xf numFmtId="0" fontId="19" fillId="0" borderId="273" xfId="0" applyFont="1" applyBorder="1" applyAlignment="1">
      <alignment horizontal="center" vertical="center" wrapText="1"/>
    </xf>
    <xf numFmtId="0" fontId="19" fillId="0" borderId="319" xfId="0" applyFont="1" applyBorder="1" applyAlignment="1">
      <alignment horizontal="center" vertical="center" wrapText="1"/>
    </xf>
    <xf numFmtId="0" fontId="19" fillId="0" borderId="310" xfId="0" applyFont="1" applyBorder="1" applyAlignment="1">
      <alignment horizontal="center" vertical="center" wrapText="1"/>
    </xf>
    <xf numFmtId="0" fontId="19" fillId="0" borderId="290" xfId="0" applyFont="1" applyBorder="1" applyAlignment="1">
      <alignment horizontal="center" vertical="center" wrapText="1"/>
    </xf>
    <xf numFmtId="0" fontId="7" fillId="0" borderId="305" xfId="0" applyFont="1" applyBorder="1" applyAlignment="1">
      <alignment horizontal="center" vertical="center"/>
    </xf>
    <xf numFmtId="0" fontId="7" fillId="0" borderId="293" xfId="0" applyFont="1" applyBorder="1" applyAlignment="1">
      <alignment horizontal="center" vertical="center"/>
    </xf>
    <xf numFmtId="0" fontId="36" fillId="0" borderId="273" xfId="0" applyFont="1" applyBorder="1" applyAlignment="1">
      <alignment horizontal="center" vertical="center" wrapText="1"/>
    </xf>
    <xf numFmtId="0" fontId="36" fillId="0" borderId="328" xfId="0" applyFont="1" applyBorder="1" applyAlignment="1">
      <alignment horizontal="center" vertical="center" wrapText="1"/>
    </xf>
    <xf numFmtId="0" fontId="25" fillId="0" borderId="301" xfId="4" applyFont="1" applyBorder="1" applyAlignment="1">
      <alignment horizontal="center" vertical="center" wrapText="1"/>
    </xf>
    <xf numFmtId="0" fontId="25" fillId="0" borderId="303" xfId="4" applyFont="1" applyBorder="1" applyAlignment="1">
      <alignment horizontal="center" vertical="center" wrapText="1"/>
    </xf>
    <xf numFmtId="0" fontId="69" fillId="6" borderId="335" xfId="4" applyFont="1" applyFill="1" applyBorder="1" applyAlignment="1">
      <alignment horizontal="left" vertical="center" wrapText="1"/>
    </xf>
    <xf numFmtId="0" fontId="0" fillId="6" borderId="341" xfId="0" applyFont="1" applyFill="1" applyBorder="1" applyAlignment="1">
      <alignment vertical="center" wrapText="1"/>
    </xf>
    <xf numFmtId="0" fontId="83" fillId="4" borderId="332" xfId="4" applyFont="1" applyFill="1" applyBorder="1" applyAlignment="1">
      <alignment horizontal="left" vertical="center"/>
    </xf>
    <xf numFmtId="0" fontId="39" fillId="4" borderId="284" xfId="0" applyFont="1" applyFill="1" applyBorder="1" applyAlignment="1">
      <alignment vertical="center"/>
    </xf>
    <xf numFmtId="0" fontId="83" fillId="6" borderId="333" xfId="4" applyFont="1" applyFill="1" applyBorder="1" applyAlignment="1">
      <alignment horizontal="left" vertical="center"/>
    </xf>
    <xf numFmtId="0" fontId="39" fillId="6" borderId="299" xfId="0" applyFont="1" applyFill="1" applyBorder="1" applyAlignment="1">
      <alignment vertical="center"/>
    </xf>
    <xf numFmtId="0" fontId="83" fillId="63" borderId="333" xfId="4" applyFont="1" applyFill="1" applyBorder="1" applyAlignment="1">
      <alignment horizontal="left" vertical="center" wrapText="1"/>
    </xf>
    <xf numFmtId="0" fontId="39" fillId="63" borderId="299" xfId="0" applyFont="1" applyFill="1" applyBorder="1" applyAlignment="1">
      <alignment vertical="center" wrapText="1"/>
    </xf>
    <xf numFmtId="0" fontId="83" fillId="6" borderId="332" xfId="4" applyFont="1" applyFill="1" applyBorder="1" applyAlignment="1">
      <alignment horizontal="left" vertical="center" wrapText="1"/>
    </xf>
    <xf numFmtId="0" fontId="39" fillId="6" borderId="284" xfId="0" applyFont="1" applyFill="1" applyBorder="1" applyAlignment="1">
      <alignment vertical="center" wrapText="1"/>
    </xf>
    <xf numFmtId="0" fontId="83" fillId="63" borderId="333" xfId="4" applyFont="1" applyFill="1" applyBorder="1" applyAlignment="1">
      <alignment horizontal="left" vertical="center"/>
    </xf>
    <xf numFmtId="0" fontId="39" fillId="63" borderId="299" xfId="0" applyFont="1" applyFill="1" applyBorder="1" applyAlignment="1">
      <alignment vertical="center"/>
    </xf>
    <xf numFmtId="0" fontId="83" fillId="6" borderId="332" xfId="4" applyFont="1" applyFill="1" applyBorder="1" applyAlignment="1">
      <alignment horizontal="left" vertical="center"/>
    </xf>
    <xf numFmtId="0" fontId="39" fillId="6" borderId="284" xfId="0" applyFont="1" applyFill="1" applyBorder="1" applyAlignment="1">
      <alignment vertical="center"/>
    </xf>
    <xf numFmtId="0" fontId="69" fillId="38" borderId="305" xfId="4" applyFont="1" applyFill="1" applyBorder="1" applyAlignment="1">
      <alignment horizontal="left" vertical="center" wrapText="1"/>
    </xf>
    <xf numFmtId="0" fontId="0" fillId="38" borderId="293" xfId="0" applyFont="1" applyFill="1" applyBorder="1" applyAlignment="1">
      <alignment vertical="center" wrapText="1"/>
    </xf>
    <xf numFmtId="0" fontId="69" fillId="38" borderId="335" xfId="4" applyFont="1" applyFill="1" applyBorder="1" applyAlignment="1">
      <alignment horizontal="left" vertical="center" wrapText="1"/>
    </xf>
    <xf numFmtId="0" fontId="0" fillId="38" borderId="341" xfId="0" applyFont="1" applyFill="1" applyBorder="1" applyAlignment="1">
      <alignment vertical="center" wrapText="1"/>
    </xf>
    <xf numFmtId="0" fontId="69" fillId="6" borderId="335" xfId="4" applyFont="1" applyFill="1" applyBorder="1" applyAlignment="1">
      <alignment horizontal="left" vertical="center"/>
    </xf>
    <xf numFmtId="0" fontId="0" fillId="6" borderId="341" xfId="0" applyFont="1" applyFill="1" applyBorder="1" applyAlignment="1">
      <alignment vertical="center"/>
    </xf>
    <xf numFmtId="0" fontId="82" fillId="0" borderId="330" xfId="4" applyFont="1" applyFill="1" applyBorder="1" applyAlignment="1">
      <alignment horizontal="center" vertical="center" wrapText="1"/>
    </xf>
    <xf numFmtId="0" fontId="82" fillId="0" borderId="278" xfId="4" applyFont="1" applyFill="1" applyBorder="1" applyAlignment="1">
      <alignment horizontal="center" vertical="center" wrapText="1"/>
    </xf>
    <xf numFmtId="0" fontId="95" fillId="63" borderId="333" xfId="4" applyFont="1" applyFill="1" applyBorder="1" applyAlignment="1">
      <alignment horizontal="left" vertical="center" wrapText="1"/>
    </xf>
    <xf numFmtId="0" fontId="96" fillId="63" borderId="299" xfId="0" applyFont="1" applyFill="1" applyBorder="1" applyAlignment="1">
      <alignment vertical="center" wrapText="1"/>
    </xf>
    <xf numFmtId="0" fontId="95" fillId="6" borderId="332" xfId="4" applyFont="1" applyFill="1" applyBorder="1" applyAlignment="1">
      <alignment horizontal="left" vertical="center" wrapText="1"/>
    </xf>
    <xf numFmtId="0" fontId="96" fillId="6" borderId="284" xfId="0" applyFont="1" applyFill="1" applyBorder="1" applyAlignment="1">
      <alignment vertical="center" wrapText="1"/>
    </xf>
    <xf numFmtId="0" fontId="74" fillId="38" borderId="335" xfId="0" applyFont="1" applyFill="1" applyBorder="1" applyAlignment="1">
      <alignment horizontal="left" vertical="center"/>
    </xf>
    <xf numFmtId="0" fontId="74" fillId="38" borderId="341" xfId="0" applyFont="1" applyFill="1" applyBorder="1" applyAlignment="1">
      <alignment horizontal="left" vertical="center"/>
    </xf>
    <xf numFmtId="0" fontId="69" fillId="38" borderId="335" xfId="4" applyFont="1" applyFill="1" applyBorder="1" applyAlignment="1">
      <alignment horizontal="left" vertical="center"/>
    </xf>
    <xf numFmtId="0" fontId="0" fillId="38" borderId="341" xfId="0" applyFont="1" applyFill="1" applyBorder="1" applyAlignment="1">
      <alignment vertical="center"/>
    </xf>
    <xf numFmtId="0" fontId="24" fillId="0" borderId="318" xfId="4" applyFont="1" applyFill="1" applyBorder="1" applyAlignment="1">
      <alignment horizontal="center" vertical="center"/>
    </xf>
    <xf numFmtId="0" fontId="24" fillId="0" borderId="292" xfId="4" applyFont="1" applyFill="1" applyBorder="1" applyAlignment="1">
      <alignment horizontal="center" vertical="center"/>
    </xf>
    <xf numFmtId="0" fontId="24" fillId="33" borderId="270" xfId="4" applyFont="1" applyFill="1" applyBorder="1" applyAlignment="1">
      <alignment horizontal="center" vertical="center"/>
    </xf>
    <xf numFmtId="0" fontId="24" fillId="33" borderId="289" xfId="4" applyFont="1" applyFill="1" applyBorder="1" applyAlignment="1">
      <alignment horizontal="center" vertical="center"/>
    </xf>
    <xf numFmtId="0" fontId="24" fillId="33" borderId="291" xfId="4" applyFont="1" applyFill="1" applyBorder="1" applyAlignment="1">
      <alignment horizontal="center" vertical="center"/>
    </xf>
    <xf numFmtId="0" fontId="24" fillId="0" borderId="271" xfId="4" applyFont="1" applyFill="1" applyBorder="1" applyAlignment="1">
      <alignment horizontal="center" vertical="center"/>
    </xf>
    <xf numFmtId="0" fontId="24" fillId="33" borderId="271" xfId="4" applyFont="1" applyFill="1" applyBorder="1" applyAlignment="1">
      <alignment horizontal="center" vertical="center"/>
    </xf>
    <xf numFmtId="0" fontId="24" fillId="33" borderId="318" xfId="4" applyFont="1" applyFill="1" applyBorder="1" applyAlignment="1">
      <alignment horizontal="center" vertical="center"/>
    </xf>
    <xf numFmtId="0" fontId="24" fillId="33" borderId="292" xfId="4" applyFont="1" applyFill="1" applyBorder="1" applyAlignment="1">
      <alignment horizontal="center" vertical="center"/>
    </xf>
    <xf numFmtId="0" fontId="24" fillId="75" borderId="271" xfId="4" applyFont="1" applyFill="1" applyBorder="1" applyAlignment="1">
      <alignment horizontal="center" vertical="center"/>
    </xf>
    <xf numFmtId="0" fontId="24" fillId="75" borderId="318" xfId="4" applyFont="1" applyFill="1" applyBorder="1" applyAlignment="1">
      <alignment horizontal="center" vertical="center"/>
    </xf>
    <xf numFmtId="0" fontId="24" fillId="75" borderId="292" xfId="4" applyFont="1" applyFill="1" applyBorder="1" applyAlignment="1">
      <alignment horizontal="center" vertical="center"/>
    </xf>
    <xf numFmtId="0" fontId="70" fillId="2" borderId="329" xfId="3" applyFont="1" applyFill="1" applyBorder="1" applyAlignment="1">
      <alignment horizontal="center" vertical="center" wrapText="1"/>
    </xf>
    <xf numFmtId="0" fontId="71" fillId="2" borderId="329" xfId="0" applyFont="1" applyFill="1" applyBorder="1" applyAlignment="1">
      <alignment horizontal="center" vertical="center" wrapText="1"/>
    </xf>
    <xf numFmtId="0" fontId="17" fillId="0" borderId="270" xfId="4" applyFont="1" applyBorder="1" applyAlignment="1">
      <alignment horizontal="center" vertical="center" wrapText="1"/>
    </xf>
    <xf numFmtId="0" fontId="17" fillId="0" borderId="289" xfId="4" applyFont="1" applyBorder="1" applyAlignment="1">
      <alignment horizontal="center" vertical="center"/>
    </xf>
    <xf numFmtId="0" fontId="17" fillId="0" borderId="291" xfId="4" applyFont="1" applyBorder="1" applyAlignment="1">
      <alignment horizontal="center" vertical="center"/>
    </xf>
    <xf numFmtId="0" fontId="19" fillId="0" borderId="270" xfId="4" applyFont="1" applyBorder="1" applyAlignment="1">
      <alignment horizontal="center" vertical="center" wrapText="1"/>
    </xf>
    <xf numFmtId="0" fontId="19" fillId="0" borderId="289" xfId="4" applyFont="1" applyBorder="1" applyAlignment="1">
      <alignment horizontal="center" vertical="center" wrapText="1"/>
    </xf>
    <xf numFmtId="0" fontId="19" fillId="0" borderId="291" xfId="4" applyFont="1" applyBorder="1" applyAlignment="1">
      <alignment horizontal="center" vertical="center" wrapText="1"/>
    </xf>
    <xf numFmtId="0" fontId="19" fillId="0" borderId="271" xfId="4" applyFont="1" applyBorder="1" applyAlignment="1">
      <alignment horizontal="center" vertical="center" wrapText="1"/>
    </xf>
    <xf numFmtId="0" fontId="19" fillId="0" borderId="318" xfId="4" applyFont="1" applyBorder="1" applyAlignment="1">
      <alignment horizontal="center" vertical="center" wrapText="1"/>
    </xf>
    <xf numFmtId="0" fontId="19" fillId="0" borderId="292" xfId="4" applyFont="1" applyBorder="1" applyAlignment="1">
      <alignment horizontal="center" vertical="center" wrapText="1"/>
    </xf>
    <xf numFmtId="0" fontId="22" fillId="0" borderId="303" xfId="6" applyFont="1" applyBorder="1" applyAlignment="1">
      <alignment horizontal="center" vertical="center" wrapText="1"/>
    </xf>
    <xf numFmtId="0" fontId="22" fillId="0" borderId="295" xfId="6" applyFont="1" applyBorder="1" applyAlignment="1">
      <alignment horizontal="center" vertical="center" wrapText="1"/>
    </xf>
    <xf numFmtId="0" fontId="20" fillId="0" borderId="274" xfId="4" applyFont="1" applyBorder="1" applyAlignment="1">
      <alignment horizontal="center" vertical="center" wrapText="1"/>
    </xf>
    <xf numFmtId="0" fontId="20" fillId="0" borderId="303" xfId="4" applyFont="1" applyBorder="1" applyAlignment="1">
      <alignment horizontal="center" vertical="center" wrapText="1"/>
    </xf>
    <xf numFmtId="0" fontId="20" fillId="0" borderId="295" xfId="4" applyFont="1" applyBorder="1" applyAlignment="1">
      <alignment horizontal="center" vertical="center" wrapText="1"/>
    </xf>
    <xf numFmtId="0" fontId="20" fillId="0" borderId="330" xfId="4" applyFont="1" applyBorder="1" applyAlignment="1">
      <alignment horizontal="center" wrapText="1"/>
    </xf>
    <xf numFmtId="0" fontId="20" fillId="0" borderId="272" xfId="4" applyFont="1" applyBorder="1" applyAlignment="1">
      <alignment horizontal="center" wrapText="1"/>
    </xf>
    <xf numFmtId="0" fontId="20" fillId="0" borderId="279" xfId="4" applyFont="1" applyBorder="1" applyAlignment="1">
      <alignment horizontal="center" wrapText="1"/>
    </xf>
    <xf numFmtId="0" fontId="20" fillId="0" borderId="297" xfId="4" applyFont="1" applyBorder="1" applyAlignment="1">
      <alignment horizontal="center" wrapText="1"/>
    </xf>
    <xf numFmtId="0" fontId="20" fillId="0" borderId="269" xfId="4" applyFont="1" applyBorder="1" applyAlignment="1">
      <alignment horizontal="center" wrapText="1"/>
    </xf>
    <xf numFmtId="0" fontId="20" fillId="0" borderId="325" xfId="4" applyFont="1" applyBorder="1" applyAlignment="1">
      <alignment horizontal="center" wrapText="1"/>
    </xf>
    <xf numFmtId="0" fontId="20" fillId="0" borderId="305" xfId="4" applyFont="1" applyBorder="1" applyAlignment="1">
      <alignment horizontal="center" wrapText="1"/>
    </xf>
    <xf numFmtId="0" fontId="20" fillId="0" borderId="323" xfId="4" applyFont="1" applyBorder="1" applyAlignment="1">
      <alignment horizontal="center" wrapText="1"/>
    </xf>
    <xf numFmtId="0" fontId="20" fillId="0" borderId="326" xfId="4" applyFont="1" applyBorder="1" applyAlignment="1">
      <alignment horizontal="center" wrapText="1"/>
    </xf>
    <xf numFmtId="0" fontId="24" fillId="64" borderId="271" xfId="4" applyFont="1" applyFill="1" applyBorder="1" applyAlignment="1">
      <alignment horizontal="center" vertical="center"/>
    </xf>
    <xf numFmtId="0" fontId="24" fillId="64" borderId="318" xfId="4" applyFont="1" applyFill="1" applyBorder="1" applyAlignment="1">
      <alignment horizontal="center" vertical="center"/>
    </xf>
    <xf numFmtId="0" fontId="24" fillId="64" borderId="292" xfId="4" applyFont="1" applyFill="1" applyBorder="1" applyAlignment="1">
      <alignment horizontal="center" vertical="center"/>
    </xf>
    <xf numFmtId="0" fontId="24" fillId="33" borderId="330" xfId="4" applyFont="1" applyFill="1" applyBorder="1" applyAlignment="1">
      <alignment horizontal="center" vertical="center"/>
    </xf>
    <xf numFmtId="0" fontId="24" fillId="33" borderId="297" xfId="4" applyFont="1" applyFill="1" applyBorder="1" applyAlignment="1">
      <alignment horizontal="center" vertical="center"/>
    </xf>
    <xf numFmtId="0" fontId="24" fillId="33" borderId="305" xfId="4" applyFont="1" applyFill="1" applyBorder="1" applyAlignment="1">
      <alignment horizontal="center" vertical="center"/>
    </xf>
    <xf numFmtId="0" fontId="62" fillId="77" borderId="297" xfId="4" applyFont="1" applyFill="1" applyBorder="1" applyAlignment="1">
      <alignment horizontal="center" vertical="center" wrapText="1"/>
    </xf>
    <xf numFmtId="0" fontId="62" fillId="77" borderId="269" xfId="4" applyFont="1" applyFill="1" applyBorder="1" applyAlignment="1">
      <alignment horizontal="center" vertical="center" wrapText="1"/>
    </xf>
  </cellXfs>
  <cellStyles count="847">
    <cellStyle name="Dziesiętny" xfId="1" builtinId="3"/>
    <cellStyle name="Dziesiętny 2" xfId="7"/>
    <cellStyle name="Dziesiętny 3" xfId="8"/>
    <cellStyle name="Dziesiętny 3 2" xfId="9"/>
    <cellStyle name="Dziesiętny 4" xfId="10"/>
    <cellStyle name="Dziesiętny 4 2" xfId="11"/>
    <cellStyle name="Hiperłącze 2" xfId="12"/>
    <cellStyle name="Normalny" xfId="0" builtinId="0"/>
    <cellStyle name="Normalny 2" xfId="5"/>
    <cellStyle name="Normalny 2 2" xfId="13"/>
    <cellStyle name="Normalny 2 2 2" xfId="14"/>
    <cellStyle name="Normalny 2 2 2 2" xfId="15"/>
    <cellStyle name="Normalny 2 3" xfId="16"/>
    <cellStyle name="Normalny 2 4" xfId="17"/>
    <cellStyle name="Normalny 3" xfId="18"/>
    <cellStyle name="Normalny 3 2" xfId="19"/>
    <cellStyle name="Normalny 3 3" xfId="115"/>
    <cellStyle name="Normalny 3 4" xfId="160"/>
    <cellStyle name="Normalny 3 4 2" xfId="526"/>
    <cellStyle name="Normalny 3 5" xfId="482"/>
    <cellStyle name="Normalny 4" xfId="20"/>
    <cellStyle name="Normalny 5" xfId="21"/>
    <cellStyle name="Normalny 6" xfId="22"/>
    <cellStyle name="Normalny 7" xfId="112"/>
    <cellStyle name="Normalny 7 2" xfId="229"/>
    <cellStyle name="Normalny 8" xfId="152"/>
    <cellStyle name="Normalny_INFO dot  spłaty poręczonych kredytów spzoz wg stanu na 12 07 2010" xfId="3"/>
    <cellStyle name="Normalny_INFO dot  spłaty poręczonych kredytów spzoz wg stanu na 12 07 2010 2" xfId="113"/>
    <cellStyle name="Normalny_Kopia WPI_zest_u_marszal_05_09_06_nowe" xfId="4"/>
    <cellStyle name="Normalny_WPI Drogi i Transport 2007-2010_DIN" xfId="6"/>
    <cellStyle name="Normalny_WPI Drogi i Transport 2007-2010_DIN 2" xfId="114"/>
    <cellStyle name="Procentowy" xfId="2" builtinId="5"/>
    <cellStyle name="Procentowy 2" xfId="23"/>
    <cellStyle name="Procentowy 3" xfId="24"/>
    <cellStyle name="Procentowy 3 2" xfId="25"/>
    <cellStyle name="Procentowy 4" xfId="26"/>
    <cellStyle name="Procentowy 4 2" xfId="27"/>
    <cellStyle name="S0" xfId="28"/>
    <cellStyle name="S1" xfId="29"/>
    <cellStyle name="S10" xfId="30"/>
    <cellStyle name="S11" xfId="31"/>
    <cellStyle name="S12" xfId="32"/>
    <cellStyle name="S13" xfId="33"/>
    <cellStyle name="S14" xfId="34"/>
    <cellStyle name="S15" xfId="35"/>
    <cellStyle name="S16" xfId="36"/>
    <cellStyle name="S17" xfId="37"/>
    <cellStyle name="S18" xfId="38"/>
    <cellStyle name="S19" xfId="39"/>
    <cellStyle name="S2" xfId="40"/>
    <cellStyle name="S20" xfId="41"/>
    <cellStyle name="S21" xfId="42"/>
    <cellStyle name="S22" xfId="43"/>
    <cellStyle name="S23" xfId="44"/>
    <cellStyle name="S24" xfId="45"/>
    <cellStyle name="S25" xfId="46"/>
    <cellStyle name="S26" xfId="47"/>
    <cellStyle name="S27" xfId="48"/>
    <cellStyle name="S28" xfId="49"/>
    <cellStyle name="S29" xfId="50"/>
    <cellStyle name="S3" xfId="51"/>
    <cellStyle name="S30" xfId="52"/>
    <cellStyle name="S31" xfId="53"/>
    <cellStyle name="S32" xfId="54"/>
    <cellStyle name="S33" xfId="55"/>
    <cellStyle name="S34" xfId="56"/>
    <cellStyle name="S35" xfId="57"/>
    <cellStyle name="S36" xfId="58"/>
    <cellStyle name="S37" xfId="59"/>
    <cellStyle name="S38" xfId="60"/>
    <cellStyle name="S39" xfId="61"/>
    <cellStyle name="S4" xfId="62"/>
    <cellStyle name="S40" xfId="63"/>
    <cellStyle name="S41" xfId="64"/>
    <cellStyle name="S42" xfId="65"/>
    <cellStyle name="S43" xfId="66"/>
    <cellStyle name="S44" xfId="67"/>
    <cellStyle name="S5" xfId="68"/>
    <cellStyle name="S6" xfId="69"/>
    <cellStyle name="S7" xfId="70"/>
    <cellStyle name="S8" xfId="71"/>
    <cellStyle name="S9" xfId="72"/>
    <cellStyle name="SAPBEXaggData" xfId="73"/>
    <cellStyle name="SAPBEXaggData 2" xfId="116"/>
    <cellStyle name="SAPBEXaggData 2 2" xfId="230"/>
    <cellStyle name="SAPBEXaggData 2 2 2" xfId="595"/>
    <cellStyle name="SAPBEXaggData 2 3" xfId="303"/>
    <cellStyle name="SAPBEXaggData 2 3 2" xfId="668"/>
    <cellStyle name="SAPBEXaggData 2 4" xfId="371"/>
    <cellStyle name="SAPBEXaggData 2 4 2" xfId="736"/>
    <cellStyle name="SAPBEXaggData 2 5" xfId="340"/>
    <cellStyle name="SAPBEXaggData 2 5 2" xfId="705"/>
    <cellStyle name="SAPBEXaggData 2 6" xfId="411"/>
    <cellStyle name="SAPBEXaggData 2 6 2" xfId="776"/>
    <cellStyle name="SAPBEXaggData 2 7" xfId="186"/>
    <cellStyle name="SAPBEXaggData 2 7 2" xfId="552"/>
    <cellStyle name="SAPBEXaggData 2 8" xfId="483"/>
    <cellStyle name="SAPBEXaggData 3" xfId="192"/>
    <cellStyle name="SAPBEXaggData 3 2" xfId="558"/>
    <cellStyle name="SAPBEXaggData 4" xfId="157"/>
    <cellStyle name="SAPBEXaggData 4 2" xfId="523"/>
    <cellStyle name="SAPBEXaggData 5" xfId="161"/>
    <cellStyle name="SAPBEXaggData 5 2" xfId="527"/>
    <cellStyle name="SAPBEXaggDataEmph" xfId="74"/>
    <cellStyle name="SAPBEXaggDataEmph 2" xfId="117"/>
    <cellStyle name="SAPBEXaggDataEmph 2 2" xfId="231"/>
    <cellStyle name="SAPBEXaggDataEmph 2 2 2" xfId="596"/>
    <cellStyle name="SAPBEXaggDataEmph 2 3" xfId="304"/>
    <cellStyle name="SAPBEXaggDataEmph 2 3 2" xfId="669"/>
    <cellStyle name="SAPBEXaggDataEmph 2 4" xfId="372"/>
    <cellStyle name="SAPBEXaggDataEmph 2 4 2" xfId="737"/>
    <cellStyle name="SAPBEXaggDataEmph 2 5" xfId="341"/>
    <cellStyle name="SAPBEXaggDataEmph 2 5 2" xfId="706"/>
    <cellStyle name="SAPBEXaggDataEmph 2 6" xfId="412"/>
    <cellStyle name="SAPBEXaggDataEmph 2 6 2" xfId="777"/>
    <cellStyle name="SAPBEXaggDataEmph 2 7" xfId="447"/>
    <cellStyle name="SAPBEXaggDataEmph 2 7 2" xfId="812"/>
    <cellStyle name="SAPBEXaggDataEmph 2 8" xfId="484"/>
    <cellStyle name="SAPBEXaggDataEmph 3" xfId="193"/>
    <cellStyle name="SAPBEXaggDataEmph 3 2" xfId="559"/>
    <cellStyle name="SAPBEXaggDataEmph 4" xfId="156"/>
    <cellStyle name="SAPBEXaggDataEmph 4 2" xfId="522"/>
    <cellStyle name="SAPBEXaggDataEmph 5" xfId="162"/>
    <cellStyle name="SAPBEXaggDataEmph 5 2" xfId="528"/>
    <cellStyle name="SAPBEXaggItem" xfId="75"/>
    <cellStyle name="SAPBEXaggItem 2" xfId="118"/>
    <cellStyle name="SAPBEXaggItem 2 2" xfId="232"/>
    <cellStyle name="SAPBEXaggItem 2 2 2" xfId="597"/>
    <cellStyle name="SAPBEXaggItem 2 3" xfId="305"/>
    <cellStyle name="SAPBEXaggItem 2 3 2" xfId="670"/>
    <cellStyle name="SAPBEXaggItem 2 4" xfId="373"/>
    <cellStyle name="SAPBEXaggItem 2 4 2" xfId="738"/>
    <cellStyle name="SAPBEXaggItem 2 5" xfId="342"/>
    <cellStyle name="SAPBEXaggItem 2 5 2" xfId="707"/>
    <cellStyle name="SAPBEXaggItem 2 6" xfId="413"/>
    <cellStyle name="SAPBEXaggItem 2 6 2" xfId="778"/>
    <cellStyle name="SAPBEXaggItem 2 7" xfId="448"/>
    <cellStyle name="SAPBEXaggItem 2 7 2" xfId="813"/>
    <cellStyle name="SAPBEXaggItem 2 8" xfId="485"/>
    <cellStyle name="SAPBEXaggItem 3" xfId="194"/>
    <cellStyle name="SAPBEXaggItem 3 2" xfId="560"/>
    <cellStyle name="SAPBEXaggItem 4" xfId="155"/>
    <cellStyle name="SAPBEXaggItem 4 2" xfId="521"/>
    <cellStyle name="SAPBEXaggItem 5" xfId="163"/>
    <cellStyle name="SAPBEXaggItem 5 2" xfId="529"/>
    <cellStyle name="SAPBEXaggItemX" xfId="76"/>
    <cellStyle name="SAPBEXaggItemX 2" xfId="119"/>
    <cellStyle name="SAPBEXaggItemX 2 2" xfId="233"/>
    <cellStyle name="SAPBEXaggItemX 2 2 2" xfId="598"/>
    <cellStyle name="SAPBEXaggItemX 2 3" xfId="306"/>
    <cellStyle name="SAPBEXaggItemX 2 3 2" xfId="671"/>
    <cellStyle name="SAPBEXaggItemX 2 4" xfId="374"/>
    <cellStyle name="SAPBEXaggItemX 2 4 2" xfId="739"/>
    <cellStyle name="SAPBEXaggItemX 2 5" xfId="343"/>
    <cellStyle name="SAPBEXaggItemX 2 5 2" xfId="708"/>
    <cellStyle name="SAPBEXaggItemX 2 6" xfId="414"/>
    <cellStyle name="SAPBEXaggItemX 2 6 2" xfId="779"/>
    <cellStyle name="SAPBEXaggItemX 2 7" xfId="449"/>
    <cellStyle name="SAPBEXaggItemX 2 7 2" xfId="814"/>
    <cellStyle name="SAPBEXaggItemX 2 8" xfId="486"/>
    <cellStyle name="SAPBEXaggItemX 3" xfId="195"/>
    <cellStyle name="SAPBEXaggItemX 3 2" xfId="561"/>
    <cellStyle name="SAPBEXaggItemX 4" xfId="153"/>
    <cellStyle name="SAPBEXaggItemX 4 2" xfId="519"/>
    <cellStyle name="SAPBEXaggItemX 5" xfId="164"/>
    <cellStyle name="SAPBEXaggItemX 5 2" xfId="530"/>
    <cellStyle name="SAPBEXchaText" xfId="77"/>
    <cellStyle name="SAPBEXchaText 2" xfId="120"/>
    <cellStyle name="SAPBEXchaText 2 2" xfId="234"/>
    <cellStyle name="SAPBEXchaText 2 2 2" xfId="599"/>
    <cellStyle name="SAPBEXchaText 2 3" xfId="307"/>
    <cellStyle name="SAPBEXchaText 2 3 2" xfId="672"/>
    <cellStyle name="SAPBEXchaText 2 4" xfId="375"/>
    <cellStyle name="SAPBEXchaText 2 4 2" xfId="740"/>
    <cellStyle name="SAPBEXchaText 2 5" xfId="344"/>
    <cellStyle name="SAPBEXchaText 2 5 2" xfId="709"/>
    <cellStyle name="SAPBEXchaText 2 6" xfId="415"/>
    <cellStyle name="SAPBEXchaText 2 6 2" xfId="780"/>
    <cellStyle name="SAPBEXchaText 2 7" xfId="450"/>
    <cellStyle name="SAPBEXchaText 2 7 2" xfId="815"/>
    <cellStyle name="SAPBEXchaText 2 8" xfId="487"/>
    <cellStyle name="SAPBEXchaText 3" xfId="196"/>
    <cellStyle name="SAPBEXchaText 3 2" xfId="562"/>
    <cellStyle name="SAPBEXchaText 4" xfId="266"/>
    <cellStyle name="SAPBEXchaText 4 2" xfId="631"/>
    <cellStyle name="SAPBEXchaText 5" xfId="165"/>
    <cellStyle name="SAPBEXchaText 5 2" xfId="531"/>
    <cellStyle name="SAPBEXexcBad7" xfId="78"/>
    <cellStyle name="SAPBEXexcBad7 2" xfId="121"/>
    <cellStyle name="SAPBEXexcBad7 2 2" xfId="235"/>
    <cellStyle name="SAPBEXexcBad7 2 2 2" xfId="600"/>
    <cellStyle name="SAPBEXexcBad7 2 3" xfId="308"/>
    <cellStyle name="SAPBEXexcBad7 2 3 2" xfId="673"/>
    <cellStyle name="SAPBEXexcBad7 2 4" xfId="376"/>
    <cellStyle name="SAPBEXexcBad7 2 4 2" xfId="741"/>
    <cellStyle name="SAPBEXexcBad7 2 5" xfId="345"/>
    <cellStyle name="SAPBEXexcBad7 2 5 2" xfId="710"/>
    <cellStyle name="SAPBEXexcBad7 2 6" xfId="416"/>
    <cellStyle name="SAPBEXexcBad7 2 6 2" xfId="781"/>
    <cellStyle name="SAPBEXexcBad7 2 7" xfId="451"/>
    <cellStyle name="SAPBEXexcBad7 2 7 2" xfId="816"/>
    <cellStyle name="SAPBEXexcBad7 2 8" xfId="488"/>
    <cellStyle name="SAPBEXexcBad7 3" xfId="197"/>
    <cellStyle name="SAPBEXexcBad7 3 2" xfId="563"/>
    <cellStyle name="SAPBEXexcBad7 4" xfId="267"/>
    <cellStyle name="SAPBEXexcBad7 4 2" xfId="632"/>
    <cellStyle name="SAPBEXexcBad7 5" xfId="166"/>
    <cellStyle name="SAPBEXexcBad7 5 2" xfId="532"/>
    <cellStyle name="SAPBEXexcBad8" xfId="79"/>
    <cellStyle name="SAPBEXexcBad8 2" xfId="122"/>
    <cellStyle name="SAPBEXexcBad8 2 2" xfId="236"/>
    <cellStyle name="SAPBEXexcBad8 2 2 2" xfId="601"/>
    <cellStyle name="SAPBEXexcBad8 2 3" xfId="309"/>
    <cellStyle name="SAPBEXexcBad8 2 3 2" xfId="674"/>
    <cellStyle name="SAPBEXexcBad8 2 4" xfId="377"/>
    <cellStyle name="SAPBEXexcBad8 2 4 2" xfId="742"/>
    <cellStyle name="SAPBEXexcBad8 2 5" xfId="346"/>
    <cellStyle name="SAPBEXexcBad8 2 5 2" xfId="711"/>
    <cellStyle name="SAPBEXexcBad8 2 6" xfId="417"/>
    <cellStyle name="SAPBEXexcBad8 2 6 2" xfId="782"/>
    <cellStyle name="SAPBEXexcBad8 2 7" xfId="452"/>
    <cellStyle name="SAPBEXexcBad8 2 7 2" xfId="817"/>
    <cellStyle name="SAPBEXexcBad8 2 8" xfId="489"/>
    <cellStyle name="SAPBEXexcBad8 3" xfId="198"/>
    <cellStyle name="SAPBEXexcBad8 3 2" xfId="564"/>
    <cellStyle name="SAPBEXexcBad8 4" xfId="268"/>
    <cellStyle name="SAPBEXexcBad8 4 2" xfId="633"/>
    <cellStyle name="SAPBEXexcBad8 5" xfId="167"/>
    <cellStyle name="SAPBEXexcBad8 5 2" xfId="533"/>
    <cellStyle name="SAPBEXexcBad9" xfId="80"/>
    <cellStyle name="SAPBEXexcBad9 2" xfId="123"/>
    <cellStyle name="SAPBEXexcBad9 2 2" xfId="237"/>
    <cellStyle name="SAPBEXexcBad9 2 2 2" xfId="602"/>
    <cellStyle name="SAPBEXexcBad9 2 3" xfId="310"/>
    <cellStyle name="SAPBEXexcBad9 2 3 2" xfId="675"/>
    <cellStyle name="SAPBEXexcBad9 2 4" xfId="378"/>
    <cellStyle name="SAPBEXexcBad9 2 4 2" xfId="743"/>
    <cellStyle name="SAPBEXexcBad9 2 5" xfId="368"/>
    <cellStyle name="SAPBEXexcBad9 2 5 2" xfId="733"/>
    <cellStyle name="SAPBEXexcBad9 2 6" xfId="418"/>
    <cellStyle name="SAPBEXexcBad9 2 6 2" xfId="783"/>
    <cellStyle name="SAPBEXexcBad9 2 7" xfId="453"/>
    <cellStyle name="SAPBEXexcBad9 2 7 2" xfId="818"/>
    <cellStyle name="SAPBEXexcBad9 2 8" xfId="490"/>
    <cellStyle name="SAPBEXexcBad9 3" xfId="199"/>
    <cellStyle name="SAPBEXexcBad9 3 2" xfId="565"/>
    <cellStyle name="SAPBEXexcBad9 4" xfId="269"/>
    <cellStyle name="SAPBEXexcBad9 4 2" xfId="634"/>
    <cellStyle name="SAPBEXexcBad9 5" xfId="168"/>
    <cellStyle name="SAPBEXexcBad9 5 2" xfId="534"/>
    <cellStyle name="SAPBEXexcCritical4" xfId="81"/>
    <cellStyle name="SAPBEXexcCritical4 2" xfId="124"/>
    <cellStyle name="SAPBEXexcCritical4 2 2" xfId="238"/>
    <cellStyle name="SAPBEXexcCritical4 2 2 2" xfId="603"/>
    <cellStyle name="SAPBEXexcCritical4 2 3" xfId="311"/>
    <cellStyle name="SAPBEXexcCritical4 2 3 2" xfId="676"/>
    <cellStyle name="SAPBEXexcCritical4 2 4" xfId="379"/>
    <cellStyle name="SAPBEXexcCritical4 2 4 2" xfId="744"/>
    <cellStyle name="SAPBEXexcCritical4 2 5" xfId="154"/>
    <cellStyle name="SAPBEXexcCritical4 2 5 2" xfId="520"/>
    <cellStyle name="SAPBEXexcCritical4 2 6" xfId="419"/>
    <cellStyle name="SAPBEXexcCritical4 2 6 2" xfId="784"/>
    <cellStyle name="SAPBEXexcCritical4 2 7" xfId="454"/>
    <cellStyle name="SAPBEXexcCritical4 2 7 2" xfId="819"/>
    <cellStyle name="SAPBEXexcCritical4 2 8" xfId="491"/>
    <cellStyle name="SAPBEXexcCritical4 3" xfId="200"/>
    <cellStyle name="SAPBEXexcCritical4 3 2" xfId="566"/>
    <cellStyle name="SAPBEXexcCritical4 4" xfId="270"/>
    <cellStyle name="SAPBEXexcCritical4 4 2" xfId="635"/>
    <cellStyle name="SAPBEXexcCritical4 5" xfId="169"/>
    <cellStyle name="SAPBEXexcCritical4 5 2" xfId="535"/>
    <cellStyle name="SAPBEXexcCritical5" xfId="82"/>
    <cellStyle name="SAPBEXexcCritical5 2" xfId="125"/>
    <cellStyle name="SAPBEXexcCritical5 2 2" xfId="239"/>
    <cellStyle name="SAPBEXexcCritical5 2 2 2" xfId="604"/>
    <cellStyle name="SAPBEXexcCritical5 2 3" xfId="312"/>
    <cellStyle name="SAPBEXexcCritical5 2 3 2" xfId="677"/>
    <cellStyle name="SAPBEXexcCritical5 2 4" xfId="380"/>
    <cellStyle name="SAPBEXexcCritical5 2 4 2" xfId="745"/>
    <cellStyle name="SAPBEXexcCritical5 2 5" xfId="364"/>
    <cellStyle name="SAPBEXexcCritical5 2 5 2" xfId="729"/>
    <cellStyle name="SAPBEXexcCritical5 2 6" xfId="420"/>
    <cellStyle name="SAPBEXexcCritical5 2 6 2" xfId="785"/>
    <cellStyle name="SAPBEXexcCritical5 2 7" xfId="455"/>
    <cellStyle name="SAPBEXexcCritical5 2 7 2" xfId="820"/>
    <cellStyle name="SAPBEXexcCritical5 2 8" xfId="492"/>
    <cellStyle name="SAPBEXexcCritical5 3" xfId="201"/>
    <cellStyle name="SAPBEXexcCritical5 3 2" xfId="567"/>
    <cellStyle name="SAPBEXexcCritical5 4" xfId="271"/>
    <cellStyle name="SAPBEXexcCritical5 4 2" xfId="636"/>
    <cellStyle name="SAPBEXexcCritical5 5" xfId="170"/>
    <cellStyle name="SAPBEXexcCritical5 5 2" xfId="536"/>
    <cellStyle name="SAPBEXexcCritical6" xfId="83"/>
    <cellStyle name="SAPBEXexcCritical6 2" xfId="126"/>
    <cellStyle name="SAPBEXexcCritical6 2 2" xfId="240"/>
    <cellStyle name="SAPBEXexcCritical6 2 2 2" xfId="605"/>
    <cellStyle name="SAPBEXexcCritical6 2 3" xfId="313"/>
    <cellStyle name="SAPBEXexcCritical6 2 3 2" xfId="678"/>
    <cellStyle name="SAPBEXexcCritical6 2 4" xfId="381"/>
    <cellStyle name="SAPBEXexcCritical6 2 4 2" xfId="746"/>
    <cellStyle name="SAPBEXexcCritical6 2 5" xfId="366"/>
    <cellStyle name="SAPBEXexcCritical6 2 5 2" xfId="731"/>
    <cellStyle name="SAPBEXexcCritical6 2 6" xfId="421"/>
    <cellStyle name="SAPBEXexcCritical6 2 6 2" xfId="786"/>
    <cellStyle name="SAPBEXexcCritical6 2 7" xfId="456"/>
    <cellStyle name="SAPBEXexcCritical6 2 7 2" xfId="821"/>
    <cellStyle name="SAPBEXexcCritical6 2 8" xfId="493"/>
    <cellStyle name="SAPBEXexcCritical6 3" xfId="202"/>
    <cellStyle name="SAPBEXexcCritical6 3 2" xfId="568"/>
    <cellStyle name="SAPBEXexcCritical6 4" xfId="272"/>
    <cellStyle name="SAPBEXexcCritical6 4 2" xfId="637"/>
    <cellStyle name="SAPBEXexcCritical6 5" xfId="171"/>
    <cellStyle name="SAPBEXexcCritical6 5 2" xfId="537"/>
    <cellStyle name="SAPBEXexcGood1" xfId="84"/>
    <cellStyle name="SAPBEXexcGood1 2" xfId="127"/>
    <cellStyle name="SAPBEXexcGood1 2 2" xfId="241"/>
    <cellStyle name="SAPBEXexcGood1 2 2 2" xfId="606"/>
    <cellStyle name="SAPBEXexcGood1 2 3" xfId="314"/>
    <cellStyle name="SAPBEXexcGood1 2 3 2" xfId="679"/>
    <cellStyle name="SAPBEXexcGood1 2 4" xfId="382"/>
    <cellStyle name="SAPBEXexcGood1 2 4 2" xfId="747"/>
    <cellStyle name="SAPBEXexcGood1 2 5" xfId="158"/>
    <cellStyle name="SAPBEXexcGood1 2 5 2" xfId="524"/>
    <cellStyle name="SAPBEXexcGood1 2 6" xfId="422"/>
    <cellStyle name="SAPBEXexcGood1 2 6 2" xfId="787"/>
    <cellStyle name="SAPBEXexcGood1 2 7" xfId="457"/>
    <cellStyle name="SAPBEXexcGood1 2 7 2" xfId="822"/>
    <cellStyle name="SAPBEXexcGood1 2 8" xfId="494"/>
    <cellStyle name="SAPBEXexcGood1 3" xfId="203"/>
    <cellStyle name="SAPBEXexcGood1 3 2" xfId="569"/>
    <cellStyle name="SAPBEXexcGood1 4" xfId="273"/>
    <cellStyle name="SAPBEXexcGood1 4 2" xfId="638"/>
    <cellStyle name="SAPBEXexcGood1 5" xfId="172"/>
    <cellStyle name="SAPBEXexcGood1 5 2" xfId="538"/>
    <cellStyle name="SAPBEXexcGood2" xfId="85"/>
    <cellStyle name="SAPBEXexcGood2 2" xfId="128"/>
    <cellStyle name="SAPBEXexcGood2 2 2" xfId="242"/>
    <cellStyle name="SAPBEXexcGood2 2 2 2" xfId="607"/>
    <cellStyle name="SAPBEXexcGood2 2 3" xfId="315"/>
    <cellStyle name="SAPBEXexcGood2 2 3 2" xfId="680"/>
    <cellStyle name="SAPBEXexcGood2 2 4" xfId="383"/>
    <cellStyle name="SAPBEXexcGood2 2 4 2" xfId="748"/>
    <cellStyle name="SAPBEXexcGood2 2 5" xfId="367"/>
    <cellStyle name="SAPBEXexcGood2 2 5 2" xfId="732"/>
    <cellStyle name="SAPBEXexcGood2 2 6" xfId="423"/>
    <cellStyle name="SAPBEXexcGood2 2 6 2" xfId="788"/>
    <cellStyle name="SAPBEXexcGood2 2 7" xfId="458"/>
    <cellStyle name="SAPBEXexcGood2 2 7 2" xfId="823"/>
    <cellStyle name="SAPBEXexcGood2 2 8" xfId="495"/>
    <cellStyle name="SAPBEXexcGood2 3" xfId="204"/>
    <cellStyle name="SAPBEXexcGood2 3 2" xfId="570"/>
    <cellStyle name="SAPBEXexcGood2 4" xfId="274"/>
    <cellStyle name="SAPBEXexcGood2 4 2" xfId="639"/>
    <cellStyle name="SAPBEXexcGood2 5" xfId="173"/>
    <cellStyle name="SAPBEXexcGood2 5 2" xfId="539"/>
    <cellStyle name="SAPBEXexcGood3" xfId="86"/>
    <cellStyle name="SAPBEXexcGood3 2" xfId="129"/>
    <cellStyle name="SAPBEXexcGood3 2 2" xfId="243"/>
    <cellStyle name="SAPBEXexcGood3 2 2 2" xfId="608"/>
    <cellStyle name="SAPBEXexcGood3 2 3" xfId="316"/>
    <cellStyle name="SAPBEXexcGood3 2 3 2" xfId="681"/>
    <cellStyle name="SAPBEXexcGood3 2 4" xfId="384"/>
    <cellStyle name="SAPBEXexcGood3 2 4 2" xfId="749"/>
    <cellStyle name="SAPBEXexcGood3 2 5" xfId="409"/>
    <cellStyle name="SAPBEXexcGood3 2 5 2" xfId="774"/>
    <cellStyle name="SAPBEXexcGood3 2 6" xfId="424"/>
    <cellStyle name="SAPBEXexcGood3 2 6 2" xfId="789"/>
    <cellStyle name="SAPBEXexcGood3 2 7" xfId="459"/>
    <cellStyle name="SAPBEXexcGood3 2 7 2" xfId="824"/>
    <cellStyle name="SAPBEXexcGood3 2 8" xfId="496"/>
    <cellStyle name="SAPBEXexcGood3 3" xfId="205"/>
    <cellStyle name="SAPBEXexcGood3 3 2" xfId="571"/>
    <cellStyle name="SAPBEXexcGood3 4" xfId="275"/>
    <cellStyle name="SAPBEXexcGood3 4 2" xfId="640"/>
    <cellStyle name="SAPBEXexcGood3 5" xfId="174"/>
    <cellStyle name="SAPBEXexcGood3 5 2" xfId="540"/>
    <cellStyle name="SAPBEXfilterDrill" xfId="87"/>
    <cellStyle name="SAPBEXfilterDrill 2" xfId="130"/>
    <cellStyle name="SAPBEXfilterDrill 2 2" xfId="244"/>
    <cellStyle name="SAPBEXfilterDrill 2 2 2" xfId="609"/>
    <cellStyle name="SAPBEXfilterDrill 2 3" xfId="317"/>
    <cellStyle name="SAPBEXfilterDrill 2 3 2" xfId="682"/>
    <cellStyle name="SAPBEXfilterDrill 2 4" xfId="385"/>
    <cellStyle name="SAPBEXfilterDrill 2 4 2" xfId="750"/>
    <cellStyle name="SAPBEXfilterDrill 2 5" xfId="159"/>
    <cellStyle name="SAPBEXfilterDrill 2 5 2" xfId="525"/>
    <cellStyle name="SAPBEXfilterDrill 2 6" xfId="425"/>
    <cellStyle name="SAPBEXfilterDrill 2 6 2" xfId="790"/>
    <cellStyle name="SAPBEXfilterDrill 2 7" xfId="460"/>
    <cellStyle name="SAPBEXfilterDrill 2 7 2" xfId="825"/>
    <cellStyle name="SAPBEXfilterDrill 2 8" xfId="497"/>
    <cellStyle name="SAPBEXfilterDrill 3" xfId="206"/>
    <cellStyle name="SAPBEXfilterDrill 3 2" xfId="572"/>
    <cellStyle name="SAPBEXfilterDrill 4" xfId="276"/>
    <cellStyle name="SAPBEXfilterDrill 4 2" xfId="641"/>
    <cellStyle name="SAPBEXfilterDrill 5" xfId="175"/>
    <cellStyle name="SAPBEXfilterDrill 5 2" xfId="541"/>
    <cellStyle name="SAPBEXfilterItem" xfId="88"/>
    <cellStyle name="SAPBEXfilterItem 2" xfId="131"/>
    <cellStyle name="SAPBEXfilterItem 2 2" xfId="245"/>
    <cellStyle name="SAPBEXfilterItem 2 2 2" xfId="610"/>
    <cellStyle name="SAPBEXfilterItem 2 3" xfId="318"/>
    <cellStyle name="SAPBEXfilterItem 2 3 2" xfId="683"/>
    <cellStyle name="SAPBEXfilterItem 2 4" xfId="386"/>
    <cellStyle name="SAPBEXfilterItem 2 4 2" xfId="751"/>
    <cellStyle name="SAPBEXfilterItem 2 5" xfId="408"/>
    <cellStyle name="SAPBEXfilterItem 2 5 2" xfId="773"/>
    <cellStyle name="SAPBEXfilterItem 2 6" xfId="348"/>
    <cellStyle name="SAPBEXfilterItem 2 6 2" xfId="713"/>
    <cellStyle name="SAPBEXfilterItem 2 7" xfId="426"/>
    <cellStyle name="SAPBEXfilterItem 2 7 2" xfId="791"/>
    <cellStyle name="SAPBEXfilterItem 2 8" xfId="461"/>
    <cellStyle name="SAPBEXfilterItem 2 8 2" xfId="826"/>
    <cellStyle name="SAPBEXfilterItem 2 9" xfId="498"/>
    <cellStyle name="SAPBEXfilterItem 3" xfId="207"/>
    <cellStyle name="SAPBEXfilterItem 3 2" xfId="573"/>
    <cellStyle name="SAPBEXfilterItem 4" xfId="277"/>
    <cellStyle name="SAPBEXfilterItem 4 2" xfId="642"/>
    <cellStyle name="SAPBEXfilterItem 5" xfId="347"/>
    <cellStyle name="SAPBEXfilterItem 5 2" xfId="712"/>
    <cellStyle name="SAPBEXfilterItem 6" xfId="278"/>
    <cellStyle name="SAPBEXfilterItem 6 2" xfId="643"/>
    <cellStyle name="SAPBEXfilterItem 7" xfId="407"/>
    <cellStyle name="SAPBEXfilterItem 7 2" xfId="772"/>
    <cellStyle name="SAPBEXfilterText" xfId="89"/>
    <cellStyle name="SAPBEXformats" xfId="90"/>
    <cellStyle name="SAPBEXformats 2" xfId="132"/>
    <cellStyle name="SAPBEXformats 2 2" xfId="246"/>
    <cellStyle name="SAPBEXformats 2 2 2" xfId="611"/>
    <cellStyle name="SAPBEXformats 2 3" xfId="319"/>
    <cellStyle name="SAPBEXformats 2 3 2" xfId="684"/>
    <cellStyle name="SAPBEXformats 2 4" xfId="387"/>
    <cellStyle name="SAPBEXformats 2 4 2" xfId="752"/>
    <cellStyle name="SAPBEXformats 2 5" xfId="349"/>
    <cellStyle name="SAPBEXformats 2 5 2" xfId="714"/>
    <cellStyle name="SAPBEXformats 2 6" xfId="427"/>
    <cellStyle name="SAPBEXformats 2 6 2" xfId="792"/>
    <cellStyle name="SAPBEXformats 2 7" xfId="462"/>
    <cellStyle name="SAPBEXformats 2 7 2" xfId="827"/>
    <cellStyle name="SAPBEXformats 2 8" xfId="499"/>
    <cellStyle name="SAPBEXformats 3" xfId="208"/>
    <cellStyle name="SAPBEXformats 3 2" xfId="574"/>
    <cellStyle name="SAPBEXformats 4" xfId="279"/>
    <cellStyle name="SAPBEXformats 4 2" xfId="644"/>
    <cellStyle name="SAPBEXformats 5" xfId="188"/>
    <cellStyle name="SAPBEXformats 5 2" xfId="554"/>
    <cellStyle name="SAPBEXheaderItem" xfId="91"/>
    <cellStyle name="SAPBEXheaderItem 2" xfId="133"/>
    <cellStyle name="SAPBEXheaderItem 2 2" xfId="247"/>
    <cellStyle name="SAPBEXheaderItem 2 2 2" xfId="612"/>
    <cellStyle name="SAPBEXheaderItem 2 3" xfId="320"/>
    <cellStyle name="SAPBEXheaderItem 2 3 2" xfId="685"/>
    <cellStyle name="SAPBEXheaderItem 2 4" xfId="388"/>
    <cellStyle name="SAPBEXheaderItem 2 4 2" xfId="753"/>
    <cellStyle name="SAPBEXheaderItem 2 5" xfId="350"/>
    <cellStyle name="SAPBEXheaderItem 2 5 2" xfId="715"/>
    <cellStyle name="SAPBEXheaderItem 2 6" xfId="428"/>
    <cellStyle name="SAPBEXheaderItem 2 6 2" xfId="793"/>
    <cellStyle name="SAPBEXheaderItem 2 7" xfId="463"/>
    <cellStyle name="SAPBEXheaderItem 2 7 2" xfId="828"/>
    <cellStyle name="SAPBEXheaderItem 2 8" xfId="500"/>
    <cellStyle name="SAPBEXheaderItem 3" xfId="209"/>
    <cellStyle name="SAPBEXheaderItem 3 2" xfId="575"/>
    <cellStyle name="SAPBEXheaderItem 4" xfId="280"/>
    <cellStyle name="SAPBEXheaderItem 4 2" xfId="645"/>
    <cellStyle name="SAPBEXheaderItem 5" xfId="190"/>
    <cellStyle name="SAPBEXheaderItem 5 2" xfId="556"/>
    <cellStyle name="SAPBEXheaderText" xfId="92"/>
    <cellStyle name="SAPBEXheaderText 2" xfId="134"/>
    <cellStyle name="SAPBEXheaderText 2 2" xfId="248"/>
    <cellStyle name="SAPBEXheaderText 2 2 2" xfId="613"/>
    <cellStyle name="SAPBEXheaderText 2 3" xfId="321"/>
    <cellStyle name="SAPBEXheaderText 2 3 2" xfId="686"/>
    <cellStyle name="SAPBEXheaderText 2 4" xfId="389"/>
    <cellStyle name="SAPBEXheaderText 2 4 2" xfId="754"/>
    <cellStyle name="SAPBEXheaderText 2 5" xfId="298"/>
    <cellStyle name="SAPBEXheaderText 2 5 2" xfId="663"/>
    <cellStyle name="SAPBEXheaderText 2 6" xfId="429"/>
    <cellStyle name="SAPBEXheaderText 2 6 2" xfId="794"/>
    <cellStyle name="SAPBEXheaderText 2 7" xfId="464"/>
    <cellStyle name="SAPBEXheaderText 2 7 2" xfId="829"/>
    <cellStyle name="SAPBEXheaderText 2 8" xfId="501"/>
    <cellStyle name="SAPBEXheaderText 3" xfId="210"/>
    <cellStyle name="SAPBEXheaderText 3 2" xfId="576"/>
    <cellStyle name="SAPBEXheaderText 4" xfId="281"/>
    <cellStyle name="SAPBEXheaderText 4 2" xfId="646"/>
    <cellStyle name="SAPBEXheaderText 5" xfId="301"/>
    <cellStyle name="SAPBEXheaderText 5 2" xfId="666"/>
    <cellStyle name="SAPBEXHLevel0" xfId="93"/>
    <cellStyle name="SAPBEXHLevel0 2" xfId="135"/>
    <cellStyle name="SAPBEXHLevel0 2 2" xfId="249"/>
    <cellStyle name="SAPBEXHLevel0 2 2 2" xfId="614"/>
    <cellStyle name="SAPBEXHLevel0 2 3" xfId="322"/>
    <cellStyle name="SAPBEXHLevel0 2 3 2" xfId="687"/>
    <cellStyle name="SAPBEXHLevel0 2 4" xfId="390"/>
    <cellStyle name="SAPBEXHLevel0 2 4 2" xfId="755"/>
    <cellStyle name="SAPBEXHLevel0 2 5" xfId="351"/>
    <cellStyle name="SAPBEXHLevel0 2 5 2" xfId="716"/>
    <cellStyle name="SAPBEXHLevel0 2 6" xfId="430"/>
    <cellStyle name="SAPBEXHLevel0 2 6 2" xfId="795"/>
    <cellStyle name="SAPBEXHLevel0 2 7" xfId="465"/>
    <cellStyle name="SAPBEXHLevel0 2 7 2" xfId="830"/>
    <cellStyle name="SAPBEXHLevel0 2 8" xfId="502"/>
    <cellStyle name="SAPBEXHLevel0 3" xfId="211"/>
    <cellStyle name="SAPBEXHLevel0 3 2" xfId="577"/>
    <cellStyle name="SAPBEXHLevel0 4" xfId="282"/>
    <cellStyle name="SAPBEXHLevel0 4 2" xfId="647"/>
    <cellStyle name="SAPBEXHLevel0 5" xfId="191"/>
    <cellStyle name="SAPBEXHLevel0 5 2" xfId="557"/>
    <cellStyle name="SAPBEXHLevel0X" xfId="94"/>
    <cellStyle name="SAPBEXHLevel0X 2" xfId="136"/>
    <cellStyle name="SAPBEXHLevel0X 2 2" xfId="250"/>
    <cellStyle name="SAPBEXHLevel0X 2 2 2" xfId="615"/>
    <cellStyle name="SAPBEXHLevel0X 2 3" xfId="323"/>
    <cellStyle name="SAPBEXHLevel0X 2 3 2" xfId="688"/>
    <cellStyle name="SAPBEXHLevel0X 2 4" xfId="391"/>
    <cellStyle name="SAPBEXHLevel0X 2 4 2" xfId="756"/>
    <cellStyle name="SAPBEXHLevel0X 2 5" xfId="352"/>
    <cellStyle name="SAPBEXHLevel0X 2 5 2" xfId="717"/>
    <cellStyle name="SAPBEXHLevel0X 2 6" xfId="431"/>
    <cellStyle name="SAPBEXHLevel0X 2 6 2" xfId="796"/>
    <cellStyle name="SAPBEXHLevel0X 2 7" xfId="466"/>
    <cellStyle name="SAPBEXHLevel0X 2 7 2" xfId="831"/>
    <cellStyle name="SAPBEXHLevel0X 2 8" xfId="503"/>
    <cellStyle name="SAPBEXHLevel0X 3" xfId="212"/>
    <cellStyle name="SAPBEXHLevel0X 3 2" xfId="578"/>
    <cellStyle name="SAPBEXHLevel0X 4" xfId="283"/>
    <cellStyle name="SAPBEXHLevel0X 4 2" xfId="648"/>
    <cellStyle name="SAPBEXHLevel0X 5" xfId="339"/>
    <cellStyle name="SAPBEXHLevel0X 5 2" xfId="704"/>
    <cellStyle name="SAPBEXHLevel1" xfId="95"/>
    <cellStyle name="SAPBEXHLevel1 2" xfId="137"/>
    <cellStyle name="SAPBEXHLevel1 2 2" xfId="251"/>
    <cellStyle name="SAPBEXHLevel1 2 2 2" xfId="616"/>
    <cellStyle name="SAPBEXHLevel1 2 3" xfId="324"/>
    <cellStyle name="SAPBEXHLevel1 2 3 2" xfId="689"/>
    <cellStyle name="SAPBEXHLevel1 2 4" xfId="392"/>
    <cellStyle name="SAPBEXHLevel1 2 4 2" xfId="757"/>
    <cellStyle name="SAPBEXHLevel1 2 5" xfId="353"/>
    <cellStyle name="SAPBEXHLevel1 2 5 2" xfId="718"/>
    <cellStyle name="SAPBEXHLevel1 2 6" xfId="432"/>
    <cellStyle name="SAPBEXHLevel1 2 6 2" xfId="797"/>
    <cellStyle name="SAPBEXHLevel1 2 7" xfId="467"/>
    <cellStyle name="SAPBEXHLevel1 2 7 2" xfId="832"/>
    <cellStyle name="SAPBEXHLevel1 2 8" xfId="504"/>
    <cellStyle name="SAPBEXHLevel1 3" xfId="213"/>
    <cellStyle name="SAPBEXHLevel1 3 2" xfId="579"/>
    <cellStyle name="SAPBEXHLevel1 4" xfId="284"/>
    <cellStyle name="SAPBEXHLevel1 4 2" xfId="649"/>
    <cellStyle name="SAPBEXHLevel1 5" xfId="300"/>
    <cellStyle name="SAPBEXHLevel1 5 2" xfId="665"/>
    <cellStyle name="SAPBEXHLevel1X" xfId="96"/>
    <cellStyle name="SAPBEXHLevel1X 2" xfId="138"/>
    <cellStyle name="SAPBEXHLevel1X 2 2" xfId="252"/>
    <cellStyle name="SAPBEXHLevel1X 2 2 2" xfId="617"/>
    <cellStyle name="SAPBEXHLevel1X 2 3" xfId="325"/>
    <cellStyle name="SAPBEXHLevel1X 2 3 2" xfId="690"/>
    <cellStyle name="SAPBEXHLevel1X 2 4" xfId="393"/>
    <cellStyle name="SAPBEXHLevel1X 2 4 2" xfId="758"/>
    <cellStyle name="SAPBEXHLevel1X 2 5" xfId="354"/>
    <cellStyle name="SAPBEXHLevel1X 2 5 2" xfId="719"/>
    <cellStyle name="SAPBEXHLevel1X 2 6" xfId="433"/>
    <cellStyle name="SAPBEXHLevel1X 2 6 2" xfId="798"/>
    <cellStyle name="SAPBEXHLevel1X 2 7" xfId="468"/>
    <cellStyle name="SAPBEXHLevel1X 2 7 2" xfId="833"/>
    <cellStyle name="SAPBEXHLevel1X 2 8" xfId="505"/>
    <cellStyle name="SAPBEXHLevel1X 3" xfId="214"/>
    <cellStyle name="SAPBEXHLevel1X 3 2" xfId="580"/>
    <cellStyle name="SAPBEXHLevel1X 4" xfId="285"/>
    <cellStyle name="SAPBEXHLevel1X 4 2" xfId="650"/>
    <cellStyle name="SAPBEXHLevel1X 5" xfId="176"/>
    <cellStyle name="SAPBEXHLevel1X 5 2" xfId="542"/>
    <cellStyle name="SAPBEXHLevel2" xfId="97"/>
    <cellStyle name="SAPBEXHLevel2 2" xfId="139"/>
    <cellStyle name="SAPBEXHLevel2 2 2" xfId="253"/>
    <cellStyle name="SAPBEXHLevel2 2 2 2" xfId="618"/>
    <cellStyle name="SAPBEXHLevel2 2 3" xfId="326"/>
    <cellStyle name="SAPBEXHLevel2 2 3 2" xfId="691"/>
    <cellStyle name="SAPBEXHLevel2 2 4" xfId="394"/>
    <cellStyle name="SAPBEXHLevel2 2 4 2" xfId="759"/>
    <cellStyle name="SAPBEXHLevel2 2 5" xfId="355"/>
    <cellStyle name="SAPBEXHLevel2 2 5 2" xfId="720"/>
    <cellStyle name="SAPBEXHLevel2 2 6" xfId="434"/>
    <cellStyle name="SAPBEXHLevel2 2 6 2" xfId="799"/>
    <cellStyle name="SAPBEXHLevel2 2 7" xfId="469"/>
    <cellStyle name="SAPBEXHLevel2 2 7 2" xfId="834"/>
    <cellStyle name="SAPBEXHLevel2 2 8" xfId="506"/>
    <cellStyle name="SAPBEXHLevel2 3" xfId="215"/>
    <cellStyle name="SAPBEXHLevel2 3 2" xfId="581"/>
    <cellStyle name="SAPBEXHLevel2 4" xfId="286"/>
    <cellStyle name="SAPBEXHLevel2 4 2" xfId="651"/>
    <cellStyle name="SAPBEXHLevel2 5" xfId="177"/>
    <cellStyle name="SAPBEXHLevel2 5 2" xfId="543"/>
    <cellStyle name="SAPBEXHLevel2X" xfId="98"/>
    <cellStyle name="SAPBEXHLevel2X 2" xfId="140"/>
    <cellStyle name="SAPBEXHLevel2X 2 2" xfId="254"/>
    <cellStyle name="SAPBEXHLevel2X 2 2 2" xfId="619"/>
    <cellStyle name="SAPBEXHLevel2X 2 3" xfId="327"/>
    <cellStyle name="SAPBEXHLevel2X 2 3 2" xfId="692"/>
    <cellStyle name="SAPBEXHLevel2X 2 4" xfId="395"/>
    <cellStyle name="SAPBEXHLevel2X 2 4 2" xfId="760"/>
    <cellStyle name="SAPBEXHLevel2X 2 5" xfId="356"/>
    <cellStyle name="SAPBEXHLevel2X 2 5 2" xfId="721"/>
    <cellStyle name="SAPBEXHLevel2X 2 6" xfId="435"/>
    <cellStyle name="SAPBEXHLevel2X 2 6 2" xfId="800"/>
    <cellStyle name="SAPBEXHLevel2X 2 7" xfId="470"/>
    <cellStyle name="SAPBEXHLevel2X 2 7 2" xfId="835"/>
    <cellStyle name="SAPBEXHLevel2X 2 8" xfId="507"/>
    <cellStyle name="SAPBEXHLevel2X 3" xfId="216"/>
    <cellStyle name="SAPBEXHLevel2X 3 2" xfId="582"/>
    <cellStyle name="SAPBEXHLevel2X 4" xfId="287"/>
    <cellStyle name="SAPBEXHLevel2X 4 2" xfId="652"/>
    <cellStyle name="SAPBEXHLevel2X 5" xfId="178"/>
    <cellStyle name="SAPBEXHLevel2X 5 2" xfId="544"/>
    <cellStyle name="SAPBEXHLevel3" xfId="99"/>
    <cellStyle name="SAPBEXHLevel3 2" xfId="141"/>
    <cellStyle name="SAPBEXHLevel3 2 2" xfId="255"/>
    <cellStyle name="SAPBEXHLevel3 2 2 2" xfId="620"/>
    <cellStyle name="SAPBEXHLevel3 2 3" xfId="328"/>
    <cellStyle name="SAPBEXHLevel3 2 3 2" xfId="693"/>
    <cellStyle name="SAPBEXHLevel3 2 4" xfId="396"/>
    <cellStyle name="SAPBEXHLevel3 2 4 2" xfId="761"/>
    <cellStyle name="SAPBEXHLevel3 2 5" xfId="357"/>
    <cellStyle name="SAPBEXHLevel3 2 5 2" xfId="722"/>
    <cellStyle name="SAPBEXHLevel3 2 6" xfId="436"/>
    <cellStyle name="SAPBEXHLevel3 2 6 2" xfId="801"/>
    <cellStyle name="SAPBEXHLevel3 2 7" xfId="471"/>
    <cellStyle name="SAPBEXHLevel3 2 7 2" xfId="836"/>
    <cellStyle name="SAPBEXHLevel3 2 8" xfId="508"/>
    <cellStyle name="SAPBEXHLevel3 3" xfId="217"/>
    <cellStyle name="SAPBEXHLevel3 3 2" xfId="583"/>
    <cellStyle name="SAPBEXHLevel3 4" xfId="288"/>
    <cellStyle name="SAPBEXHLevel3 4 2" xfId="653"/>
    <cellStyle name="SAPBEXHLevel3 5" xfId="302"/>
    <cellStyle name="SAPBEXHLevel3 5 2" xfId="667"/>
    <cellStyle name="SAPBEXHLevel3X" xfId="100"/>
    <cellStyle name="SAPBEXHLevel3X 2" xfId="142"/>
    <cellStyle name="SAPBEXHLevel3X 2 2" xfId="256"/>
    <cellStyle name="SAPBEXHLevel3X 2 2 2" xfId="621"/>
    <cellStyle name="SAPBEXHLevel3X 2 3" xfId="329"/>
    <cellStyle name="SAPBEXHLevel3X 2 3 2" xfId="694"/>
    <cellStyle name="SAPBEXHLevel3X 2 4" xfId="397"/>
    <cellStyle name="SAPBEXHLevel3X 2 4 2" xfId="762"/>
    <cellStyle name="SAPBEXHLevel3X 2 5" xfId="365"/>
    <cellStyle name="SAPBEXHLevel3X 2 5 2" xfId="730"/>
    <cellStyle name="SAPBEXHLevel3X 2 6" xfId="437"/>
    <cellStyle name="SAPBEXHLevel3X 2 6 2" xfId="802"/>
    <cellStyle name="SAPBEXHLevel3X 2 7" xfId="472"/>
    <cellStyle name="SAPBEXHLevel3X 2 7 2" xfId="837"/>
    <cellStyle name="SAPBEXHLevel3X 2 8" xfId="509"/>
    <cellStyle name="SAPBEXHLevel3X 3" xfId="218"/>
    <cellStyle name="SAPBEXHLevel3X 3 2" xfId="584"/>
    <cellStyle name="SAPBEXHLevel3X 4" xfId="289"/>
    <cellStyle name="SAPBEXHLevel3X 4 2" xfId="654"/>
    <cellStyle name="SAPBEXHLevel3X 5" xfId="179"/>
    <cellStyle name="SAPBEXHLevel3X 5 2" xfId="545"/>
    <cellStyle name="SAPBEXresData" xfId="101"/>
    <cellStyle name="SAPBEXresData 2" xfId="143"/>
    <cellStyle name="SAPBEXresData 2 2" xfId="257"/>
    <cellStyle name="SAPBEXresData 2 2 2" xfId="622"/>
    <cellStyle name="SAPBEXresData 2 3" xfId="330"/>
    <cellStyle name="SAPBEXresData 2 3 2" xfId="695"/>
    <cellStyle name="SAPBEXresData 2 4" xfId="398"/>
    <cellStyle name="SAPBEXresData 2 4 2" xfId="763"/>
    <cellStyle name="SAPBEXresData 2 5" xfId="370"/>
    <cellStyle name="SAPBEXresData 2 5 2" xfId="735"/>
    <cellStyle name="SAPBEXresData 2 6" xfId="438"/>
    <cellStyle name="SAPBEXresData 2 6 2" xfId="803"/>
    <cellStyle name="SAPBEXresData 2 7" xfId="473"/>
    <cellStyle name="SAPBEXresData 2 7 2" xfId="838"/>
    <cellStyle name="SAPBEXresData 2 8" xfId="510"/>
    <cellStyle name="SAPBEXresData 3" xfId="219"/>
    <cellStyle name="SAPBEXresData 3 2" xfId="585"/>
    <cellStyle name="SAPBEXresData 4" xfId="290"/>
    <cellStyle name="SAPBEXresData 4 2" xfId="655"/>
    <cellStyle name="SAPBEXresData 5" xfId="180"/>
    <cellStyle name="SAPBEXresData 5 2" xfId="546"/>
    <cellStyle name="SAPBEXresDataEmph" xfId="102"/>
    <cellStyle name="SAPBEXresDataEmph 2" xfId="144"/>
    <cellStyle name="SAPBEXresDataEmph 2 2" xfId="258"/>
    <cellStyle name="SAPBEXresDataEmph 2 2 2" xfId="623"/>
    <cellStyle name="SAPBEXresDataEmph 2 3" xfId="331"/>
    <cellStyle name="SAPBEXresDataEmph 2 3 2" xfId="696"/>
    <cellStyle name="SAPBEXresDataEmph 2 4" xfId="399"/>
    <cellStyle name="SAPBEXresDataEmph 2 4 2" xfId="764"/>
    <cellStyle name="SAPBEXresDataEmph 2 5" xfId="358"/>
    <cellStyle name="SAPBEXresDataEmph 2 5 2" xfId="723"/>
    <cellStyle name="SAPBEXresDataEmph 2 6" xfId="439"/>
    <cellStyle name="SAPBEXresDataEmph 2 6 2" xfId="804"/>
    <cellStyle name="SAPBEXresDataEmph 2 7" xfId="474"/>
    <cellStyle name="SAPBEXresDataEmph 2 7 2" xfId="839"/>
    <cellStyle name="SAPBEXresDataEmph 2 8" xfId="511"/>
    <cellStyle name="SAPBEXresDataEmph 3" xfId="220"/>
    <cellStyle name="SAPBEXresDataEmph 3 2" xfId="586"/>
    <cellStyle name="SAPBEXresDataEmph 4" xfId="291"/>
    <cellStyle name="SAPBEXresDataEmph 4 2" xfId="656"/>
    <cellStyle name="SAPBEXresDataEmph 5" xfId="181"/>
    <cellStyle name="SAPBEXresDataEmph 5 2" xfId="547"/>
    <cellStyle name="SAPBEXresItem" xfId="103"/>
    <cellStyle name="SAPBEXresItem 2" xfId="145"/>
    <cellStyle name="SAPBEXresItem 2 2" xfId="259"/>
    <cellStyle name="SAPBEXresItem 2 2 2" xfId="624"/>
    <cellStyle name="SAPBEXresItem 2 3" xfId="332"/>
    <cellStyle name="SAPBEXresItem 2 3 2" xfId="697"/>
    <cellStyle name="SAPBEXresItem 2 4" xfId="400"/>
    <cellStyle name="SAPBEXresItem 2 4 2" xfId="765"/>
    <cellStyle name="SAPBEXresItem 2 5" xfId="359"/>
    <cellStyle name="SAPBEXresItem 2 5 2" xfId="724"/>
    <cellStyle name="SAPBEXresItem 2 6" xfId="440"/>
    <cellStyle name="SAPBEXresItem 2 6 2" xfId="805"/>
    <cellStyle name="SAPBEXresItem 2 7" xfId="475"/>
    <cellStyle name="SAPBEXresItem 2 7 2" xfId="840"/>
    <cellStyle name="SAPBEXresItem 2 8" xfId="512"/>
    <cellStyle name="SAPBEXresItem 3" xfId="221"/>
    <cellStyle name="SAPBEXresItem 3 2" xfId="587"/>
    <cellStyle name="SAPBEXresItem 4" xfId="292"/>
    <cellStyle name="SAPBEXresItem 4 2" xfId="657"/>
    <cellStyle name="SAPBEXresItem 5" xfId="182"/>
    <cellStyle name="SAPBEXresItem 5 2" xfId="548"/>
    <cellStyle name="SAPBEXresItemX" xfId="104"/>
    <cellStyle name="SAPBEXresItemX 2" xfId="146"/>
    <cellStyle name="SAPBEXresItemX 2 2" xfId="260"/>
    <cellStyle name="SAPBEXresItemX 2 2 2" xfId="625"/>
    <cellStyle name="SAPBEXresItemX 2 3" xfId="333"/>
    <cellStyle name="SAPBEXresItemX 2 3 2" xfId="698"/>
    <cellStyle name="SAPBEXresItemX 2 4" xfId="401"/>
    <cellStyle name="SAPBEXresItemX 2 4 2" xfId="766"/>
    <cellStyle name="SAPBEXresItemX 2 5" xfId="360"/>
    <cellStyle name="SAPBEXresItemX 2 5 2" xfId="725"/>
    <cellStyle name="SAPBEXresItemX 2 6" xfId="441"/>
    <cellStyle name="SAPBEXresItemX 2 6 2" xfId="806"/>
    <cellStyle name="SAPBEXresItemX 2 7" xfId="476"/>
    <cellStyle name="SAPBEXresItemX 2 7 2" xfId="841"/>
    <cellStyle name="SAPBEXresItemX 2 8" xfId="513"/>
    <cellStyle name="SAPBEXresItemX 3" xfId="222"/>
    <cellStyle name="SAPBEXresItemX 3 2" xfId="588"/>
    <cellStyle name="SAPBEXresItemX 4" xfId="293"/>
    <cellStyle name="SAPBEXresItemX 4 2" xfId="658"/>
    <cellStyle name="SAPBEXresItemX 5" xfId="183"/>
    <cellStyle name="SAPBEXresItemX 5 2" xfId="549"/>
    <cellStyle name="SAPBEXstdData" xfId="105"/>
    <cellStyle name="SAPBEXstdData 2" xfId="147"/>
    <cellStyle name="SAPBEXstdData 2 2" xfId="261"/>
    <cellStyle name="SAPBEXstdData 2 2 2" xfId="626"/>
    <cellStyle name="SAPBEXstdData 2 3" xfId="334"/>
    <cellStyle name="SAPBEXstdData 2 3 2" xfId="699"/>
    <cellStyle name="SAPBEXstdData 2 4" xfId="402"/>
    <cellStyle name="SAPBEXstdData 2 4 2" xfId="767"/>
    <cellStyle name="SAPBEXstdData 2 5" xfId="361"/>
    <cellStyle name="SAPBEXstdData 2 5 2" xfId="726"/>
    <cellStyle name="SAPBEXstdData 2 6" xfId="442"/>
    <cellStyle name="SAPBEXstdData 2 6 2" xfId="807"/>
    <cellStyle name="SAPBEXstdData 2 7" xfId="477"/>
    <cellStyle name="SAPBEXstdData 2 7 2" xfId="842"/>
    <cellStyle name="SAPBEXstdData 2 8" xfId="514"/>
    <cellStyle name="SAPBEXstdData 3" xfId="223"/>
    <cellStyle name="SAPBEXstdData 3 2" xfId="589"/>
    <cellStyle name="SAPBEXstdData 4" xfId="294"/>
    <cellStyle name="SAPBEXstdData 4 2" xfId="659"/>
    <cellStyle name="SAPBEXstdData 5" xfId="184"/>
    <cellStyle name="SAPBEXstdData 5 2" xfId="550"/>
    <cellStyle name="SAPBEXstdDataEmph" xfId="106"/>
    <cellStyle name="SAPBEXstdDataEmph 2" xfId="148"/>
    <cellStyle name="SAPBEXstdDataEmph 2 2" xfId="262"/>
    <cellStyle name="SAPBEXstdDataEmph 2 2 2" xfId="627"/>
    <cellStyle name="SAPBEXstdDataEmph 2 3" xfId="335"/>
    <cellStyle name="SAPBEXstdDataEmph 2 3 2" xfId="700"/>
    <cellStyle name="SAPBEXstdDataEmph 2 4" xfId="403"/>
    <cellStyle name="SAPBEXstdDataEmph 2 4 2" xfId="768"/>
    <cellStyle name="SAPBEXstdDataEmph 2 5" xfId="362"/>
    <cellStyle name="SAPBEXstdDataEmph 2 5 2" xfId="727"/>
    <cellStyle name="SAPBEXstdDataEmph 2 6" xfId="443"/>
    <cellStyle name="SAPBEXstdDataEmph 2 6 2" xfId="808"/>
    <cellStyle name="SAPBEXstdDataEmph 2 7" xfId="478"/>
    <cellStyle name="SAPBEXstdDataEmph 2 7 2" xfId="843"/>
    <cellStyle name="SAPBEXstdDataEmph 2 8" xfId="515"/>
    <cellStyle name="SAPBEXstdDataEmph 3" xfId="224"/>
    <cellStyle name="SAPBEXstdDataEmph 3 2" xfId="590"/>
    <cellStyle name="SAPBEXstdDataEmph 4" xfId="295"/>
    <cellStyle name="SAPBEXstdDataEmph 4 2" xfId="660"/>
    <cellStyle name="SAPBEXstdDataEmph 5" xfId="185"/>
    <cellStyle name="SAPBEXstdDataEmph 5 2" xfId="551"/>
    <cellStyle name="SAPBEXstdItem" xfId="107"/>
    <cellStyle name="SAPBEXstdItem 2" xfId="149"/>
    <cellStyle name="SAPBEXstdItem 2 2" xfId="263"/>
    <cellStyle name="SAPBEXstdItem 2 2 2" xfId="628"/>
    <cellStyle name="SAPBEXstdItem 2 3" xfId="336"/>
    <cellStyle name="SAPBEXstdItem 2 3 2" xfId="701"/>
    <cellStyle name="SAPBEXstdItem 2 4" xfId="404"/>
    <cellStyle name="SAPBEXstdItem 2 4 2" xfId="769"/>
    <cellStyle name="SAPBEXstdItem 2 5" xfId="363"/>
    <cellStyle name="SAPBEXstdItem 2 5 2" xfId="728"/>
    <cellStyle name="SAPBEXstdItem 2 6" xfId="444"/>
    <cellStyle name="SAPBEXstdItem 2 6 2" xfId="809"/>
    <cellStyle name="SAPBEXstdItem 2 7" xfId="479"/>
    <cellStyle name="SAPBEXstdItem 2 7 2" xfId="844"/>
    <cellStyle name="SAPBEXstdItem 2 8" xfId="516"/>
    <cellStyle name="SAPBEXstdItem 3" xfId="225"/>
    <cellStyle name="SAPBEXstdItem 3 2" xfId="591"/>
    <cellStyle name="SAPBEXstdItem 4" xfId="296"/>
    <cellStyle name="SAPBEXstdItem 4 2" xfId="661"/>
    <cellStyle name="SAPBEXstdItem 5" xfId="189"/>
    <cellStyle name="SAPBEXstdItem 5 2" xfId="555"/>
    <cellStyle name="SAPBEXstdItemX" xfId="108"/>
    <cellStyle name="SAPBEXstdItemX 2" xfId="150"/>
    <cellStyle name="SAPBEXstdItemX 2 2" xfId="264"/>
    <cellStyle name="SAPBEXstdItemX 2 2 2" xfId="629"/>
    <cellStyle name="SAPBEXstdItemX 2 3" xfId="337"/>
    <cellStyle name="SAPBEXstdItemX 2 3 2" xfId="702"/>
    <cellStyle name="SAPBEXstdItemX 2 4" xfId="405"/>
    <cellStyle name="SAPBEXstdItemX 2 4 2" xfId="770"/>
    <cellStyle name="SAPBEXstdItemX 2 5" xfId="369"/>
    <cellStyle name="SAPBEXstdItemX 2 5 2" xfId="734"/>
    <cellStyle name="SAPBEXstdItemX 2 6" xfId="445"/>
    <cellStyle name="SAPBEXstdItemX 2 6 2" xfId="810"/>
    <cellStyle name="SAPBEXstdItemX 2 7" xfId="480"/>
    <cellStyle name="SAPBEXstdItemX 2 7 2" xfId="845"/>
    <cellStyle name="SAPBEXstdItemX 2 8" xfId="517"/>
    <cellStyle name="SAPBEXstdItemX 3" xfId="226"/>
    <cellStyle name="SAPBEXstdItemX 3 2" xfId="592"/>
    <cellStyle name="SAPBEXstdItemX 4" xfId="297"/>
    <cellStyle name="SAPBEXstdItemX 4 2" xfId="662"/>
    <cellStyle name="SAPBEXstdItemX 5" xfId="228"/>
    <cellStyle name="SAPBEXstdItemX 5 2" xfId="594"/>
    <cellStyle name="SAPBEXtitle" xfId="109"/>
    <cellStyle name="SAPBEXundefined" xfId="110"/>
    <cellStyle name="SAPBEXundefined 2" xfId="151"/>
    <cellStyle name="SAPBEXundefined 2 2" xfId="265"/>
    <cellStyle name="SAPBEXundefined 2 2 2" xfId="630"/>
    <cellStyle name="SAPBEXundefined 2 3" xfId="338"/>
    <cellStyle name="SAPBEXundefined 2 3 2" xfId="703"/>
    <cellStyle name="SAPBEXundefined 2 4" xfId="406"/>
    <cellStyle name="SAPBEXundefined 2 4 2" xfId="771"/>
    <cellStyle name="SAPBEXundefined 2 5" xfId="410"/>
    <cellStyle name="SAPBEXundefined 2 5 2" xfId="775"/>
    <cellStyle name="SAPBEXundefined 2 6" xfId="446"/>
    <cellStyle name="SAPBEXundefined 2 6 2" xfId="811"/>
    <cellStyle name="SAPBEXundefined 2 7" xfId="481"/>
    <cellStyle name="SAPBEXundefined 2 7 2" xfId="846"/>
    <cellStyle name="SAPBEXundefined 2 8" xfId="518"/>
    <cellStyle name="SAPBEXundefined 3" xfId="227"/>
    <cellStyle name="SAPBEXundefined 3 2" xfId="593"/>
    <cellStyle name="SAPBEXundefined 4" xfId="299"/>
    <cellStyle name="SAPBEXundefined 4 2" xfId="664"/>
    <cellStyle name="SAPBEXundefined 5" xfId="187"/>
    <cellStyle name="SAPBEXundefined 5 2" xfId="553"/>
    <cellStyle name="Walutowy 2" xfId="111"/>
  </cellStyles>
  <dxfs count="0"/>
  <tableStyles count="0" defaultTableStyle="TableStyleMedium2" defaultPivotStyle="PivotStyleLight16"/>
  <colors>
    <mruColors>
      <color rgb="FF0000FF"/>
      <color rgb="FF00FF00"/>
      <color rgb="FFFF66FF"/>
      <color rgb="FFFFFF00"/>
      <color rgb="FFFFFF99"/>
      <color rgb="FFCCFF33"/>
      <color rgb="FFFF99FF"/>
      <color rgb="FF0000CC"/>
      <color rgb="FF66FF66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59</xdr:row>
      <xdr:rowOff>0</xdr:rowOff>
    </xdr:from>
    <xdr:to>
      <xdr:col>18</xdr:col>
      <xdr:colOff>0</xdr:colOff>
      <xdr:row>59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4832260">
          <a:off x="16478250" y="9829800"/>
          <a:ext cx="0" cy="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8/Uchwa&#322;y/Sejmik/Luty/Luty_WPF_Tabele%206_przedsi&#281;wzie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7/uchwa&#322;y/Sejmiku%20WZ/wrzesie&#324;/wrzesie&#324;_WPF_Tabele%206_przedsi&#281;wzieci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7/uchwa&#322;y/Sejmiku%20WZ/pa&#378;dziernik/pa&#378;dziernik_WPF_Tabele%206_przedsi&#281;wzieci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8/Uchwa&#322;y/Sejmik/Maj/maj_29_WPF_Tabele%206_przedsi&#281;wziec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/>
      <sheetData sheetId="1">
        <row r="88">
          <cell r="L88">
            <v>1768543947</v>
          </cell>
        </row>
      </sheetData>
      <sheetData sheetId="2">
        <row r="25">
          <cell r="G25">
            <v>5076165</v>
          </cell>
        </row>
      </sheetData>
      <sheetData sheetId="3">
        <row r="37">
          <cell r="G37">
            <v>237792</v>
          </cell>
        </row>
        <row r="54">
          <cell r="G54">
            <v>586163</v>
          </cell>
        </row>
        <row r="67">
          <cell r="G67">
            <v>1553157</v>
          </cell>
        </row>
        <row r="91">
          <cell r="G91">
            <v>8810682</v>
          </cell>
        </row>
        <row r="122">
          <cell r="G122">
            <v>7819700</v>
          </cell>
        </row>
        <row r="130">
          <cell r="G130">
            <v>8335700</v>
          </cell>
        </row>
      </sheetData>
      <sheetData sheetId="4"/>
      <sheetData sheetId="5"/>
      <sheetData sheetId="6">
        <row r="35">
          <cell r="G35">
            <v>473192</v>
          </cell>
        </row>
        <row r="54">
          <cell r="G54">
            <v>632415</v>
          </cell>
        </row>
        <row r="66">
          <cell r="G66">
            <v>11970</v>
          </cell>
        </row>
        <row r="77">
          <cell r="G77">
            <v>2200000</v>
          </cell>
        </row>
        <row r="88">
          <cell r="G88">
            <v>0</v>
          </cell>
        </row>
        <row r="115">
          <cell r="G115">
            <v>26461975</v>
          </cell>
        </row>
        <row r="134">
          <cell r="G134">
            <v>369922</v>
          </cell>
        </row>
        <row r="147">
          <cell r="G147">
            <v>9512149</v>
          </cell>
        </row>
        <row r="220">
          <cell r="G220">
            <v>3783593</v>
          </cell>
        </row>
      </sheetData>
      <sheetData sheetId="7"/>
      <sheetData sheetId="8"/>
      <sheetData sheetId="9">
        <row r="21">
          <cell r="G21">
            <v>0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</sheetNames>
    <sheetDataSet>
      <sheetData sheetId="0"/>
      <sheetData sheetId="1"/>
      <sheetData sheetId="2"/>
      <sheetData sheetId="3">
        <row r="162">
          <cell r="M162">
            <v>378288</v>
          </cell>
          <cell r="P162">
            <v>1089145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K7">
            <v>174832844</v>
          </cell>
        </row>
      </sheetData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>
        <row r="5">
          <cell r="C5">
            <v>12466748</v>
          </cell>
        </row>
      </sheetData>
      <sheetData sheetId="1">
        <row r="88">
          <cell r="C88">
            <v>545283095</v>
          </cell>
        </row>
      </sheetData>
      <sheetData sheetId="2">
        <row r="8">
          <cell r="D8">
            <v>812925188</v>
          </cell>
        </row>
      </sheetData>
      <sheetData sheetId="3">
        <row r="7">
          <cell r="D7">
            <v>102016554</v>
          </cell>
        </row>
        <row r="258">
          <cell r="D258">
            <v>12836659</v>
          </cell>
        </row>
      </sheetData>
      <sheetData sheetId="4">
        <row r="10">
          <cell r="D10">
            <v>125334394</v>
          </cell>
        </row>
      </sheetData>
      <sheetData sheetId="5">
        <row r="10">
          <cell r="D10">
            <v>783000</v>
          </cell>
        </row>
      </sheetData>
      <sheetData sheetId="6">
        <row r="9">
          <cell r="D9">
            <v>336435005</v>
          </cell>
        </row>
      </sheetData>
      <sheetData sheetId="7">
        <row r="7">
          <cell r="D7">
            <v>29987978</v>
          </cell>
        </row>
      </sheetData>
      <sheetData sheetId="8">
        <row r="8">
          <cell r="D8">
            <v>44879279</v>
          </cell>
        </row>
      </sheetData>
      <sheetData sheetId="9">
        <row r="7">
          <cell r="D7">
            <v>105743053</v>
          </cell>
        </row>
      </sheetData>
      <sheetData sheetId="10">
        <row r="8">
          <cell r="D8">
            <v>2254391</v>
          </cell>
        </row>
      </sheetData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7">
          <cell r="E7">
            <v>553999809</v>
          </cell>
          <cell r="K7">
            <v>1263751987</v>
          </cell>
        </row>
        <row r="8">
          <cell r="E8">
            <v>476317031</v>
          </cell>
          <cell r="K8">
            <v>1065259194</v>
          </cell>
        </row>
        <row r="13">
          <cell r="K13">
            <v>32711308</v>
          </cell>
        </row>
        <row r="14">
          <cell r="K14">
            <v>32711308</v>
          </cell>
        </row>
        <row r="15">
          <cell r="K15">
            <v>5976322</v>
          </cell>
        </row>
        <row r="16">
          <cell r="K16">
            <v>5976322</v>
          </cell>
        </row>
        <row r="19">
          <cell r="K19">
            <v>14292547</v>
          </cell>
        </row>
        <row r="20">
          <cell r="K20">
            <v>14192547</v>
          </cell>
        </row>
        <row r="23">
          <cell r="K23">
            <v>24011715</v>
          </cell>
        </row>
        <row r="24">
          <cell r="K24">
            <v>22051001</v>
          </cell>
        </row>
        <row r="25">
          <cell r="K25">
            <v>69801886</v>
          </cell>
        </row>
        <row r="26">
          <cell r="K26">
            <v>53906263</v>
          </cell>
        </row>
        <row r="40">
          <cell r="K40">
            <v>1335657</v>
          </cell>
        </row>
      </sheetData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FF"/>
  </sheetPr>
  <dimension ref="A2:I31"/>
  <sheetViews>
    <sheetView workbookViewId="0">
      <selection sqref="A1:XFD1048576"/>
    </sheetView>
  </sheetViews>
  <sheetFormatPr defaultColWidth="9.140625" defaultRowHeight="12.75"/>
  <cols>
    <col min="1" max="1" width="7.42578125" style="2160" customWidth="1"/>
    <col min="2" max="2" width="114.140625" style="2160" customWidth="1"/>
    <col min="3" max="3" width="22.28515625" style="2160" customWidth="1"/>
    <col min="4" max="4" width="22.5703125" style="2160" customWidth="1"/>
    <col min="5" max="6" width="12.85546875" style="2160" customWidth="1"/>
    <col min="7" max="7" width="31.7109375" style="2160" customWidth="1"/>
    <col min="8" max="16384" width="9.140625" style="2160"/>
  </cols>
  <sheetData>
    <row r="2" spans="1:7" ht="18" customHeight="1">
      <c r="A2" s="2158" t="s">
        <v>298</v>
      </c>
      <c r="B2" s="2159"/>
    </row>
    <row r="3" spans="1:7">
      <c r="B3" s="2161"/>
      <c r="C3" s="2162"/>
      <c r="D3" s="2162"/>
    </row>
    <row r="4" spans="1:7" ht="44.25" customHeight="1">
      <c r="A4" s="2163" t="s">
        <v>299</v>
      </c>
      <c r="B4" s="2164" t="s">
        <v>611</v>
      </c>
      <c r="C4" s="2165" t="s">
        <v>612</v>
      </c>
      <c r="D4" s="2165" t="s">
        <v>613</v>
      </c>
    </row>
    <row r="5" spans="1:7" ht="40.5">
      <c r="A5" s="2166" t="s">
        <v>63</v>
      </c>
      <c r="B5" s="2167" t="s">
        <v>746</v>
      </c>
      <c r="C5" s="2168">
        <v>2703120</v>
      </c>
      <c r="D5" s="2168">
        <v>2146736</v>
      </c>
      <c r="E5" s="3762"/>
      <c r="F5" s="3763"/>
      <c r="G5" s="3764"/>
    </row>
    <row r="6" spans="1:7" ht="40.5">
      <c r="A6" s="2166" t="s">
        <v>64</v>
      </c>
      <c r="B6" s="2167" t="s">
        <v>747</v>
      </c>
      <c r="C6" s="2168">
        <v>9042058</v>
      </c>
      <c r="D6" s="2168">
        <v>6888240</v>
      </c>
    </row>
    <row r="7" spans="1:7" ht="20.25">
      <c r="A7" s="2166" t="s">
        <v>65</v>
      </c>
      <c r="B7" s="2167"/>
      <c r="C7" s="2168"/>
      <c r="D7" s="2168"/>
      <c r="E7" s="3762"/>
      <c r="F7" s="3763"/>
      <c r="G7" s="3764"/>
    </row>
    <row r="8" spans="1:7" ht="20.25">
      <c r="A8" s="2166" t="s">
        <v>66</v>
      </c>
      <c r="B8" s="2167"/>
      <c r="C8" s="2168"/>
      <c r="D8" s="2168"/>
      <c r="E8" s="3765"/>
      <c r="F8" s="3766"/>
      <c r="G8" s="3767"/>
    </row>
    <row r="9" spans="1:7" ht="20.25">
      <c r="A9" s="2166" t="s">
        <v>67</v>
      </c>
      <c r="B9" s="2167"/>
      <c r="C9" s="2168"/>
      <c r="D9" s="2168"/>
      <c r="E9" s="3768"/>
      <c r="F9" s="3769"/>
      <c r="G9" s="3770"/>
    </row>
    <row r="10" spans="1:7" ht="20.25">
      <c r="A10" s="2166" t="s">
        <v>116</v>
      </c>
      <c r="B10" s="2167"/>
      <c r="C10" s="2168"/>
      <c r="D10" s="2168"/>
      <c r="E10" s="3768"/>
      <c r="F10" s="3769"/>
      <c r="G10" s="3770"/>
    </row>
    <row r="11" spans="1:7" ht="20.25">
      <c r="A11" s="2166" t="s">
        <v>88</v>
      </c>
      <c r="B11" s="2167"/>
      <c r="C11" s="2168"/>
      <c r="D11" s="2168"/>
      <c r="E11" s="3768"/>
      <c r="F11" s="3769"/>
      <c r="G11" s="3770"/>
    </row>
    <row r="12" spans="1:7" ht="20.25">
      <c r="A12" s="2166" t="s">
        <v>89</v>
      </c>
      <c r="B12" s="2167"/>
      <c r="C12" s="2168"/>
      <c r="D12" s="2168"/>
      <c r="E12" s="3768"/>
      <c r="F12" s="3769"/>
      <c r="G12" s="3770"/>
    </row>
    <row r="13" spans="1:7" ht="20.25">
      <c r="A13" s="2166" t="s">
        <v>90</v>
      </c>
      <c r="B13" s="2167"/>
      <c r="C13" s="2168"/>
      <c r="D13" s="2168"/>
      <c r="E13" s="3771"/>
      <c r="F13" s="3772"/>
      <c r="G13" s="3773"/>
    </row>
    <row r="14" spans="1:7" ht="20.25">
      <c r="A14" s="2166" t="s">
        <v>91</v>
      </c>
      <c r="B14" s="2167"/>
      <c r="C14" s="2168"/>
      <c r="D14" s="2168"/>
      <c r="E14" s="2169"/>
      <c r="F14" s="2169"/>
      <c r="G14" s="2169"/>
    </row>
    <row r="15" spans="1:7" ht="20.25">
      <c r="A15" s="2166" t="s">
        <v>92</v>
      </c>
      <c r="B15" s="2170"/>
      <c r="C15" s="2168"/>
      <c r="D15" s="2171"/>
      <c r="E15" s="2169"/>
      <c r="F15" s="2169"/>
      <c r="G15" s="2169"/>
    </row>
    <row r="16" spans="1:7" ht="26.25" customHeight="1">
      <c r="A16" s="2172" t="s">
        <v>68</v>
      </c>
      <c r="B16" s="2173" t="s">
        <v>404</v>
      </c>
      <c r="C16" s="2174">
        <f>SUM(C5:C15)</f>
        <v>11745178</v>
      </c>
      <c r="D16" s="2174">
        <f>SUM(D5:D15)</f>
        <v>9034976</v>
      </c>
    </row>
    <row r="17" spans="1:9">
      <c r="A17" s="2162"/>
      <c r="B17" s="2162"/>
      <c r="C17" s="2162"/>
      <c r="D17" s="2162"/>
    </row>
    <row r="18" spans="1:9">
      <c r="A18" s="2162"/>
      <c r="B18" s="2162"/>
      <c r="C18" s="2162"/>
      <c r="D18" s="2162"/>
    </row>
    <row r="19" spans="1:9">
      <c r="A19" s="2162"/>
      <c r="B19" s="2162"/>
      <c r="C19" s="2162"/>
      <c r="D19" s="2162"/>
    </row>
    <row r="21" spans="1:9" ht="24" customHeight="1">
      <c r="A21" s="2158" t="s">
        <v>473</v>
      </c>
      <c r="B21" s="2175"/>
      <c r="E21" s="3760" t="s">
        <v>519</v>
      </c>
      <c r="F21" s="3760" t="s">
        <v>520</v>
      </c>
      <c r="G21" s="3759" t="s">
        <v>521</v>
      </c>
    </row>
    <row r="22" spans="1:9" ht="24" customHeight="1">
      <c r="A22" s="2163" t="s">
        <v>299</v>
      </c>
      <c r="B22" s="2176" t="s">
        <v>4</v>
      </c>
      <c r="C22" s="2177" t="s">
        <v>300</v>
      </c>
      <c r="D22" s="2177" t="s">
        <v>301</v>
      </c>
      <c r="E22" s="3761"/>
      <c r="F22" s="3761"/>
      <c r="G22" s="3759"/>
    </row>
    <row r="23" spans="1:9" ht="43.5" customHeight="1">
      <c r="A23" s="2166" t="s">
        <v>63</v>
      </c>
      <c r="B23" s="2178" t="s">
        <v>728</v>
      </c>
      <c r="C23" s="2168">
        <v>13356000</v>
      </c>
      <c r="D23" s="2168">
        <v>13292400</v>
      </c>
      <c r="E23" s="2179"/>
      <c r="F23" s="2180"/>
      <c r="G23" s="2181"/>
      <c r="H23" s="2182"/>
    </row>
    <row r="24" spans="1:9" ht="42.75" customHeight="1">
      <c r="A24" s="2166" t="s">
        <v>64</v>
      </c>
      <c r="B24" s="2183" t="s">
        <v>731</v>
      </c>
      <c r="C24" s="2168">
        <v>685000</v>
      </c>
      <c r="D24" s="2168"/>
      <c r="E24" s="2184"/>
      <c r="F24" s="2185"/>
      <c r="G24" s="2186" t="s">
        <v>743</v>
      </c>
      <c r="H24" s="2182"/>
    </row>
    <row r="25" spans="1:9" ht="47.25" customHeight="1">
      <c r="A25" s="2166" t="s">
        <v>65</v>
      </c>
      <c r="B25" s="2183" t="s">
        <v>744</v>
      </c>
      <c r="C25" s="2168">
        <f>'Tab. 6F - Kultura'!D93</f>
        <v>300000</v>
      </c>
      <c r="D25" s="2168">
        <v>0</v>
      </c>
      <c r="E25" s="2187"/>
      <c r="F25" s="2188"/>
      <c r="G25" s="2186" t="s">
        <v>743</v>
      </c>
      <c r="H25" s="2189"/>
    </row>
    <row r="26" spans="1:9" ht="20.25">
      <c r="A26" s="2166" t="s">
        <v>66</v>
      </c>
      <c r="B26" s="2183"/>
      <c r="C26" s="2168"/>
      <c r="D26" s="2168"/>
      <c r="E26" s="2190" t="s">
        <v>693</v>
      </c>
      <c r="F26" s="2191" t="s">
        <v>695</v>
      </c>
      <c r="G26" s="2192" t="s">
        <v>694</v>
      </c>
      <c r="H26" s="2189"/>
    </row>
    <row r="27" spans="1:9" ht="20.25">
      <c r="A27" s="2166" t="s">
        <v>67</v>
      </c>
      <c r="B27" s="2167"/>
      <c r="C27" s="2168"/>
      <c r="D27" s="2168"/>
      <c r="E27" s="2193" t="s">
        <v>330</v>
      </c>
      <c r="F27" s="2194" t="s">
        <v>700</v>
      </c>
      <c r="G27" s="2192" t="s">
        <v>694</v>
      </c>
    </row>
    <row r="28" spans="1:9" s="2195" customFormat="1" ht="20.25">
      <c r="A28" s="2166" t="s">
        <v>116</v>
      </c>
      <c r="B28" s="2183"/>
      <c r="C28" s="2168"/>
      <c r="D28" s="2168"/>
      <c r="E28" s="2195" t="s">
        <v>701</v>
      </c>
      <c r="F28" s="2196"/>
      <c r="G28" s="2197"/>
      <c r="I28" s="2195" t="s">
        <v>295</v>
      </c>
    </row>
    <row r="29" spans="1:9" s="2195" customFormat="1" ht="20.25">
      <c r="A29" s="2166" t="s">
        <v>88</v>
      </c>
      <c r="B29" s="2183"/>
      <c r="C29" s="2168"/>
      <c r="D29" s="2168"/>
      <c r="F29" s="2196"/>
      <c r="G29" s="2197"/>
    </row>
    <row r="30" spans="1:9" s="2195" customFormat="1" ht="20.25">
      <c r="A30" s="2166" t="s">
        <v>89</v>
      </c>
      <c r="B30" s="2183"/>
      <c r="C30" s="2168"/>
      <c r="D30" s="2168"/>
      <c r="F30" s="2196"/>
      <c r="G30" s="2197"/>
    </row>
    <row r="31" spans="1:9" ht="20.25">
      <c r="A31" s="2172" t="s">
        <v>68</v>
      </c>
      <c r="B31" s="2173" t="s">
        <v>477</v>
      </c>
      <c r="C31" s="2174">
        <f>SUM(C23:C30)</f>
        <v>14341000</v>
      </c>
      <c r="D31" s="2174">
        <f>SUM(D23:D30)</f>
        <v>13292400</v>
      </c>
    </row>
  </sheetData>
  <mergeCells count="6">
    <mergeCell ref="G21:G22"/>
    <mergeCell ref="E21:E22"/>
    <mergeCell ref="F21:F22"/>
    <mergeCell ref="E5:G5"/>
    <mergeCell ref="E7:G7"/>
    <mergeCell ref="E8:G1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Q264"/>
  <sheetViews>
    <sheetView showGridLines="0" view="pageBreakPreview" zoomScaleSheetLayoutView="100" workbookViewId="0">
      <pane ySplit="6" topLeftCell="A233" activePane="bottomLeft" state="frozen"/>
      <selection activeCell="B96" sqref="B96"/>
      <selection pane="bottomLeft" sqref="A1:XFD1048576"/>
    </sheetView>
  </sheetViews>
  <sheetFormatPr defaultColWidth="9.140625" defaultRowHeight="11.25"/>
  <cols>
    <col min="1" max="1" width="3.28515625" style="2901" customWidth="1"/>
    <col min="2" max="2" width="66.28515625" style="2902" customWidth="1"/>
    <col min="3" max="3" width="12" style="2902" customWidth="1"/>
    <col min="4" max="5" width="13.7109375" style="2902" customWidth="1"/>
    <col min="6" max="6" width="13.140625" style="2902" customWidth="1"/>
    <col min="7" max="7" width="11.5703125" style="2902" customWidth="1"/>
    <col min="8" max="8" width="11.28515625" style="2902" customWidth="1"/>
    <col min="9" max="9" width="9.140625" style="2902" customWidth="1"/>
    <col min="10" max="10" width="11.7109375" style="2902" customWidth="1"/>
    <col min="11" max="12" width="8.42578125" style="2902" customWidth="1"/>
    <col min="13" max="13" width="12.5703125" style="2902" hidden="1" customWidth="1"/>
    <col min="14" max="14" width="12.5703125" style="2902" customWidth="1"/>
    <col min="15" max="15" width="16.5703125" style="3100" customWidth="1"/>
    <col min="16" max="16" width="16.5703125" style="2902" customWidth="1"/>
    <col min="17" max="16384" width="9.140625" style="2902"/>
  </cols>
  <sheetData>
    <row r="1" spans="1:17" s="2897" customFormat="1" ht="22.5" customHeight="1">
      <c r="A1" s="2896"/>
      <c r="G1" s="2898" t="s">
        <v>568</v>
      </c>
      <c r="I1" s="2899"/>
      <c r="J1" s="2899"/>
      <c r="K1" s="2899"/>
      <c r="L1" s="2899"/>
      <c r="M1" s="2899"/>
      <c r="N1" s="2899"/>
      <c r="O1" s="2900"/>
    </row>
    <row r="2" spans="1:17" ht="18.75">
      <c r="D2" s="2903"/>
      <c r="E2" s="2903"/>
      <c r="F2" s="2903"/>
      <c r="G2" s="2903"/>
      <c r="H2" s="2903"/>
      <c r="I2" s="2903"/>
      <c r="J2" s="2903"/>
      <c r="K2" s="2903"/>
      <c r="L2" s="2903"/>
      <c r="M2" s="2903"/>
      <c r="N2" s="2903"/>
      <c r="O2" s="2639"/>
    </row>
    <row r="3" spans="1:17" ht="48.75" customHeight="1" thickBot="1">
      <c r="A3" s="4438" t="s">
        <v>170</v>
      </c>
      <c r="B3" s="4438"/>
      <c r="C3" s="4438"/>
      <c r="D3" s="4438"/>
      <c r="E3" s="4438"/>
      <c r="F3" s="4438"/>
      <c r="G3" s="4438"/>
      <c r="H3" s="4438"/>
      <c r="I3" s="4438"/>
      <c r="J3" s="4438"/>
      <c r="K3" s="4438"/>
      <c r="L3" s="4438"/>
      <c r="M3" s="4438"/>
      <c r="N3" s="4438"/>
      <c r="O3" s="4438"/>
    </row>
    <row r="4" spans="1:17" ht="60.75" customHeight="1">
      <c r="A4" s="2904"/>
      <c r="B4" s="4439" t="s">
        <v>75</v>
      </c>
      <c r="C4" s="4441" t="s">
        <v>71</v>
      </c>
      <c r="D4" s="4443" t="s">
        <v>118</v>
      </c>
      <c r="E4" s="2905" t="s">
        <v>270</v>
      </c>
      <c r="F4" s="4371" t="s">
        <v>625</v>
      </c>
      <c r="G4" s="4373" t="s">
        <v>553</v>
      </c>
      <c r="H4" s="4374"/>
      <c r="I4" s="4374"/>
      <c r="J4" s="4374"/>
      <c r="K4" s="4374"/>
      <c r="L4" s="4375"/>
      <c r="M4" s="4366" t="s">
        <v>570</v>
      </c>
      <c r="N4" s="4366" t="s">
        <v>554</v>
      </c>
      <c r="O4" s="4364" t="s">
        <v>73</v>
      </c>
    </row>
    <row r="5" spans="1:17" ht="16.5" customHeight="1" thickBot="1">
      <c r="A5" s="2906"/>
      <c r="B5" s="4440"/>
      <c r="C5" s="4442"/>
      <c r="D5" s="4444"/>
      <c r="E5" s="2907" t="s">
        <v>533</v>
      </c>
      <c r="F5" s="4447"/>
      <c r="G5" s="2908" t="s">
        <v>6</v>
      </c>
      <c r="H5" s="2909" t="s">
        <v>214</v>
      </c>
      <c r="I5" s="2909" t="s">
        <v>215</v>
      </c>
      <c r="J5" s="2909" t="s">
        <v>262</v>
      </c>
      <c r="K5" s="2909" t="s">
        <v>263</v>
      </c>
      <c r="L5" s="2909" t="s">
        <v>264</v>
      </c>
      <c r="M5" s="4446"/>
      <c r="N5" s="4446"/>
      <c r="O5" s="4445"/>
    </row>
    <row r="6" spans="1:17" ht="15" customHeight="1">
      <c r="A6" s="2652">
        <v>1</v>
      </c>
      <c r="B6" s="2653">
        <v>2</v>
      </c>
      <c r="C6" s="2655" t="s">
        <v>119</v>
      </c>
      <c r="D6" s="2654" t="s">
        <v>120</v>
      </c>
      <c r="E6" s="2654">
        <v>5</v>
      </c>
      <c r="F6" s="2655">
        <v>6</v>
      </c>
      <c r="G6" s="2655">
        <v>7</v>
      </c>
      <c r="H6" s="2655">
        <v>8</v>
      </c>
      <c r="I6" s="2655">
        <v>9</v>
      </c>
      <c r="J6" s="2655">
        <v>10</v>
      </c>
      <c r="K6" s="2655">
        <v>11</v>
      </c>
      <c r="L6" s="2655">
        <v>12</v>
      </c>
      <c r="M6" s="2910">
        <v>13</v>
      </c>
      <c r="N6" s="2910">
        <v>13</v>
      </c>
      <c r="O6" s="2911">
        <v>14</v>
      </c>
    </row>
    <row r="7" spans="1:17" s="2803" customFormat="1" ht="16.5" customHeight="1">
      <c r="A7" s="2912"/>
      <c r="B7" s="2913" t="s">
        <v>76</v>
      </c>
      <c r="C7" s="2914"/>
      <c r="D7" s="2661">
        <f>+D8+D9</f>
        <v>118364504</v>
      </c>
      <c r="E7" s="2661">
        <f t="shared" ref="E7:L7" si="0">+E8+E9</f>
        <v>926404</v>
      </c>
      <c r="F7" s="2661">
        <f t="shared" si="0"/>
        <v>1328596</v>
      </c>
      <c r="G7" s="2661">
        <f t="shared" si="0"/>
        <v>98975986</v>
      </c>
      <c r="H7" s="2661">
        <f t="shared" si="0"/>
        <v>11895354</v>
      </c>
      <c r="I7" s="2661">
        <f t="shared" si="0"/>
        <v>5238164</v>
      </c>
      <c r="J7" s="2661">
        <f t="shared" si="0"/>
        <v>0</v>
      </c>
      <c r="K7" s="2661">
        <f t="shared" si="0"/>
        <v>0</v>
      </c>
      <c r="L7" s="2661">
        <f t="shared" si="0"/>
        <v>0</v>
      </c>
      <c r="M7" s="2662">
        <f>+M8+M9</f>
        <v>117438100</v>
      </c>
      <c r="N7" s="2662">
        <f>+N8+N9</f>
        <v>116109504</v>
      </c>
      <c r="O7" s="2841"/>
      <c r="P7" s="2680">
        <f>D26+D38+D50+D62+D71+D80+D89+D101+D114+D123+D136+D154+D167+D176+D189+D198+D210+D219</f>
        <v>118364504</v>
      </c>
    </row>
    <row r="8" spans="1:17" s="2803" customFormat="1" ht="13.5" customHeight="1">
      <c r="A8" s="2912"/>
      <c r="B8" s="2915" t="s">
        <v>77</v>
      </c>
      <c r="C8" s="2916"/>
      <c r="D8" s="2917">
        <f>D80+D101+D123+D154+D176+D189+D210</f>
        <v>3471711</v>
      </c>
      <c r="E8" s="2917">
        <f t="shared" ref="E8:L8" si="1">E80+E101+E123+E154+E176+E189+E210</f>
        <v>0</v>
      </c>
      <c r="F8" s="2917">
        <f t="shared" si="1"/>
        <v>80037</v>
      </c>
      <c r="G8" s="2917">
        <f t="shared" si="1"/>
        <v>1411498</v>
      </c>
      <c r="H8" s="2917">
        <f t="shared" si="1"/>
        <v>1498175</v>
      </c>
      <c r="I8" s="2917">
        <f t="shared" si="1"/>
        <v>482001</v>
      </c>
      <c r="J8" s="2917">
        <f t="shared" si="1"/>
        <v>0</v>
      </c>
      <c r="K8" s="2917">
        <f t="shared" si="1"/>
        <v>0</v>
      </c>
      <c r="L8" s="2917">
        <f t="shared" si="1"/>
        <v>0</v>
      </c>
      <c r="M8" s="2918">
        <f>SUM(F8:L8)</f>
        <v>3471711</v>
      </c>
      <c r="N8" s="2919">
        <f>SUM(G8:L8)</f>
        <v>3391674</v>
      </c>
      <c r="O8" s="2841"/>
      <c r="P8" s="2680"/>
    </row>
    <row r="9" spans="1:17" s="2803" customFormat="1" ht="13.5" customHeight="1" thickBot="1">
      <c r="A9" s="2912"/>
      <c r="B9" s="2920" t="s">
        <v>9</v>
      </c>
      <c r="C9" s="2921"/>
      <c r="D9" s="2922">
        <f>D26+D38+D50+D62+D71+D89+D114+D198+D219</f>
        <v>114892793</v>
      </c>
      <c r="E9" s="2922">
        <f t="shared" ref="E9:L9" si="2">E26+E38+E50+E62+E71+E89+E114+E198+E219</f>
        <v>926404</v>
      </c>
      <c r="F9" s="2922">
        <f t="shared" si="2"/>
        <v>1248559</v>
      </c>
      <c r="G9" s="2922">
        <f t="shared" si="2"/>
        <v>97564488</v>
      </c>
      <c r="H9" s="2922">
        <f t="shared" si="2"/>
        <v>10397179</v>
      </c>
      <c r="I9" s="2922">
        <f t="shared" si="2"/>
        <v>4756163</v>
      </c>
      <c r="J9" s="2922">
        <f t="shared" si="2"/>
        <v>0</v>
      </c>
      <c r="K9" s="2922">
        <f t="shared" si="2"/>
        <v>0</v>
      </c>
      <c r="L9" s="2922">
        <f t="shared" si="2"/>
        <v>0</v>
      </c>
      <c r="M9" s="2671">
        <f>SUM(F9:L9)</f>
        <v>113966389</v>
      </c>
      <c r="N9" s="2671">
        <f>SUM(G9:L9)</f>
        <v>112717830</v>
      </c>
      <c r="O9" s="2841"/>
      <c r="P9" s="2680"/>
    </row>
    <row r="10" spans="1:17" ht="12">
      <c r="A10" s="2912"/>
      <c r="B10" s="2923" t="s">
        <v>10</v>
      </c>
      <c r="C10" s="2705"/>
      <c r="D10" s="2750">
        <f>D11+D15</f>
        <v>118364504</v>
      </c>
      <c r="E10" s="2750">
        <f t="shared" ref="E10:L10" si="3">E11+E15</f>
        <v>926404</v>
      </c>
      <c r="F10" s="2750">
        <f t="shared" si="3"/>
        <v>1328596</v>
      </c>
      <c r="G10" s="2750">
        <f t="shared" si="3"/>
        <v>98975986</v>
      </c>
      <c r="H10" s="2750">
        <f t="shared" si="3"/>
        <v>11895354</v>
      </c>
      <c r="I10" s="2750">
        <f t="shared" si="3"/>
        <v>5238164</v>
      </c>
      <c r="J10" s="2750">
        <f t="shared" si="3"/>
        <v>0</v>
      </c>
      <c r="K10" s="2750">
        <f t="shared" si="3"/>
        <v>0</v>
      </c>
      <c r="L10" s="2750">
        <f t="shared" si="3"/>
        <v>0</v>
      </c>
      <c r="M10" s="2677">
        <f>M11+M15</f>
        <v>115336656</v>
      </c>
      <c r="N10" s="2793">
        <f>N11+N15</f>
        <v>116109504</v>
      </c>
      <c r="O10" s="2924"/>
      <c r="P10" s="2903"/>
      <c r="Q10" s="2903"/>
    </row>
    <row r="11" spans="1:17" ht="13.5" customHeight="1">
      <c r="A11" s="2912"/>
      <c r="B11" s="2925" t="s">
        <v>24</v>
      </c>
      <c r="C11" s="2926"/>
      <c r="D11" s="2927">
        <f>D12+D13+D14</f>
        <v>18448412</v>
      </c>
      <c r="E11" s="2927">
        <f t="shared" ref="E11:K11" si="4">E12+E13+E14</f>
        <v>713938</v>
      </c>
      <c r="F11" s="2927">
        <f t="shared" si="4"/>
        <v>424067</v>
      </c>
      <c r="G11" s="2927">
        <f t="shared" si="4"/>
        <v>14735279</v>
      </c>
      <c r="H11" s="2927">
        <f t="shared" si="4"/>
        <v>1786896</v>
      </c>
      <c r="I11" s="2927">
        <f t="shared" si="4"/>
        <v>788232</v>
      </c>
      <c r="J11" s="2927">
        <f t="shared" si="4"/>
        <v>0</v>
      </c>
      <c r="K11" s="2927">
        <f t="shared" si="4"/>
        <v>0</v>
      </c>
      <c r="L11" s="2927">
        <f t="shared" ref="L11" si="5">L12+L13+L14</f>
        <v>0</v>
      </c>
      <c r="M11" s="2928">
        <f>+M12+M13+M14</f>
        <v>15633030</v>
      </c>
      <c r="N11" s="2928">
        <f>+N12+N13+N14</f>
        <v>17310407</v>
      </c>
      <c r="O11" s="2929"/>
    </row>
    <row r="12" spans="1:17" ht="13.5" customHeight="1">
      <c r="A12" s="2912"/>
      <c r="B12" s="2930" t="s">
        <v>12</v>
      </c>
      <c r="C12" s="2931"/>
      <c r="D12" s="2932">
        <f>D28+D40+D52+D64+D73+D82+D91+D103+D116+D125+D138+D147+D156+D169+D178+D191+D200+D212+D221</f>
        <v>15196968</v>
      </c>
      <c r="E12" s="2932">
        <f t="shared" ref="E12:N12" si="6">E28+E40+E52+E64+E73+E82+E91+E103+E116+E125+E138+E147+E156+E169+E178+E191+E200+E212+E221</f>
        <v>593938</v>
      </c>
      <c r="F12" s="2932">
        <f t="shared" si="6"/>
        <v>278181</v>
      </c>
      <c r="G12" s="2932">
        <f t="shared" si="6"/>
        <v>11749721</v>
      </c>
      <c r="H12" s="2932">
        <f t="shared" si="6"/>
        <v>1786896</v>
      </c>
      <c r="I12" s="2932">
        <f t="shared" si="6"/>
        <v>788232</v>
      </c>
      <c r="J12" s="2932">
        <f t="shared" si="6"/>
        <v>0</v>
      </c>
      <c r="K12" s="2932">
        <f t="shared" si="6"/>
        <v>0</v>
      </c>
      <c r="L12" s="2932">
        <f t="shared" si="6"/>
        <v>0</v>
      </c>
      <c r="M12" s="2932">
        <f t="shared" si="6"/>
        <v>14603030</v>
      </c>
      <c r="N12" s="2801">
        <f t="shared" si="6"/>
        <v>14324849</v>
      </c>
      <c r="O12" s="2929"/>
      <c r="P12" s="2903"/>
    </row>
    <row r="13" spans="1:17" ht="13.5" customHeight="1">
      <c r="A13" s="2912"/>
      <c r="B13" s="2930" t="s">
        <v>62</v>
      </c>
      <c r="C13" s="2931"/>
      <c r="D13" s="2932">
        <f>+D92</f>
        <v>1000000</v>
      </c>
      <c r="E13" s="2932">
        <f t="shared" ref="E13:K13" si="7">+E92</f>
        <v>0</v>
      </c>
      <c r="F13" s="2932">
        <f t="shared" si="7"/>
        <v>100000</v>
      </c>
      <c r="G13" s="2932">
        <f t="shared" si="7"/>
        <v>900000</v>
      </c>
      <c r="H13" s="2932">
        <f t="shared" si="7"/>
        <v>0</v>
      </c>
      <c r="I13" s="2932">
        <f t="shared" si="7"/>
        <v>0</v>
      </c>
      <c r="J13" s="2932">
        <f t="shared" si="7"/>
        <v>0</v>
      </c>
      <c r="K13" s="2932">
        <f t="shared" si="7"/>
        <v>0</v>
      </c>
      <c r="L13" s="2932">
        <f t="shared" ref="L13" si="8">+L92</f>
        <v>0</v>
      </c>
      <c r="M13" s="2801">
        <f>SUM(F13:K13)</f>
        <v>1000000</v>
      </c>
      <c r="N13" s="2801">
        <f>SUM(G13:L13)</f>
        <v>900000</v>
      </c>
      <c r="O13" s="2929"/>
      <c r="P13" s="2903"/>
    </row>
    <row r="14" spans="1:17" ht="13.5" customHeight="1">
      <c r="A14" s="2912"/>
      <c r="B14" s="2930" t="s">
        <v>15</v>
      </c>
      <c r="C14" s="2931"/>
      <c r="D14" s="2932">
        <f>D201+D222+D29+D41+D53</f>
        <v>2251444</v>
      </c>
      <c r="E14" s="2932">
        <f t="shared" ref="E14:N14" si="9">E201+E222+E29+E41+E53</f>
        <v>120000</v>
      </c>
      <c r="F14" s="2932">
        <f t="shared" si="9"/>
        <v>45886</v>
      </c>
      <c r="G14" s="2932">
        <f t="shared" si="9"/>
        <v>2085558</v>
      </c>
      <c r="H14" s="2932">
        <f t="shared" si="9"/>
        <v>0</v>
      </c>
      <c r="I14" s="2932">
        <f t="shared" si="9"/>
        <v>0</v>
      </c>
      <c r="J14" s="2932">
        <f t="shared" si="9"/>
        <v>0</v>
      </c>
      <c r="K14" s="2932">
        <f t="shared" si="9"/>
        <v>0</v>
      </c>
      <c r="L14" s="2932">
        <f t="shared" si="9"/>
        <v>0</v>
      </c>
      <c r="M14" s="2932">
        <f t="shared" si="9"/>
        <v>30000</v>
      </c>
      <c r="N14" s="2801">
        <f t="shared" si="9"/>
        <v>2085558</v>
      </c>
      <c r="O14" s="2929"/>
      <c r="P14" s="2903"/>
    </row>
    <row r="15" spans="1:17" ht="13.5" customHeight="1">
      <c r="A15" s="2912"/>
      <c r="B15" s="2925" t="s">
        <v>18</v>
      </c>
      <c r="C15" s="2926"/>
      <c r="D15" s="2927">
        <f>+D16+D17</f>
        <v>99916092</v>
      </c>
      <c r="E15" s="2927">
        <f t="shared" ref="E15:K15" si="10">+E16+E17</f>
        <v>212466</v>
      </c>
      <c r="F15" s="2927">
        <f t="shared" si="10"/>
        <v>904529</v>
      </c>
      <c r="G15" s="2927">
        <f t="shared" si="10"/>
        <v>84240707</v>
      </c>
      <c r="H15" s="2927">
        <f t="shared" si="10"/>
        <v>10108458</v>
      </c>
      <c r="I15" s="2927">
        <f t="shared" si="10"/>
        <v>4449932</v>
      </c>
      <c r="J15" s="2927">
        <f t="shared" si="10"/>
        <v>0</v>
      </c>
      <c r="K15" s="2927">
        <f t="shared" si="10"/>
        <v>0</v>
      </c>
      <c r="L15" s="2927">
        <f t="shared" ref="L15" si="11">+L16+L17</f>
        <v>0</v>
      </c>
      <c r="M15" s="2928">
        <f>+M16</f>
        <v>99703626</v>
      </c>
      <c r="N15" s="2928">
        <f>+N16</f>
        <v>98799097</v>
      </c>
      <c r="O15" s="2929"/>
    </row>
    <row r="16" spans="1:17" ht="13.5" customHeight="1">
      <c r="A16" s="2912"/>
      <c r="B16" s="2930" t="s">
        <v>21</v>
      </c>
      <c r="C16" s="2933"/>
      <c r="D16" s="2934">
        <f>D31+D43+D55+D66+D75+D84+D94+D107+D118+D129+D160+D182+D193+D203+D214+D224</f>
        <v>99916092</v>
      </c>
      <c r="E16" s="2934">
        <f t="shared" ref="E16:L16" si="12">E31+E43+E55+E66+E75+E84+E94+E107+E118+E129+E160+E182+E193+E203+E214+E224</f>
        <v>212466</v>
      </c>
      <c r="F16" s="2934">
        <f t="shared" si="12"/>
        <v>904529</v>
      </c>
      <c r="G16" s="2934">
        <f t="shared" si="12"/>
        <v>84240707</v>
      </c>
      <c r="H16" s="2934">
        <f t="shared" si="12"/>
        <v>10108458</v>
      </c>
      <c r="I16" s="2934">
        <f t="shared" si="12"/>
        <v>4449932</v>
      </c>
      <c r="J16" s="2934">
        <f t="shared" si="12"/>
        <v>0</v>
      </c>
      <c r="K16" s="2934">
        <f t="shared" si="12"/>
        <v>0</v>
      </c>
      <c r="L16" s="2934">
        <f t="shared" si="12"/>
        <v>0</v>
      </c>
      <c r="M16" s="2801">
        <f>SUM(F16:L16)</f>
        <v>99703626</v>
      </c>
      <c r="N16" s="2801">
        <f>SUM(G16:L16)</f>
        <v>98799097</v>
      </c>
      <c r="O16" s="2929"/>
      <c r="P16" s="2903"/>
    </row>
    <row r="17" spans="1:16" ht="13.5" hidden="1" customHeight="1">
      <c r="A17" s="2912"/>
      <c r="B17" s="2803" t="s">
        <v>20</v>
      </c>
      <c r="C17" s="2935"/>
      <c r="D17" s="2934"/>
      <c r="E17" s="2934"/>
      <c r="F17" s="2934"/>
      <c r="G17" s="2934"/>
      <c r="H17" s="2934"/>
      <c r="I17" s="2934"/>
      <c r="J17" s="2934"/>
      <c r="K17" s="2934"/>
      <c r="L17" s="2934"/>
      <c r="M17" s="2936"/>
      <c r="N17" s="2936"/>
      <c r="O17" s="2929"/>
    </row>
    <row r="18" spans="1:16" ht="12">
      <c r="A18" s="2912"/>
      <c r="B18" s="2923" t="s">
        <v>22</v>
      </c>
      <c r="C18" s="2792"/>
      <c r="D18" s="2750">
        <f>D22+D19</f>
        <v>103167536</v>
      </c>
      <c r="E18" s="2750">
        <f>E22+E19</f>
        <v>120000</v>
      </c>
      <c r="F18" s="2750">
        <f t="shared" ref="F18:L18" si="13">F22+F19</f>
        <v>146863</v>
      </c>
      <c r="G18" s="2750">
        <f t="shared" si="13"/>
        <v>79790313</v>
      </c>
      <c r="H18" s="2750">
        <f t="shared" si="13"/>
        <v>12844197</v>
      </c>
      <c r="I18" s="2750">
        <f t="shared" si="13"/>
        <v>6918375</v>
      </c>
      <c r="J18" s="2750">
        <f t="shared" si="13"/>
        <v>3347788</v>
      </c>
      <c r="K18" s="2750">
        <f t="shared" si="13"/>
        <v>0</v>
      </c>
      <c r="L18" s="2750">
        <f t="shared" si="13"/>
        <v>0</v>
      </c>
      <c r="M18" s="4342" t="s">
        <v>61</v>
      </c>
      <c r="N18" s="4342" t="s">
        <v>61</v>
      </c>
      <c r="O18" s="2929"/>
      <c r="P18" s="2903"/>
    </row>
    <row r="19" spans="1:16" ht="16.5" customHeight="1">
      <c r="A19" s="2912"/>
      <c r="B19" s="2925" t="s">
        <v>11</v>
      </c>
      <c r="C19" s="2933"/>
      <c r="D19" s="2937">
        <f>D20+D21</f>
        <v>3251444</v>
      </c>
      <c r="E19" s="2937">
        <f t="shared" ref="E19:L19" si="14">E20+E21</f>
        <v>120000</v>
      </c>
      <c r="F19" s="2937">
        <f t="shared" si="14"/>
        <v>145886</v>
      </c>
      <c r="G19" s="2937">
        <f t="shared" si="14"/>
        <v>2985558</v>
      </c>
      <c r="H19" s="2937">
        <f t="shared" si="14"/>
        <v>0</v>
      </c>
      <c r="I19" s="2937">
        <f t="shared" si="14"/>
        <v>0</v>
      </c>
      <c r="J19" s="2937">
        <f t="shared" si="14"/>
        <v>0</v>
      </c>
      <c r="K19" s="2937">
        <f t="shared" si="14"/>
        <v>0</v>
      </c>
      <c r="L19" s="2937">
        <f t="shared" si="14"/>
        <v>0</v>
      </c>
      <c r="M19" s="4343"/>
      <c r="N19" s="4343"/>
      <c r="O19" s="2929"/>
      <c r="P19" s="2903"/>
    </row>
    <row r="20" spans="1:16" ht="12">
      <c r="A20" s="2912"/>
      <c r="B20" s="2930" t="s">
        <v>62</v>
      </c>
      <c r="C20" s="2933"/>
      <c r="D20" s="2934">
        <f>D97</f>
        <v>1000000</v>
      </c>
      <c r="E20" s="2934">
        <f t="shared" ref="E20:L20" si="15">E97</f>
        <v>0</v>
      </c>
      <c r="F20" s="2934">
        <f t="shared" si="15"/>
        <v>100000</v>
      </c>
      <c r="G20" s="2934">
        <f t="shared" si="15"/>
        <v>900000</v>
      </c>
      <c r="H20" s="2934">
        <f t="shared" si="15"/>
        <v>0</v>
      </c>
      <c r="I20" s="2934">
        <f t="shared" si="15"/>
        <v>0</v>
      </c>
      <c r="J20" s="2934">
        <f t="shared" si="15"/>
        <v>0</v>
      </c>
      <c r="K20" s="2934">
        <f t="shared" si="15"/>
        <v>0</v>
      </c>
      <c r="L20" s="2934">
        <f t="shared" si="15"/>
        <v>0</v>
      </c>
      <c r="M20" s="4343"/>
      <c r="N20" s="4343"/>
      <c r="O20" s="2929"/>
      <c r="P20" s="2903"/>
    </row>
    <row r="21" spans="1:16" ht="12">
      <c r="A21" s="2912"/>
      <c r="B21" s="2930" t="s">
        <v>15</v>
      </c>
      <c r="C21" s="2933"/>
      <c r="D21" s="2934">
        <f>D206+D227+D34+D46+D58</f>
        <v>2251444</v>
      </c>
      <c r="E21" s="2934">
        <f t="shared" ref="E21:L21" si="16">E206+E227+E34+E46+E58</f>
        <v>120000</v>
      </c>
      <c r="F21" s="2934">
        <f t="shared" si="16"/>
        <v>45886</v>
      </c>
      <c r="G21" s="2934">
        <f t="shared" si="16"/>
        <v>2085558</v>
      </c>
      <c r="H21" s="2934">
        <f t="shared" si="16"/>
        <v>0</v>
      </c>
      <c r="I21" s="2934">
        <f t="shared" si="16"/>
        <v>0</v>
      </c>
      <c r="J21" s="2934">
        <f t="shared" si="16"/>
        <v>0</v>
      </c>
      <c r="K21" s="2934">
        <f t="shared" si="16"/>
        <v>0</v>
      </c>
      <c r="L21" s="2934">
        <f t="shared" si="16"/>
        <v>0</v>
      </c>
      <c r="M21" s="4343"/>
      <c r="N21" s="4343"/>
      <c r="O21" s="2929"/>
      <c r="P21" s="2903"/>
    </row>
    <row r="22" spans="1:16" ht="13.5" customHeight="1">
      <c r="A22" s="2912"/>
      <c r="B22" s="2925" t="s">
        <v>18</v>
      </c>
      <c r="C22" s="2933"/>
      <c r="D22" s="2937">
        <f>+D23+D24</f>
        <v>99916092</v>
      </c>
      <c r="E22" s="2937">
        <f t="shared" ref="E22:L22" si="17">+E23+E24</f>
        <v>0</v>
      </c>
      <c r="F22" s="2937">
        <f t="shared" si="17"/>
        <v>977</v>
      </c>
      <c r="G22" s="2937">
        <f t="shared" si="17"/>
        <v>76804755</v>
      </c>
      <c r="H22" s="2937">
        <f t="shared" si="17"/>
        <v>12844197</v>
      </c>
      <c r="I22" s="2937">
        <f t="shared" si="17"/>
        <v>6918375</v>
      </c>
      <c r="J22" s="2937">
        <f t="shared" si="17"/>
        <v>3347788</v>
      </c>
      <c r="K22" s="2937">
        <f t="shared" si="17"/>
        <v>0</v>
      </c>
      <c r="L22" s="2937">
        <f t="shared" si="17"/>
        <v>0</v>
      </c>
      <c r="M22" s="4343"/>
      <c r="N22" s="4343"/>
      <c r="O22" s="2929"/>
    </row>
    <row r="23" spans="1:16" ht="13.5" customHeight="1" thickBot="1">
      <c r="A23" s="2938"/>
      <c r="B23" s="2930" t="s">
        <v>21</v>
      </c>
      <c r="C23" s="2933"/>
      <c r="D23" s="2934">
        <f>+D36+D48+D78+D87+D99+D69+D112+D121+D134+D143+D152+D60+D165+D174+D187+D195+D207+D217+D229</f>
        <v>99916092</v>
      </c>
      <c r="E23" s="2934">
        <f t="shared" ref="E23:L23" si="18">+E36+E48+E78+E87+E99+E69+E112+E121+E134+E143+E152+E60+E165+E174+E187+E195+E207+E217+E229</f>
        <v>0</v>
      </c>
      <c r="F23" s="2934">
        <f t="shared" si="18"/>
        <v>977</v>
      </c>
      <c r="G23" s="2934">
        <f t="shared" si="18"/>
        <v>76804755</v>
      </c>
      <c r="H23" s="2934">
        <f t="shared" si="18"/>
        <v>12844197</v>
      </c>
      <c r="I23" s="2934">
        <f t="shared" si="18"/>
        <v>6918375</v>
      </c>
      <c r="J23" s="2934">
        <f t="shared" si="18"/>
        <v>3347788</v>
      </c>
      <c r="K23" s="2934">
        <f t="shared" si="18"/>
        <v>0</v>
      </c>
      <c r="L23" s="2934">
        <f t="shared" si="18"/>
        <v>0</v>
      </c>
      <c r="M23" s="4343"/>
      <c r="N23" s="4343"/>
      <c r="O23" s="2929"/>
      <c r="P23" s="2903">
        <f>D23-D16</f>
        <v>0</v>
      </c>
    </row>
    <row r="24" spans="1:16" ht="13.5" hidden="1" customHeight="1" thickBot="1">
      <c r="A24" s="2938"/>
      <c r="B24" s="2939" t="s">
        <v>20</v>
      </c>
      <c r="C24" s="2939"/>
      <c r="D24" s="2939"/>
      <c r="E24" s="2939"/>
      <c r="F24" s="2939"/>
      <c r="G24" s="2939"/>
      <c r="H24" s="2939"/>
      <c r="I24" s="2939"/>
      <c r="J24" s="2939"/>
      <c r="K24" s="2939"/>
      <c r="L24" s="2940"/>
      <c r="M24" s="4344"/>
      <c r="N24" s="4344"/>
      <c r="O24" s="2929"/>
    </row>
    <row r="25" spans="1:16" s="2803" customFormat="1" ht="27" customHeight="1">
      <c r="A25" s="4413" t="s">
        <v>63</v>
      </c>
      <c r="B25" s="2941" t="s">
        <v>717</v>
      </c>
      <c r="C25" s="2785" t="s">
        <v>82</v>
      </c>
      <c r="D25" s="2786"/>
      <c r="E25" s="2789"/>
      <c r="F25" s="2788"/>
      <c r="G25" s="2788"/>
      <c r="H25" s="2788"/>
      <c r="I25" s="2789"/>
      <c r="J25" s="2789"/>
      <c r="K25" s="2789"/>
      <c r="L25" s="2789"/>
      <c r="M25" s="2790"/>
      <c r="N25" s="2790"/>
      <c r="O25" s="4336" t="s">
        <v>87</v>
      </c>
    </row>
    <row r="26" spans="1:16" s="2803" customFormat="1" ht="12.75">
      <c r="A26" s="4411"/>
      <c r="B26" s="2791" t="s">
        <v>10</v>
      </c>
      <c r="C26" s="2792"/>
      <c r="D26" s="2750">
        <f>D27+D30</f>
        <v>45393450</v>
      </c>
      <c r="E26" s="2750">
        <f>+E30+E27</f>
        <v>146960</v>
      </c>
      <c r="F26" s="2750">
        <f>+F30+F27</f>
        <v>482652</v>
      </c>
      <c r="G26" s="2750">
        <f>+G27+G30</f>
        <v>44763838</v>
      </c>
      <c r="H26" s="2750">
        <f t="shared" ref="H26" si="19">+H30</f>
        <v>0</v>
      </c>
      <c r="I26" s="2750"/>
      <c r="J26" s="2750"/>
      <c r="K26" s="2750"/>
      <c r="L26" s="2750"/>
      <c r="M26" s="2793">
        <f>+M30+M27</f>
        <v>44100032</v>
      </c>
      <c r="N26" s="2793">
        <f>+N30+N27</f>
        <v>44763838</v>
      </c>
      <c r="O26" s="4337"/>
    </row>
    <row r="27" spans="1:16" s="2803" customFormat="1" ht="14.25" customHeight="1">
      <c r="A27" s="4411"/>
      <c r="B27" s="2794" t="s">
        <v>24</v>
      </c>
      <c r="C27" s="4339" t="s">
        <v>171</v>
      </c>
      <c r="D27" s="2795">
        <f>D28+D29</f>
        <v>7078433</v>
      </c>
      <c r="E27" s="2942">
        <f>E28+E29</f>
        <v>146960</v>
      </c>
      <c r="F27" s="2943">
        <f>F28+F29</f>
        <v>80135</v>
      </c>
      <c r="G27" s="2796">
        <f>G28+G29</f>
        <v>6851338</v>
      </c>
      <c r="H27" s="2796">
        <f t="shared" ref="H27" si="20">H28</f>
        <v>0</v>
      </c>
      <c r="I27" s="2796"/>
      <c r="J27" s="2796"/>
      <c r="K27" s="2796"/>
      <c r="L27" s="2796"/>
      <c r="M27" s="2798">
        <f>M28</f>
        <v>5785015</v>
      </c>
      <c r="N27" s="2798">
        <f>N28+N29</f>
        <v>6851338</v>
      </c>
      <c r="O27" s="4337"/>
    </row>
    <row r="28" spans="1:16" s="2803" customFormat="1" ht="14.25" customHeight="1">
      <c r="A28" s="4411"/>
      <c r="B28" s="2799" t="s">
        <v>12</v>
      </c>
      <c r="C28" s="4340"/>
      <c r="D28" s="2736">
        <f>E28+F28+G28+H28+I28+J28+K28+L28</f>
        <v>5931975</v>
      </c>
      <c r="E28" s="2736">
        <v>146960</v>
      </c>
      <c r="F28" s="2800">
        <f>2732267+170000-2664017-80000-78115</f>
        <v>80135</v>
      </c>
      <c r="G28" s="2800">
        <f>4041376+2664017+80000-171363-909150</f>
        <v>5704880</v>
      </c>
      <c r="H28" s="2800">
        <v>0</v>
      </c>
      <c r="I28" s="2800"/>
      <c r="J28" s="2800"/>
      <c r="K28" s="2800"/>
      <c r="L28" s="2800"/>
      <c r="M28" s="2801">
        <f>SUM(F28:K28)</f>
        <v>5785015</v>
      </c>
      <c r="N28" s="2801">
        <f>SUM(G28:L28)</f>
        <v>5704880</v>
      </c>
      <c r="O28" s="4337"/>
    </row>
    <row r="29" spans="1:16" s="2803" customFormat="1" ht="14.25" customHeight="1">
      <c r="A29" s="4411"/>
      <c r="B29" s="2944" t="s">
        <v>15</v>
      </c>
      <c r="C29" s="4340"/>
      <c r="D29" s="2736">
        <f>E29+F29+G29+H29+I29+J29+K29+L29</f>
        <v>1146458</v>
      </c>
      <c r="E29" s="2736">
        <v>0</v>
      </c>
      <c r="F29" s="2800">
        <v>0</v>
      </c>
      <c r="G29" s="2800">
        <f>237308+909150</f>
        <v>1146458</v>
      </c>
      <c r="H29" s="2800"/>
      <c r="I29" s="2800"/>
      <c r="J29" s="2800"/>
      <c r="K29" s="2800"/>
      <c r="L29" s="2800"/>
      <c r="M29" s="2945"/>
      <c r="N29" s="2801">
        <f>SUM(G29:L29)</f>
        <v>1146458</v>
      </c>
      <c r="O29" s="4337"/>
    </row>
    <row r="30" spans="1:16" s="2803" customFormat="1" ht="14.25" customHeight="1">
      <c r="A30" s="4411"/>
      <c r="B30" s="2802" t="s">
        <v>18</v>
      </c>
      <c r="C30" s="4340"/>
      <c r="D30" s="2795">
        <f>D31</f>
        <v>38315017</v>
      </c>
      <c r="E30" s="2942">
        <f t="shared" ref="E30" si="21">+E31</f>
        <v>0</v>
      </c>
      <c r="F30" s="2796">
        <f>+F31</f>
        <v>402517</v>
      </c>
      <c r="G30" s="2796">
        <f>+G31</f>
        <v>37912500</v>
      </c>
      <c r="H30" s="2796">
        <v>0</v>
      </c>
      <c r="I30" s="2796"/>
      <c r="J30" s="2796"/>
      <c r="K30" s="2796"/>
      <c r="L30" s="2796"/>
      <c r="M30" s="2798">
        <f>+M31</f>
        <v>38315017</v>
      </c>
      <c r="N30" s="2798">
        <f>+N31</f>
        <v>37912500</v>
      </c>
      <c r="O30" s="4337"/>
    </row>
    <row r="31" spans="1:16" s="2803" customFormat="1" ht="15" customHeight="1">
      <c r="A31" s="4411"/>
      <c r="B31" s="2803" t="s">
        <v>21</v>
      </c>
      <c r="C31" s="4341"/>
      <c r="D31" s="2736">
        <f>E31+F31+G31+H31+I31+J31+K31+L31</f>
        <v>38315017</v>
      </c>
      <c r="E31" s="2736">
        <v>0</v>
      </c>
      <c r="F31" s="2800">
        <f>15482849-14416099-255000-409233</f>
        <v>402517</v>
      </c>
      <c r="G31" s="2800">
        <f>22901129+14416099+255000+340272</f>
        <v>37912500</v>
      </c>
      <c r="H31" s="2800">
        <v>0</v>
      </c>
      <c r="I31" s="2800"/>
      <c r="J31" s="2800"/>
      <c r="K31" s="2800"/>
      <c r="L31" s="2800"/>
      <c r="M31" s="2801">
        <f>SUM(F31:K31)</f>
        <v>38315017</v>
      </c>
      <c r="N31" s="2801">
        <f>SUM(G31:L31)</f>
        <v>37912500</v>
      </c>
      <c r="O31" s="4338"/>
    </row>
    <row r="32" spans="1:16" s="2803" customFormat="1" ht="12.75">
      <c r="A32" s="4411"/>
      <c r="B32" s="2824" t="s">
        <v>22</v>
      </c>
      <c r="C32" s="2792"/>
      <c r="D32" s="2750">
        <f>+D35+D33</f>
        <v>39461475</v>
      </c>
      <c r="E32" s="2750">
        <f>+E35</f>
        <v>0</v>
      </c>
      <c r="F32" s="2750">
        <f>F35</f>
        <v>0</v>
      </c>
      <c r="G32" s="2750">
        <f>G35+G33</f>
        <v>36466865</v>
      </c>
      <c r="H32" s="2750">
        <f>H35+H33</f>
        <v>2994610</v>
      </c>
      <c r="I32" s="2750"/>
      <c r="J32" s="2750"/>
      <c r="K32" s="2750"/>
      <c r="L32" s="2750"/>
      <c r="M32" s="4342" t="s">
        <v>61</v>
      </c>
      <c r="N32" s="4342" t="s">
        <v>61</v>
      </c>
      <c r="O32" s="4432" t="s">
        <v>103</v>
      </c>
      <c r="P32" s="2680"/>
    </row>
    <row r="33" spans="1:17" s="2803" customFormat="1" ht="12.75">
      <c r="A33" s="4411"/>
      <c r="B33" s="2946" t="s">
        <v>583</v>
      </c>
      <c r="C33" s="4346" t="s">
        <v>171</v>
      </c>
      <c r="D33" s="2797">
        <f t="shared" ref="D33:L33" si="22">D34</f>
        <v>1146458</v>
      </c>
      <c r="E33" s="2947">
        <f t="shared" ref="E33" si="23">+E34</f>
        <v>0</v>
      </c>
      <c r="F33" s="2948">
        <f t="shared" si="22"/>
        <v>0</v>
      </c>
      <c r="G33" s="2796">
        <f t="shared" si="22"/>
        <v>1146458</v>
      </c>
      <c r="H33" s="2947">
        <f t="shared" si="22"/>
        <v>0</v>
      </c>
      <c r="I33" s="2947">
        <f t="shared" si="22"/>
        <v>0</v>
      </c>
      <c r="J33" s="2947">
        <f t="shared" si="22"/>
        <v>0</v>
      </c>
      <c r="K33" s="2947">
        <f t="shared" si="22"/>
        <v>0</v>
      </c>
      <c r="L33" s="2947">
        <f t="shared" si="22"/>
        <v>0</v>
      </c>
      <c r="M33" s="4343"/>
      <c r="N33" s="4343"/>
      <c r="O33" s="4432"/>
      <c r="P33" s="2680"/>
    </row>
    <row r="34" spans="1:17" s="2803" customFormat="1" ht="12.75">
      <c r="A34" s="4411"/>
      <c r="B34" s="2944" t="s">
        <v>15</v>
      </c>
      <c r="C34" s="4457"/>
      <c r="D34" s="2949">
        <f>E34+F34+G34+H34+I34+J34+K34+L34</f>
        <v>1146458</v>
      </c>
      <c r="E34" s="2950">
        <v>0</v>
      </c>
      <c r="F34" s="2951">
        <v>0</v>
      </c>
      <c r="G34" s="2800">
        <f>237308+909150</f>
        <v>1146458</v>
      </c>
      <c r="H34" s="2950">
        <v>0</v>
      </c>
      <c r="I34" s="2950">
        <v>0</v>
      </c>
      <c r="J34" s="2950">
        <v>0</v>
      </c>
      <c r="K34" s="2950">
        <v>0</v>
      </c>
      <c r="L34" s="2950">
        <v>0</v>
      </c>
      <c r="M34" s="4343"/>
      <c r="N34" s="4343"/>
      <c r="O34" s="4432"/>
      <c r="P34" s="2680"/>
    </row>
    <row r="35" spans="1:17" s="2803" customFormat="1" ht="14.25" customHeight="1">
      <c r="A35" s="4411"/>
      <c r="B35" s="2946" t="s">
        <v>18</v>
      </c>
      <c r="C35" s="4409" t="s">
        <v>226</v>
      </c>
      <c r="D35" s="2795">
        <f>+D36</f>
        <v>38315017</v>
      </c>
      <c r="E35" s="2797">
        <f t="shared" ref="E35" si="24">+E36</f>
        <v>0</v>
      </c>
      <c r="F35" s="2797">
        <f t="shared" ref="F35:H35" si="25">F36</f>
        <v>0</v>
      </c>
      <c r="G35" s="2797">
        <f t="shared" si="25"/>
        <v>35320407</v>
      </c>
      <c r="H35" s="2797">
        <f t="shared" si="25"/>
        <v>2994610</v>
      </c>
      <c r="I35" s="2797"/>
      <c r="J35" s="2797"/>
      <c r="K35" s="2797"/>
      <c r="L35" s="2797"/>
      <c r="M35" s="4343"/>
      <c r="N35" s="4343"/>
      <c r="O35" s="4432"/>
    </row>
    <row r="36" spans="1:17" s="2803" customFormat="1" ht="14.25" customHeight="1" thickBot="1">
      <c r="A36" s="4412"/>
      <c r="B36" s="2952" t="s">
        <v>21</v>
      </c>
      <c r="C36" s="4402"/>
      <c r="D36" s="2736">
        <f>E36+F36+G36+H36+I36+J36+K36+L36</f>
        <v>38315017</v>
      </c>
      <c r="E36" s="2736">
        <v>0</v>
      </c>
      <c r="F36" s="2807">
        <f>14000000-13175000-825000</f>
        <v>0</v>
      </c>
      <c r="G36" s="2807">
        <f>23383978+11175000+825000-63571</f>
        <v>35320407</v>
      </c>
      <c r="H36" s="2807">
        <f>1000000+2000000-5390</f>
        <v>2994610</v>
      </c>
      <c r="I36" s="2807"/>
      <c r="J36" s="2807"/>
      <c r="K36" s="2807"/>
      <c r="L36" s="2807"/>
      <c r="M36" s="4344"/>
      <c r="N36" s="4344"/>
      <c r="O36" s="4433"/>
    </row>
    <row r="37" spans="1:17" ht="23.25" customHeight="1">
      <c r="A37" s="4413" t="s">
        <v>64</v>
      </c>
      <c r="B37" s="2941" t="s">
        <v>718</v>
      </c>
      <c r="C37" s="2785" t="s">
        <v>82</v>
      </c>
      <c r="D37" s="2953"/>
      <c r="E37" s="2954"/>
      <c r="F37" s="2955"/>
      <c r="G37" s="2955"/>
      <c r="H37" s="2955"/>
      <c r="I37" s="2956"/>
      <c r="J37" s="2956"/>
      <c r="K37" s="2956"/>
      <c r="L37" s="2956"/>
      <c r="M37" s="2957"/>
      <c r="N37" s="2957"/>
      <c r="O37" s="4336" t="s">
        <v>87</v>
      </c>
    </row>
    <row r="38" spans="1:17" ht="12">
      <c r="A38" s="4410"/>
      <c r="B38" s="2791" t="s">
        <v>10</v>
      </c>
      <c r="C38" s="2958"/>
      <c r="D38" s="2750">
        <f>+D39+D42</f>
        <v>16608975</v>
      </c>
      <c r="E38" s="2750">
        <f t="shared" ref="E38" si="26">+E39+E42</f>
        <v>52306</v>
      </c>
      <c r="F38" s="2750">
        <f>+F39+F42</f>
        <v>251149</v>
      </c>
      <c r="G38" s="2750">
        <f>+G39+G42</f>
        <v>16305520</v>
      </c>
      <c r="H38" s="2750"/>
      <c r="I38" s="2750"/>
      <c r="J38" s="2750"/>
      <c r="K38" s="2750"/>
      <c r="L38" s="2750"/>
      <c r="M38" s="2793">
        <f>M39+M42</f>
        <v>16014154</v>
      </c>
      <c r="N38" s="2793">
        <f>N39+N42</f>
        <v>16305520</v>
      </c>
      <c r="O38" s="4337"/>
      <c r="P38" s="2903"/>
      <c r="Q38" s="2903"/>
    </row>
    <row r="39" spans="1:17" s="2803" customFormat="1" ht="14.25" customHeight="1">
      <c r="A39" s="4410"/>
      <c r="B39" s="2794" t="s">
        <v>24</v>
      </c>
      <c r="C39" s="4339" t="s">
        <v>171</v>
      </c>
      <c r="D39" s="2795">
        <f>D40+D41</f>
        <v>2591056</v>
      </c>
      <c r="E39" s="2795">
        <f t="shared" ref="E39:G39" si="27">E40+E41</f>
        <v>52306</v>
      </c>
      <c r="F39" s="2795">
        <f t="shared" si="27"/>
        <v>37672</v>
      </c>
      <c r="G39" s="2795">
        <f t="shared" si="27"/>
        <v>2501078</v>
      </c>
      <c r="H39" s="2796"/>
      <c r="I39" s="2796"/>
      <c r="J39" s="2796"/>
      <c r="K39" s="2796"/>
      <c r="L39" s="2796"/>
      <c r="M39" s="2798">
        <f>M40</f>
        <v>1996235</v>
      </c>
      <c r="N39" s="2798">
        <f>N40+N41</f>
        <v>2501078</v>
      </c>
      <c r="O39" s="4337"/>
    </row>
    <row r="40" spans="1:17" s="2803" customFormat="1" ht="12.75">
      <c r="A40" s="4410"/>
      <c r="B40" s="2799" t="s">
        <v>12</v>
      </c>
      <c r="C40" s="4340"/>
      <c r="D40" s="2736">
        <f>E40+F40+G40+H40+I40+J40+K40+L40</f>
        <v>2048541</v>
      </c>
      <c r="E40" s="2736">
        <v>52306</v>
      </c>
      <c r="F40" s="2800">
        <f>1009016+55696-942462-60000-31703</f>
        <v>30547</v>
      </c>
      <c r="G40" s="2800">
        <f>1500949-14542+942462+60000-14513-508668</f>
        <v>1965688</v>
      </c>
      <c r="H40" s="2800"/>
      <c r="I40" s="2800"/>
      <c r="J40" s="2800"/>
      <c r="K40" s="2800"/>
      <c r="L40" s="2800"/>
      <c r="M40" s="2801">
        <f>SUM(F40:K40)</f>
        <v>1996235</v>
      </c>
      <c r="N40" s="2801">
        <f>SUM(G40:L40)</f>
        <v>1965688</v>
      </c>
      <c r="O40" s="4337"/>
    </row>
    <row r="41" spans="1:17" s="2803" customFormat="1" ht="12.75">
      <c r="A41" s="4410"/>
      <c r="B41" s="2944" t="s">
        <v>15</v>
      </c>
      <c r="C41" s="4340"/>
      <c r="D41" s="2736">
        <f>E41+F41+G41+H41+I41+J41+K41+L41</f>
        <v>542515</v>
      </c>
      <c r="E41" s="2959">
        <v>0</v>
      </c>
      <c r="F41" s="2800">
        <v>7125</v>
      </c>
      <c r="G41" s="2800">
        <f>26722+508668</f>
        <v>535390</v>
      </c>
      <c r="H41" s="2800"/>
      <c r="I41" s="2800"/>
      <c r="J41" s="2800"/>
      <c r="K41" s="2800"/>
      <c r="L41" s="2800"/>
      <c r="M41" s="2801"/>
      <c r="N41" s="2801">
        <f>SUM(G41:L41)</f>
        <v>535390</v>
      </c>
      <c r="O41" s="4337"/>
    </row>
    <row r="42" spans="1:17" ht="14.25" customHeight="1">
      <c r="A42" s="4410"/>
      <c r="B42" s="2802" t="s">
        <v>18</v>
      </c>
      <c r="C42" s="4340"/>
      <c r="D42" s="2795">
        <f>+D43</f>
        <v>14017919</v>
      </c>
      <c r="E42" s="2960">
        <f t="shared" ref="E42" si="28">+E43</f>
        <v>0</v>
      </c>
      <c r="F42" s="2943">
        <f>F43</f>
        <v>213477</v>
      </c>
      <c r="G42" s="2943">
        <f>G43</f>
        <v>13804442</v>
      </c>
      <c r="H42" s="2796"/>
      <c r="I42" s="2796"/>
      <c r="J42" s="2796"/>
      <c r="K42" s="2796"/>
      <c r="L42" s="2796"/>
      <c r="M42" s="2961">
        <f>+M43</f>
        <v>14017919</v>
      </c>
      <c r="N42" s="2961">
        <f>+N43</f>
        <v>13804442</v>
      </c>
      <c r="O42" s="4337"/>
    </row>
    <row r="43" spans="1:17" ht="12.75">
      <c r="A43" s="4410"/>
      <c r="B43" s="2803" t="s">
        <v>21</v>
      </c>
      <c r="C43" s="4341"/>
      <c r="D43" s="2736">
        <f>E43+F43+G43+H43+I43+J43+K43+L43</f>
        <v>14017919</v>
      </c>
      <c r="E43" s="2959">
        <v>0</v>
      </c>
      <c r="F43" s="2800">
        <f>5717756-52724-5057282-255000-139273</f>
        <v>213477</v>
      </c>
      <c r="G43" s="2800">
        <f>8505377-82402+5057282+255000+69185</f>
        <v>13804442</v>
      </c>
      <c r="H43" s="2800"/>
      <c r="I43" s="2800"/>
      <c r="J43" s="2800"/>
      <c r="K43" s="2800"/>
      <c r="L43" s="2800"/>
      <c r="M43" s="2801">
        <f>SUM(F43:K43)</f>
        <v>14017919</v>
      </c>
      <c r="N43" s="2801">
        <f>SUM(G43:L43)</f>
        <v>13804442</v>
      </c>
      <c r="O43" s="4338"/>
    </row>
    <row r="44" spans="1:17" ht="12">
      <c r="A44" s="4410"/>
      <c r="B44" s="2824" t="s">
        <v>22</v>
      </c>
      <c r="C44" s="2792"/>
      <c r="D44" s="2750">
        <f>+D47+D45</f>
        <v>14560434</v>
      </c>
      <c r="E44" s="2872">
        <f>+E47</f>
        <v>0</v>
      </c>
      <c r="F44" s="2750">
        <f>F47+F45</f>
        <v>7125</v>
      </c>
      <c r="G44" s="2750">
        <f t="shared" ref="G44:H44" si="29">G47+G45</f>
        <v>12563259</v>
      </c>
      <c r="H44" s="2750">
        <f t="shared" si="29"/>
        <v>1990050</v>
      </c>
      <c r="I44" s="2750"/>
      <c r="J44" s="2750"/>
      <c r="K44" s="2750"/>
      <c r="L44" s="2750"/>
      <c r="M44" s="4449"/>
      <c r="N44" s="4449"/>
      <c r="O44" s="4458" t="s">
        <v>103</v>
      </c>
    </row>
    <row r="45" spans="1:17" ht="12">
      <c r="A45" s="4410"/>
      <c r="B45" s="2946" t="s">
        <v>583</v>
      </c>
      <c r="C45" s="4455" t="s">
        <v>171</v>
      </c>
      <c r="D45" s="2797">
        <f t="shared" ref="D45:L45" si="30">D46</f>
        <v>542515</v>
      </c>
      <c r="E45" s="2947">
        <f t="shared" ref="E45" si="31">+E46</f>
        <v>0</v>
      </c>
      <c r="F45" s="2948">
        <f t="shared" si="30"/>
        <v>7125</v>
      </c>
      <c r="G45" s="2796">
        <f t="shared" si="30"/>
        <v>535390</v>
      </c>
      <c r="H45" s="2947">
        <f t="shared" si="30"/>
        <v>0</v>
      </c>
      <c r="I45" s="2947">
        <f t="shared" si="30"/>
        <v>0</v>
      </c>
      <c r="J45" s="2947">
        <f t="shared" si="30"/>
        <v>0</v>
      </c>
      <c r="K45" s="2947">
        <f t="shared" si="30"/>
        <v>0</v>
      </c>
      <c r="L45" s="2947">
        <f t="shared" si="30"/>
        <v>0</v>
      </c>
      <c r="M45" s="4450"/>
      <c r="N45" s="4450"/>
      <c r="O45" s="4432"/>
    </row>
    <row r="46" spans="1:17" ht="12.75">
      <c r="A46" s="4410"/>
      <c r="B46" s="2944" t="s">
        <v>15</v>
      </c>
      <c r="C46" s="4456"/>
      <c r="D46" s="2949">
        <f>E46+F46+G46+H46+I46+J46+K46+L46</f>
        <v>542515</v>
      </c>
      <c r="E46" s="2950">
        <v>0</v>
      </c>
      <c r="F46" s="2951">
        <v>7125</v>
      </c>
      <c r="G46" s="2800">
        <f>26722+508668</f>
        <v>535390</v>
      </c>
      <c r="H46" s="2950">
        <v>0</v>
      </c>
      <c r="I46" s="2950">
        <v>0</v>
      </c>
      <c r="J46" s="2950">
        <v>0</v>
      </c>
      <c r="K46" s="2950">
        <v>0</v>
      </c>
      <c r="L46" s="2950">
        <v>0</v>
      </c>
      <c r="M46" s="4450"/>
      <c r="N46" s="4450"/>
      <c r="O46" s="4432"/>
    </row>
    <row r="47" spans="1:17" ht="12.75" customHeight="1">
      <c r="A47" s="4410"/>
      <c r="B47" s="2946" t="s">
        <v>18</v>
      </c>
      <c r="C47" s="4346" t="s">
        <v>226</v>
      </c>
      <c r="D47" s="2795">
        <f>+D48</f>
        <v>14017919</v>
      </c>
      <c r="E47" s="2962">
        <f t="shared" ref="E47" si="32">+E48</f>
        <v>0</v>
      </c>
      <c r="F47" s="2962">
        <f t="shared" ref="F47:H47" si="33">F48</f>
        <v>0</v>
      </c>
      <c r="G47" s="2797">
        <f t="shared" si="33"/>
        <v>12027869</v>
      </c>
      <c r="H47" s="2797">
        <f t="shared" si="33"/>
        <v>1990050</v>
      </c>
      <c r="I47" s="2797"/>
      <c r="J47" s="2797"/>
      <c r="K47" s="2797"/>
      <c r="L47" s="2797"/>
      <c r="M47" s="4450"/>
      <c r="N47" s="4450"/>
      <c r="O47" s="4432"/>
    </row>
    <row r="48" spans="1:17" ht="13.5" thickBot="1">
      <c r="A48" s="4434"/>
      <c r="B48" s="2963" t="s">
        <v>21</v>
      </c>
      <c r="C48" s="4402"/>
      <c r="D48" s="2808">
        <f>E48+F48+G48+H48+I48+J48+K48+L48</f>
        <v>14017919</v>
      </c>
      <c r="E48" s="2964">
        <v>0</v>
      </c>
      <c r="F48" s="2965">
        <f>5600000-135126-4889874-575000</f>
        <v>0</v>
      </c>
      <c r="G48" s="2807">
        <f>8123133+3389874+575000-60138</f>
        <v>12027869</v>
      </c>
      <c r="H48" s="2807">
        <f>500000+1500000-9950</f>
        <v>1990050</v>
      </c>
      <c r="I48" s="2807"/>
      <c r="J48" s="2807"/>
      <c r="K48" s="2807"/>
      <c r="L48" s="2807"/>
      <c r="M48" s="4451"/>
      <c r="N48" s="4451"/>
      <c r="O48" s="4433"/>
    </row>
    <row r="49" spans="1:17" ht="27" customHeight="1">
      <c r="A49" s="4413" t="s">
        <v>65</v>
      </c>
      <c r="B49" s="2941" t="s">
        <v>719</v>
      </c>
      <c r="C49" s="2785" t="s">
        <v>82</v>
      </c>
      <c r="D49" s="2953"/>
      <c r="E49" s="2954"/>
      <c r="F49" s="2955"/>
      <c r="G49" s="2955"/>
      <c r="H49" s="2955"/>
      <c r="I49" s="2956"/>
      <c r="J49" s="2956"/>
      <c r="K49" s="2956"/>
      <c r="L49" s="2956"/>
      <c r="M49" s="2957"/>
      <c r="N49" s="2957"/>
      <c r="O49" s="4336" t="s">
        <v>87</v>
      </c>
    </row>
    <row r="50" spans="1:17" ht="12">
      <c r="A50" s="4410"/>
      <c r="B50" s="2791" t="s">
        <v>10</v>
      </c>
      <c r="C50" s="2958"/>
      <c r="D50" s="2750">
        <f>+D51+D54</f>
        <v>6733663</v>
      </c>
      <c r="E50" s="2872">
        <f t="shared" ref="E50" si="34">+E51+E54</f>
        <v>0</v>
      </c>
      <c r="F50" s="2750">
        <f>+F51+F54</f>
        <v>217780</v>
      </c>
      <c r="G50" s="2750">
        <f>+G51+G54</f>
        <v>6515883</v>
      </c>
      <c r="H50" s="2750"/>
      <c r="I50" s="2750"/>
      <c r="J50" s="2750"/>
      <c r="K50" s="2750"/>
      <c r="L50" s="2750"/>
      <c r="M50" s="2793">
        <f>M51+M54</f>
        <v>6321192</v>
      </c>
      <c r="N50" s="2793">
        <f>N51+N54</f>
        <v>6515883</v>
      </c>
      <c r="O50" s="4337"/>
      <c r="P50" s="2903"/>
      <c r="Q50" s="2903"/>
    </row>
    <row r="51" spans="1:17" s="2803" customFormat="1" ht="14.25" customHeight="1">
      <c r="A51" s="4410"/>
      <c r="B51" s="2794" t="s">
        <v>24</v>
      </c>
      <c r="C51" s="4339" t="s">
        <v>171</v>
      </c>
      <c r="D51" s="2795">
        <f>D52+D53</f>
        <v>1095049</v>
      </c>
      <c r="E51" s="2966">
        <f t="shared" ref="E51:G51" si="35">E52+E53</f>
        <v>0</v>
      </c>
      <c r="F51" s="2795">
        <f t="shared" si="35"/>
        <v>42149</v>
      </c>
      <c r="G51" s="2795">
        <f t="shared" si="35"/>
        <v>1052900</v>
      </c>
      <c r="H51" s="2796"/>
      <c r="I51" s="2796"/>
      <c r="J51" s="2796"/>
      <c r="K51" s="2796"/>
      <c r="L51" s="2796"/>
      <c r="M51" s="2798">
        <f>M52</f>
        <v>682578</v>
      </c>
      <c r="N51" s="2798">
        <f>N52+N53</f>
        <v>1052900</v>
      </c>
      <c r="O51" s="4337"/>
    </row>
    <row r="52" spans="1:17" s="2803" customFormat="1" ht="12.75">
      <c r="A52" s="4410"/>
      <c r="B52" s="2799" t="s">
        <v>12</v>
      </c>
      <c r="C52" s="4340"/>
      <c r="D52" s="2736">
        <f>E52+F52+G52+H52+I52+J52+K52+L52</f>
        <v>682578</v>
      </c>
      <c r="E52" s="2959">
        <v>0</v>
      </c>
      <c r="F52" s="2800">
        <f>610000-360000-72500-105621-38491</f>
        <v>33388</v>
      </c>
      <c r="G52" s="2800">
        <f>495000+360000+72500+105621+19779-403710</f>
        <v>649190</v>
      </c>
      <c r="H52" s="2800"/>
      <c r="I52" s="2800"/>
      <c r="J52" s="2800"/>
      <c r="K52" s="2800"/>
      <c r="L52" s="2800"/>
      <c r="M52" s="2801">
        <f>SUM(F52:K52)</f>
        <v>682578</v>
      </c>
      <c r="N52" s="2801">
        <f>SUM(G52:L52)</f>
        <v>649190</v>
      </c>
      <c r="O52" s="4337"/>
    </row>
    <row r="53" spans="1:17" s="2803" customFormat="1" ht="12.75">
      <c r="A53" s="4410"/>
      <c r="B53" s="2944" t="s">
        <v>15</v>
      </c>
      <c r="C53" s="4340"/>
      <c r="D53" s="2736">
        <f>E53+F53+G53+H53+I53+J53+K53+L53</f>
        <v>412471</v>
      </c>
      <c r="E53" s="2959">
        <v>0</v>
      </c>
      <c r="F53" s="2800">
        <v>8761</v>
      </c>
      <c r="G53" s="2800">
        <v>403710</v>
      </c>
      <c r="H53" s="2800"/>
      <c r="I53" s="2800"/>
      <c r="J53" s="2800"/>
      <c r="K53" s="2800"/>
      <c r="L53" s="2800"/>
      <c r="M53" s="2801"/>
      <c r="N53" s="2801">
        <f>SUM(G53:L53)</f>
        <v>403710</v>
      </c>
      <c r="O53" s="4337"/>
    </row>
    <row r="54" spans="1:17" ht="12">
      <c r="A54" s="4410"/>
      <c r="B54" s="2802" t="s">
        <v>18</v>
      </c>
      <c r="C54" s="4340"/>
      <c r="D54" s="2795">
        <f>+D55</f>
        <v>5638614</v>
      </c>
      <c r="E54" s="2960">
        <f t="shared" ref="E54" si="36">+E55</f>
        <v>0</v>
      </c>
      <c r="F54" s="2943">
        <f>F55</f>
        <v>175631</v>
      </c>
      <c r="G54" s="2943">
        <f>G55</f>
        <v>5462983</v>
      </c>
      <c r="H54" s="2796"/>
      <c r="I54" s="2796"/>
      <c r="J54" s="2796"/>
      <c r="K54" s="2796"/>
      <c r="L54" s="2796"/>
      <c r="M54" s="2961">
        <f>+M55</f>
        <v>5638614</v>
      </c>
      <c r="N54" s="2961">
        <f>+N55</f>
        <v>5462983</v>
      </c>
      <c r="O54" s="4337"/>
    </row>
    <row r="55" spans="1:17" ht="12.75">
      <c r="A55" s="4410"/>
      <c r="B55" s="2803" t="s">
        <v>21</v>
      </c>
      <c r="C55" s="4341"/>
      <c r="D55" s="2736">
        <f>E55+F55+G55+H55+I55+J55+K55+L55</f>
        <v>5638614</v>
      </c>
      <c r="E55" s="2959">
        <v>0</v>
      </c>
      <c r="F55" s="2800">
        <f>2890000-2040000-127500-546585-284</f>
        <v>175631</v>
      </c>
      <c r="G55" s="2800">
        <f>2805000+2040000+127500+546585-56102</f>
        <v>5462983</v>
      </c>
      <c r="H55" s="2800"/>
      <c r="I55" s="2800"/>
      <c r="J55" s="2800"/>
      <c r="K55" s="2800"/>
      <c r="L55" s="2800"/>
      <c r="M55" s="2801">
        <f>SUM(F55:K55)</f>
        <v>5638614</v>
      </c>
      <c r="N55" s="2801">
        <f>SUM(G55:L55)</f>
        <v>5462983</v>
      </c>
      <c r="O55" s="4338"/>
    </row>
    <row r="56" spans="1:17" ht="12">
      <c r="A56" s="4410"/>
      <c r="B56" s="2824" t="s">
        <v>22</v>
      </c>
      <c r="C56" s="2792"/>
      <c r="D56" s="2750">
        <f>+D59+D57</f>
        <v>6051085</v>
      </c>
      <c r="E56" s="2872">
        <f t="shared" ref="E56:G56" si="37">+E59+E57</f>
        <v>0</v>
      </c>
      <c r="F56" s="2750">
        <f t="shared" si="37"/>
        <v>8761</v>
      </c>
      <c r="G56" s="2750">
        <f t="shared" si="37"/>
        <v>6042324</v>
      </c>
      <c r="H56" s="2872">
        <f>H59</f>
        <v>0</v>
      </c>
      <c r="I56" s="2750"/>
      <c r="J56" s="2750"/>
      <c r="K56" s="2750"/>
      <c r="L56" s="2750"/>
      <c r="M56" s="4449"/>
      <c r="N56" s="4449"/>
      <c r="O56" s="4432" t="s">
        <v>103</v>
      </c>
    </row>
    <row r="57" spans="1:17" ht="12">
      <c r="A57" s="4410"/>
      <c r="B57" s="2946" t="s">
        <v>583</v>
      </c>
      <c r="C57" s="4455" t="s">
        <v>171</v>
      </c>
      <c r="D57" s="2797">
        <f t="shared" ref="D57:L57" si="38">D58</f>
        <v>412471</v>
      </c>
      <c r="E57" s="2947">
        <f t="shared" ref="E57" si="39">+E58</f>
        <v>0</v>
      </c>
      <c r="F57" s="2948">
        <f t="shared" si="38"/>
        <v>8761</v>
      </c>
      <c r="G57" s="2796">
        <f t="shared" si="38"/>
        <v>403710</v>
      </c>
      <c r="H57" s="2947">
        <f t="shared" si="38"/>
        <v>0</v>
      </c>
      <c r="I57" s="2947">
        <f t="shared" si="38"/>
        <v>0</v>
      </c>
      <c r="J57" s="2947">
        <f t="shared" si="38"/>
        <v>0</v>
      </c>
      <c r="K57" s="2947">
        <f t="shared" si="38"/>
        <v>0</v>
      </c>
      <c r="L57" s="2947">
        <f t="shared" si="38"/>
        <v>0</v>
      </c>
      <c r="M57" s="4450"/>
      <c r="N57" s="4450"/>
      <c r="O57" s="4432"/>
    </row>
    <row r="58" spans="1:17" ht="12.75">
      <c r="A58" s="4410"/>
      <c r="B58" s="2944" t="s">
        <v>15</v>
      </c>
      <c r="C58" s="4456"/>
      <c r="D58" s="2949">
        <f>E58+F58+G58+H58+I58+J58+K58+L58</f>
        <v>412471</v>
      </c>
      <c r="E58" s="2950">
        <v>0</v>
      </c>
      <c r="F58" s="2951">
        <v>8761</v>
      </c>
      <c r="G58" s="2800">
        <v>403710</v>
      </c>
      <c r="H58" s="2950">
        <v>0</v>
      </c>
      <c r="I58" s="2950">
        <v>0</v>
      </c>
      <c r="J58" s="2950">
        <v>0</v>
      </c>
      <c r="K58" s="2950">
        <v>0</v>
      </c>
      <c r="L58" s="2950">
        <v>0</v>
      </c>
      <c r="M58" s="4450"/>
      <c r="N58" s="4450"/>
      <c r="O58" s="4432"/>
    </row>
    <row r="59" spans="1:17" ht="12.75" customHeight="1">
      <c r="A59" s="4410"/>
      <c r="B59" s="2946" t="s">
        <v>18</v>
      </c>
      <c r="C59" s="4346" t="s">
        <v>226</v>
      </c>
      <c r="D59" s="2795">
        <f>+D60</f>
        <v>5638614</v>
      </c>
      <c r="E59" s="2962">
        <f t="shared" ref="E59" si="40">+E60</f>
        <v>0</v>
      </c>
      <c r="F59" s="2797">
        <f t="shared" ref="F59:H59" si="41">F60</f>
        <v>0</v>
      </c>
      <c r="G59" s="2797">
        <f t="shared" si="41"/>
        <v>5638614</v>
      </c>
      <c r="H59" s="2962">
        <f t="shared" si="41"/>
        <v>0</v>
      </c>
      <c r="I59" s="2797"/>
      <c r="J59" s="2797"/>
      <c r="K59" s="2797"/>
      <c r="L59" s="2797"/>
      <c r="M59" s="4450"/>
      <c r="N59" s="4450"/>
      <c r="O59" s="4432"/>
    </row>
    <row r="60" spans="1:17" ht="13.5" thickBot="1">
      <c r="A60" s="4434"/>
      <c r="B60" s="2952" t="s">
        <v>21</v>
      </c>
      <c r="C60" s="4347"/>
      <c r="D60" s="2808">
        <f>E60+F60+G60+H60+I60+J60+K60+L60</f>
        <v>5638614</v>
      </c>
      <c r="E60" s="2964">
        <v>0</v>
      </c>
      <c r="F60" s="2807">
        <f>2890000-2040000-850000</f>
        <v>0</v>
      </c>
      <c r="G60" s="2807">
        <f>2805000+2040000+850000-56386</f>
        <v>5638614</v>
      </c>
      <c r="H60" s="2965">
        <v>0</v>
      </c>
      <c r="I60" s="2807"/>
      <c r="J60" s="2807"/>
      <c r="K60" s="2807"/>
      <c r="L60" s="2807"/>
      <c r="M60" s="4451"/>
      <c r="N60" s="4451"/>
      <c r="O60" s="4433"/>
    </row>
    <row r="61" spans="1:17" ht="24">
      <c r="A61" s="4413" t="s">
        <v>66</v>
      </c>
      <c r="B61" s="2941" t="s">
        <v>752</v>
      </c>
      <c r="C61" s="2785" t="s">
        <v>82</v>
      </c>
      <c r="D61" s="2953"/>
      <c r="E61" s="2954"/>
      <c r="F61" s="2955"/>
      <c r="G61" s="2955"/>
      <c r="H61" s="2955"/>
      <c r="I61" s="2956"/>
      <c r="J61" s="2956"/>
      <c r="K61" s="2956"/>
      <c r="L61" s="2956"/>
      <c r="M61" s="2957"/>
      <c r="N61" s="2957"/>
      <c r="O61" s="4336" t="s">
        <v>87</v>
      </c>
    </row>
    <row r="62" spans="1:17" ht="16.5" customHeight="1">
      <c r="A62" s="4410"/>
      <c r="B62" s="2791" t="s">
        <v>10</v>
      </c>
      <c r="C62" s="2958"/>
      <c r="D62" s="2750">
        <f>+D63+D65</f>
        <v>7500000</v>
      </c>
      <c r="E62" s="2750">
        <f t="shared" ref="E62" si="42">+E63+E65</f>
        <v>0</v>
      </c>
      <c r="F62" s="2872">
        <f>+F63+F65</f>
        <v>0</v>
      </c>
      <c r="G62" s="2750">
        <f>+G63+G65</f>
        <v>3500000</v>
      </c>
      <c r="H62" s="2750">
        <f>+H63+H65</f>
        <v>4000000</v>
      </c>
      <c r="I62" s="2750"/>
      <c r="J62" s="2750"/>
      <c r="K62" s="2750"/>
      <c r="L62" s="2750"/>
      <c r="M62" s="2793">
        <f>M63+M65</f>
        <v>7500000</v>
      </c>
      <c r="N62" s="2793">
        <f>N63+N65</f>
        <v>7500000</v>
      </c>
      <c r="O62" s="4337"/>
      <c r="P62" s="2903"/>
      <c r="Q62" s="2903"/>
    </row>
    <row r="63" spans="1:17" s="2803" customFormat="1" ht="14.25" customHeight="1">
      <c r="A63" s="4410"/>
      <c r="B63" s="2794" t="s">
        <v>24</v>
      </c>
      <c r="C63" s="4339" t="s">
        <v>171</v>
      </c>
      <c r="D63" s="2795">
        <f>D64</f>
        <v>1125000</v>
      </c>
      <c r="E63" s="2942">
        <f t="shared" ref="E63:H63" si="43">E64</f>
        <v>0</v>
      </c>
      <c r="F63" s="2967">
        <f t="shared" si="43"/>
        <v>0</v>
      </c>
      <c r="G63" s="2943">
        <f t="shared" si="43"/>
        <v>525000</v>
      </c>
      <c r="H63" s="2943">
        <f t="shared" si="43"/>
        <v>600000</v>
      </c>
      <c r="I63" s="2796"/>
      <c r="J63" s="2796"/>
      <c r="K63" s="2796"/>
      <c r="L63" s="2796"/>
      <c r="M63" s="2798">
        <f>M64</f>
        <v>1125000</v>
      </c>
      <c r="N63" s="2798">
        <f>N64</f>
        <v>1125000</v>
      </c>
      <c r="O63" s="4337"/>
    </row>
    <row r="64" spans="1:17" s="2803" customFormat="1" ht="14.25" customHeight="1">
      <c r="A64" s="4410"/>
      <c r="B64" s="2799" t="s">
        <v>12</v>
      </c>
      <c r="C64" s="4340"/>
      <c r="D64" s="2736">
        <f>E64+F64+G64+H64+I64+J64+K64+L64</f>
        <v>1125000</v>
      </c>
      <c r="E64" s="2736">
        <v>0</v>
      </c>
      <c r="F64" s="2968">
        <f>225000-225000</f>
        <v>0</v>
      </c>
      <c r="G64" s="2800">
        <f>900000-375000</f>
        <v>525000</v>
      </c>
      <c r="H64" s="2800">
        <v>600000</v>
      </c>
      <c r="I64" s="2800"/>
      <c r="J64" s="2800"/>
      <c r="K64" s="2800"/>
      <c r="L64" s="2800"/>
      <c r="M64" s="2801">
        <f>SUM(F64:K64)</f>
        <v>1125000</v>
      </c>
      <c r="N64" s="2801">
        <f>SUM(G64:L64)</f>
        <v>1125000</v>
      </c>
      <c r="O64" s="4337"/>
    </row>
    <row r="65" spans="1:15" ht="14.25" customHeight="1">
      <c r="A65" s="4410"/>
      <c r="B65" s="2802" t="s">
        <v>18</v>
      </c>
      <c r="C65" s="4340"/>
      <c r="D65" s="2795">
        <f>+D66</f>
        <v>6375000</v>
      </c>
      <c r="E65" s="2942">
        <f t="shared" ref="E65" si="44">+E66</f>
        <v>0</v>
      </c>
      <c r="F65" s="2967">
        <f>F66</f>
        <v>0</v>
      </c>
      <c r="G65" s="2943">
        <f>G66</f>
        <v>2975000</v>
      </c>
      <c r="H65" s="2943">
        <f>H66</f>
        <v>3400000</v>
      </c>
      <c r="I65" s="2796"/>
      <c r="J65" s="2796"/>
      <c r="K65" s="2796"/>
      <c r="L65" s="2796"/>
      <c r="M65" s="2961">
        <f>+M66</f>
        <v>6375000</v>
      </c>
      <c r="N65" s="2961">
        <f>+N66</f>
        <v>6375000</v>
      </c>
      <c r="O65" s="4337"/>
    </row>
    <row r="66" spans="1:15" ht="13.5" customHeight="1">
      <c r="A66" s="4410"/>
      <c r="B66" s="2803" t="s">
        <v>21</v>
      </c>
      <c r="C66" s="4341"/>
      <c r="D66" s="2736">
        <f>E66+F66+G66+H66+I66+J66+K66+L66</f>
        <v>6375000</v>
      </c>
      <c r="E66" s="2736">
        <v>0</v>
      </c>
      <c r="F66" s="2968">
        <f>1275000-1275000</f>
        <v>0</v>
      </c>
      <c r="G66" s="2800">
        <f>5100000-2125000</f>
        <v>2975000</v>
      </c>
      <c r="H66" s="2800">
        <v>3400000</v>
      </c>
      <c r="I66" s="2800"/>
      <c r="J66" s="2800"/>
      <c r="K66" s="2800"/>
      <c r="L66" s="2800"/>
      <c r="M66" s="2801">
        <f>SUM(F66:K66)</f>
        <v>6375000</v>
      </c>
      <c r="N66" s="2801">
        <f>SUM(G66:L66)</f>
        <v>6375000</v>
      </c>
      <c r="O66" s="4338"/>
    </row>
    <row r="67" spans="1:15" ht="15.75" customHeight="1">
      <c r="A67" s="4410"/>
      <c r="B67" s="2824" t="s">
        <v>22</v>
      </c>
      <c r="C67" s="2792"/>
      <c r="D67" s="2750">
        <f>+D68</f>
        <v>6375000</v>
      </c>
      <c r="E67" s="2750">
        <f t="shared" ref="E67:E68" si="45">+E68</f>
        <v>0</v>
      </c>
      <c r="F67" s="2872">
        <f t="shared" ref="F67:H68" si="46">F68</f>
        <v>0</v>
      </c>
      <c r="G67" s="2750">
        <f t="shared" si="46"/>
        <v>1800000</v>
      </c>
      <c r="H67" s="2750">
        <f t="shared" si="46"/>
        <v>4575000</v>
      </c>
      <c r="I67" s="2750"/>
      <c r="J67" s="2750"/>
      <c r="K67" s="2750"/>
      <c r="L67" s="2750"/>
      <c r="M67" s="4449"/>
      <c r="N67" s="4449"/>
      <c r="O67" s="4432" t="s">
        <v>103</v>
      </c>
    </row>
    <row r="68" spans="1:15" ht="17.25" customHeight="1">
      <c r="A68" s="4410"/>
      <c r="B68" s="2946" t="s">
        <v>18</v>
      </c>
      <c r="C68" s="4346" t="s">
        <v>226</v>
      </c>
      <c r="D68" s="2795">
        <f>+D69</f>
        <v>6375000</v>
      </c>
      <c r="E68" s="2797">
        <f t="shared" si="45"/>
        <v>0</v>
      </c>
      <c r="F68" s="2962">
        <f t="shared" si="46"/>
        <v>0</v>
      </c>
      <c r="G68" s="2797">
        <f t="shared" si="46"/>
        <v>1800000</v>
      </c>
      <c r="H68" s="2797">
        <f t="shared" si="46"/>
        <v>4575000</v>
      </c>
      <c r="I68" s="2797"/>
      <c r="J68" s="2797"/>
      <c r="K68" s="2797"/>
      <c r="L68" s="2797"/>
      <c r="M68" s="4450"/>
      <c r="N68" s="4450"/>
      <c r="O68" s="4432"/>
    </row>
    <row r="69" spans="1:15" ht="17.25" customHeight="1" thickBot="1">
      <c r="A69" s="4434"/>
      <c r="B69" s="2952" t="s">
        <v>21</v>
      </c>
      <c r="C69" s="4347"/>
      <c r="D69" s="2736">
        <f>E69+F69+G69+H69+I69+J69+K69+L69</f>
        <v>6375000</v>
      </c>
      <c r="E69" s="2736">
        <v>0</v>
      </c>
      <c r="F69" s="2965">
        <v>0</v>
      </c>
      <c r="G69" s="2807">
        <v>1800000</v>
      </c>
      <c r="H69" s="2807">
        <v>4575000</v>
      </c>
      <c r="I69" s="2807"/>
      <c r="J69" s="2807"/>
      <c r="K69" s="2807"/>
      <c r="L69" s="2807"/>
      <c r="M69" s="4451"/>
      <c r="N69" s="4451"/>
      <c r="O69" s="4433"/>
    </row>
    <row r="70" spans="1:15" s="2803" customFormat="1" ht="27.75" customHeight="1">
      <c r="A70" s="4413" t="s">
        <v>67</v>
      </c>
      <c r="B70" s="2941" t="s">
        <v>326</v>
      </c>
      <c r="C70" s="2785" t="s">
        <v>82</v>
      </c>
      <c r="D70" s="2786"/>
      <c r="E70" s="2787"/>
      <c r="F70" s="2788"/>
      <c r="G70" s="2788"/>
      <c r="H70" s="2788"/>
      <c r="I70" s="2789"/>
      <c r="J70" s="2789"/>
      <c r="K70" s="2789"/>
      <c r="L70" s="2789"/>
      <c r="M70" s="2790"/>
      <c r="N70" s="2790"/>
      <c r="O70" s="2969"/>
    </row>
    <row r="71" spans="1:15" s="2803" customFormat="1" ht="14.25" customHeight="1">
      <c r="A71" s="4411"/>
      <c r="B71" s="2791" t="s">
        <v>10</v>
      </c>
      <c r="C71" s="2792"/>
      <c r="D71" s="2750">
        <f t="shared" ref="D71" si="47">+D74+D72</f>
        <v>10907395</v>
      </c>
      <c r="E71" s="2750">
        <f t="shared" ref="E71" si="48">+E74+E72</f>
        <v>0</v>
      </c>
      <c r="F71" s="2750">
        <f>+F74+F72</f>
        <v>0</v>
      </c>
      <c r="G71" s="2750">
        <f t="shared" ref="G71:L71" si="49">+G74+G72</f>
        <v>10907395</v>
      </c>
      <c r="H71" s="2750">
        <f t="shared" si="49"/>
        <v>0</v>
      </c>
      <c r="I71" s="2750">
        <f t="shared" si="49"/>
        <v>0</v>
      </c>
      <c r="J71" s="2750">
        <f t="shared" si="49"/>
        <v>0</v>
      </c>
      <c r="K71" s="2750">
        <f t="shared" si="49"/>
        <v>0</v>
      </c>
      <c r="L71" s="2750">
        <f t="shared" si="49"/>
        <v>0</v>
      </c>
      <c r="M71" s="2793">
        <f>+M74+M72</f>
        <v>10907395</v>
      </c>
      <c r="N71" s="2793">
        <f>+N74+N72</f>
        <v>10907395</v>
      </c>
      <c r="O71" s="4337" t="s">
        <v>565</v>
      </c>
    </row>
    <row r="72" spans="1:15" s="2803" customFormat="1" ht="14.25" customHeight="1">
      <c r="A72" s="4411"/>
      <c r="B72" s="2794" t="s">
        <v>24</v>
      </c>
      <c r="C72" s="4339" t="s">
        <v>171</v>
      </c>
      <c r="D72" s="2795">
        <f>D73</f>
        <v>1636110</v>
      </c>
      <c r="E72" s="2942">
        <f t="shared" ref="E72:I72" si="50">E73</f>
        <v>0</v>
      </c>
      <c r="F72" s="2796">
        <f t="shared" si="50"/>
        <v>0</v>
      </c>
      <c r="G72" s="2796">
        <f t="shared" si="50"/>
        <v>1636110</v>
      </c>
      <c r="H72" s="2796">
        <f t="shared" si="50"/>
        <v>0</v>
      </c>
      <c r="I72" s="2796">
        <f t="shared" si="50"/>
        <v>0</v>
      </c>
      <c r="J72" s="2796"/>
      <c r="K72" s="2796"/>
      <c r="L72" s="2796"/>
      <c r="M72" s="2798">
        <f>M73</f>
        <v>1636110</v>
      </c>
      <c r="N72" s="2798">
        <f>N73</f>
        <v>1636110</v>
      </c>
      <c r="O72" s="4337"/>
    </row>
    <row r="73" spans="1:15" s="2803" customFormat="1" ht="14.25" customHeight="1">
      <c r="A73" s="4411"/>
      <c r="B73" s="2799" t="s">
        <v>12</v>
      </c>
      <c r="C73" s="4340"/>
      <c r="D73" s="2736">
        <f>E73+F73+G73+H73+I73+J73+K73+L73</f>
        <v>1636110</v>
      </c>
      <c r="E73" s="2736">
        <v>0</v>
      </c>
      <c r="F73" s="2970">
        <f>1140368-497301-643067</f>
        <v>0</v>
      </c>
      <c r="G73" s="2970">
        <f>1140367-147324+643067</f>
        <v>1636110</v>
      </c>
      <c r="H73" s="2800">
        <v>0</v>
      </c>
      <c r="I73" s="2800">
        <v>0</v>
      </c>
      <c r="J73" s="2800">
        <v>0</v>
      </c>
      <c r="K73" s="2800">
        <v>0</v>
      </c>
      <c r="L73" s="2800">
        <v>0</v>
      </c>
      <c r="M73" s="2801">
        <f>SUM(F73:K73)</f>
        <v>1636110</v>
      </c>
      <c r="N73" s="2801">
        <f>SUM(G73:L73)</f>
        <v>1636110</v>
      </c>
      <c r="O73" s="4337"/>
    </row>
    <row r="74" spans="1:15" s="2803" customFormat="1" ht="14.25" customHeight="1">
      <c r="A74" s="4411"/>
      <c r="B74" s="2802" t="s">
        <v>18</v>
      </c>
      <c r="C74" s="4340"/>
      <c r="D74" s="2795">
        <f>D75</f>
        <v>9271285</v>
      </c>
      <c r="E74" s="2795">
        <f t="shared" ref="E74:L74" si="51">E75</f>
        <v>0</v>
      </c>
      <c r="F74" s="2795">
        <f t="shared" si="51"/>
        <v>0</v>
      </c>
      <c r="G74" s="2795">
        <f t="shared" si="51"/>
        <v>9271285</v>
      </c>
      <c r="H74" s="2795">
        <f t="shared" si="51"/>
        <v>0</v>
      </c>
      <c r="I74" s="2795">
        <f t="shared" si="51"/>
        <v>0</v>
      </c>
      <c r="J74" s="2795">
        <f t="shared" si="51"/>
        <v>0</v>
      </c>
      <c r="K74" s="2795">
        <f t="shared" si="51"/>
        <v>0</v>
      </c>
      <c r="L74" s="2795">
        <f t="shared" si="51"/>
        <v>0</v>
      </c>
      <c r="M74" s="2798">
        <f>+M75</f>
        <v>9271285</v>
      </c>
      <c r="N74" s="2798">
        <f>+N75</f>
        <v>9271285</v>
      </c>
      <c r="O74" s="4337"/>
    </row>
    <row r="75" spans="1:15" s="2803" customFormat="1" ht="15" customHeight="1">
      <c r="A75" s="4411"/>
      <c r="B75" s="2803" t="s">
        <v>21</v>
      </c>
      <c r="C75" s="4341"/>
      <c r="D75" s="2736">
        <f>E75+F75+G75+H75+I75+J75+K75+L75</f>
        <v>9271285</v>
      </c>
      <c r="E75" s="2736">
        <v>0</v>
      </c>
      <c r="F75" s="2800">
        <f>6462083-2818040-3644043</f>
        <v>0</v>
      </c>
      <c r="G75" s="2800">
        <f>6462084-834842+3644043</f>
        <v>9271285</v>
      </c>
      <c r="H75" s="2800">
        <v>0</v>
      </c>
      <c r="I75" s="2800">
        <v>0</v>
      </c>
      <c r="J75" s="2800">
        <v>0</v>
      </c>
      <c r="K75" s="2800">
        <v>0</v>
      </c>
      <c r="L75" s="2800">
        <v>0</v>
      </c>
      <c r="M75" s="2801">
        <f>SUM(F75:K75)</f>
        <v>9271285</v>
      </c>
      <c r="N75" s="2801">
        <f>SUM(G75:L75)</f>
        <v>9271285</v>
      </c>
      <c r="O75" s="4338"/>
    </row>
    <row r="76" spans="1:15" s="2803" customFormat="1" ht="15.75" customHeight="1">
      <c r="A76" s="4411"/>
      <c r="B76" s="2824" t="s">
        <v>22</v>
      </c>
      <c r="C76" s="2792"/>
      <c r="D76" s="2750">
        <f t="shared" ref="D76:L77" si="52">D77</f>
        <v>9271285</v>
      </c>
      <c r="E76" s="2750">
        <f t="shared" ref="E76:E77" si="53">+E77</f>
        <v>0</v>
      </c>
      <c r="F76" s="2750">
        <f t="shared" si="52"/>
        <v>0</v>
      </c>
      <c r="G76" s="2750">
        <f t="shared" si="52"/>
        <v>9271285</v>
      </c>
      <c r="H76" s="2750">
        <f t="shared" si="52"/>
        <v>0</v>
      </c>
      <c r="I76" s="2750">
        <f t="shared" si="52"/>
        <v>0</v>
      </c>
      <c r="J76" s="2750">
        <f t="shared" si="52"/>
        <v>0</v>
      </c>
      <c r="K76" s="2750">
        <f t="shared" si="52"/>
        <v>0</v>
      </c>
      <c r="L76" s="2750">
        <f t="shared" si="52"/>
        <v>0</v>
      </c>
      <c r="M76" s="4342" t="s">
        <v>61</v>
      </c>
      <c r="N76" s="4342" t="s">
        <v>61</v>
      </c>
      <c r="O76" s="4435" t="s">
        <v>325</v>
      </c>
    </row>
    <row r="77" spans="1:15" s="2803" customFormat="1" ht="15" customHeight="1">
      <c r="A77" s="4411"/>
      <c r="B77" s="2946" t="s">
        <v>18</v>
      </c>
      <c r="C77" s="4346" t="s">
        <v>226</v>
      </c>
      <c r="D77" s="2797">
        <f t="shared" si="52"/>
        <v>9271285</v>
      </c>
      <c r="E77" s="2797">
        <f t="shared" si="53"/>
        <v>0</v>
      </c>
      <c r="F77" s="2797">
        <f t="shared" si="52"/>
        <v>0</v>
      </c>
      <c r="G77" s="2797">
        <f t="shared" si="52"/>
        <v>9271285</v>
      </c>
      <c r="H77" s="2797">
        <f t="shared" si="52"/>
        <v>0</v>
      </c>
      <c r="I77" s="2797">
        <f t="shared" si="52"/>
        <v>0</v>
      </c>
      <c r="J77" s="2797">
        <f t="shared" si="52"/>
        <v>0</v>
      </c>
      <c r="K77" s="2797">
        <f t="shared" si="52"/>
        <v>0</v>
      </c>
      <c r="L77" s="2797">
        <f t="shared" si="52"/>
        <v>0</v>
      </c>
      <c r="M77" s="4343"/>
      <c r="N77" s="4343"/>
      <c r="O77" s="4436"/>
    </row>
    <row r="78" spans="1:15" s="2803" customFormat="1" ht="15" customHeight="1" thickBot="1">
      <c r="A78" s="4412"/>
      <c r="B78" s="2952" t="s">
        <v>21</v>
      </c>
      <c r="C78" s="4347"/>
      <c r="D78" s="2736">
        <f>E78+F78+G78+H78+I78+J78+K78+L78</f>
        <v>9271285</v>
      </c>
      <c r="E78" s="2736">
        <v>0</v>
      </c>
      <c r="F78" s="2807">
        <f>6462083-2818040-3644043</f>
        <v>0</v>
      </c>
      <c r="G78" s="2807">
        <f>6462084-834842+3644043</f>
        <v>9271285</v>
      </c>
      <c r="H78" s="2807">
        <v>0</v>
      </c>
      <c r="I78" s="2807">
        <v>0</v>
      </c>
      <c r="J78" s="2807">
        <v>0</v>
      </c>
      <c r="K78" s="2807">
        <v>0</v>
      </c>
      <c r="L78" s="2807">
        <v>0</v>
      </c>
      <c r="M78" s="4344"/>
      <c r="N78" s="4344"/>
      <c r="O78" s="4437"/>
    </row>
    <row r="79" spans="1:15" s="2803" customFormat="1" ht="36">
      <c r="A79" s="4410" t="s">
        <v>116</v>
      </c>
      <c r="B79" s="2941" t="s">
        <v>605</v>
      </c>
      <c r="C79" s="2785" t="s">
        <v>172</v>
      </c>
      <c r="D79" s="2786"/>
      <c r="E79" s="2787"/>
      <c r="F79" s="2788"/>
      <c r="G79" s="2788"/>
      <c r="H79" s="2788"/>
      <c r="I79" s="2789"/>
      <c r="J79" s="2789"/>
      <c r="K79" s="2789"/>
      <c r="L79" s="2789"/>
      <c r="M79" s="2790"/>
      <c r="N79" s="2790"/>
      <c r="O79" s="4336" t="s">
        <v>428</v>
      </c>
    </row>
    <row r="80" spans="1:15" s="2803" customFormat="1" ht="15" customHeight="1">
      <c r="A80" s="4411"/>
      <c r="B80" s="2791" t="s">
        <v>10</v>
      </c>
      <c r="C80" s="2792"/>
      <c r="D80" s="2750">
        <f>D81+D83</f>
        <v>119600</v>
      </c>
      <c r="E80" s="2750">
        <f t="shared" ref="E80" si="54">E81+E83</f>
        <v>0</v>
      </c>
      <c r="F80" s="2872">
        <f t="shared" ref="F80:L80" si="55">+F83</f>
        <v>0</v>
      </c>
      <c r="G80" s="2750">
        <f>G81+G85</f>
        <v>119600</v>
      </c>
      <c r="H80" s="2750">
        <f t="shared" si="55"/>
        <v>0</v>
      </c>
      <c r="I80" s="2750">
        <f t="shared" si="55"/>
        <v>0</v>
      </c>
      <c r="J80" s="2750">
        <f t="shared" si="55"/>
        <v>0</v>
      </c>
      <c r="K80" s="2750">
        <f t="shared" si="55"/>
        <v>0</v>
      </c>
      <c r="L80" s="2750">
        <f t="shared" si="55"/>
        <v>0</v>
      </c>
      <c r="M80" s="2793">
        <f>+M83+M81</f>
        <v>119600</v>
      </c>
      <c r="N80" s="2793">
        <f>+N83+N81</f>
        <v>119600</v>
      </c>
      <c r="O80" s="4337"/>
    </row>
    <row r="81" spans="1:16" s="2803" customFormat="1" ht="15" customHeight="1">
      <c r="A81" s="4411"/>
      <c r="B81" s="2794" t="s">
        <v>24</v>
      </c>
      <c r="C81" s="4339" t="s">
        <v>223</v>
      </c>
      <c r="D81" s="2795">
        <f>D82</f>
        <v>17940</v>
      </c>
      <c r="E81" s="2942">
        <f t="shared" ref="E81:F81" si="56">E82</f>
        <v>0</v>
      </c>
      <c r="F81" s="2947">
        <f t="shared" si="56"/>
        <v>0</v>
      </c>
      <c r="G81" s="2796">
        <f>G82</f>
        <v>17940</v>
      </c>
      <c r="H81" s="2796">
        <v>0</v>
      </c>
      <c r="I81" s="2796">
        <v>0</v>
      </c>
      <c r="J81" s="2796">
        <v>0</v>
      </c>
      <c r="K81" s="2796">
        <v>0</v>
      </c>
      <c r="L81" s="2796">
        <v>0</v>
      </c>
      <c r="M81" s="2798">
        <f>M82</f>
        <v>17940</v>
      </c>
      <c r="N81" s="2798">
        <f>N82</f>
        <v>17940</v>
      </c>
      <c r="O81" s="4337"/>
    </row>
    <row r="82" spans="1:16" s="2803" customFormat="1" ht="15" customHeight="1">
      <c r="A82" s="4411"/>
      <c r="B82" s="2799" t="s">
        <v>12</v>
      </c>
      <c r="C82" s="4340"/>
      <c r="D82" s="2736">
        <f>E82+F82+G82+H82+I82+J82+K82+L82</f>
        <v>17940</v>
      </c>
      <c r="E82" s="2736">
        <v>0</v>
      </c>
      <c r="F82" s="2968">
        <v>0</v>
      </c>
      <c r="G82" s="2800">
        <v>17940</v>
      </c>
      <c r="H82" s="2800">
        <v>0</v>
      </c>
      <c r="I82" s="2800">
        <v>0</v>
      </c>
      <c r="J82" s="2800">
        <v>0</v>
      </c>
      <c r="K82" s="2800">
        <v>0</v>
      </c>
      <c r="L82" s="2800">
        <v>0</v>
      </c>
      <c r="M82" s="2801">
        <f>SUM(F82:K82)</f>
        <v>17940</v>
      </c>
      <c r="N82" s="2801">
        <f>SUM(G82:L82)</f>
        <v>17940</v>
      </c>
      <c r="O82" s="4337"/>
    </row>
    <row r="83" spans="1:16" s="2803" customFormat="1" ht="15" customHeight="1">
      <c r="A83" s="4411"/>
      <c r="B83" s="2802" t="s">
        <v>18</v>
      </c>
      <c r="C83" s="4340"/>
      <c r="D83" s="2795">
        <f>D84</f>
        <v>101660</v>
      </c>
      <c r="E83" s="2942">
        <f t="shared" ref="E83:N83" si="57">+E84</f>
        <v>0</v>
      </c>
      <c r="F83" s="2947">
        <v>0</v>
      </c>
      <c r="G83" s="2796">
        <f>G84</f>
        <v>101660</v>
      </c>
      <c r="H83" s="2796">
        <v>0</v>
      </c>
      <c r="I83" s="2796">
        <v>0</v>
      </c>
      <c r="J83" s="2796">
        <v>0</v>
      </c>
      <c r="K83" s="2796">
        <v>0</v>
      </c>
      <c r="L83" s="2796">
        <v>0</v>
      </c>
      <c r="M83" s="2798">
        <f t="shared" si="57"/>
        <v>101660</v>
      </c>
      <c r="N83" s="2798">
        <f t="shared" si="57"/>
        <v>101660</v>
      </c>
      <c r="O83" s="4337"/>
    </row>
    <row r="84" spans="1:16" s="2803" customFormat="1" ht="15" customHeight="1">
      <c r="A84" s="4411"/>
      <c r="B84" s="2803" t="s">
        <v>21</v>
      </c>
      <c r="C84" s="4341"/>
      <c r="D84" s="2736">
        <f>E84+F84+G84+H84+I84+J84+K84+L84</f>
        <v>101660</v>
      </c>
      <c r="E84" s="2736">
        <v>0</v>
      </c>
      <c r="F84" s="2968">
        <v>0</v>
      </c>
      <c r="G84" s="2800">
        <v>101660</v>
      </c>
      <c r="H84" s="2800">
        <v>0</v>
      </c>
      <c r="I84" s="2800">
        <v>0</v>
      </c>
      <c r="J84" s="2800">
        <v>0</v>
      </c>
      <c r="K84" s="2800">
        <v>0</v>
      </c>
      <c r="L84" s="2800">
        <v>0</v>
      </c>
      <c r="M84" s="2801">
        <f>SUM(F84:K84)</f>
        <v>101660</v>
      </c>
      <c r="N84" s="2801">
        <f>SUM(G84:L84)</f>
        <v>101660</v>
      </c>
      <c r="O84" s="4338"/>
    </row>
    <row r="85" spans="1:16" s="2803" customFormat="1" ht="15" customHeight="1">
      <c r="A85" s="4411"/>
      <c r="B85" s="2824" t="s">
        <v>22</v>
      </c>
      <c r="C85" s="2792"/>
      <c r="D85" s="2750">
        <f t="shared" ref="D85:L86" si="58">D86</f>
        <v>101660</v>
      </c>
      <c r="E85" s="2750">
        <f t="shared" ref="E85:E86" si="59">+E86</f>
        <v>0</v>
      </c>
      <c r="F85" s="2872">
        <f t="shared" si="58"/>
        <v>0</v>
      </c>
      <c r="G85" s="2750">
        <f t="shared" si="58"/>
        <v>101660</v>
      </c>
      <c r="H85" s="2750">
        <f t="shared" si="58"/>
        <v>0</v>
      </c>
      <c r="I85" s="2750">
        <f t="shared" si="58"/>
        <v>0</v>
      </c>
      <c r="J85" s="2750">
        <f t="shared" si="58"/>
        <v>0</v>
      </c>
      <c r="K85" s="2750">
        <f t="shared" si="58"/>
        <v>0</v>
      </c>
      <c r="L85" s="2750">
        <f t="shared" si="58"/>
        <v>0</v>
      </c>
      <c r="M85" s="4342" t="s">
        <v>61</v>
      </c>
      <c r="N85" s="4342" t="s">
        <v>61</v>
      </c>
      <c r="O85" s="4414" t="s">
        <v>231</v>
      </c>
    </row>
    <row r="86" spans="1:16" s="2803" customFormat="1" ht="15" customHeight="1">
      <c r="A86" s="4411"/>
      <c r="B86" s="2946" t="s">
        <v>18</v>
      </c>
      <c r="C86" s="4346" t="s">
        <v>226</v>
      </c>
      <c r="D86" s="2797">
        <f t="shared" si="58"/>
        <v>101660</v>
      </c>
      <c r="E86" s="2797">
        <f t="shared" si="59"/>
        <v>0</v>
      </c>
      <c r="F86" s="2962">
        <f t="shared" si="58"/>
        <v>0</v>
      </c>
      <c r="G86" s="2797">
        <f t="shared" si="58"/>
        <v>101660</v>
      </c>
      <c r="H86" s="2797">
        <f t="shared" si="58"/>
        <v>0</v>
      </c>
      <c r="I86" s="2797">
        <f t="shared" si="58"/>
        <v>0</v>
      </c>
      <c r="J86" s="2797">
        <f t="shared" si="58"/>
        <v>0</v>
      </c>
      <c r="K86" s="2797">
        <f t="shared" si="58"/>
        <v>0</v>
      </c>
      <c r="L86" s="2797">
        <f t="shared" si="58"/>
        <v>0</v>
      </c>
      <c r="M86" s="4343"/>
      <c r="N86" s="4343"/>
      <c r="O86" s="4337"/>
    </row>
    <row r="87" spans="1:16" s="2803" customFormat="1" ht="15" customHeight="1" thickBot="1">
      <c r="A87" s="4412"/>
      <c r="B87" s="2963" t="s">
        <v>21</v>
      </c>
      <c r="C87" s="4347"/>
      <c r="D87" s="2808">
        <f>E87+F87+G87+H87+I87+J87+K87+L87</f>
        <v>101660</v>
      </c>
      <c r="E87" s="2808">
        <v>0</v>
      </c>
      <c r="F87" s="2965">
        <v>0</v>
      </c>
      <c r="G87" s="2807">
        <v>101660</v>
      </c>
      <c r="H87" s="2807">
        <v>0</v>
      </c>
      <c r="I87" s="2807">
        <v>0</v>
      </c>
      <c r="J87" s="2807">
        <v>0</v>
      </c>
      <c r="K87" s="2807">
        <v>0</v>
      </c>
      <c r="L87" s="2807">
        <v>0</v>
      </c>
      <c r="M87" s="4344"/>
      <c r="N87" s="4344"/>
      <c r="O87" s="4345"/>
    </row>
    <row r="88" spans="1:16" s="2803" customFormat="1" ht="39.75" customHeight="1">
      <c r="A88" s="4413" t="s">
        <v>88</v>
      </c>
      <c r="B88" s="2941" t="s">
        <v>596</v>
      </c>
      <c r="C88" s="2785" t="s">
        <v>82</v>
      </c>
      <c r="D88" s="2786"/>
      <c r="E88" s="2787"/>
      <c r="F88" s="2788"/>
      <c r="G88" s="2788"/>
      <c r="H88" s="2788"/>
      <c r="I88" s="2789"/>
      <c r="J88" s="2789"/>
      <c r="K88" s="2789"/>
      <c r="L88" s="2789"/>
      <c r="M88" s="2790"/>
      <c r="N88" s="2790"/>
      <c r="O88" s="4336" t="s">
        <v>428</v>
      </c>
    </row>
    <row r="89" spans="1:16" s="2803" customFormat="1" ht="15" customHeight="1">
      <c r="A89" s="4411"/>
      <c r="B89" s="2791" t="s">
        <v>10</v>
      </c>
      <c r="C89" s="2792"/>
      <c r="D89" s="2750">
        <f t="shared" ref="D89" si="60">D90+D93</f>
        <v>13955532</v>
      </c>
      <c r="E89" s="2750">
        <f t="shared" ref="E89" si="61">E90+E93</f>
        <v>250844</v>
      </c>
      <c r="F89" s="2750">
        <f>F90+F93</f>
        <v>214186</v>
      </c>
      <c r="G89" s="2750">
        <f>G90+G93</f>
        <v>13490502</v>
      </c>
      <c r="H89" s="2750">
        <f>+H93</f>
        <v>0</v>
      </c>
      <c r="I89" s="2750">
        <f>+I93</f>
        <v>0</v>
      </c>
      <c r="J89" s="2750">
        <f>+J93</f>
        <v>0</v>
      </c>
      <c r="K89" s="2750">
        <f>+K93</f>
        <v>0</v>
      </c>
      <c r="L89" s="2750">
        <f>+L93</f>
        <v>0</v>
      </c>
      <c r="M89" s="2793">
        <f>M90+M93</f>
        <v>13704688</v>
      </c>
      <c r="N89" s="2793">
        <f>N90+N93</f>
        <v>13490502</v>
      </c>
      <c r="O89" s="4337"/>
    </row>
    <row r="90" spans="1:16" s="2803" customFormat="1" ht="15" customHeight="1">
      <c r="A90" s="4411"/>
      <c r="B90" s="2794" t="s">
        <v>24</v>
      </c>
      <c r="C90" s="4339" t="s">
        <v>223</v>
      </c>
      <c r="D90" s="2795">
        <f>D91+D92</f>
        <v>2093329</v>
      </c>
      <c r="E90" s="2795">
        <f t="shared" ref="E90" si="62">E91+E92</f>
        <v>250844</v>
      </c>
      <c r="F90" s="2795">
        <f t="shared" ref="F90:L90" si="63">F91+F92</f>
        <v>214186</v>
      </c>
      <c r="G90" s="2795">
        <f t="shared" si="63"/>
        <v>1628299</v>
      </c>
      <c r="H90" s="2795">
        <f t="shared" si="63"/>
        <v>0</v>
      </c>
      <c r="I90" s="2795">
        <f t="shared" si="63"/>
        <v>0</v>
      </c>
      <c r="J90" s="2795">
        <f t="shared" si="63"/>
        <v>0</v>
      </c>
      <c r="K90" s="2795">
        <f t="shared" si="63"/>
        <v>0</v>
      </c>
      <c r="L90" s="2795">
        <f t="shared" si="63"/>
        <v>0</v>
      </c>
      <c r="M90" s="2798">
        <f>M91+M92</f>
        <v>1842485</v>
      </c>
      <c r="N90" s="2798">
        <f>N91+N92</f>
        <v>1628299</v>
      </c>
      <c r="O90" s="4337"/>
    </row>
    <row r="91" spans="1:16" s="2803" customFormat="1" ht="15" customHeight="1">
      <c r="A91" s="4411"/>
      <c r="B91" s="2799" t="s">
        <v>12</v>
      </c>
      <c r="C91" s="4340"/>
      <c r="D91" s="2736">
        <f>E91+F91+G91+H91+I91+J91+K91+L91</f>
        <v>1093329</v>
      </c>
      <c r="E91" s="2736">
        <v>250844</v>
      </c>
      <c r="F91" s="2800">
        <f>430112+57000-100000-272926</f>
        <v>114186</v>
      </c>
      <c r="G91" s="2800">
        <f>1568662-213289-900000+272926</f>
        <v>728299</v>
      </c>
      <c r="H91" s="2800">
        <v>0</v>
      </c>
      <c r="I91" s="2800">
        <v>0</v>
      </c>
      <c r="J91" s="2800">
        <v>0</v>
      </c>
      <c r="K91" s="2800">
        <v>0</v>
      </c>
      <c r="L91" s="2800">
        <v>0</v>
      </c>
      <c r="M91" s="2801">
        <f>SUM(F91:K91)</f>
        <v>842485</v>
      </c>
      <c r="N91" s="2801">
        <f>SUM(G91:L91)</f>
        <v>728299</v>
      </c>
      <c r="O91" s="4337"/>
      <c r="P91" s="2971"/>
    </row>
    <row r="92" spans="1:16" s="2803" customFormat="1" ht="15" customHeight="1">
      <c r="A92" s="4411"/>
      <c r="B92" s="2799" t="s">
        <v>62</v>
      </c>
      <c r="C92" s="4340"/>
      <c r="D92" s="2736">
        <f>E92+F92+G92+H92+I92+J92+K92+L92</f>
        <v>1000000</v>
      </c>
      <c r="E92" s="2736">
        <v>0</v>
      </c>
      <c r="F92" s="2800">
        <v>100000</v>
      </c>
      <c r="G92" s="2800">
        <v>900000</v>
      </c>
      <c r="H92" s="2800">
        <v>0</v>
      </c>
      <c r="I92" s="2800">
        <v>0</v>
      </c>
      <c r="J92" s="2800">
        <v>0</v>
      </c>
      <c r="K92" s="2800">
        <v>0</v>
      </c>
      <c r="L92" s="2800">
        <v>0</v>
      </c>
      <c r="M92" s="2801">
        <f>SUM(F92:K92)</f>
        <v>1000000</v>
      </c>
      <c r="N92" s="2801">
        <f>SUM(G92:L92)</f>
        <v>900000</v>
      </c>
      <c r="O92" s="4337"/>
      <c r="P92" s="2971"/>
    </row>
    <row r="93" spans="1:16" s="2803" customFormat="1" ht="15" customHeight="1">
      <c r="A93" s="4411"/>
      <c r="B93" s="2802" t="s">
        <v>18</v>
      </c>
      <c r="C93" s="4340"/>
      <c r="D93" s="2795">
        <f>D94</f>
        <v>11862203</v>
      </c>
      <c r="E93" s="2942">
        <f t="shared" ref="E93:N93" si="64">+E94</f>
        <v>0</v>
      </c>
      <c r="F93" s="2796">
        <f>F94</f>
        <v>0</v>
      </c>
      <c r="G93" s="2796">
        <f>G94</f>
        <v>11862203</v>
      </c>
      <c r="H93" s="2796">
        <v>0</v>
      </c>
      <c r="I93" s="2796">
        <v>0</v>
      </c>
      <c r="J93" s="2796">
        <v>0</v>
      </c>
      <c r="K93" s="2796">
        <v>0</v>
      </c>
      <c r="L93" s="2796">
        <v>0</v>
      </c>
      <c r="M93" s="2798">
        <f t="shared" si="64"/>
        <v>11862203</v>
      </c>
      <c r="N93" s="2798">
        <f t="shared" si="64"/>
        <v>11862203</v>
      </c>
      <c r="O93" s="4337"/>
    </row>
    <row r="94" spans="1:16" s="2803" customFormat="1" ht="15" customHeight="1">
      <c r="A94" s="4411"/>
      <c r="B94" s="2803" t="s">
        <v>21</v>
      </c>
      <c r="C94" s="4341"/>
      <c r="D94" s="2736">
        <f>E94+F94+G94+H94+I94+J94+K94+L94</f>
        <v>11862203</v>
      </c>
      <c r="E94" s="2736">
        <v>0</v>
      </c>
      <c r="F94" s="2800">
        <f>2437304+323000-2760304</f>
        <v>0</v>
      </c>
      <c r="G94" s="2800">
        <f>8889087+212812+2760304</f>
        <v>11862203</v>
      </c>
      <c r="H94" s="2800">
        <v>0</v>
      </c>
      <c r="I94" s="2800">
        <v>0</v>
      </c>
      <c r="J94" s="2800">
        <v>0</v>
      </c>
      <c r="K94" s="2800">
        <v>0</v>
      </c>
      <c r="L94" s="2800">
        <v>0</v>
      </c>
      <c r="M94" s="2801">
        <f>SUM(F94:K94)</f>
        <v>11862203</v>
      </c>
      <c r="N94" s="2801">
        <f>SUM(G94:L94)</f>
        <v>11862203</v>
      </c>
      <c r="O94" s="4338"/>
    </row>
    <row r="95" spans="1:16" s="2803" customFormat="1" ht="15" customHeight="1">
      <c r="A95" s="4411"/>
      <c r="B95" s="2824" t="s">
        <v>22</v>
      </c>
      <c r="C95" s="2792"/>
      <c r="D95" s="2750">
        <f>D98+D96</f>
        <v>12862203</v>
      </c>
      <c r="E95" s="2750">
        <f>E98+E96</f>
        <v>0</v>
      </c>
      <c r="F95" s="2750">
        <f>F98+F96</f>
        <v>100000</v>
      </c>
      <c r="G95" s="2750">
        <f>G98+G96</f>
        <v>12762203</v>
      </c>
      <c r="H95" s="2750">
        <f>H98</f>
        <v>0</v>
      </c>
      <c r="I95" s="2750">
        <f>I98</f>
        <v>0</v>
      </c>
      <c r="J95" s="2750">
        <f>J98</f>
        <v>0</v>
      </c>
      <c r="K95" s="2750">
        <f>K98</f>
        <v>0</v>
      </c>
      <c r="L95" s="2750">
        <f>L98</f>
        <v>0</v>
      </c>
      <c r="M95" s="4342" t="s">
        <v>61</v>
      </c>
      <c r="N95" s="4342" t="s">
        <v>61</v>
      </c>
      <c r="O95" s="4337" t="s">
        <v>231</v>
      </c>
    </row>
    <row r="96" spans="1:16" s="2803" customFormat="1" ht="15" customHeight="1">
      <c r="A96" s="4411"/>
      <c r="B96" s="2972" t="s">
        <v>11</v>
      </c>
      <c r="C96" s="4452" t="s">
        <v>510</v>
      </c>
      <c r="D96" s="2973">
        <f>SUM(E96:L96)</f>
        <v>1000000</v>
      </c>
      <c r="E96" s="2973">
        <f>E97</f>
        <v>0</v>
      </c>
      <c r="F96" s="2973">
        <f>F97</f>
        <v>100000</v>
      </c>
      <c r="G96" s="2973">
        <f>G97</f>
        <v>900000</v>
      </c>
      <c r="H96" s="2973"/>
      <c r="I96" s="2973"/>
      <c r="J96" s="2973"/>
      <c r="K96" s="2973"/>
      <c r="L96" s="2973"/>
      <c r="M96" s="4343"/>
      <c r="N96" s="4343"/>
      <c r="O96" s="4337"/>
    </row>
    <row r="97" spans="1:15" s="2803" customFormat="1" ht="15" customHeight="1">
      <c r="A97" s="4411"/>
      <c r="B97" s="2974" t="s">
        <v>62</v>
      </c>
      <c r="C97" s="4453"/>
      <c r="D97" s="2736">
        <f>E97+F97+G97+H97+I97+J97+K97+L97</f>
        <v>1000000</v>
      </c>
      <c r="E97" s="2736">
        <v>0</v>
      </c>
      <c r="F97" s="2975">
        <v>100000</v>
      </c>
      <c r="G97" s="2975">
        <v>900000</v>
      </c>
      <c r="H97" s="2973"/>
      <c r="I97" s="2973"/>
      <c r="J97" s="2973"/>
      <c r="K97" s="2973"/>
      <c r="L97" s="2973"/>
      <c r="M97" s="4343"/>
      <c r="N97" s="4343"/>
      <c r="O97" s="4337"/>
    </row>
    <row r="98" spans="1:15" s="2803" customFormat="1" ht="15" customHeight="1">
      <c r="A98" s="4411"/>
      <c r="B98" s="2972" t="s">
        <v>18</v>
      </c>
      <c r="C98" s="4453"/>
      <c r="D98" s="2797">
        <f t="shared" ref="D98:L98" si="65">D99</f>
        <v>11862203</v>
      </c>
      <c r="E98" s="2797">
        <f t="shared" ref="E98" si="66">+E99</f>
        <v>0</v>
      </c>
      <c r="F98" s="2797">
        <f t="shared" si="65"/>
        <v>0</v>
      </c>
      <c r="G98" s="2797">
        <f t="shared" si="65"/>
        <v>11862203</v>
      </c>
      <c r="H98" s="2797">
        <f t="shared" si="65"/>
        <v>0</v>
      </c>
      <c r="I98" s="2797">
        <f t="shared" si="65"/>
        <v>0</v>
      </c>
      <c r="J98" s="2797">
        <f t="shared" si="65"/>
        <v>0</v>
      </c>
      <c r="K98" s="2797">
        <f t="shared" si="65"/>
        <v>0</v>
      </c>
      <c r="L98" s="2797">
        <f t="shared" si="65"/>
        <v>0</v>
      </c>
      <c r="M98" s="4343"/>
      <c r="N98" s="4343"/>
      <c r="O98" s="4337"/>
    </row>
    <row r="99" spans="1:15" s="2803" customFormat="1" ht="15" customHeight="1" thickBot="1">
      <c r="A99" s="4412"/>
      <c r="B99" s="2952" t="s">
        <v>21</v>
      </c>
      <c r="C99" s="4454"/>
      <c r="D99" s="2808">
        <f>E99+F99+G99+H99+I99+J99+K99+L99</f>
        <v>11862203</v>
      </c>
      <c r="E99" s="2808">
        <v>0</v>
      </c>
      <c r="F99" s="2807">
        <f>2437304+323000-2760304</f>
        <v>0</v>
      </c>
      <c r="G99" s="2807">
        <f>8889087+212812+2760304</f>
        <v>11862203</v>
      </c>
      <c r="H99" s="2807">
        <v>0</v>
      </c>
      <c r="I99" s="2807">
        <v>0</v>
      </c>
      <c r="J99" s="2807">
        <v>0</v>
      </c>
      <c r="K99" s="2807">
        <v>0</v>
      </c>
      <c r="L99" s="2807">
        <v>0</v>
      </c>
      <c r="M99" s="4344"/>
      <c r="N99" s="4344"/>
      <c r="O99" s="4345"/>
    </row>
    <row r="100" spans="1:15" s="2803" customFormat="1" ht="40.5" customHeight="1">
      <c r="A100" s="4410" t="s">
        <v>89</v>
      </c>
      <c r="B100" s="2976" t="s">
        <v>452</v>
      </c>
      <c r="C100" s="2977" t="s">
        <v>172</v>
      </c>
      <c r="D100" s="2978"/>
      <c r="E100" s="2979"/>
      <c r="F100" s="2980"/>
      <c r="G100" s="2980"/>
      <c r="H100" s="2980"/>
      <c r="I100" s="2981"/>
      <c r="J100" s="2981"/>
      <c r="K100" s="2981"/>
      <c r="L100" s="2981"/>
      <c r="M100" s="2982"/>
      <c r="N100" s="2982"/>
      <c r="O100" s="4337" t="s">
        <v>437</v>
      </c>
    </row>
    <row r="101" spans="1:15" s="2803" customFormat="1" ht="15" customHeight="1">
      <c r="A101" s="4411"/>
      <c r="B101" s="2791" t="s">
        <v>10</v>
      </c>
      <c r="C101" s="2792"/>
      <c r="D101" s="2750">
        <f>D102+D106</f>
        <v>342701</v>
      </c>
      <c r="E101" s="2750">
        <f t="shared" ref="E101" si="67">E102+E106</f>
        <v>0</v>
      </c>
      <c r="F101" s="2750">
        <f>F102+F106</f>
        <v>21322</v>
      </c>
      <c r="G101" s="2750">
        <f>G102+G106</f>
        <v>146351</v>
      </c>
      <c r="H101" s="2750">
        <f>H102+H106</f>
        <v>175028</v>
      </c>
      <c r="I101" s="2750">
        <f>+I106</f>
        <v>0</v>
      </c>
      <c r="J101" s="2750">
        <f>+J106</f>
        <v>0</v>
      </c>
      <c r="K101" s="2750">
        <f>+K106</f>
        <v>0</v>
      </c>
      <c r="L101" s="2750">
        <f>+L106</f>
        <v>0</v>
      </c>
      <c r="M101" s="2793">
        <f>M102+M106</f>
        <v>342701</v>
      </c>
      <c r="N101" s="2793">
        <f>N102+N106</f>
        <v>321379</v>
      </c>
      <c r="O101" s="4337"/>
    </row>
    <row r="102" spans="1:15" s="2803" customFormat="1" ht="15" customHeight="1">
      <c r="A102" s="4411"/>
      <c r="B102" s="2794" t="s">
        <v>24</v>
      </c>
      <c r="C102" s="4339" t="s">
        <v>432</v>
      </c>
      <c r="D102" s="2795">
        <f>D103</f>
        <v>51406</v>
      </c>
      <c r="E102" s="2942">
        <f t="shared" ref="E102:H102" si="68">E103</f>
        <v>0</v>
      </c>
      <c r="F102" s="2796">
        <f t="shared" si="68"/>
        <v>3199</v>
      </c>
      <c r="G102" s="2796">
        <f t="shared" si="68"/>
        <v>21952</v>
      </c>
      <c r="H102" s="2796">
        <f t="shared" si="68"/>
        <v>26255</v>
      </c>
      <c r="I102" s="2796">
        <v>0</v>
      </c>
      <c r="J102" s="2796">
        <v>0</v>
      </c>
      <c r="K102" s="2796">
        <v>0</v>
      </c>
      <c r="L102" s="2796">
        <v>0</v>
      </c>
      <c r="M102" s="2798">
        <f>M103</f>
        <v>51406</v>
      </c>
      <c r="N102" s="2798">
        <f>N103</f>
        <v>48207</v>
      </c>
      <c r="O102" s="4337"/>
    </row>
    <row r="103" spans="1:15" s="2803" customFormat="1" ht="15" customHeight="1">
      <c r="A103" s="4411"/>
      <c r="B103" s="2799" t="s">
        <v>12</v>
      </c>
      <c r="C103" s="4340"/>
      <c r="D103" s="2736">
        <f>E103+F103+G103+H103+I103+J103+K103+L103</f>
        <v>51406</v>
      </c>
      <c r="E103" s="2736">
        <v>0</v>
      </c>
      <c r="F103" s="2800">
        <f>SUM(F104:F105)</f>
        <v>3199</v>
      </c>
      <c r="G103" s="2800">
        <f t="shared" ref="G103:H103" si="69">SUM(G104:G105)</f>
        <v>21952</v>
      </c>
      <c r="H103" s="2800">
        <f t="shared" si="69"/>
        <v>26255</v>
      </c>
      <c r="I103" s="2800">
        <v>0</v>
      </c>
      <c r="J103" s="2800">
        <v>0</v>
      </c>
      <c r="K103" s="2800">
        <v>0</v>
      </c>
      <c r="L103" s="2800">
        <v>0</v>
      </c>
      <c r="M103" s="2801">
        <f>SUM(F103:K103)</f>
        <v>51406</v>
      </c>
      <c r="N103" s="2801">
        <f>SUM(G103:L103)</f>
        <v>48207</v>
      </c>
      <c r="O103" s="4337"/>
    </row>
    <row r="104" spans="1:15" s="2803" customFormat="1" ht="15" hidden="1" customHeight="1">
      <c r="A104" s="4411"/>
      <c r="B104" s="2983" t="s">
        <v>446</v>
      </c>
      <c r="C104" s="4340"/>
      <c r="D104" s="2736"/>
      <c r="E104" s="2984"/>
      <c r="F104" s="2985">
        <f>3347-1656</f>
        <v>1691</v>
      </c>
      <c r="G104" s="2985">
        <f>8073+12063</f>
        <v>20136</v>
      </c>
      <c r="H104" s="2985">
        <f>34839-10400</f>
        <v>24439</v>
      </c>
      <c r="I104" s="2800"/>
      <c r="J104" s="2800"/>
      <c r="K104" s="2800"/>
      <c r="L104" s="2800"/>
      <c r="M104" s="2945"/>
      <c r="N104" s="2945"/>
      <c r="O104" s="4337"/>
    </row>
    <row r="105" spans="1:15" s="2803" customFormat="1" ht="15" hidden="1" customHeight="1">
      <c r="A105" s="4411"/>
      <c r="B105" s="2983" t="s">
        <v>447</v>
      </c>
      <c r="C105" s="4340"/>
      <c r="D105" s="2736"/>
      <c r="E105" s="2984"/>
      <c r="F105" s="2985">
        <f>1514-6</f>
        <v>1508</v>
      </c>
      <c r="G105" s="2985">
        <v>1816</v>
      </c>
      <c r="H105" s="2985">
        <v>1816</v>
      </c>
      <c r="I105" s="2800"/>
      <c r="J105" s="2800"/>
      <c r="K105" s="2800"/>
      <c r="L105" s="2800"/>
      <c r="M105" s="2945"/>
      <c r="N105" s="2945"/>
      <c r="O105" s="4337"/>
    </row>
    <row r="106" spans="1:15" s="2803" customFormat="1" ht="15" customHeight="1">
      <c r="A106" s="4411"/>
      <c r="B106" s="2802" t="s">
        <v>18</v>
      </c>
      <c r="C106" s="4340"/>
      <c r="D106" s="2795">
        <f>D107</f>
        <v>291295</v>
      </c>
      <c r="E106" s="2942">
        <f t="shared" ref="E106:N106" si="70">+E107</f>
        <v>0</v>
      </c>
      <c r="F106" s="2796">
        <f t="shared" ref="F106:H106" si="71">F107</f>
        <v>18123</v>
      </c>
      <c r="G106" s="2796">
        <f t="shared" si="71"/>
        <v>124399</v>
      </c>
      <c r="H106" s="2796">
        <f t="shared" si="71"/>
        <v>148773</v>
      </c>
      <c r="I106" s="2796">
        <v>0</v>
      </c>
      <c r="J106" s="2796">
        <v>0</v>
      </c>
      <c r="K106" s="2796">
        <v>0</v>
      </c>
      <c r="L106" s="2796">
        <v>0</v>
      </c>
      <c r="M106" s="2798">
        <f t="shared" si="70"/>
        <v>291295</v>
      </c>
      <c r="N106" s="2798">
        <f t="shared" si="70"/>
        <v>273172</v>
      </c>
      <c r="O106" s="4337"/>
    </row>
    <row r="107" spans="1:15" s="2803" customFormat="1" ht="15" customHeight="1">
      <c r="A107" s="4411"/>
      <c r="B107" s="2803" t="s">
        <v>21</v>
      </c>
      <c r="C107" s="4340"/>
      <c r="D107" s="2736">
        <f>E107+F107+G107+H107+I107+J107+K107+L107</f>
        <v>291295</v>
      </c>
      <c r="E107" s="2736">
        <v>0</v>
      </c>
      <c r="F107" s="2800">
        <f>SUM(F108:F109)</f>
        <v>18123</v>
      </c>
      <c r="G107" s="2800">
        <f t="shared" ref="G107:H107" si="72">SUM(G108:G109)</f>
        <v>124399</v>
      </c>
      <c r="H107" s="2800">
        <f t="shared" si="72"/>
        <v>148773</v>
      </c>
      <c r="I107" s="2800">
        <v>0</v>
      </c>
      <c r="J107" s="2800">
        <v>0</v>
      </c>
      <c r="K107" s="2800">
        <v>0</v>
      </c>
      <c r="L107" s="2800">
        <v>0</v>
      </c>
      <c r="M107" s="2801">
        <f>SUM(F107:K107)</f>
        <v>291295</v>
      </c>
      <c r="N107" s="2801">
        <f>SUM(G107:L107)</f>
        <v>273172</v>
      </c>
      <c r="O107" s="4337"/>
    </row>
    <row r="108" spans="1:15" s="2803" customFormat="1" ht="15" hidden="1" customHeight="1">
      <c r="A108" s="4411"/>
      <c r="B108" s="2983" t="s">
        <v>449</v>
      </c>
      <c r="C108" s="4340"/>
      <c r="D108" s="2736"/>
      <c r="E108" s="2986"/>
      <c r="F108" s="2985">
        <f>18973-9391</f>
        <v>9582</v>
      </c>
      <c r="G108" s="2985">
        <f>45747+68360</f>
        <v>114107</v>
      </c>
      <c r="H108" s="2985">
        <f>197415-58934</f>
        <v>138481</v>
      </c>
      <c r="I108" s="2800"/>
      <c r="J108" s="2800"/>
      <c r="K108" s="2800"/>
      <c r="L108" s="2800"/>
      <c r="M108" s="2987"/>
      <c r="N108" s="2987"/>
      <c r="O108" s="4337"/>
    </row>
    <row r="109" spans="1:15" s="2803" customFormat="1" ht="15" hidden="1" customHeight="1">
      <c r="A109" s="4411"/>
      <c r="B109" s="2983" t="s">
        <v>448</v>
      </c>
      <c r="C109" s="4341"/>
      <c r="D109" s="2736"/>
      <c r="E109" s="2986"/>
      <c r="F109" s="2985">
        <f>8576-35</f>
        <v>8541</v>
      </c>
      <c r="G109" s="2985">
        <v>10292</v>
      </c>
      <c r="H109" s="2985">
        <v>10292</v>
      </c>
      <c r="I109" s="2800"/>
      <c r="J109" s="2800"/>
      <c r="K109" s="2800"/>
      <c r="L109" s="2800"/>
      <c r="M109" s="2987"/>
      <c r="N109" s="2987"/>
      <c r="O109" s="4337"/>
    </row>
    <row r="110" spans="1:15" s="2803" customFormat="1" ht="12.75">
      <c r="A110" s="4411"/>
      <c r="B110" s="2824" t="s">
        <v>22</v>
      </c>
      <c r="C110" s="2792"/>
      <c r="D110" s="2750">
        <f t="shared" ref="D110:L111" si="73">D111</f>
        <v>291295</v>
      </c>
      <c r="E110" s="2750">
        <f t="shared" ref="E110:E111" si="74">+E111</f>
        <v>0</v>
      </c>
      <c r="F110" s="2750">
        <f t="shared" si="73"/>
        <v>977</v>
      </c>
      <c r="G110" s="2750">
        <f t="shared" si="73"/>
        <v>14906</v>
      </c>
      <c r="H110" s="2750">
        <f t="shared" si="73"/>
        <v>113937</v>
      </c>
      <c r="I110" s="2750">
        <f t="shared" si="73"/>
        <v>161475</v>
      </c>
      <c r="J110" s="2750">
        <f t="shared" si="73"/>
        <v>0</v>
      </c>
      <c r="K110" s="2750">
        <f t="shared" si="73"/>
        <v>0</v>
      </c>
      <c r="L110" s="2750">
        <f t="shared" si="73"/>
        <v>0</v>
      </c>
      <c r="M110" s="4342" t="s">
        <v>61</v>
      </c>
      <c r="N110" s="4342" t="s">
        <v>61</v>
      </c>
      <c r="O110" s="4337"/>
    </row>
    <row r="111" spans="1:15" s="2803" customFormat="1" ht="12.75">
      <c r="A111" s="4411"/>
      <c r="B111" s="2946" t="s">
        <v>18</v>
      </c>
      <c r="C111" s="4346" t="s">
        <v>171</v>
      </c>
      <c r="D111" s="2797">
        <f t="shared" si="73"/>
        <v>291295</v>
      </c>
      <c r="E111" s="2797">
        <f t="shared" si="74"/>
        <v>0</v>
      </c>
      <c r="F111" s="2797">
        <f t="shared" si="73"/>
        <v>977</v>
      </c>
      <c r="G111" s="2797">
        <f t="shared" si="73"/>
        <v>14906</v>
      </c>
      <c r="H111" s="2797">
        <f t="shared" si="73"/>
        <v>113937</v>
      </c>
      <c r="I111" s="2797">
        <f t="shared" si="73"/>
        <v>161475</v>
      </c>
      <c r="J111" s="2797">
        <f t="shared" si="73"/>
        <v>0</v>
      </c>
      <c r="K111" s="2797">
        <f t="shared" si="73"/>
        <v>0</v>
      </c>
      <c r="L111" s="2797">
        <f t="shared" si="73"/>
        <v>0</v>
      </c>
      <c r="M111" s="4343"/>
      <c r="N111" s="4343"/>
      <c r="O111" s="4337"/>
    </row>
    <row r="112" spans="1:15" s="2803" customFormat="1" ht="13.5" thickBot="1">
      <c r="A112" s="4412"/>
      <c r="B112" s="2952" t="s">
        <v>21</v>
      </c>
      <c r="C112" s="4347"/>
      <c r="D112" s="2736">
        <f>E112+F112+G112+H112+I112+J112+K112+L112</f>
        <v>291295</v>
      </c>
      <c r="E112" s="2736">
        <v>0</v>
      </c>
      <c r="F112" s="2807">
        <f>2133-1156</f>
        <v>977</v>
      </c>
      <c r="G112" s="2807">
        <f>39145-24239</f>
        <v>14906</v>
      </c>
      <c r="H112" s="2807">
        <f>148930-34993</f>
        <v>113937</v>
      </c>
      <c r="I112" s="2807">
        <f>101087+60388</f>
        <v>161475</v>
      </c>
      <c r="J112" s="2807">
        <v>0</v>
      </c>
      <c r="K112" s="2807">
        <v>0</v>
      </c>
      <c r="L112" s="2807">
        <v>0</v>
      </c>
      <c r="M112" s="4344"/>
      <c r="N112" s="4344"/>
      <c r="O112" s="4345"/>
    </row>
    <row r="113" spans="1:15" s="2803" customFormat="1" ht="36.75" customHeight="1">
      <c r="A113" s="4410" t="s">
        <v>90</v>
      </c>
      <c r="B113" s="2941" t="s">
        <v>451</v>
      </c>
      <c r="C113" s="2785" t="s">
        <v>82</v>
      </c>
      <c r="D113" s="2786"/>
      <c r="E113" s="2787"/>
      <c r="F113" s="2788"/>
      <c r="G113" s="2788"/>
      <c r="H113" s="2788"/>
      <c r="I113" s="2789"/>
      <c r="J113" s="2789"/>
      <c r="K113" s="2789"/>
      <c r="L113" s="2789"/>
      <c r="M113" s="2790"/>
      <c r="N113" s="2790"/>
      <c r="O113" s="4336" t="s">
        <v>231</v>
      </c>
    </row>
    <row r="114" spans="1:15" s="2803" customFormat="1" ht="12.75">
      <c r="A114" s="4411"/>
      <c r="B114" s="2791" t="s">
        <v>10</v>
      </c>
      <c r="C114" s="2792"/>
      <c r="D114" s="2750">
        <f>D115+D117</f>
        <v>329300</v>
      </c>
      <c r="E114" s="2750">
        <f t="shared" ref="E114" si="75">E115+E117</f>
        <v>0</v>
      </c>
      <c r="F114" s="2750">
        <f>F115+F117</f>
        <v>52792</v>
      </c>
      <c r="G114" s="2750">
        <f>G115+G117</f>
        <v>276508</v>
      </c>
      <c r="H114" s="2750">
        <f>H115+H117</f>
        <v>0</v>
      </c>
      <c r="I114" s="2750">
        <f>+I117</f>
        <v>0</v>
      </c>
      <c r="J114" s="2750">
        <f>+J117</f>
        <v>0</v>
      </c>
      <c r="K114" s="2750">
        <f>+K117</f>
        <v>0</v>
      </c>
      <c r="L114" s="2750">
        <f>+L117</f>
        <v>0</v>
      </c>
      <c r="M114" s="2793">
        <f>M115+M117</f>
        <v>329300</v>
      </c>
      <c r="N114" s="2793">
        <f>N115+N117</f>
        <v>276508</v>
      </c>
      <c r="O114" s="4337"/>
    </row>
    <row r="115" spans="1:15" s="2803" customFormat="1" ht="12.75">
      <c r="A115" s="4411"/>
      <c r="B115" s="2794" t="s">
        <v>24</v>
      </c>
      <c r="C115" s="4339" t="s">
        <v>171</v>
      </c>
      <c r="D115" s="2795">
        <f>D116</f>
        <v>49395</v>
      </c>
      <c r="E115" s="2942">
        <f t="shared" ref="E115:L115" si="76">E116</f>
        <v>0</v>
      </c>
      <c r="F115" s="2796">
        <f t="shared" si="76"/>
        <v>7919</v>
      </c>
      <c r="G115" s="2796">
        <f t="shared" si="76"/>
        <v>41476</v>
      </c>
      <c r="H115" s="2796">
        <f t="shared" si="76"/>
        <v>0</v>
      </c>
      <c r="I115" s="2796">
        <f t="shared" si="76"/>
        <v>0</v>
      </c>
      <c r="J115" s="2796">
        <f t="shared" si="76"/>
        <v>0</v>
      </c>
      <c r="K115" s="2796">
        <f t="shared" si="76"/>
        <v>0</v>
      </c>
      <c r="L115" s="2796">
        <f t="shared" si="76"/>
        <v>0</v>
      </c>
      <c r="M115" s="2798">
        <f>M116</f>
        <v>49395</v>
      </c>
      <c r="N115" s="2798">
        <f>N116</f>
        <v>41476</v>
      </c>
      <c r="O115" s="4337"/>
    </row>
    <row r="116" spans="1:15" s="2803" customFormat="1" ht="12.75">
      <c r="A116" s="4411"/>
      <c r="B116" s="2799" t="s">
        <v>12</v>
      </c>
      <c r="C116" s="4340"/>
      <c r="D116" s="2736">
        <f>E116+F116+G116+H116+I116+J116+K116+L116</f>
        <v>49395</v>
      </c>
      <c r="E116" s="2736">
        <v>0</v>
      </c>
      <c r="F116" s="2800">
        <f>8310-391</f>
        <v>7919</v>
      </c>
      <c r="G116" s="2800">
        <f>37035+4441</f>
        <v>41476</v>
      </c>
      <c r="H116" s="2800">
        <f>4050-4050</f>
        <v>0</v>
      </c>
      <c r="I116" s="2800">
        <v>0</v>
      </c>
      <c r="J116" s="2800">
        <v>0</v>
      </c>
      <c r="K116" s="2800">
        <v>0</v>
      </c>
      <c r="L116" s="2800">
        <v>0</v>
      </c>
      <c r="M116" s="2801">
        <f>SUM(F116:K116)</f>
        <v>49395</v>
      </c>
      <c r="N116" s="2801">
        <f>SUM(G116:L116)</f>
        <v>41476</v>
      </c>
      <c r="O116" s="4337"/>
    </row>
    <row r="117" spans="1:15" s="2803" customFormat="1" ht="12.75">
      <c r="A117" s="4411"/>
      <c r="B117" s="2802" t="s">
        <v>18</v>
      </c>
      <c r="C117" s="4340"/>
      <c r="D117" s="2795">
        <f>D118</f>
        <v>279905</v>
      </c>
      <c r="E117" s="2942">
        <f t="shared" ref="E117:N117" si="77">+E118</f>
        <v>0</v>
      </c>
      <c r="F117" s="2796">
        <f t="shared" ref="F117:H117" si="78">F118</f>
        <v>44873</v>
      </c>
      <c r="G117" s="2796">
        <f t="shared" si="78"/>
        <v>235032</v>
      </c>
      <c r="H117" s="2796">
        <f t="shared" si="78"/>
        <v>0</v>
      </c>
      <c r="I117" s="2796">
        <f t="shared" ref="I117:L117" si="79">I118</f>
        <v>0</v>
      </c>
      <c r="J117" s="2796">
        <f t="shared" si="79"/>
        <v>0</v>
      </c>
      <c r="K117" s="2796">
        <f t="shared" si="79"/>
        <v>0</v>
      </c>
      <c r="L117" s="2796">
        <f t="shared" si="79"/>
        <v>0</v>
      </c>
      <c r="M117" s="2798">
        <f t="shared" si="77"/>
        <v>279905</v>
      </c>
      <c r="N117" s="2798">
        <f t="shared" si="77"/>
        <v>235032</v>
      </c>
      <c r="O117" s="4337"/>
    </row>
    <row r="118" spans="1:15" s="2803" customFormat="1" ht="12.75">
      <c r="A118" s="4411"/>
      <c r="B118" s="2803" t="s">
        <v>21</v>
      </c>
      <c r="C118" s="4341"/>
      <c r="D118" s="2736">
        <f>E118+F118+G118+H118+I118+J118+K118+L118</f>
        <v>279905</v>
      </c>
      <c r="E118" s="2736">
        <v>0</v>
      </c>
      <c r="F118" s="2800">
        <f>47090-2217</f>
        <v>44873</v>
      </c>
      <c r="G118" s="2800">
        <f>209865+25167</f>
        <v>235032</v>
      </c>
      <c r="H118" s="2800">
        <f>22950-22950</f>
        <v>0</v>
      </c>
      <c r="I118" s="2800">
        <v>0</v>
      </c>
      <c r="J118" s="2800">
        <v>0</v>
      </c>
      <c r="K118" s="2800">
        <v>0</v>
      </c>
      <c r="L118" s="2800">
        <v>0</v>
      </c>
      <c r="M118" s="2801">
        <f>SUM(F118:K118)</f>
        <v>279905</v>
      </c>
      <c r="N118" s="2801">
        <f>SUM(G118:L118)</f>
        <v>235032</v>
      </c>
      <c r="O118" s="4337"/>
    </row>
    <row r="119" spans="1:15" s="2803" customFormat="1" ht="12.75">
      <c r="A119" s="4411"/>
      <c r="B119" s="2824" t="s">
        <v>22</v>
      </c>
      <c r="C119" s="2792"/>
      <c r="D119" s="2750">
        <f t="shared" ref="D119:L120" si="80">D120</f>
        <v>279905</v>
      </c>
      <c r="E119" s="2750">
        <f t="shared" ref="E119:E120" si="81">+E120</f>
        <v>0</v>
      </c>
      <c r="F119" s="2750">
        <f t="shared" si="80"/>
        <v>0</v>
      </c>
      <c r="G119" s="2750">
        <f t="shared" si="80"/>
        <v>46640</v>
      </c>
      <c r="H119" s="2750">
        <f t="shared" si="80"/>
        <v>178570</v>
      </c>
      <c r="I119" s="2750">
        <f t="shared" si="80"/>
        <v>54695</v>
      </c>
      <c r="J119" s="2750">
        <f t="shared" si="80"/>
        <v>0</v>
      </c>
      <c r="K119" s="2750">
        <f t="shared" si="80"/>
        <v>0</v>
      </c>
      <c r="L119" s="2750">
        <f t="shared" si="80"/>
        <v>0</v>
      </c>
      <c r="M119" s="4342" t="s">
        <v>61</v>
      </c>
      <c r="N119" s="4342" t="s">
        <v>61</v>
      </c>
      <c r="O119" s="4337"/>
    </row>
    <row r="120" spans="1:15" s="2803" customFormat="1" ht="12.75">
      <c r="A120" s="4411"/>
      <c r="B120" s="2946" t="s">
        <v>18</v>
      </c>
      <c r="C120" s="4346" t="s">
        <v>171</v>
      </c>
      <c r="D120" s="2797">
        <f t="shared" si="80"/>
        <v>279905</v>
      </c>
      <c r="E120" s="2797">
        <f t="shared" si="81"/>
        <v>0</v>
      </c>
      <c r="F120" s="2797">
        <f t="shared" si="80"/>
        <v>0</v>
      </c>
      <c r="G120" s="2797">
        <f t="shared" si="80"/>
        <v>46640</v>
      </c>
      <c r="H120" s="2797">
        <f t="shared" si="80"/>
        <v>178570</v>
      </c>
      <c r="I120" s="2797">
        <f t="shared" si="80"/>
        <v>54695</v>
      </c>
      <c r="J120" s="2797">
        <f t="shared" si="80"/>
        <v>0</v>
      </c>
      <c r="K120" s="2797">
        <f t="shared" si="80"/>
        <v>0</v>
      </c>
      <c r="L120" s="2797">
        <f t="shared" si="80"/>
        <v>0</v>
      </c>
      <c r="M120" s="4343"/>
      <c r="N120" s="4343"/>
      <c r="O120" s="4337"/>
    </row>
    <row r="121" spans="1:15" s="2803" customFormat="1" ht="13.5" thickBot="1">
      <c r="A121" s="4412"/>
      <c r="B121" s="2952" t="s">
        <v>21</v>
      </c>
      <c r="C121" s="4347"/>
      <c r="D121" s="2736">
        <f>E121+F121+G121+H121+I121+J121+K121+L121</f>
        <v>279905</v>
      </c>
      <c r="E121" s="2736">
        <v>0</v>
      </c>
      <c r="F121" s="2807"/>
      <c r="G121" s="2807">
        <f>73100-26460</f>
        <v>46640</v>
      </c>
      <c r="H121" s="2807">
        <f>183855-5285</f>
        <v>178570</v>
      </c>
      <c r="I121" s="2807">
        <f>22950+31745</f>
        <v>54695</v>
      </c>
      <c r="J121" s="2807">
        <v>0</v>
      </c>
      <c r="K121" s="2807">
        <v>0</v>
      </c>
      <c r="L121" s="2807">
        <v>0</v>
      </c>
      <c r="M121" s="4344"/>
      <c r="N121" s="4344"/>
      <c r="O121" s="4345"/>
    </row>
    <row r="122" spans="1:15" s="2803" customFormat="1" ht="34.5" customHeight="1">
      <c r="A122" s="4413" t="s">
        <v>91</v>
      </c>
      <c r="B122" s="2941" t="s">
        <v>450</v>
      </c>
      <c r="C122" s="2785" t="s">
        <v>172</v>
      </c>
      <c r="D122" s="2988"/>
      <c r="E122" s="2787"/>
      <c r="F122" s="2788"/>
      <c r="G122" s="2788"/>
      <c r="H122" s="2788"/>
      <c r="I122" s="2789"/>
      <c r="J122" s="2789"/>
      <c r="K122" s="2789"/>
      <c r="L122" s="2789"/>
      <c r="M122" s="2790"/>
      <c r="N122" s="2790"/>
      <c r="O122" s="4336" t="s">
        <v>437</v>
      </c>
    </row>
    <row r="123" spans="1:15" s="2803" customFormat="1" ht="12.75">
      <c r="A123" s="4411"/>
      <c r="B123" s="2791" t="s">
        <v>10</v>
      </c>
      <c r="C123" s="2792"/>
      <c r="D123" s="2750">
        <f>D124+D128</f>
        <v>693012</v>
      </c>
      <c r="E123" s="2750">
        <f t="shared" ref="E123" si="82">E124+E128</f>
        <v>0</v>
      </c>
      <c r="F123" s="2750">
        <f>F124+F128</f>
        <v>32378</v>
      </c>
      <c r="G123" s="2750">
        <f>G124+G128</f>
        <v>384634</v>
      </c>
      <c r="H123" s="2750">
        <f>H124+H128</f>
        <v>276000</v>
      </c>
      <c r="I123" s="2750">
        <f>+I128</f>
        <v>0</v>
      </c>
      <c r="J123" s="2750">
        <f>+J128</f>
        <v>0</v>
      </c>
      <c r="K123" s="2750">
        <f>+K128</f>
        <v>0</v>
      </c>
      <c r="L123" s="2750">
        <f>+L128</f>
        <v>0</v>
      </c>
      <c r="M123" s="2793">
        <f>M124+M128</f>
        <v>693012</v>
      </c>
      <c r="N123" s="2793">
        <f>N124+N128</f>
        <v>660634</v>
      </c>
      <c r="O123" s="4337"/>
    </row>
    <row r="124" spans="1:15" s="2803" customFormat="1" ht="13.5" thickBot="1">
      <c r="A124" s="4412"/>
      <c r="B124" s="2946" t="s">
        <v>24</v>
      </c>
      <c r="C124" s="4448" t="s">
        <v>432</v>
      </c>
      <c r="D124" s="2797">
        <f>D125</f>
        <v>119262</v>
      </c>
      <c r="E124" s="2733">
        <f t="shared" ref="E124:H124" si="83">E125</f>
        <v>0</v>
      </c>
      <c r="F124" s="2745">
        <f t="shared" si="83"/>
        <v>4857</v>
      </c>
      <c r="G124" s="2745">
        <f t="shared" si="83"/>
        <v>73005</v>
      </c>
      <c r="H124" s="2745">
        <f t="shared" si="83"/>
        <v>41400</v>
      </c>
      <c r="I124" s="2745">
        <v>0</v>
      </c>
      <c r="J124" s="2745">
        <v>0</v>
      </c>
      <c r="K124" s="2745">
        <v>0</v>
      </c>
      <c r="L124" s="2745">
        <v>0</v>
      </c>
      <c r="M124" s="2734">
        <f>M125</f>
        <v>119262</v>
      </c>
      <c r="N124" s="2798">
        <f>N125</f>
        <v>114405</v>
      </c>
      <c r="O124" s="4345"/>
    </row>
    <row r="125" spans="1:15" s="2803" customFormat="1" ht="12.75">
      <c r="A125" s="4411"/>
      <c r="B125" s="2989" t="s">
        <v>12</v>
      </c>
      <c r="C125" s="4340"/>
      <c r="D125" s="2775">
        <f>E125+F125+G125+H125+I125+J125+K125+L125</f>
        <v>119262</v>
      </c>
      <c r="E125" s="2775">
        <v>0</v>
      </c>
      <c r="F125" s="2990">
        <f>15474-10617</f>
        <v>4857</v>
      </c>
      <c r="G125" s="2990">
        <f>62388+10617</f>
        <v>73005</v>
      </c>
      <c r="H125" s="2990">
        <v>41400</v>
      </c>
      <c r="I125" s="2990">
        <v>0</v>
      </c>
      <c r="J125" s="2990">
        <v>0</v>
      </c>
      <c r="K125" s="2990">
        <v>0</v>
      </c>
      <c r="L125" s="2990">
        <v>0</v>
      </c>
      <c r="M125" s="2991">
        <f>SUM(F125:K125)</f>
        <v>119262</v>
      </c>
      <c r="N125" s="2991">
        <f>SUM(G125:L125)</f>
        <v>114405</v>
      </c>
      <c r="O125" s="4337"/>
    </row>
    <row r="126" spans="1:15" s="2803" customFormat="1" ht="15" hidden="1" customHeight="1">
      <c r="A126" s="4411"/>
      <c r="B126" s="2983" t="s">
        <v>447</v>
      </c>
      <c r="C126" s="4340"/>
      <c r="D126" s="2736">
        <f t="shared" ref="D126:D127" si="84">E126+F126+G126+H126+I126+J126+K126+L126</f>
        <v>5597</v>
      </c>
      <c r="E126" s="2984"/>
      <c r="F126" s="2985">
        <f>1500+258+37-148</f>
        <v>1647</v>
      </c>
      <c r="G126" s="2985">
        <f>1500+258+37+360</f>
        <v>2155</v>
      </c>
      <c r="H126" s="2985">
        <f>1500+258+37</f>
        <v>1795</v>
      </c>
      <c r="I126" s="2800"/>
      <c r="J126" s="2800"/>
      <c r="K126" s="2800"/>
      <c r="L126" s="2800"/>
      <c r="M126" s="2801"/>
      <c r="N126" s="2945"/>
      <c r="O126" s="4337"/>
    </row>
    <row r="127" spans="1:15" s="2803" customFormat="1" ht="15" hidden="1" customHeight="1">
      <c r="A127" s="4411"/>
      <c r="B127" s="2983" t="s">
        <v>446</v>
      </c>
      <c r="C127" s="4340"/>
      <c r="D127" s="2736">
        <f t="shared" si="84"/>
        <v>113665</v>
      </c>
      <c r="E127" s="2984"/>
      <c r="F127" s="2985">
        <f>29862+1010+900-17345-750-10467</f>
        <v>3210</v>
      </c>
      <c r="G127" s="2985">
        <f>37887+3262+1350+17345+750+10256</f>
        <v>70850</v>
      </c>
      <c r="H127" s="2985">
        <f>36006+900+2700-1</f>
        <v>39605</v>
      </c>
      <c r="I127" s="2970"/>
      <c r="J127" s="2970"/>
      <c r="K127" s="2970"/>
      <c r="L127" s="2970"/>
      <c r="M127" s="2801"/>
      <c r="N127" s="2945"/>
      <c r="O127" s="4337"/>
    </row>
    <row r="128" spans="1:15" s="2803" customFormat="1" ht="12.75">
      <c r="A128" s="4411"/>
      <c r="B128" s="2802" t="s">
        <v>18</v>
      </c>
      <c r="C128" s="4340"/>
      <c r="D128" s="2795">
        <f>D129</f>
        <v>573750</v>
      </c>
      <c r="E128" s="2942">
        <f t="shared" ref="E128:N128" si="85">+E129</f>
        <v>0</v>
      </c>
      <c r="F128" s="2796">
        <f t="shared" ref="F128:H128" si="86">F129</f>
        <v>27521</v>
      </c>
      <c r="G128" s="2796">
        <f t="shared" si="86"/>
        <v>311629</v>
      </c>
      <c r="H128" s="2796">
        <f t="shared" si="86"/>
        <v>234600</v>
      </c>
      <c r="I128" s="2796">
        <v>0</v>
      </c>
      <c r="J128" s="2796">
        <v>0</v>
      </c>
      <c r="K128" s="2796">
        <v>0</v>
      </c>
      <c r="L128" s="2796">
        <v>0</v>
      </c>
      <c r="M128" s="2734">
        <f t="shared" si="85"/>
        <v>573750</v>
      </c>
      <c r="N128" s="2798">
        <f t="shared" si="85"/>
        <v>546229</v>
      </c>
      <c r="O128" s="4337"/>
    </row>
    <row r="129" spans="1:15" s="2803" customFormat="1" ht="12.75">
      <c r="A129" s="4411"/>
      <c r="B129" s="2803" t="s">
        <v>21</v>
      </c>
      <c r="C129" s="4341"/>
      <c r="D129" s="2736">
        <f>E129+F129+G129+H129+I129+J129+K129+L129</f>
        <v>573750</v>
      </c>
      <c r="E129" s="2736">
        <v>0</v>
      </c>
      <c r="F129" s="2800">
        <f>36651-9130</f>
        <v>27521</v>
      </c>
      <c r="G129" s="2800">
        <f>302499+9130</f>
        <v>311629</v>
      </c>
      <c r="H129" s="2800">
        <v>234600</v>
      </c>
      <c r="I129" s="2800">
        <v>0</v>
      </c>
      <c r="J129" s="2800">
        <v>0</v>
      </c>
      <c r="K129" s="2800">
        <v>0</v>
      </c>
      <c r="L129" s="2800">
        <v>0</v>
      </c>
      <c r="M129" s="2801">
        <f>SUM(F129:K129)</f>
        <v>573750</v>
      </c>
      <c r="N129" s="2801">
        <f>SUM(G129:L129)</f>
        <v>546229</v>
      </c>
      <c r="O129" s="4337"/>
    </row>
    <row r="130" spans="1:15" s="2803" customFormat="1" ht="15" hidden="1" customHeight="1">
      <c r="A130" s="4411"/>
      <c r="B130" s="2983" t="s">
        <v>448</v>
      </c>
      <c r="C130" s="2992"/>
      <c r="D130" s="2736">
        <f t="shared" ref="D130:D131" si="87">E130+F130+G130+H130+I130+J130+K130+L130</f>
        <v>31701</v>
      </c>
      <c r="E130" s="2986"/>
      <c r="F130" s="2985">
        <f>8496+1459+208-829</f>
        <v>9334</v>
      </c>
      <c r="G130" s="2985">
        <f>8496+1459+208+2041</f>
        <v>12204</v>
      </c>
      <c r="H130" s="2985">
        <f>8496+1459+208</f>
        <v>10163</v>
      </c>
      <c r="I130" s="2800"/>
      <c r="J130" s="2800"/>
      <c r="K130" s="2800"/>
      <c r="L130" s="2800"/>
      <c r="M130" s="2987"/>
      <c r="N130" s="2987"/>
      <c r="O130" s="4337"/>
    </row>
    <row r="131" spans="1:15" s="2803" customFormat="1" ht="15" hidden="1" customHeight="1">
      <c r="A131" s="4411"/>
      <c r="B131" s="2983" t="s">
        <v>449</v>
      </c>
      <c r="C131" s="2992"/>
      <c r="D131" s="2736">
        <f t="shared" si="87"/>
        <v>542049</v>
      </c>
      <c r="E131" s="2986"/>
      <c r="F131" s="2985">
        <f>129026-98286-4250-8303</f>
        <v>18187</v>
      </c>
      <c r="G131" s="2985">
        <f>163661+18488+7650+98286+4250+7090</f>
        <v>299425</v>
      </c>
      <c r="H131" s="2985">
        <f>204036+5100+15300+1</f>
        <v>224437</v>
      </c>
      <c r="I131" s="2970"/>
      <c r="J131" s="2970"/>
      <c r="K131" s="2970"/>
      <c r="L131" s="2970"/>
      <c r="M131" s="2987"/>
      <c r="N131" s="2987"/>
      <c r="O131" s="4337"/>
    </row>
    <row r="132" spans="1:15" s="2803" customFormat="1" ht="12.75">
      <c r="A132" s="4411"/>
      <c r="B132" s="2824" t="s">
        <v>22</v>
      </c>
      <c r="C132" s="2792"/>
      <c r="D132" s="2750">
        <f t="shared" ref="D132:L133" si="88">D133</f>
        <v>573750</v>
      </c>
      <c r="E132" s="2750">
        <f t="shared" ref="E132:E133" si="89">+E133</f>
        <v>0</v>
      </c>
      <c r="F132" s="2750">
        <f t="shared" si="88"/>
        <v>0</v>
      </c>
      <c r="G132" s="2750">
        <f t="shared" si="88"/>
        <v>178482</v>
      </c>
      <c r="H132" s="2750">
        <f t="shared" si="88"/>
        <v>308586</v>
      </c>
      <c r="I132" s="2750">
        <f t="shared" si="88"/>
        <v>86682</v>
      </c>
      <c r="J132" s="2750">
        <f t="shared" si="88"/>
        <v>0</v>
      </c>
      <c r="K132" s="2750">
        <f t="shared" si="88"/>
        <v>0</v>
      </c>
      <c r="L132" s="2750">
        <f t="shared" si="88"/>
        <v>0</v>
      </c>
      <c r="M132" s="4342" t="s">
        <v>61</v>
      </c>
      <c r="N132" s="4342" t="s">
        <v>61</v>
      </c>
      <c r="O132" s="4337"/>
    </row>
    <row r="133" spans="1:15" s="2803" customFormat="1" ht="12.75">
      <c r="A133" s="4411"/>
      <c r="B133" s="2946" t="s">
        <v>18</v>
      </c>
      <c r="C133" s="4346" t="s">
        <v>171</v>
      </c>
      <c r="D133" s="2797">
        <f t="shared" si="88"/>
        <v>573750</v>
      </c>
      <c r="E133" s="2797">
        <f t="shared" si="89"/>
        <v>0</v>
      </c>
      <c r="F133" s="2797">
        <f t="shared" si="88"/>
        <v>0</v>
      </c>
      <c r="G133" s="2797">
        <f t="shared" si="88"/>
        <v>178482</v>
      </c>
      <c r="H133" s="2797">
        <f t="shared" si="88"/>
        <v>308586</v>
      </c>
      <c r="I133" s="2797">
        <f t="shared" si="88"/>
        <v>86682</v>
      </c>
      <c r="J133" s="2797">
        <f t="shared" si="88"/>
        <v>0</v>
      </c>
      <c r="K133" s="2797">
        <f t="shared" si="88"/>
        <v>0</v>
      </c>
      <c r="L133" s="2797">
        <f t="shared" si="88"/>
        <v>0</v>
      </c>
      <c r="M133" s="4343"/>
      <c r="N133" s="4343"/>
      <c r="O133" s="4337"/>
    </row>
    <row r="134" spans="1:15" s="2803" customFormat="1" ht="13.5" thickBot="1">
      <c r="A134" s="4412"/>
      <c r="B134" s="2952" t="s">
        <v>21</v>
      </c>
      <c r="C134" s="4347"/>
      <c r="D134" s="2808">
        <f>E134+F134+G134+H134+I134+J134+K134+L134</f>
        <v>573750</v>
      </c>
      <c r="E134" s="2808">
        <v>0</v>
      </c>
      <c r="F134" s="2807">
        <f>48432-48432</f>
        <v>0</v>
      </c>
      <c r="G134" s="2807">
        <f>130050+48432</f>
        <v>178482</v>
      </c>
      <c r="H134" s="2807">
        <v>308586</v>
      </c>
      <c r="I134" s="2807">
        <v>86682</v>
      </c>
      <c r="J134" s="2807">
        <v>0</v>
      </c>
      <c r="K134" s="2807">
        <v>0</v>
      </c>
      <c r="L134" s="2807">
        <v>0</v>
      </c>
      <c r="M134" s="4344"/>
      <c r="N134" s="4344"/>
      <c r="O134" s="4345"/>
    </row>
    <row r="135" spans="1:15" s="2803" customFormat="1" ht="12.75" hidden="1">
      <c r="A135" s="4413" t="s">
        <v>92</v>
      </c>
      <c r="B135" s="2941"/>
      <c r="C135" s="2785" t="s">
        <v>172</v>
      </c>
      <c r="D135" s="2786"/>
      <c r="E135" s="2789"/>
      <c r="F135" s="2788"/>
      <c r="G135" s="2788"/>
      <c r="H135" s="2788"/>
      <c r="I135" s="2789"/>
      <c r="J135" s="2789"/>
      <c r="K135" s="2789"/>
      <c r="L135" s="2789"/>
      <c r="M135" s="2790"/>
      <c r="N135" s="2790"/>
      <c r="O135" s="4336"/>
    </row>
    <row r="136" spans="1:15" s="2803" customFormat="1" ht="15" hidden="1" customHeight="1">
      <c r="A136" s="4411"/>
      <c r="B136" s="2791" t="s">
        <v>10</v>
      </c>
      <c r="C136" s="2792"/>
      <c r="D136" s="2750">
        <f>+D137+D139</f>
        <v>0</v>
      </c>
      <c r="E136" s="2750">
        <f>+E137+E139</f>
        <v>0</v>
      </c>
      <c r="F136" s="2750">
        <f>+F137+F139</f>
        <v>0</v>
      </c>
      <c r="G136" s="2750">
        <f t="shared" ref="G136:H136" si="90">+G137+G139</f>
        <v>0</v>
      </c>
      <c r="H136" s="2750">
        <f t="shared" si="90"/>
        <v>0</v>
      </c>
      <c r="I136" s="2750">
        <v>0</v>
      </c>
      <c r="J136" s="2750">
        <v>0</v>
      </c>
      <c r="K136" s="2750">
        <v>0</v>
      </c>
      <c r="L136" s="2750">
        <v>0</v>
      </c>
      <c r="M136" s="2793">
        <f>+M137+M139</f>
        <v>0</v>
      </c>
      <c r="N136" s="2793">
        <f>+N137+N139</f>
        <v>0</v>
      </c>
      <c r="O136" s="4337"/>
    </row>
    <row r="137" spans="1:15" s="2803" customFormat="1" ht="15" hidden="1" customHeight="1">
      <c r="A137" s="4411"/>
      <c r="B137" s="2794" t="s">
        <v>24</v>
      </c>
      <c r="C137" s="4339" t="s">
        <v>223</v>
      </c>
      <c r="D137" s="2795">
        <f>+D138</f>
        <v>0</v>
      </c>
      <c r="E137" s="2796">
        <f>+E138</f>
        <v>0</v>
      </c>
      <c r="F137" s="2796">
        <f>+F138</f>
        <v>0</v>
      </c>
      <c r="G137" s="2796">
        <f t="shared" ref="G137:H137" si="91">+G138</f>
        <v>0</v>
      </c>
      <c r="H137" s="2796">
        <f t="shared" si="91"/>
        <v>0</v>
      </c>
      <c r="I137" s="2797">
        <v>0</v>
      </c>
      <c r="J137" s="2797">
        <v>0</v>
      </c>
      <c r="K137" s="2797">
        <v>0</v>
      </c>
      <c r="L137" s="2797">
        <v>0</v>
      </c>
      <c r="M137" s="2798">
        <f>+M138</f>
        <v>0</v>
      </c>
      <c r="N137" s="2798">
        <f>+N138</f>
        <v>0</v>
      </c>
      <c r="O137" s="4337"/>
    </row>
    <row r="138" spans="1:15" s="2803" customFormat="1" ht="15" hidden="1" customHeight="1">
      <c r="A138" s="4411"/>
      <c r="B138" s="2799" t="s">
        <v>12</v>
      </c>
      <c r="C138" s="4340"/>
      <c r="D138" s="2736"/>
      <c r="E138" s="2736">
        <v>0</v>
      </c>
      <c r="F138" s="2800"/>
      <c r="G138" s="2800"/>
      <c r="H138" s="2800"/>
      <c r="I138" s="2797">
        <v>0</v>
      </c>
      <c r="J138" s="2797">
        <v>0</v>
      </c>
      <c r="K138" s="2797">
        <v>0</v>
      </c>
      <c r="L138" s="2797">
        <v>0</v>
      </c>
      <c r="M138" s="2801">
        <f>SUM(F138:K138)</f>
        <v>0</v>
      </c>
      <c r="N138" s="2801">
        <f>SUM(G138:L138)</f>
        <v>0</v>
      </c>
      <c r="O138" s="4337"/>
    </row>
    <row r="139" spans="1:15" s="2803" customFormat="1" ht="15" hidden="1" customHeight="1">
      <c r="A139" s="4411"/>
      <c r="B139" s="2802" t="s">
        <v>18</v>
      </c>
      <c r="C139" s="4340"/>
      <c r="D139" s="2795">
        <f>+D140</f>
        <v>0</v>
      </c>
      <c r="E139" s="2796">
        <f>+E140</f>
        <v>0</v>
      </c>
      <c r="F139" s="2796">
        <f>+F140</f>
        <v>0</v>
      </c>
      <c r="G139" s="2796">
        <f t="shared" ref="G139:H139" si="92">+G140</f>
        <v>0</v>
      </c>
      <c r="H139" s="2796">
        <f t="shared" si="92"/>
        <v>0</v>
      </c>
      <c r="I139" s="2797">
        <v>0</v>
      </c>
      <c r="J139" s="2797">
        <v>0</v>
      </c>
      <c r="K139" s="2797">
        <v>0</v>
      </c>
      <c r="L139" s="2797">
        <v>0</v>
      </c>
      <c r="M139" s="2798">
        <f>+M140</f>
        <v>0</v>
      </c>
      <c r="N139" s="2798">
        <f>+N140</f>
        <v>0</v>
      </c>
      <c r="O139" s="4337"/>
    </row>
    <row r="140" spans="1:15" s="2803" customFormat="1" ht="15" hidden="1" customHeight="1">
      <c r="A140" s="4411"/>
      <c r="B140" s="2803" t="s">
        <v>21</v>
      </c>
      <c r="C140" s="4341"/>
      <c r="D140" s="2736"/>
      <c r="E140" s="2736">
        <v>0</v>
      </c>
      <c r="F140" s="2800"/>
      <c r="G140" s="2800"/>
      <c r="H140" s="2800"/>
      <c r="I140" s="2797">
        <v>0</v>
      </c>
      <c r="J140" s="2797">
        <v>0</v>
      </c>
      <c r="K140" s="2797">
        <v>0</v>
      </c>
      <c r="L140" s="2797">
        <v>0</v>
      </c>
      <c r="M140" s="2801">
        <f>SUM(F140:K140)</f>
        <v>0</v>
      </c>
      <c r="N140" s="2801">
        <f>SUM(G140:L140)</f>
        <v>0</v>
      </c>
      <c r="O140" s="4338"/>
    </row>
    <row r="141" spans="1:15" s="2803" customFormat="1" ht="15" hidden="1" customHeight="1">
      <c r="A141" s="4411"/>
      <c r="B141" s="2824" t="s">
        <v>22</v>
      </c>
      <c r="C141" s="2792"/>
      <c r="D141" s="2750">
        <f t="shared" ref="D141:F142" si="93">+D142</f>
        <v>0</v>
      </c>
      <c r="E141" s="2750">
        <f t="shared" si="93"/>
        <v>0</v>
      </c>
      <c r="F141" s="2750">
        <f t="shared" si="93"/>
        <v>0</v>
      </c>
      <c r="G141" s="2750">
        <f t="shared" ref="G141:H141" si="94">+G142</f>
        <v>0</v>
      </c>
      <c r="H141" s="2750">
        <f t="shared" si="94"/>
        <v>0</v>
      </c>
      <c r="I141" s="2750">
        <v>0</v>
      </c>
      <c r="J141" s="2750">
        <v>0</v>
      </c>
      <c r="K141" s="2750">
        <v>0</v>
      </c>
      <c r="L141" s="2750">
        <v>0</v>
      </c>
      <c r="M141" s="4342"/>
      <c r="N141" s="4342"/>
      <c r="O141" s="4337"/>
    </row>
    <row r="142" spans="1:15" s="2803" customFormat="1" ht="15" hidden="1" customHeight="1">
      <c r="A142" s="4411"/>
      <c r="B142" s="2946" t="s">
        <v>18</v>
      </c>
      <c r="C142" s="4346" t="s">
        <v>226</v>
      </c>
      <c r="D142" s="2795">
        <f t="shared" si="93"/>
        <v>0</v>
      </c>
      <c r="E142" s="2797">
        <f t="shared" si="93"/>
        <v>0</v>
      </c>
      <c r="F142" s="2797">
        <f t="shared" si="93"/>
        <v>0</v>
      </c>
      <c r="G142" s="2797">
        <f t="shared" ref="G142:H142" si="95">+G143</f>
        <v>0</v>
      </c>
      <c r="H142" s="2797">
        <f t="shared" si="95"/>
        <v>0</v>
      </c>
      <c r="I142" s="2797">
        <v>0</v>
      </c>
      <c r="J142" s="2797">
        <v>0</v>
      </c>
      <c r="K142" s="2797">
        <v>0</v>
      </c>
      <c r="L142" s="2797">
        <v>0</v>
      </c>
      <c r="M142" s="4343"/>
      <c r="N142" s="4343"/>
      <c r="O142" s="4337"/>
    </row>
    <row r="143" spans="1:15" s="2803" customFormat="1" ht="15" hidden="1" customHeight="1" thickBot="1">
      <c r="A143" s="4412"/>
      <c r="B143" s="2952" t="s">
        <v>21</v>
      </c>
      <c r="C143" s="4347"/>
      <c r="D143" s="2808">
        <f>E143+F143+G143+H143+I143+J143+K143+L143</f>
        <v>0</v>
      </c>
      <c r="E143" s="2808">
        <v>0</v>
      </c>
      <c r="F143" s="2807"/>
      <c r="G143" s="2807"/>
      <c r="H143" s="2807"/>
      <c r="I143" s="2807">
        <v>0</v>
      </c>
      <c r="J143" s="2807">
        <v>0</v>
      </c>
      <c r="K143" s="2807">
        <v>0</v>
      </c>
      <c r="L143" s="2807">
        <v>0</v>
      </c>
      <c r="M143" s="4344"/>
      <c r="N143" s="4344"/>
      <c r="O143" s="4345"/>
    </row>
    <row r="144" spans="1:15" s="2803" customFormat="1" ht="12.75" hidden="1">
      <c r="A144" s="4410" t="s">
        <v>93</v>
      </c>
      <c r="B144" s="2941"/>
      <c r="C144" s="2785" t="s">
        <v>82</v>
      </c>
      <c r="D144" s="2786"/>
      <c r="E144" s="2787"/>
      <c r="F144" s="2788"/>
      <c r="G144" s="2788"/>
      <c r="H144" s="2788"/>
      <c r="I144" s="2789"/>
      <c r="J144" s="2789"/>
      <c r="K144" s="2789"/>
      <c r="L144" s="2789"/>
      <c r="M144" s="2790"/>
      <c r="N144" s="2790"/>
      <c r="O144" s="4336"/>
    </row>
    <row r="145" spans="1:16" s="2803" customFormat="1" ht="15" hidden="1" customHeight="1">
      <c r="A145" s="4411"/>
      <c r="B145" s="2791" t="s">
        <v>10</v>
      </c>
      <c r="C145" s="2792"/>
      <c r="D145" s="2750">
        <f>+D146+D148</f>
        <v>0</v>
      </c>
      <c r="E145" s="2750">
        <f>+E146+E148</f>
        <v>0</v>
      </c>
      <c r="F145" s="2750">
        <f>+F146+F148</f>
        <v>0</v>
      </c>
      <c r="G145" s="2750">
        <f t="shared" ref="G145:I145" si="96">+G146+G148</f>
        <v>0</v>
      </c>
      <c r="H145" s="2750">
        <f t="shared" si="96"/>
        <v>0</v>
      </c>
      <c r="I145" s="2750">
        <f t="shared" si="96"/>
        <v>0</v>
      </c>
      <c r="J145" s="2750">
        <v>0</v>
      </c>
      <c r="K145" s="2750">
        <v>0</v>
      </c>
      <c r="L145" s="2750">
        <v>0</v>
      </c>
      <c r="M145" s="2793">
        <f>+M146+M148</f>
        <v>0</v>
      </c>
      <c r="N145" s="2793">
        <f>+N146+N148</f>
        <v>0</v>
      </c>
      <c r="O145" s="4337"/>
    </row>
    <row r="146" spans="1:16" s="2803" customFormat="1" ht="15" hidden="1" customHeight="1">
      <c r="A146" s="4411"/>
      <c r="B146" s="2794" t="s">
        <v>24</v>
      </c>
      <c r="C146" s="4339" t="s">
        <v>223</v>
      </c>
      <c r="D146" s="2795">
        <f>+D147</f>
        <v>0</v>
      </c>
      <c r="E146" s="2796">
        <f>+E147</f>
        <v>0</v>
      </c>
      <c r="F146" s="2796">
        <f>+F147</f>
        <v>0</v>
      </c>
      <c r="G146" s="2796">
        <f>+G147</f>
        <v>0</v>
      </c>
      <c r="H146" s="2796">
        <f t="shared" ref="H146:I146" si="97">+H147</f>
        <v>0</v>
      </c>
      <c r="I146" s="2796">
        <f t="shared" si="97"/>
        <v>0</v>
      </c>
      <c r="J146" s="2797">
        <v>0</v>
      </c>
      <c r="K146" s="2797">
        <v>0</v>
      </c>
      <c r="L146" s="2797">
        <v>0</v>
      </c>
      <c r="M146" s="2798">
        <f>+M147</f>
        <v>0</v>
      </c>
      <c r="N146" s="2798">
        <f>+N147</f>
        <v>0</v>
      </c>
      <c r="O146" s="4337"/>
    </row>
    <row r="147" spans="1:16" s="2803" customFormat="1" ht="15" hidden="1" customHeight="1">
      <c r="A147" s="4411"/>
      <c r="B147" s="2799" t="s">
        <v>12</v>
      </c>
      <c r="C147" s="4340"/>
      <c r="D147" s="2736"/>
      <c r="E147" s="2736">
        <v>0</v>
      </c>
      <c r="F147" s="2800"/>
      <c r="G147" s="2800"/>
      <c r="H147" s="2800"/>
      <c r="I147" s="2800"/>
      <c r="J147" s="2797">
        <v>0</v>
      </c>
      <c r="K147" s="2797">
        <v>0</v>
      </c>
      <c r="L147" s="2797">
        <v>0</v>
      </c>
      <c r="M147" s="2801">
        <f>SUM(F147:K147)</f>
        <v>0</v>
      </c>
      <c r="N147" s="2801">
        <f>SUM(G147:L147)</f>
        <v>0</v>
      </c>
      <c r="O147" s="4337"/>
    </row>
    <row r="148" spans="1:16" s="2803" customFormat="1" ht="15" hidden="1" customHeight="1">
      <c r="A148" s="4411"/>
      <c r="B148" s="2802" t="s">
        <v>18</v>
      </c>
      <c r="C148" s="4340"/>
      <c r="D148" s="2795">
        <f>+D149</f>
        <v>0</v>
      </c>
      <c r="E148" s="2796">
        <f>+E149</f>
        <v>0</v>
      </c>
      <c r="F148" s="2796">
        <f>+F149</f>
        <v>0</v>
      </c>
      <c r="G148" s="2796">
        <f t="shared" ref="G148:I148" si="98">+G149</f>
        <v>0</v>
      </c>
      <c r="H148" s="2796">
        <f t="shared" si="98"/>
        <v>0</v>
      </c>
      <c r="I148" s="2796">
        <f t="shared" si="98"/>
        <v>0</v>
      </c>
      <c r="J148" s="2797">
        <v>0</v>
      </c>
      <c r="K148" s="2797">
        <v>0</v>
      </c>
      <c r="L148" s="2797">
        <v>0</v>
      </c>
      <c r="M148" s="2798">
        <f>+M149</f>
        <v>0</v>
      </c>
      <c r="N148" s="2798">
        <f>+N149</f>
        <v>0</v>
      </c>
      <c r="O148" s="4337"/>
    </row>
    <row r="149" spans="1:16" s="2803" customFormat="1" ht="15" hidden="1" customHeight="1">
      <c r="A149" s="4411"/>
      <c r="B149" s="2803" t="s">
        <v>21</v>
      </c>
      <c r="C149" s="4341"/>
      <c r="D149" s="2736"/>
      <c r="E149" s="2804">
        <v>0</v>
      </c>
      <c r="F149" s="2805"/>
      <c r="G149" s="2805"/>
      <c r="H149" s="2805"/>
      <c r="I149" s="2805"/>
      <c r="J149" s="2797">
        <v>0</v>
      </c>
      <c r="K149" s="2797">
        <v>0</v>
      </c>
      <c r="L149" s="2797">
        <v>0</v>
      </c>
      <c r="M149" s="2801">
        <f>SUM(F149:K149)</f>
        <v>0</v>
      </c>
      <c r="N149" s="2801">
        <f>SUM(G149:L149)</f>
        <v>0</v>
      </c>
      <c r="O149" s="4338"/>
    </row>
    <row r="150" spans="1:16" s="2803" customFormat="1" ht="15" hidden="1" customHeight="1">
      <c r="A150" s="4411"/>
      <c r="B150" s="2824" t="s">
        <v>22</v>
      </c>
      <c r="C150" s="2792"/>
      <c r="D150" s="2750">
        <f t="shared" ref="D150:F151" si="99">+D151</f>
        <v>0</v>
      </c>
      <c r="E150" s="2676">
        <f t="shared" si="99"/>
        <v>0</v>
      </c>
      <c r="F150" s="2676">
        <f t="shared" si="99"/>
        <v>0</v>
      </c>
      <c r="G150" s="2676">
        <f t="shared" ref="G150:I150" si="100">+G151</f>
        <v>0</v>
      </c>
      <c r="H150" s="2676">
        <f t="shared" si="100"/>
        <v>0</v>
      </c>
      <c r="I150" s="2676">
        <f t="shared" si="100"/>
        <v>0</v>
      </c>
      <c r="J150" s="2750">
        <v>0</v>
      </c>
      <c r="K150" s="2750">
        <v>0</v>
      </c>
      <c r="L150" s="2750">
        <v>0</v>
      </c>
      <c r="M150" s="4342"/>
      <c r="N150" s="4342"/>
      <c r="O150" s="4337"/>
    </row>
    <row r="151" spans="1:16" s="2803" customFormat="1" ht="15" hidden="1" customHeight="1">
      <c r="A151" s="4411"/>
      <c r="B151" s="2946" t="s">
        <v>18</v>
      </c>
      <c r="C151" s="4346" t="s">
        <v>226</v>
      </c>
      <c r="D151" s="2795">
        <f t="shared" si="99"/>
        <v>0</v>
      </c>
      <c r="E151" s="2797">
        <f t="shared" si="99"/>
        <v>0</v>
      </c>
      <c r="F151" s="2797">
        <f t="shared" si="99"/>
        <v>0</v>
      </c>
      <c r="G151" s="2797">
        <f t="shared" ref="G151:I151" si="101">+G152</f>
        <v>0</v>
      </c>
      <c r="H151" s="2797">
        <f t="shared" si="101"/>
        <v>0</v>
      </c>
      <c r="I151" s="2797">
        <f t="shared" si="101"/>
        <v>0</v>
      </c>
      <c r="J151" s="2797">
        <v>0</v>
      </c>
      <c r="K151" s="2797">
        <v>0</v>
      </c>
      <c r="L151" s="2797">
        <v>0</v>
      </c>
      <c r="M151" s="4343"/>
      <c r="N151" s="4343"/>
      <c r="O151" s="4337"/>
    </row>
    <row r="152" spans="1:16" s="2803" customFormat="1" ht="15" hidden="1" customHeight="1" thickBot="1">
      <c r="A152" s="4412"/>
      <c r="B152" s="2952" t="s">
        <v>21</v>
      </c>
      <c r="C152" s="4347"/>
      <c r="D152" s="2736"/>
      <c r="E152" s="2736">
        <v>0</v>
      </c>
      <c r="F152" s="2807"/>
      <c r="G152" s="2807"/>
      <c r="H152" s="2807"/>
      <c r="I152" s="2807"/>
      <c r="J152" s="2807">
        <v>0</v>
      </c>
      <c r="K152" s="2807">
        <v>0</v>
      </c>
      <c r="L152" s="2807">
        <v>0</v>
      </c>
      <c r="M152" s="4344"/>
      <c r="N152" s="4344"/>
      <c r="O152" s="4345"/>
    </row>
    <row r="153" spans="1:16" s="2803" customFormat="1" ht="22.5" customHeight="1">
      <c r="A153" s="4413" t="s">
        <v>92</v>
      </c>
      <c r="B153" s="2941" t="s">
        <v>522</v>
      </c>
      <c r="C153" s="2993" t="s">
        <v>110</v>
      </c>
      <c r="D153" s="2994"/>
      <c r="E153" s="2995"/>
      <c r="F153" s="2788"/>
      <c r="G153" s="2788"/>
      <c r="H153" s="2788"/>
      <c r="I153" s="2789"/>
      <c r="J153" s="2789"/>
      <c r="K153" s="2789"/>
      <c r="L153" s="2789"/>
      <c r="M153" s="2790"/>
      <c r="N153" s="2790"/>
      <c r="O153" s="4336" t="s">
        <v>437</v>
      </c>
    </row>
    <row r="154" spans="1:16" s="2803" customFormat="1" ht="12.75">
      <c r="A154" s="4411"/>
      <c r="B154" s="2791" t="s">
        <v>10</v>
      </c>
      <c r="C154" s="2792"/>
      <c r="D154" s="2750">
        <f>+D155+D159</f>
        <v>653000</v>
      </c>
      <c r="E154" s="2750">
        <f t="shared" ref="E154" si="102">+E155+E159</f>
        <v>0</v>
      </c>
      <c r="F154" s="2750">
        <f t="shared" ref="F154:L154" si="103">+F155+F159</f>
        <v>915</v>
      </c>
      <c r="G154" s="2750">
        <f t="shared" si="103"/>
        <v>214292</v>
      </c>
      <c r="H154" s="2750">
        <f t="shared" si="103"/>
        <v>372867</v>
      </c>
      <c r="I154" s="2750">
        <f t="shared" si="103"/>
        <v>64926</v>
      </c>
      <c r="J154" s="2996">
        <f t="shared" si="103"/>
        <v>0</v>
      </c>
      <c r="K154" s="2996">
        <f t="shared" si="103"/>
        <v>0</v>
      </c>
      <c r="L154" s="2996">
        <f t="shared" si="103"/>
        <v>0</v>
      </c>
      <c r="M154" s="2793">
        <f>+M155+M159</f>
        <v>653000</v>
      </c>
      <c r="N154" s="2793">
        <f>+N155+N159</f>
        <v>652085</v>
      </c>
      <c r="O154" s="4337"/>
      <c r="P154" s="2803" t="s">
        <v>512</v>
      </c>
    </row>
    <row r="155" spans="1:16" s="2803" customFormat="1" ht="15" customHeight="1">
      <c r="A155" s="4411"/>
      <c r="B155" s="2794" t="s">
        <v>24</v>
      </c>
      <c r="C155" s="4339" t="s">
        <v>506</v>
      </c>
      <c r="D155" s="2795">
        <f>SUM(D156)</f>
        <v>98843</v>
      </c>
      <c r="E155" s="2795">
        <f t="shared" ref="E155:L155" si="104">SUM(E156)</f>
        <v>0</v>
      </c>
      <c r="F155" s="2795">
        <f t="shared" si="104"/>
        <v>137</v>
      </c>
      <c r="G155" s="2795">
        <f t="shared" si="104"/>
        <v>32442</v>
      </c>
      <c r="H155" s="2795">
        <f t="shared" si="104"/>
        <v>56227</v>
      </c>
      <c r="I155" s="2795">
        <f t="shared" si="104"/>
        <v>10037</v>
      </c>
      <c r="J155" s="2997">
        <f t="shared" si="104"/>
        <v>0</v>
      </c>
      <c r="K155" s="2997">
        <f t="shared" si="104"/>
        <v>0</v>
      </c>
      <c r="L155" s="2997">
        <f t="shared" si="104"/>
        <v>0</v>
      </c>
      <c r="M155" s="2798">
        <f>+M156</f>
        <v>98843</v>
      </c>
      <c r="N155" s="2798">
        <f>+N156</f>
        <v>98706</v>
      </c>
      <c r="O155" s="4337"/>
    </row>
    <row r="156" spans="1:16" s="2803" customFormat="1" ht="12.75">
      <c r="A156" s="4411"/>
      <c r="B156" s="2799" t="s">
        <v>12</v>
      </c>
      <c r="C156" s="4340"/>
      <c r="D156" s="2736">
        <f>E156+F156+G156+H156+I156+J156+K156+L156</f>
        <v>98843</v>
      </c>
      <c r="E156" s="2736">
        <v>0</v>
      </c>
      <c r="F156" s="2736">
        <f>SUM(F157:F158)</f>
        <v>137</v>
      </c>
      <c r="G156" s="2736">
        <f t="shared" ref="G156:L156" si="105">SUM(G157:G158)</f>
        <v>32442</v>
      </c>
      <c r="H156" s="2736">
        <f t="shared" si="105"/>
        <v>56227</v>
      </c>
      <c r="I156" s="2736">
        <f t="shared" si="105"/>
        <v>10037</v>
      </c>
      <c r="J156" s="2998">
        <f t="shared" si="105"/>
        <v>0</v>
      </c>
      <c r="K156" s="2998">
        <f t="shared" si="105"/>
        <v>0</v>
      </c>
      <c r="L156" s="2998">
        <f t="shared" si="105"/>
        <v>0</v>
      </c>
      <c r="M156" s="2801">
        <f>+M157+M158</f>
        <v>98843</v>
      </c>
      <c r="N156" s="2801">
        <f>+N157+N158</f>
        <v>98706</v>
      </c>
      <c r="O156" s="4337"/>
    </row>
    <row r="157" spans="1:16" s="2803" customFormat="1" ht="15" hidden="1" customHeight="1">
      <c r="A157" s="4411"/>
      <c r="B157" s="2999" t="s">
        <v>507</v>
      </c>
      <c r="C157" s="4340"/>
      <c r="D157" s="2736">
        <f>SUM(E157:L157)</f>
        <v>80557</v>
      </c>
      <c r="E157" s="3000">
        <v>0</v>
      </c>
      <c r="F157" s="2800">
        <f>2151-2014</f>
        <v>137</v>
      </c>
      <c r="G157" s="2800">
        <f>22007+4408</f>
        <v>26415</v>
      </c>
      <c r="H157" s="2800">
        <v>45779</v>
      </c>
      <c r="I157" s="2800">
        <v>8226</v>
      </c>
      <c r="J157" s="3001">
        <v>0</v>
      </c>
      <c r="K157" s="3001">
        <v>0</v>
      </c>
      <c r="L157" s="3001">
        <v>0</v>
      </c>
      <c r="M157" s="2801">
        <f>SUM(F157:K157)</f>
        <v>80557</v>
      </c>
      <c r="N157" s="2801">
        <f>SUM(G157:L157)</f>
        <v>80420</v>
      </c>
      <c r="O157" s="4337"/>
    </row>
    <row r="158" spans="1:16" s="2803" customFormat="1" ht="15" hidden="1" customHeight="1">
      <c r="A158" s="4411"/>
      <c r="B158" s="2999" t="s">
        <v>304</v>
      </c>
      <c r="C158" s="4340"/>
      <c r="D158" s="2736">
        <v>18286</v>
      </c>
      <c r="E158" s="3000">
        <v>0</v>
      </c>
      <c r="F158" s="3002">
        <v>0</v>
      </c>
      <c r="G158" s="2800">
        <v>6027</v>
      </c>
      <c r="H158" s="2800">
        <v>10448</v>
      </c>
      <c r="I158" s="2800">
        <v>1811</v>
      </c>
      <c r="J158" s="3001">
        <v>0</v>
      </c>
      <c r="K158" s="3001">
        <v>0</v>
      </c>
      <c r="L158" s="3001">
        <v>0</v>
      </c>
      <c r="M158" s="2801">
        <f>SUM(F158:K158)</f>
        <v>18286</v>
      </c>
      <c r="N158" s="2801">
        <f>SUM(G158:L158)</f>
        <v>18286</v>
      </c>
      <c r="O158" s="4337"/>
    </row>
    <row r="159" spans="1:16" s="2803" customFormat="1" ht="12.75">
      <c r="A159" s="4411"/>
      <c r="B159" s="2802" t="s">
        <v>18</v>
      </c>
      <c r="C159" s="4340"/>
      <c r="D159" s="2795">
        <f>SUM(E159:L159)</f>
        <v>554157</v>
      </c>
      <c r="E159" s="2795">
        <f t="shared" ref="E159:L159" si="106">SUM(E160)</f>
        <v>0</v>
      </c>
      <c r="F159" s="2795">
        <f t="shared" si="106"/>
        <v>778</v>
      </c>
      <c r="G159" s="2795">
        <f t="shared" si="106"/>
        <v>181850</v>
      </c>
      <c r="H159" s="2795">
        <f t="shared" si="106"/>
        <v>316640</v>
      </c>
      <c r="I159" s="2795">
        <f t="shared" si="106"/>
        <v>54889</v>
      </c>
      <c r="J159" s="2997">
        <f t="shared" si="106"/>
        <v>0</v>
      </c>
      <c r="K159" s="2997">
        <f t="shared" si="106"/>
        <v>0</v>
      </c>
      <c r="L159" s="2997">
        <f t="shared" si="106"/>
        <v>0</v>
      </c>
      <c r="M159" s="2798">
        <f>+M160</f>
        <v>554157</v>
      </c>
      <c r="N159" s="2798">
        <f>+N160</f>
        <v>553379</v>
      </c>
      <c r="O159" s="4337"/>
    </row>
    <row r="160" spans="1:16" s="2803" customFormat="1" ht="12.75">
      <c r="A160" s="4411"/>
      <c r="B160" s="3003" t="s">
        <v>21</v>
      </c>
      <c r="C160" s="4340"/>
      <c r="D160" s="2736">
        <f>E160+F160+G160+H160+I160+J160+K160+L160</f>
        <v>554157</v>
      </c>
      <c r="E160" s="2736">
        <v>0</v>
      </c>
      <c r="F160" s="3004">
        <f t="shared" ref="F160:L160" si="107">SUM(F161:F162)</f>
        <v>778</v>
      </c>
      <c r="G160" s="3004">
        <f t="shared" si="107"/>
        <v>181850</v>
      </c>
      <c r="H160" s="3004">
        <f t="shared" si="107"/>
        <v>316640</v>
      </c>
      <c r="I160" s="3004">
        <f t="shared" si="107"/>
        <v>54889</v>
      </c>
      <c r="J160" s="3005">
        <f t="shared" si="107"/>
        <v>0</v>
      </c>
      <c r="K160" s="3005">
        <f t="shared" si="107"/>
        <v>0</v>
      </c>
      <c r="L160" s="3005">
        <f t="shared" si="107"/>
        <v>0</v>
      </c>
      <c r="M160" s="2801">
        <f>SUM(F160:K160)</f>
        <v>554157</v>
      </c>
      <c r="N160" s="2801">
        <f>SUM(G160:L160)</f>
        <v>553379</v>
      </c>
      <c r="O160" s="4337"/>
    </row>
    <row r="161" spans="1:16" s="2803" customFormat="1" ht="15" hidden="1" customHeight="1">
      <c r="A161" s="4411"/>
      <c r="B161" s="3006" t="s">
        <v>507</v>
      </c>
      <c r="C161" s="4415"/>
      <c r="D161" s="3004">
        <f>SUM(E161:L161)</f>
        <v>450534</v>
      </c>
      <c r="E161" s="3007">
        <v>0</v>
      </c>
      <c r="F161" s="2970">
        <f>12189-11411</f>
        <v>778</v>
      </c>
      <c r="G161" s="2970">
        <f>122723+24977</f>
        <v>147700</v>
      </c>
      <c r="H161" s="2970">
        <v>257431</v>
      </c>
      <c r="I161" s="2970">
        <v>44625</v>
      </c>
      <c r="J161" s="3008">
        <v>0</v>
      </c>
      <c r="K161" s="3008">
        <v>0</v>
      </c>
      <c r="L161" s="3008">
        <v>0</v>
      </c>
      <c r="M161" s="2793">
        <f t="shared" ref="M161:M162" si="108">SUM(E161:K161)</f>
        <v>450534</v>
      </c>
      <c r="N161" s="2801">
        <f>SUM(G161:L161)</f>
        <v>449756</v>
      </c>
      <c r="O161" s="4337"/>
    </row>
    <row r="162" spans="1:16" s="2803" customFormat="1" ht="15" hidden="1" customHeight="1">
      <c r="A162" s="4411"/>
      <c r="B162" s="3009" t="s">
        <v>304</v>
      </c>
      <c r="C162" s="4416"/>
      <c r="D162" s="2736">
        <f>SUM(E162:L162)</f>
        <v>103623</v>
      </c>
      <c r="E162" s="3010">
        <v>0</v>
      </c>
      <c r="F162" s="3011">
        <v>0</v>
      </c>
      <c r="G162" s="2805">
        <v>34150</v>
      </c>
      <c r="H162" s="2805">
        <v>59209</v>
      </c>
      <c r="I162" s="2805">
        <v>10264</v>
      </c>
      <c r="J162" s="3008">
        <v>0</v>
      </c>
      <c r="K162" s="3008">
        <v>0</v>
      </c>
      <c r="L162" s="3008">
        <v>0</v>
      </c>
      <c r="M162" s="2793">
        <f t="shared" si="108"/>
        <v>103623</v>
      </c>
      <c r="N162" s="2801">
        <f>SUM(G162:L162)</f>
        <v>103623</v>
      </c>
      <c r="O162" s="4338"/>
    </row>
    <row r="163" spans="1:16" s="2803" customFormat="1" ht="13.5" customHeight="1">
      <c r="A163" s="4411"/>
      <c r="B163" s="2674" t="s">
        <v>22</v>
      </c>
      <c r="C163" s="2792"/>
      <c r="D163" s="2750">
        <f>SUM(E163:L163)</f>
        <v>554157</v>
      </c>
      <c r="E163" s="2750">
        <f t="shared" ref="E163:L163" si="109">+E164</f>
        <v>0</v>
      </c>
      <c r="F163" s="2996">
        <f t="shared" si="109"/>
        <v>0</v>
      </c>
      <c r="G163" s="2750">
        <f t="shared" si="109"/>
        <v>69700</v>
      </c>
      <c r="H163" s="2750">
        <f t="shared" si="109"/>
        <v>367384</v>
      </c>
      <c r="I163" s="2750">
        <f t="shared" si="109"/>
        <v>117073</v>
      </c>
      <c r="J163" s="2996">
        <f t="shared" si="109"/>
        <v>0</v>
      </c>
      <c r="K163" s="2996">
        <f t="shared" si="109"/>
        <v>0</v>
      </c>
      <c r="L163" s="2996">
        <f t="shared" si="109"/>
        <v>0</v>
      </c>
      <c r="M163" s="4342"/>
      <c r="N163" s="4342"/>
      <c r="O163" s="4414" t="s">
        <v>231</v>
      </c>
    </row>
    <row r="164" spans="1:16" s="2803" customFormat="1" ht="15" customHeight="1">
      <c r="A164" s="4411"/>
      <c r="B164" s="2946" t="s">
        <v>18</v>
      </c>
      <c r="C164" s="4346" t="s">
        <v>171</v>
      </c>
      <c r="D164" s="2795">
        <f>SUM(E164:L164)</f>
        <v>554157</v>
      </c>
      <c r="E164" s="2795">
        <f t="shared" ref="E164:L164" si="110">SUM(E165)</f>
        <v>0</v>
      </c>
      <c r="F164" s="2997">
        <f t="shared" si="110"/>
        <v>0</v>
      </c>
      <c r="G164" s="2795">
        <f t="shared" si="110"/>
        <v>69700</v>
      </c>
      <c r="H164" s="2795">
        <f t="shared" si="110"/>
        <v>367384</v>
      </c>
      <c r="I164" s="2795">
        <f t="shared" si="110"/>
        <v>117073</v>
      </c>
      <c r="J164" s="2997">
        <f t="shared" si="110"/>
        <v>0</v>
      </c>
      <c r="K164" s="2997">
        <f t="shared" si="110"/>
        <v>0</v>
      </c>
      <c r="L164" s="2997">
        <f t="shared" si="110"/>
        <v>0</v>
      </c>
      <c r="M164" s="4343"/>
      <c r="N164" s="4343"/>
      <c r="O164" s="4337"/>
    </row>
    <row r="165" spans="1:16" s="2803" customFormat="1" ht="13.5" thickBot="1">
      <c r="A165" s="4412"/>
      <c r="B165" s="2952" t="s">
        <v>21</v>
      </c>
      <c r="C165" s="4347"/>
      <c r="D165" s="2736">
        <f>E165+F165+G165+H165+I165+J165+K165+L165</f>
        <v>554157</v>
      </c>
      <c r="E165" s="2736">
        <v>0</v>
      </c>
      <c r="F165" s="3012">
        <v>0</v>
      </c>
      <c r="G165" s="2807">
        <v>69700</v>
      </c>
      <c r="H165" s="2807">
        <f>353818+13566</f>
        <v>367384</v>
      </c>
      <c r="I165" s="2807">
        <v>117073</v>
      </c>
      <c r="J165" s="3012">
        <v>0</v>
      </c>
      <c r="K165" s="3012">
        <v>0</v>
      </c>
      <c r="L165" s="3012">
        <v>0</v>
      </c>
      <c r="M165" s="4344"/>
      <c r="N165" s="4344"/>
      <c r="O165" s="4345"/>
    </row>
    <row r="166" spans="1:16" s="2803" customFormat="1" ht="24" hidden="1" customHeight="1">
      <c r="A166" s="4413" t="s">
        <v>93</v>
      </c>
      <c r="B166" s="2941" t="s">
        <v>522</v>
      </c>
      <c r="C166" s="2785" t="s">
        <v>82</v>
      </c>
      <c r="D166" s="2786"/>
      <c r="E166" s="2787"/>
      <c r="F166" s="2788"/>
      <c r="G166" s="2788"/>
      <c r="H166" s="2788"/>
      <c r="I166" s="2789"/>
      <c r="J166" s="2789"/>
      <c r="K166" s="2789"/>
      <c r="L166" s="2789"/>
      <c r="M166" s="2790"/>
      <c r="N166" s="2790"/>
      <c r="O166" s="4336" t="s">
        <v>231</v>
      </c>
      <c r="P166" s="2803" t="s">
        <v>512</v>
      </c>
    </row>
    <row r="167" spans="1:16" s="2803" customFormat="1" ht="12.75" hidden="1">
      <c r="A167" s="4411"/>
      <c r="B167" s="2791" t="s">
        <v>10</v>
      </c>
      <c r="C167" s="2792"/>
      <c r="D167" s="2750">
        <f>SUM(E167:L167)</f>
        <v>0</v>
      </c>
      <c r="E167" s="3013">
        <f>SUM(E168,E170)</f>
        <v>0</v>
      </c>
      <c r="F167" s="2872">
        <f t="shared" ref="F167:L167" si="111">F168+F170</f>
        <v>0</v>
      </c>
      <c r="G167" s="3013">
        <f>SUM(G168,G170)</f>
        <v>0</v>
      </c>
      <c r="H167" s="2872">
        <f t="shared" si="111"/>
        <v>0</v>
      </c>
      <c r="I167" s="2872">
        <f t="shared" si="111"/>
        <v>0</v>
      </c>
      <c r="J167" s="2872">
        <f t="shared" si="111"/>
        <v>0</v>
      </c>
      <c r="K167" s="2872">
        <f t="shared" si="111"/>
        <v>0</v>
      </c>
      <c r="L167" s="2872">
        <f t="shared" si="111"/>
        <v>0</v>
      </c>
      <c r="M167" s="2793">
        <f>+M168+M170</f>
        <v>0</v>
      </c>
      <c r="N167" s="2793">
        <f>+N168+N170</f>
        <v>0</v>
      </c>
      <c r="O167" s="4337"/>
    </row>
    <row r="168" spans="1:16" s="2803" customFormat="1" ht="15" hidden="1" customHeight="1">
      <c r="A168" s="4411"/>
      <c r="B168" s="2794" t="s">
        <v>24</v>
      </c>
      <c r="C168" s="4339" t="s">
        <v>171</v>
      </c>
      <c r="D168" s="2795">
        <f>SUM(E168:L168)</f>
        <v>0</v>
      </c>
      <c r="E168" s="3014">
        <f t="shared" ref="E168:L168" si="112">E169</f>
        <v>0</v>
      </c>
      <c r="F168" s="2960">
        <f t="shared" si="112"/>
        <v>0</v>
      </c>
      <c r="G168" s="3014">
        <f t="shared" si="112"/>
        <v>0</v>
      </c>
      <c r="H168" s="2960">
        <f t="shared" si="112"/>
        <v>0</v>
      </c>
      <c r="I168" s="2960">
        <f t="shared" si="112"/>
        <v>0</v>
      </c>
      <c r="J168" s="2960">
        <f t="shared" si="112"/>
        <v>0</v>
      </c>
      <c r="K168" s="2960">
        <f t="shared" si="112"/>
        <v>0</v>
      </c>
      <c r="L168" s="2960">
        <f t="shared" si="112"/>
        <v>0</v>
      </c>
      <c r="M168" s="2798">
        <f>+M169</f>
        <v>0</v>
      </c>
      <c r="N168" s="2798">
        <f>+N169</f>
        <v>0</v>
      </c>
      <c r="O168" s="4337"/>
    </row>
    <row r="169" spans="1:16" s="2803" customFormat="1" ht="11.25" hidden="1" customHeight="1">
      <c r="A169" s="4411"/>
      <c r="B169" s="2799" t="s">
        <v>12</v>
      </c>
      <c r="C169" s="4340"/>
      <c r="D169" s="2736">
        <f>E169+F169+G169+H169+I169+J169+K169+L169</f>
        <v>0</v>
      </c>
      <c r="E169" s="2736">
        <v>0</v>
      </c>
      <c r="F169" s="2986">
        <v>0</v>
      </c>
      <c r="G169" s="3015">
        <f>2394-2394</f>
        <v>0</v>
      </c>
      <c r="H169" s="2986">
        <v>0</v>
      </c>
      <c r="I169" s="2986">
        <v>0</v>
      </c>
      <c r="J169" s="2986">
        <v>0</v>
      </c>
      <c r="K169" s="2986">
        <v>0</v>
      </c>
      <c r="L169" s="2986">
        <v>0</v>
      </c>
      <c r="M169" s="2801">
        <f>SUM(F169:K169)</f>
        <v>0</v>
      </c>
      <c r="N169" s="2801">
        <f>SUM(G169:L169)</f>
        <v>0</v>
      </c>
      <c r="O169" s="4337"/>
    </row>
    <row r="170" spans="1:16" s="2803" customFormat="1" ht="12.75" hidden="1" customHeight="1">
      <c r="A170" s="4411"/>
      <c r="B170" s="2802" t="s">
        <v>18</v>
      </c>
      <c r="C170" s="4340"/>
      <c r="D170" s="2795">
        <f>SUM(E170:L170)</f>
        <v>0</v>
      </c>
      <c r="E170" s="3014">
        <f>E171</f>
        <v>0</v>
      </c>
      <c r="F170" s="2960">
        <v>0</v>
      </c>
      <c r="G170" s="3014">
        <f>G171</f>
        <v>0</v>
      </c>
      <c r="H170" s="2960">
        <v>0</v>
      </c>
      <c r="I170" s="2960">
        <v>0</v>
      </c>
      <c r="J170" s="2960">
        <v>0</v>
      </c>
      <c r="K170" s="2960">
        <v>0</v>
      </c>
      <c r="L170" s="2960">
        <v>0</v>
      </c>
      <c r="M170" s="2798">
        <f>+M171</f>
        <v>0</v>
      </c>
      <c r="N170" s="2798">
        <f>+N171</f>
        <v>0</v>
      </c>
      <c r="O170" s="4337"/>
    </row>
    <row r="171" spans="1:16" s="2803" customFormat="1" ht="12.75" hidden="1">
      <c r="A171" s="4411"/>
      <c r="B171" s="2803" t="s">
        <v>21</v>
      </c>
      <c r="C171" s="4341"/>
      <c r="D171" s="2736">
        <f>E171+F171+G171+H171+I171+J171+K171+L171</f>
        <v>0</v>
      </c>
      <c r="E171" s="2736">
        <v>0</v>
      </c>
      <c r="F171" s="2986">
        <v>0</v>
      </c>
      <c r="G171" s="3015">
        <f>13566-13566</f>
        <v>0</v>
      </c>
      <c r="H171" s="2986">
        <v>0</v>
      </c>
      <c r="I171" s="2986">
        <v>0</v>
      </c>
      <c r="J171" s="2986">
        <v>0</v>
      </c>
      <c r="K171" s="2986">
        <v>0</v>
      </c>
      <c r="L171" s="2986">
        <v>0</v>
      </c>
      <c r="M171" s="2801">
        <f>SUM(F171:K171)</f>
        <v>0</v>
      </c>
      <c r="N171" s="2801">
        <f>SUM(G171:L171)</f>
        <v>0</v>
      </c>
      <c r="O171" s="4338"/>
    </row>
    <row r="172" spans="1:16" s="2803" customFormat="1" ht="12.75" hidden="1">
      <c r="A172" s="4411"/>
      <c r="B172" s="2824" t="s">
        <v>22</v>
      </c>
      <c r="C172" s="2792"/>
      <c r="D172" s="2750">
        <f>SUM(E172:L172)</f>
        <v>0</v>
      </c>
      <c r="E172" s="3013">
        <f t="shared" ref="E172:L173" si="113">E173</f>
        <v>0</v>
      </c>
      <c r="F172" s="2872">
        <f t="shared" si="113"/>
        <v>0</v>
      </c>
      <c r="G172" s="3013">
        <f t="shared" si="113"/>
        <v>0</v>
      </c>
      <c r="H172" s="2872">
        <f t="shared" si="113"/>
        <v>0</v>
      </c>
      <c r="I172" s="2872">
        <f t="shared" si="113"/>
        <v>0</v>
      </c>
      <c r="J172" s="2872">
        <f t="shared" si="113"/>
        <v>0</v>
      </c>
      <c r="K172" s="2872">
        <f t="shared" si="113"/>
        <v>0</v>
      </c>
      <c r="L172" s="2872">
        <f t="shared" si="113"/>
        <v>0</v>
      </c>
      <c r="M172" s="4342"/>
      <c r="N172" s="4342"/>
      <c r="O172" s="4337" t="s">
        <v>231</v>
      </c>
    </row>
    <row r="173" spans="1:16" s="2803" customFormat="1" ht="12.75" hidden="1" customHeight="1">
      <c r="A173" s="4411"/>
      <c r="B173" s="2946" t="s">
        <v>18</v>
      </c>
      <c r="C173" s="4346" t="s">
        <v>171</v>
      </c>
      <c r="D173" s="2795">
        <f>SUM(E173:L173)</f>
        <v>0</v>
      </c>
      <c r="E173" s="3016">
        <f t="shared" si="113"/>
        <v>0</v>
      </c>
      <c r="F173" s="2962">
        <f t="shared" si="113"/>
        <v>0</v>
      </c>
      <c r="G173" s="3016">
        <f t="shared" si="113"/>
        <v>0</v>
      </c>
      <c r="H173" s="2962">
        <f t="shared" si="113"/>
        <v>0</v>
      </c>
      <c r="I173" s="2962">
        <f t="shared" si="113"/>
        <v>0</v>
      </c>
      <c r="J173" s="2962">
        <f t="shared" si="113"/>
        <v>0</v>
      </c>
      <c r="K173" s="2962">
        <f t="shared" si="113"/>
        <v>0</v>
      </c>
      <c r="L173" s="2962">
        <f t="shared" si="113"/>
        <v>0</v>
      </c>
      <c r="M173" s="4343"/>
      <c r="N173" s="4343"/>
      <c r="O173" s="4337"/>
    </row>
    <row r="174" spans="1:16" s="2803" customFormat="1" ht="12" hidden="1" customHeight="1" thickBot="1">
      <c r="A174" s="4412"/>
      <c r="B174" s="2952" t="s">
        <v>21</v>
      </c>
      <c r="C174" s="4347"/>
      <c r="D174" s="2808">
        <f>E174+F174+G174+H174+I174+J174+K174+L174</f>
        <v>0</v>
      </c>
      <c r="E174" s="2808">
        <v>0</v>
      </c>
      <c r="F174" s="3017">
        <v>0</v>
      </c>
      <c r="G174" s="3018">
        <f>13566-13566</f>
        <v>0</v>
      </c>
      <c r="H174" s="3017">
        <v>0</v>
      </c>
      <c r="I174" s="3017">
        <v>0</v>
      </c>
      <c r="J174" s="3017">
        <v>0</v>
      </c>
      <c r="K174" s="3017">
        <v>0</v>
      </c>
      <c r="L174" s="3017">
        <v>0</v>
      </c>
      <c r="M174" s="4344"/>
      <c r="N174" s="4344"/>
      <c r="O174" s="4345"/>
    </row>
    <row r="175" spans="1:16" s="2803" customFormat="1" ht="40.5" customHeight="1">
      <c r="A175" s="4413" t="s">
        <v>93</v>
      </c>
      <c r="B175" s="2941" t="s">
        <v>523</v>
      </c>
      <c r="C175" s="2785" t="s">
        <v>110</v>
      </c>
      <c r="D175" s="2786"/>
      <c r="E175" s="2787"/>
      <c r="F175" s="2788"/>
      <c r="G175" s="2788"/>
      <c r="H175" s="2788"/>
      <c r="I175" s="2789"/>
      <c r="J175" s="2789"/>
      <c r="K175" s="2789"/>
      <c r="L175" s="2789"/>
      <c r="M175" s="2790"/>
      <c r="N175" s="2790"/>
      <c r="O175" s="4336" t="s">
        <v>437</v>
      </c>
    </row>
    <row r="176" spans="1:16" s="2803" customFormat="1" ht="15" customHeight="1">
      <c r="A176" s="4411"/>
      <c r="B176" s="2791" t="s">
        <v>10</v>
      </c>
      <c r="C176" s="2792"/>
      <c r="D176" s="2750">
        <f>+D177+D181</f>
        <v>1276500</v>
      </c>
      <c r="E176" s="2750">
        <f t="shared" ref="E176" si="114">+E177+E181</f>
        <v>0</v>
      </c>
      <c r="F176" s="2750">
        <f>+F177+F181</f>
        <v>25422</v>
      </c>
      <c r="G176" s="2750">
        <f>+G177+G181</f>
        <v>545621</v>
      </c>
      <c r="H176" s="2750">
        <f t="shared" ref="H176:L176" si="115">+H177+H181</f>
        <v>671780</v>
      </c>
      <c r="I176" s="2750">
        <f t="shared" si="115"/>
        <v>33677</v>
      </c>
      <c r="J176" s="2996">
        <f t="shared" si="115"/>
        <v>0</v>
      </c>
      <c r="K176" s="2996">
        <f t="shared" si="115"/>
        <v>0</v>
      </c>
      <c r="L176" s="2996">
        <f t="shared" si="115"/>
        <v>0</v>
      </c>
      <c r="M176" s="2793">
        <f>+M177+M181</f>
        <v>1276500</v>
      </c>
      <c r="N176" s="2793">
        <f>+N177+N181</f>
        <v>1251078</v>
      </c>
      <c r="O176" s="4337"/>
    </row>
    <row r="177" spans="1:16" s="2803" customFormat="1" ht="15" customHeight="1">
      <c r="A177" s="4411"/>
      <c r="B177" s="2794" t="s">
        <v>24</v>
      </c>
      <c r="C177" s="4339" t="s">
        <v>506</v>
      </c>
      <c r="D177" s="2795">
        <f>SUM(D178)</f>
        <v>191898</v>
      </c>
      <c r="E177" s="2795">
        <f t="shared" ref="E177:L177" si="116">SUM(E178)</f>
        <v>0</v>
      </c>
      <c r="F177" s="2795">
        <f t="shared" si="116"/>
        <v>3813</v>
      </c>
      <c r="G177" s="2795">
        <f t="shared" si="116"/>
        <v>82013</v>
      </c>
      <c r="H177" s="2795">
        <f t="shared" si="116"/>
        <v>100937</v>
      </c>
      <c r="I177" s="2795">
        <f t="shared" si="116"/>
        <v>5135</v>
      </c>
      <c r="J177" s="2997">
        <f t="shared" si="116"/>
        <v>0</v>
      </c>
      <c r="K177" s="2997">
        <f t="shared" si="116"/>
        <v>0</v>
      </c>
      <c r="L177" s="2997">
        <f t="shared" si="116"/>
        <v>0</v>
      </c>
      <c r="M177" s="2798">
        <f>+M178</f>
        <v>191898</v>
      </c>
      <c r="N177" s="2798">
        <f>+N178</f>
        <v>188085</v>
      </c>
      <c r="O177" s="4337"/>
    </row>
    <row r="178" spans="1:16" s="2803" customFormat="1" ht="12" customHeight="1">
      <c r="A178" s="4411"/>
      <c r="B178" s="2799" t="s">
        <v>12</v>
      </c>
      <c r="C178" s="4340"/>
      <c r="D178" s="2736">
        <f>E178+F178+G178+H178+I178+J178+K178+L178</f>
        <v>191898</v>
      </c>
      <c r="E178" s="2736">
        <v>0</v>
      </c>
      <c r="F178" s="2736">
        <f t="shared" ref="F178:L178" si="117">SUM(F179:F180)</f>
        <v>3813</v>
      </c>
      <c r="G178" s="2736">
        <f t="shared" si="117"/>
        <v>82013</v>
      </c>
      <c r="H178" s="2736">
        <f t="shared" si="117"/>
        <v>100937</v>
      </c>
      <c r="I178" s="2736">
        <f t="shared" si="117"/>
        <v>5135</v>
      </c>
      <c r="J178" s="2998">
        <f t="shared" si="117"/>
        <v>0</v>
      </c>
      <c r="K178" s="2998">
        <f t="shared" si="117"/>
        <v>0</v>
      </c>
      <c r="L178" s="2998">
        <f t="shared" si="117"/>
        <v>0</v>
      </c>
      <c r="M178" s="2801">
        <f>+M179+M180</f>
        <v>191898</v>
      </c>
      <c r="N178" s="2801">
        <f>+N179+N180</f>
        <v>188085</v>
      </c>
      <c r="O178" s="4337"/>
    </row>
    <row r="179" spans="1:16" s="2803" customFormat="1" ht="15" hidden="1" customHeight="1">
      <c r="A179" s="4411"/>
      <c r="B179" s="2999" t="s">
        <v>507</v>
      </c>
      <c r="C179" s="4340"/>
      <c r="D179" s="3019">
        <f>SUM(E179:L179)</f>
        <v>156108</v>
      </c>
      <c r="E179" s="3020">
        <v>0</v>
      </c>
      <c r="F179" s="3021">
        <f>3150-50</f>
        <v>3100</v>
      </c>
      <c r="G179" s="3021">
        <f>66665+50</f>
        <v>66715</v>
      </c>
      <c r="H179" s="3021">
        <v>82100</v>
      </c>
      <c r="I179" s="3021">
        <v>4193</v>
      </c>
      <c r="J179" s="3001">
        <v>0</v>
      </c>
      <c r="K179" s="3001">
        <v>0</v>
      </c>
      <c r="L179" s="3001">
        <v>0</v>
      </c>
      <c r="M179" s="2801">
        <f>SUM(F179:K179)</f>
        <v>156108</v>
      </c>
      <c r="N179" s="2801">
        <f>SUM(G179:L179)</f>
        <v>153008</v>
      </c>
      <c r="O179" s="4337"/>
    </row>
    <row r="180" spans="1:16" s="2803" customFormat="1" ht="15" hidden="1" customHeight="1">
      <c r="A180" s="4411"/>
      <c r="B180" s="2999" t="s">
        <v>304</v>
      </c>
      <c r="C180" s="4340"/>
      <c r="D180" s="3019">
        <f>SUM(E180:L180)</f>
        <v>35790</v>
      </c>
      <c r="E180" s="3020">
        <v>0</v>
      </c>
      <c r="F180" s="3021">
        <f>724-11</f>
        <v>713</v>
      </c>
      <c r="G180" s="3021">
        <f>15287+11</f>
        <v>15298</v>
      </c>
      <c r="H180" s="3021">
        <v>18837</v>
      </c>
      <c r="I180" s="3021">
        <v>942</v>
      </c>
      <c r="J180" s="3001">
        <v>0</v>
      </c>
      <c r="K180" s="3001">
        <v>0</v>
      </c>
      <c r="L180" s="3001">
        <v>0</v>
      </c>
      <c r="M180" s="2801">
        <f>SUM(F180:K180)</f>
        <v>35790</v>
      </c>
      <c r="N180" s="2801">
        <f>SUM(G180:L180)</f>
        <v>35077</v>
      </c>
      <c r="O180" s="4337"/>
    </row>
    <row r="181" spans="1:16" s="2803" customFormat="1" ht="15" customHeight="1">
      <c r="A181" s="4411"/>
      <c r="B181" s="2802" t="s">
        <v>18</v>
      </c>
      <c r="C181" s="4340"/>
      <c r="D181" s="2795">
        <f>SUM(E181:L181)</f>
        <v>1084602</v>
      </c>
      <c r="E181" s="2795">
        <f t="shared" ref="E181:L181" si="118">SUM(E182)</f>
        <v>0</v>
      </c>
      <c r="F181" s="2795">
        <f t="shared" si="118"/>
        <v>21609</v>
      </c>
      <c r="G181" s="2795">
        <f t="shared" si="118"/>
        <v>463608</v>
      </c>
      <c r="H181" s="2795">
        <f t="shared" si="118"/>
        <v>570843</v>
      </c>
      <c r="I181" s="2795">
        <f t="shared" si="118"/>
        <v>28542</v>
      </c>
      <c r="J181" s="2997">
        <f t="shared" si="118"/>
        <v>0</v>
      </c>
      <c r="K181" s="2997">
        <f t="shared" si="118"/>
        <v>0</v>
      </c>
      <c r="L181" s="2997">
        <f t="shared" si="118"/>
        <v>0</v>
      </c>
      <c r="M181" s="2798">
        <f>+M182</f>
        <v>1084602</v>
      </c>
      <c r="N181" s="2798">
        <f>+N182</f>
        <v>1062993</v>
      </c>
      <c r="O181" s="4337"/>
    </row>
    <row r="182" spans="1:16" s="2803" customFormat="1" ht="15" customHeight="1">
      <c r="A182" s="4411"/>
      <c r="B182" s="2803" t="s">
        <v>21</v>
      </c>
      <c r="C182" s="4340"/>
      <c r="D182" s="2736">
        <f>E182+F182+G182+H182+I182+J182+K182+L182</f>
        <v>1084602</v>
      </c>
      <c r="E182" s="2736">
        <v>0</v>
      </c>
      <c r="F182" s="3004">
        <f t="shared" ref="F182:L182" si="119">SUM(F183:F184)</f>
        <v>21609</v>
      </c>
      <c r="G182" s="3004">
        <f t="shared" si="119"/>
        <v>463608</v>
      </c>
      <c r="H182" s="3004">
        <f t="shared" si="119"/>
        <v>570843</v>
      </c>
      <c r="I182" s="3004">
        <f t="shared" si="119"/>
        <v>28542</v>
      </c>
      <c r="J182" s="3005">
        <f t="shared" si="119"/>
        <v>0</v>
      </c>
      <c r="K182" s="3005">
        <f t="shared" si="119"/>
        <v>0</v>
      </c>
      <c r="L182" s="3022">
        <f t="shared" si="119"/>
        <v>0</v>
      </c>
      <c r="M182" s="2801">
        <f>+M183+M184</f>
        <v>1084602</v>
      </c>
      <c r="N182" s="2801">
        <f>+N183+N184</f>
        <v>1062993</v>
      </c>
      <c r="O182" s="4337"/>
    </row>
    <row r="183" spans="1:16" s="2803" customFormat="1" ht="15" hidden="1" customHeight="1">
      <c r="A183" s="4425"/>
      <c r="B183" s="3006" t="s">
        <v>507</v>
      </c>
      <c r="C183" s="4415"/>
      <c r="D183" s="3023">
        <f>SUM(E183:L183)</f>
        <v>881790</v>
      </c>
      <c r="E183" s="3024">
        <v>0</v>
      </c>
      <c r="F183" s="2985">
        <f>17850-282</f>
        <v>17568</v>
      </c>
      <c r="G183" s="2985">
        <f>376635+282</f>
        <v>376917</v>
      </c>
      <c r="H183" s="2985">
        <v>464100</v>
      </c>
      <c r="I183" s="2985">
        <v>23205</v>
      </c>
      <c r="J183" s="3025">
        <v>0</v>
      </c>
      <c r="K183" s="3008">
        <v>0</v>
      </c>
      <c r="L183" s="3008">
        <v>0</v>
      </c>
      <c r="M183" s="2801">
        <f>SUM(F183:K183)</f>
        <v>881790</v>
      </c>
      <c r="N183" s="2801">
        <f>SUM(G183:L183)</f>
        <v>864222</v>
      </c>
      <c r="O183" s="4337"/>
    </row>
    <row r="184" spans="1:16" s="2803" customFormat="1" ht="15" hidden="1" customHeight="1">
      <c r="A184" s="4425"/>
      <c r="B184" s="3009" t="s">
        <v>304</v>
      </c>
      <c r="C184" s="4416"/>
      <c r="D184" s="3019">
        <f>SUM(E184:L184)</f>
        <v>202812</v>
      </c>
      <c r="E184" s="3026">
        <v>0</v>
      </c>
      <c r="F184" s="3027">
        <f>4106-65</f>
        <v>4041</v>
      </c>
      <c r="G184" s="3027">
        <f>86626+65</f>
        <v>86691</v>
      </c>
      <c r="H184" s="3027">
        <v>106743</v>
      </c>
      <c r="I184" s="3027">
        <v>5337</v>
      </c>
      <c r="J184" s="3025">
        <v>0</v>
      </c>
      <c r="K184" s="3008">
        <v>0</v>
      </c>
      <c r="L184" s="3008">
        <v>0</v>
      </c>
      <c r="M184" s="2801">
        <f>SUM(F184:K184)</f>
        <v>202812</v>
      </c>
      <c r="N184" s="2801">
        <f>SUM(G184:L184)</f>
        <v>198771</v>
      </c>
      <c r="O184" s="4338"/>
    </row>
    <row r="185" spans="1:16" s="2803" customFormat="1" ht="15" customHeight="1">
      <c r="A185" s="4411"/>
      <c r="B185" s="2674" t="s">
        <v>22</v>
      </c>
      <c r="C185" s="2792"/>
      <c r="D185" s="2750">
        <f>SUM(E185:L185)</f>
        <v>1084602</v>
      </c>
      <c r="E185" s="2750">
        <f t="shared" ref="E185:L185" si="120">+E186</f>
        <v>0</v>
      </c>
      <c r="F185" s="2996">
        <f t="shared" si="120"/>
        <v>0</v>
      </c>
      <c r="G185" s="2750">
        <f t="shared" si="120"/>
        <v>253586</v>
      </c>
      <c r="H185" s="2750">
        <f t="shared" si="120"/>
        <v>517052</v>
      </c>
      <c r="I185" s="2750">
        <f t="shared" si="120"/>
        <v>313964</v>
      </c>
      <c r="J185" s="2996">
        <f t="shared" si="120"/>
        <v>0</v>
      </c>
      <c r="K185" s="2996">
        <f t="shared" si="120"/>
        <v>0</v>
      </c>
      <c r="L185" s="2996">
        <f t="shared" si="120"/>
        <v>0</v>
      </c>
      <c r="M185" s="4342"/>
      <c r="N185" s="4342"/>
      <c r="O185" s="4414" t="s">
        <v>231</v>
      </c>
    </row>
    <row r="186" spans="1:16" s="2803" customFormat="1" ht="15" customHeight="1">
      <c r="A186" s="4411"/>
      <c r="B186" s="2946" t="s">
        <v>18</v>
      </c>
      <c r="C186" s="4346" t="s">
        <v>171</v>
      </c>
      <c r="D186" s="2795">
        <f>SUM(E186:L186)</f>
        <v>1084602</v>
      </c>
      <c r="E186" s="2795">
        <f t="shared" ref="E186:L186" si="121">SUM(E187)</f>
        <v>0</v>
      </c>
      <c r="F186" s="2997">
        <f t="shared" si="121"/>
        <v>0</v>
      </c>
      <c r="G186" s="2795">
        <f t="shared" si="121"/>
        <v>253586</v>
      </c>
      <c r="H186" s="2795">
        <f t="shared" si="121"/>
        <v>517052</v>
      </c>
      <c r="I186" s="2795">
        <f t="shared" si="121"/>
        <v>313964</v>
      </c>
      <c r="J186" s="2997">
        <f t="shared" si="121"/>
        <v>0</v>
      </c>
      <c r="K186" s="2997">
        <f t="shared" si="121"/>
        <v>0</v>
      </c>
      <c r="L186" s="2997">
        <f t="shared" si="121"/>
        <v>0</v>
      </c>
      <c r="M186" s="4343"/>
      <c r="N186" s="4343"/>
      <c r="O186" s="4337"/>
    </row>
    <row r="187" spans="1:16" s="2803" customFormat="1" ht="15" customHeight="1" thickBot="1">
      <c r="A187" s="4412"/>
      <c r="B187" s="2952" t="s">
        <v>21</v>
      </c>
      <c r="C187" s="4347"/>
      <c r="D187" s="2808">
        <f>E187+F187+G187+H187+I187+J187+K187+L187</f>
        <v>1084602</v>
      </c>
      <c r="E187" s="2808">
        <v>0</v>
      </c>
      <c r="F187" s="3012">
        <v>0</v>
      </c>
      <c r="G187" s="2807">
        <v>253586</v>
      </c>
      <c r="H187" s="2807">
        <v>517052</v>
      </c>
      <c r="I187" s="2807">
        <v>313964</v>
      </c>
      <c r="J187" s="3012">
        <v>0</v>
      </c>
      <c r="K187" s="3012">
        <v>0</v>
      </c>
      <c r="L187" s="3012">
        <v>0</v>
      </c>
      <c r="M187" s="4344"/>
      <c r="N187" s="4344"/>
      <c r="O187" s="4345"/>
    </row>
    <row r="188" spans="1:16" s="2803" customFormat="1" ht="27.75" customHeight="1">
      <c r="A188" s="4410" t="s">
        <v>94</v>
      </c>
      <c r="B188" s="2941" t="s">
        <v>708</v>
      </c>
      <c r="C188" s="2785" t="s">
        <v>172</v>
      </c>
      <c r="D188" s="2786"/>
      <c r="E188" s="2787"/>
      <c r="F188" s="2788"/>
      <c r="G188" s="2788"/>
      <c r="H188" s="2788"/>
      <c r="I188" s="2789"/>
      <c r="J188" s="2789"/>
      <c r="K188" s="2789"/>
      <c r="L188" s="2789"/>
      <c r="M188" s="2790"/>
      <c r="N188" s="2790"/>
      <c r="O188" s="4336" t="s">
        <v>428</v>
      </c>
    </row>
    <row r="189" spans="1:16" s="2803" customFormat="1" ht="15" customHeight="1">
      <c r="A189" s="4411"/>
      <c r="B189" s="2791" t="s">
        <v>10</v>
      </c>
      <c r="C189" s="2792"/>
      <c r="D189" s="2750">
        <f>D190+D192</f>
        <v>225600</v>
      </c>
      <c r="E189" s="2872">
        <f t="shared" ref="E189" si="122">E190+E192</f>
        <v>0</v>
      </c>
      <c r="F189" s="2872">
        <f t="shared" ref="F189" si="123">+F192</f>
        <v>0</v>
      </c>
      <c r="G189" s="2750">
        <f>G190+G194</f>
        <v>1000</v>
      </c>
      <c r="H189" s="2750">
        <f t="shared" ref="H189:L189" si="124">H190+H194</f>
        <v>1000</v>
      </c>
      <c r="I189" s="2750">
        <f>I190+I192</f>
        <v>223600</v>
      </c>
      <c r="J189" s="2872">
        <f>J190+J192</f>
        <v>0</v>
      </c>
      <c r="K189" s="2872">
        <f t="shared" si="124"/>
        <v>0</v>
      </c>
      <c r="L189" s="2872">
        <f t="shared" si="124"/>
        <v>0</v>
      </c>
      <c r="M189" s="2793">
        <f>+M192+M190</f>
        <v>225600</v>
      </c>
      <c r="N189" s="2793">
        <f>+N192+N190</f>
        <v>225600</v>
      </c>
      <c r="O189" s="4337"/>
      <c r="P189" s="2803" t="s">
        <v>486</v>
      </c>
    </row>
    <row r="190" spans="1:16" s="2803" customFormat="1" ht="15" customHeight="1">
      <c r="A190" s="4411"/>
      <c r="B190" s="2794" t="s">
        <v>24</v>
      </c>
      <c r="C190" s="4339" t="s">
        <v>223</v>
      </c>
      <c r="D190" s="2795">
        <f>D191</f>
        <v>36390</v>
      </c>
      <c r="E190" s="2947">
        <f t="shared" ref="E190:F190" si="125">E191</f>
        <v>0</v>
      </c>
      <c r="F190" s="2947">
        <f t="shared" si="125"/>
        <v>0</v>
      </c>
      <c r="G190" s="2796">
        <f>G191</f>
        <v>1000</v>
      </c>
      <c r="H190" s="2796">
        <f>H191</f>
        <v>1000</v>
      </c>
      <c r="I190" s="2796">
        <f t="shared" ref="I190:L190" si="126">I191</f>
        <v>34390</v>
      </c>
      <c r="J190" s="2962">
        <f t="shared" si="126"/>
        <v>0</v>
      </c>
      <c r="K190" s="2962">
        <f t="shared" si="126"/>
        <v>0</v>
      </c>
      <c r="L190" s="2962">
        <f t="shared" si="126"/>
        <v>0</v>
      </c>
      <c r="M190" s="2798">
        <f>M191</f>
        <v>36390</v>
      </c>
      <c r="N190" s="2798">
        <f>N191</f>
        <v>36390</v>
      </c>
      <c r="O190" s="4337"/>
    </row>
    <row r="191" spans="1:16" s="2803" customFormat="1" ht="15" customHeight="1">
      <c r="A191" s="4411"/>
      <c r="B191" s="2799" t="s">
        <v>12</v>
      </c>
      <c r="C191" s="4340"/>
      <c r="D191" s="2736">
        <f>E191+F191+G191+H191+I191+J191+K191+L191</f>
        <v>36390</v>
      </c>
      <c r="E191" s="2968">
        <v>0</v>
      </c>
      <c r="F191" s="2968">
        <v>0</v>
      </c>
      <c r="G191" s="2800">
        <v>1000</v>
      </c>
      <c r="H191" s="2800">
        <v>1000</v>
      </c>
      <c r="I191" s="2800">
        <v>34390</v>
      </c>
      <c r="J191" s="2962">
        <v>0</v>
      </c>
      <c r="K191" s="2968">
        <v>0</v>
      </c>
      <c r="L191" s="2968">
        <v>0</v>
      </c>
      <c r="M191" s="2801">
        <f>SUM(F191:K191)</f>
        <v>36390</v>
      </c>
      <c r="N191" s="2801">
        <f>SUM(G191:L191)</f>
        <v>36390</v>
      </c>
      <c r="O191" s="4337"/>
    </row>
    <row r="192" spans="1:16" s="2803" customFormat="1" ht="15" customHeight="1">
      <c r="A192" s="4411"/>
      <c r="B192" s="2802" t="s">
        <v>18</v>
      </c>
      <c r="C192" s="4340"/>
      <c r="D192" s="2795">
        <f>D193</f>
        <v>189210</v>
      </c>
      <c r="E192" s="2947">
        <f t="shared" ref="E192:N192" si="127">+E193</f>
        <v>0</v>
      </c>
      <c r="F192" s="2947">
        <v>0</v>
      </c>
      <c r="G192" s="3028">
        <f>G193</f>
        <v>0</v>
      </c>
      <c r="H192" s="3028">
        <v>0</v>
      </c>
      <c r="I192" s="2796">
        <f>I193</f>
        <v>189210</v>
      </c>
      <c r="J192" s="2962">
        <v>0</v>
      </c>
      <c r="K192" s="2962">
        <v>0</v>
      </c>
      <c r="L192" s="2962">
        <v>0</v>
      </c>
      <c r="M192" s="2798">
        <f t="shared" si="127"/>
        <v>189210</v>
      </c>
      <c r="N192" s="2798">
        <f t="shared" si="127"/>
        <v>189210</v>
      </c>
      <c r="O192" s="4337"/>
    </row>
    <row r="193" spans="1:16" s="2803" customFormat="1" ht="15" customHeight="1">
      <c r="A193" s="4411"/>
      <c r="B193" s="2803" t="s">
        <v>21</v>
      </c>
      <c r="C193" s="4341"/>
      <c r="D193" s="2736">
        <f>E193+F193+G193+H193+I193+J193+K193+L193</f>
        <v>189210</v>
      </c>
      <c r="E193" s="2968">
        <v>0</v>
      </c>
      <c r="F193" s="2968">
        <v>0</v>
      </c>
      <c r="G193" s="3002">
        <v>0</v>
      </c>
      <c r="H193" s="3002">
        <v>0</v>
      </c>
      <c r="I193" s="2800">
        <v>189210</v>
      </c>
      <c r="J193" s="2968">
        <v>0</v>
      </c>
      <c r="K193" s="2968">
        <v>0</v>
      </c>
      <c r="L193" s="2968">
        <v>0</v>
      </c>
      <c r="M193" s="2801">
        <f>SUM(F193:K193)</f>
        <v>189210</v>
      </c>
      <c r="N193" s="2801">
        <f>SUM(G193:L193)</f>
        <v>189210</v>
      </c>
      <c r="O193" s="4338"/>
    </row>
    <row r="194" spans="1:16" s="2803" customFormat="1" ht="15" customHeight="1">
      <c r="A194" s="4411"/>
      <c r="B194" s="2824" t="s">
        <v>22</v>
      </c>
      <c r="C194" s="2792"/>
      <c r="D194" s="2750">
        <f t="shared" ref="D194:L195" si="128">D195</f>
        <v>189210</v>
      </c>
      <c r="E194" s="2872">
        <f t="shared" ref="E194" si="129">+E197</f>
        <v>0</v>
      </c>
      <c r="F194" s="2872">
        <f t="shared" si="128"/>
        <v>0</v>
      </c>
      <c r="G194" s="2996">
        <f t="shared" si="128"/>
        <v>0</v>
      </c>
      <c r="H194" s="2996">
        <f t="shared" si="128"/>
        <v>0</v>
      </c>
      <c r="I194" s="2996">
        <f t="shared" si="128"/>
        <v>0</v>
      </c>
      <c r="J194" s="2750">
        <f t="shared" si="128"/>
        <v>189210</v>
      </c>
      <c r="K194" s="2872">
        <f t="shared" si="128"/>
        <v>0</v>
      </c>
      <c r="L194" s="2872">
        <f t="shared" si="128"/>
        <v>0</v>
      </c>
      <c r="M194" s="4342" t="s">
        <v>61</v>
      </c>
      <c r="N194" s="4342" t="s">
        <v>61</v>
      </c>
      <c r="O194" s="4337" t="s">
        <v>231</v>
      </c>
    </row>
    <row r="195" spans="1:16" s="2803" customFormat="1" ht="15" customHeight="1">
      <c r="A195" s="4411"/>
      <c r="B195" s="2946" t="s">
        <v>18</v>
      </c>
      <c r="C195" s="4346" t="s">
        <v>582</v>
      </c>
      <c r="D195" s="2797">
        <f t="shared" si="128"/>
        <v>189210</v>
      </c>
      <c r="E195" s="2947">
        <f t="shared" si="128"/>
        <v>0</v>
      </c>
      <c r="F195" s="2962">
        <f t="shared" si="128"/>
        <v>0</v>
      </c>
      <c r="G195" s="3001">
        <f t="shared" si="128"/>
        <v>0</v>
      </c>
      <c r="H195" s="3001">
        <f t="shared" si="128"/>
        <v>0</v>
      </c>
      <c r="I195" s="3001">
        <f t="shared" si="128"/>
        <v>0</v>
      </c>
      <c r="J195" s="2797">
        <f t="shared" si="128"/>
        <v>189210</v>
      </c>
      <c r="K195" s="2962">
        <f t="shared" si="128"/>
        <v>0</v>
      </c>
      <c r="L195" s="2962">
        <f t="shared" si="128"/>
        <v>0</v>
      </c>
      <c r="M195" s="4343"/>
      <c r="N195" s="4343"/>
      <c r="O195" s="4337"/>
    </row>
    <row r="196" spans="1:16" s="2803" customFormat="1" ht="15" customHeight="1" thickBot="1">
      <c r="A196" s="4412"/>
      <c r="B196" s="2952" t="s">
        <v>21</v>
      </c>
      <c r="C196" s="4347"/>
      <c r="D196" s="2736">
        <f>E196+F196+G196+H196+I196+J196+K196+L196</f>
        <v>189210</v>
      </c>
      <c r="E196" s="2968">
        <v>0</v>
      </c>
      <c r="F196" s="2965">
        <v>0</v>
      </c>
      <c r="G196" s="3012">
        <v>0</v>
      </c>
      <c r="H196" s="3012">
        <v>0</v>
      </c>
      <c r="I196" s="3012">
        <v>0</v>
      </c>
      <c r="J196" s="2807">
        <v>189210</v>
      </c>
      <c r="K196" s="2968">
        <v>0</v>
      </c>
      <c r="L196" s="2968">
        <v>0</v>
      </c>
      <c r="M196" s="4344"/>
      <c r="N196" s="4344"/>
      <c r="O196" s="4345"/>
    </row>
    <row r="197" spans="1:16" s="2803" customFormat="1" ht="29.25" customHeight="1">
      <c r="A197" s="4413" t="s">
        <v>95</v>
      </c>
      <c r="B197" s="2941" t="s">
        <v>593</v>
      </c>
      <c r="C197" s="2785" t="s">
        <v>82</v>
      </c>
      <c r="D197" s="2786"/>
      <c r="E197" s="2787"/>
      <c r="F197" s="2788"/>
      <c r="G197" s="2788"/>
      <c r="H197" s="2788"/>
      <c r="I197" s="2789"/>
      <c r="J197" s="2789"/>
      <c r="K197" s="2789"/>
      <c r="L197" s="2789"/>
      <c r="M197" s="2790"/>
      <c r="N197" s="2790"/>
      <c r="O197" s="4336" t="s">
        <v>428</v>
      </c>
    </row>
    <row r="198" spans="1:16" s="2803" customFormat="1" ht="15" customHeight="1">
      <c r="A198" s="4411"/>
      <c r="B198" s="2791" t="s">
        <v>10</v>
      </c>
      <c r="C198" s="2792"/>
      <c r="D198" s="2750">
        <f>D199+D202</f>
        <v>6246481</v>
      </c>
      <c r="E198" s="2750">
        <f t="shared" ref="E198" si="130">E199+E202</f>
        <v>284314</v>
      </c>
      <c r="F198" s="3029">
        <f>F199</f>
        <v>30000</v>
      </c>
      <c r="G198" s="2750">
        <f>+G202+G199</f>
        <v>1804842</v>
      </c>
      <c r="H198" s="2750">
        <f>+H202+H199</f>
        <v>1983007</v>
      </c>
      <c r="I198" s="2750">
        <f t="shared" ref="I198:L198" si="131">+I202+I199</f>
        <v>2144318</v>
      </c>
      <c r="J198" s="2872">
        <f t="shared" si="131"/>
        <v>0</v>
      </c>
      <c r="K198" s="2872">
        <f t="shared" si="131"/>
        <v>0</v>
      </c>
      <c r="L198" s="2872">
        <f t="shared" si="131"/>
        <v>0</v>
      </c>
      <c r="M198" s="2793">
        <f>+M202+M199</f>
        <v>5962167</v>
      </c>
      <c r="N198" s="2793">
        <f>+N202+N199</f>
        <v>5932167</v>
      </c>
      <c r="O198" s="4337"/>
      <c r="P198" s="2803" t="s">
        <v>486</v>
      </c>
    </row>
    <row r="199" spans="1:16" s="2803" customFormat="1" ht="15" customHeight="1">
      <c r="A199" s="4411"/>
      <c r="B199" s="2794" t="s">
        <v>24</v>
      </c>
      <c r="C199" s="4339" t="s">
        <v>223</v>
      </c>
      <c r="D199" s="2795">
        <f>D200+D201</f>
        <v>1034156</v>
      </c>
      <c r="E199" s="2795">
        <f t="shared" ref="E199:I199" si="132">E200+E201</f>
        <v>114331</v>
      </c>
      <c r="F199" s="2795">
        <f t="shared" si="132"/>
        <v>30000</v>
      </c>
      <c r="G199" s="2795">
        <f t="shared" si="132"/>
        <v>270726</v>
      </c>
      <c r="H199" s="2795">
        <f t="shared" si="132"/>
        <v>297451</v>
      </c>
      <c r="I199" s="2795">
        <f t="shared" si="132"/>
        <v>321648</v>
      </c>
      <c r="J199" s="2968">
        <f t="shared" ref="J199:L199" si="133">J200+J201</f>
        <v>0</v>
      </c>
      <c r="K199" s="2968">
        <f t="shared" si="133"/>
        <v>0</v>
      </c>
      <c r="L199" s="2968">
        <f t="shared" si="133"/>
        <v>0</v>
      </c>
      <c r="M199" s="2798">
        <f>M200+M201</f>
        <v>919825</v>
      </c>
      <c r="N199" s="2798">
        <f>N200</f>
        <v>889825</v>
      </c>
      <c r="O199" s="4337"/>
    </row>
    <row r="200" spans="1:16" s="2803" customFormat="1" ht="15" customHeight="1">
      <c r="A200" s="4411"/>
      <c r="B200" s="2799" t="s">
        <v>12</v>
      </c>
      <c r="C200" s="4340"/>
      <c r="D200" s="2736">
        <f>E200+F200+G200+H200+I200+J200+K200+L200</f>
        <v>1004156</v>
      </c>
      <c r="E200" s="2736">
        <v>114331</v>
      </c>
      <c r="F200" s="2968">
        <v>0</v>
      </c>
      <c r="G200" s="2800">
        <v>270726</v>
      </c>
      <c r="H200" s="2800">
        <v>297451</v>
      </c>
      <c r="I200" s="2800">
        <v>321648</v>
      </c>
      <c r="J200" s="2968">
        <v>0</v>
      </c>
      <c r="K200" s="2968">
        <v>0</v>
      </c>
      <c r="L200" s="2968">
        <v>0</v>
      </c>
      <c r="M200" s="2801">
        <f>SUM(F200:K200)</f>
        <v>889825</v>
      </c>
      <c r="N200" s="2801">
        <f>SUM(G200:L200)</f>
        <v>889825</v>
      </c>
      <c r="O200" s="4337"/>
    </row>
    <row r="201" spans="1:16" s="2803" customFormat="1" ht="15" customHeight="1">
      <c r="A201" s="4411"/>
      <c r="B201" s="2799" t="s">
        <v>15</v>
      </c>
      <c r="C201" s="4340"/>
      <c r="D201" s="2736">
        <f>E201+F201+G201+H201+I201+J201+K201+L201</f>
        <v>30000</v>
      </c>
      <c r="E201" s="2968">
        <v>0</v>
      </c>
      <c r="F201" s="3030">
        <v>30000</v>
      </c>
      <c r="G201" s="3031">
        <v>0</v>
      </c>
      <c r="H201" s="3031">
        <v>0</v>
      </c>
      <c r="I201" s="3031">
        <v>0</v>
      </c>
      <c r="J201" s="3031">
        <v>0</v>
      </c>
      <c r="K201" s="3031">
        <v>0</v>
      </c>
      <c r="L201" s="3031">
        <v>0</v>
      </c>
      <c r="M201" s="2801">
        <f>SUM(F201:K201)</f>
        <v>30000</v>
      </c>
      <c r="N201" s="2945"/>
      <c r="O201" s="4337"/>
    </row>
    <row r="202" spans="1:16" s="2803" customFormat="1" ht="15" customHeight="1">
      <c r="A202" s="4411"/>
      <c r="B202" s="2802" t="s">
        <v>18</v>
      </c>
      <c r="C202" s="4340"/>
      <c r="D202" s="2795">
        <f>D203</f>
        <v>5212325</v>
      </c>
      <c r="E202" s="2942">
        <f t="shared" ref="E202:N202" si="134">+E203</f>
        <v>169983</v>
      </c>
      <c r="F202" s="2947">
        <v>0</v>
      </c>
      <c r="G202" s="2796">
        <f>G203</f>
        <v>1534116</v>
      </c>
      <c r="H202" s="2796">
        <f t="shared" ref="H202:L202" si="135">H203</f>
        <v>1685556</v>
      </c>
      <c r="I202" s="2796">
        <f t="shared" si="135"/>
        <v>1822670</v>
      </c>
      <c r="J202" s="2947">
        <f t="shared" si="135"/>
        <v>0</v>
      </c>
      <c r="K202" s="2947">
        <f t="shared" si="135"/>
        <v>0</v>
      </c>
      <c r="L202" s="2947">
        <f t="shared" si="135"/>
        <v>0</v>
      </c>
      <c r="M202" s="2798">
        <f t="shared" si="134"/>
        <v>5042342</v>
      </c>
      <c r="N202" s="2798">
        <f t="shared" si="134"/>
        <v>5042342</v>
      </c>
      <c r="O202" s="4337"/>
    </row>
    <row r="203" spans="1:16" s="2803" customFormat="1" ht="15" customHeight="1">
      <c r="A203" s="4411"/>
      <c r="B203" s="2803" t="s">
        <v>21</v>
      </c>
      <c r="C203" s="4341"/>
      <c r="D203" s="2736">
        <f>E203+F203+G203+H203+I203+J203+K203+L203</f>
        <v>5212325</v>
      </c>
      <c r="E203" s="2736">
        <v>169983</v>
      </c>
      <c r="F203" s="2968">
        <v>0</v>
      </c>
      <c r="G203" s="2800">
        <v>1534116</v>
      </c>
      <c r="H203" s="2800">
        <v>1685556</v>
      </c>
      <c r="I203" s="2800">
        <v>1822670</v>
      </c>
      <c r="J203" s="3031">
        <v>0</v>
      </c>
      <c r="K203" s="3031">
        <v>0</v>
      </c>
      <c r="L203" s="3031">
        <v>0</v>
      </c>
      <c r="M203" s="2801">
        <f>SUM(F203:K203)</f>
        <v>5042342</v>
      </c>
      <c r="N203" s="2801">
        <f>SUM(G203:L203)</f>
        <v>5042342</v>
      </c>
      <c r="O203" s="4338"/>
    </row>
    <row r="204" spans="1:16" s="2803" customFormat="1" ht="15" customHeight="1">
      <c r="A204" s="4411"/>
      <c r="B204" s="2824" t="s">
        <v>22</v>
      </c>
      <c r="C204" s="2792"/>
      <c r="D204" s="2750">
        <f>D207+D205</f>
        <v>5242325</v>
      </c>
      <c r="E204" s="2872">
        <f t="shared" ref="E204:L204" si="136">E207+E205</f>
        <v>0</v>
      </c>
      <c r="F204" s="2750">
        <f t="shared" si="136"/>
        <v>30000</v>
      </c>
      <c r="G204" s="2750">
        <f t="shared" si="136"/>
        <v>219403</v>
      </c>
      <c r="H204" s="2750">
        <f t="shared" si="136"/>
        <v>1561453</v>
      </c>
      <c r="I204" s="2750">
        <f t="shared" si="136"/>
        <v>1671276</v>
      </c>
      <c r="J204" s="2750">
        <f t="shared" si="136"/>
        <v>1760193</v>
      </c>
      <c r="K204" s="2872">
        <f t="shared" si="136"/>
        <v>0</v>
      </c>
      <c r="L204" s="2872">
        <f t="shared" si="136"/>
        <v>0</v>
      </c>
      <c r="M204" s="4342" t="s">
        <v>61</v>
      </c>
      <c r="N204" s="4342" t="s">
        <v>61</v>
      </c>
      <c r="O204" s="4337" t="s">
        <v>231</v>
      </c>
    </row>
    <row r="205" spans="1:16" s="2803" customFormat="1" ht="15" customHeight="1">
      <c r="A205" s="4411"/>
      <c r="B205" s="2946" t="s">
        <v>583</v>
      </c>
      <c r="C205" s="4346" t="s">
        <v>582</v>
      </c>
      <c r="D205" s="2797">
        <f t="shared" ref="D205:L207" si="137">D206</f>
        <v>30000</v>
      </c>
      <c r="E205" s="2947">
        <f t="shared" ref="E205:E207" si="138">+E206</f>
        <v>0</v>
      </c>
      <c r="F205" s="2948">
        <f t="shared" si="137"/>
        <v>30000</v>
      </c>
      <c r="G205" s="2947">
        <f t="shared" si="137"/>
        <v>0</v>
      </c>
      <c r="H205" s="2947">
        <f t="shared" si="137"/>
        <v>0</v>
      </c>
      <c r="I205" s="2947">
        <f t="shared" si="137"/>
        <v>0</v>
      </c>
      <c r="J205" s="2947">
        <f t="shared" si="137"/>
        <v>0</v>
      </c>
      <c r="K205" s="2947">
        <f t="shared" si="137"/>
        <v>0</v>
      </c>
      <c r="L205" s="2947">
        <f t="shared" si="137"/>
        <v>0</v>
      </c>
      <c r="M205" s="4343"/>
      <c r="N205" s="4343"/>
      <c r="O205" s="4337"/>
    </row>
    <row r="206" spans="1:16" s="2803" customFormat="1" ht="15" customHeight="1">
      <c r="A206" s="4411"/>
      <c r="B206" s="2944" t="s">
        <v>15</v>
      </c>
      <c r="C206" s="4409"/>
      <c r="D206" s="2949">
        <f>E206+F206+G206+H206+I206+J206+K206+L206</f>
        <v>30000</v>
      </c>
      <c r="E206" s="2950">
        <v>0</v>
      </c>
      <c r="F206" s="2951">
        <v>30000</v>
      </c>
      <c r="G206" s="2950">
        <v>0</v>
      </c>
      <c r="H206" s="2950">
        <v>0</v>
      </c>
      <c r="I206" s="2950">
        <v>0</v>
      </c>
      <c r="J206" s="2950">
        <v>0</v>
      </c>
      <c r="K206" s="2950">
        <v>0</v>
      </c>
      <c r="L206" s="2950">
        <v>0</v>
      </c>
      <c r="M206" s="4343"/>
      <c r="N206" s="4343"/>
      <c r="O206" s="4337"/>
    </row>
    <row r="207" spans="1:16" s="2803" customFormat="1" ht="15" customHeight="1">
      <c r="A207" s="4411"/>
      <c r="B207" s="3032" t="s">
        <v>18</v>
      </c>
      <c r="C207" s="4409"/>
      <c r="D207" s="3033">
        <f t="shared" si="137"/>
        <v>5212325</v>
      </c>
      <c r="E207" s="3034">
        <f t="shared" si="138"/>
        <v>0</v>
      </c>
      <c r="F207" s="3035">
        <f t="shared" si="137"/>
        <v>0</v>
      </c>
      <c r="G207" s="3033">
        <f t="shared" si="137"/>
        <v>219403</v>
      </c>
      <c r="H207" s="3033">
        <f t="shared" si="137"/>
        <v>1561453</v>
      </c>
      <c r="I207" s="3033">
        <f t="shared" si="137"/>
        <v>1671276</v>
      </c>
      <c r="J207" s="3033">
        <f t="shared" si="137"/>
        <v>1760193</v>
      </c>
      <c r="K207" s="3034">
        <f t="shared" si="137"/>
        <v>0</v>
      </c>
      <c r="L207" s="3034">
        <f t="shared" si="137"/>
        <v>0</v>
      </c>
      <c r="M207" s="4343"/>
      <c r="N207" s="4343"/>
      <c r="O207" s="4337"/>
    </row>
    <row r="208" spans="1:16" s="2803" customFormat="1" ht="15" customHeight="1" thickBot="1">
      <c r="A208" s="4412"/>
      <c r="B208" s="2952" t="s">
        <v>21</v>
      </c>
      <c r="C208" s="4402"/>
      <c r="D208" s="2808">
        <f>E208+F208+G208+H208+I208+J208+K208+L208</f>
        <v>5212325</v>
      </c>
      <c r="E208" s="3036">
        <v>0</v>
      </c>
      <c r="F208" s="2965">
        <v>0</v>
      </c>
      <c r="G208" s="2807">
        <v>219403</v>
      </c>
      <c r="H208" s="2807">
        <v>1561453</v>
      </c>
      <c r="I208" s="2807">
        <v>1671276</v>
      </c>
      <c r="J208" s="2807">
        <v>1760193</v>
      </c>
      <c r="K208" s="3036">
        <v>0</v>
      </c>
      <c r="L208" s="3036">
        <v>0</v>
      </c>
      <c r="M208" s="4344"/>
      <c r="N208" s="4344"/>
      <c r="O208" s="4345"/>
    </row>
    <row r="209" spans="1:16" s="2803" customFormat="1" ht="27" customHeight="1">
      <c r="A209" s="4406" t="s">
        <v>96</v>
      </c>
      <c r="B209" s="2784" t="s">
        <v>624</v>
      </c>
      <c r="C209" s="2785" t="s">
        <v>172</v>
      </c>
      <c r="D209" s="2786"/>
      <c r="E209" s="2787"/>
      <c r="F209" s="2788"/>
      <c r="G209" s="2788"/>
      <c r="H209" s="2788"/>
      <c r="I209" s="2789"/>
      <c r="J209" s="2789"/>
      <c r="K209" s="2789"/>
      <c r="L209" s="2789"/>
      <c r="M209" s="2790"/>
      <c r="N209" s="2790"/>
      <c r="O209" s="4336" t="s">
        <v>428</v>
      </c>
    </row>
    <row r="210" spans="1:16" s="2803" customFormat="1" ht="15" customHeight="1">
      <c r="A210" s="4407"/>
      <c r="B210" s="2791" t="s">
        <v>10</v>
      </c>
      <c r="C210" s="2792"/>
      <c r="D210" s="2750">
        <f>D211+D213</f>
        <v>161298</v>
      </c>
      <c r="E210" s="2872">
        <f t="shared" ref="E210" si="139">E211+E213</f>
        <v>0</v>
      </c>
      <c r="F210" s="2872">
        <f t="shared" ref="F210" si="140">+F213</f>
        <v>0</v>
      </c>
      <c r="G210" s="2996">
        <f>G211+G215</f>
        <v>0</v>
      </c>
      <c r="H210" s="2750">
        <f t="shared" ref="H210" si="141">H211+H215</f>
        <v>1500</v>
      </c>
      <c r="I210" s="2750">
        <f>I211+I213</f>
        <v>159798</v>
      </c>
      <c r="J210" s="2872">
        <f>J211+J213</f>
        <v>0</v>
      </c>
      <c r="K210" s="2872">
        <f t="shared" ref="K210:L210" si="142">K211+K215</f>
        <v>0</v>
      </c>
      <c r="L210" s="2872">
        <f t="shared" si="142"/>
        <v>0</v>
      </c>
      <c r="M210" s="2793">
        <f>+M213+M211</f>
        <v>161298</v>
      </c>
      <c r="N210" s="2793">
        <f>+N213+N211</f>
        <v>161298</v>
      </c>
      <c r="O210" s="4337"/>
      <c r="P210" s="2803" t="s">
        <v>486</v>
      </c>
    </row>
    <row r="211" spans="1:16" s="2803" customFormat="1" ht="15" customHeight="1">
      <c r="A211" s="4407"/>
      <c r="B211" s="2794" t="s">
        <v>24</v>
      </c>
      <c r="C211" s="4339" t="s">
        <v>223</v>
      </c>
      <c r="D211" s="2795">
        <f>D212</f>
        <v>26745</v>
      </c>
      <c r="E211" s="2947">
        <f t="shared" ref="E211:F211" si="143">E212</f>
        <v>0</v>
      </c>
      <c r="F211" s="2947">
        <f t="shared" si="143"/>
        <v>0</v>
      </c>
      <c r="G211" s="3028">
        <f>G212</f>
        <v>0</v>
      </c>
      <c r="H211" s="2796">
        <f>H212</f>
        <v>1500</v>
      </c>
      <c r="I211" s="2796">
        <f t="shared" ref="I211:L211" si="144">I212</f>
        <v>25245</v>
      </c>
      <c r="J211" s="2962">
        <f t="shared" si="144"/>
        <v>0</v>
      </c>
      <c r="K211" s="2962">
        <f t="shared" si="144"/>
        <v>0</v>
      </c>
      <c r="L211" s="2962">
        <f t="shared" si="144"/>
        <v>0</v>
      </c>
      <c r="M211" s="2798">
        <f>M212</f>
        <v>26745</v>
      </c>
      <c r="N211" s="2798">
        <f>N212</f>
        <v>26745</v>
      </c>
      <c r="O211" s="4337"/>
    </row>
    <row r="212" spans="1:16" s="2803" customFormat="1" ht="15" customHeight="1">
      <c r="A212" s="4407"/>
      <c r="B212" s="2799" t="s">
        <v>12</v>
      </c>
      <c r="C212" s="4340"/>
      <c r="D212" s="2736">
        <f>E212+F212+G212+H212+I212+J212+K212+L212</f>
        <v>26745</v>
      </c>
      <c r="E212" s="2968">
        <v>0</v>
      </c>
      <c r="F212" s="2968">
        <v>0</v>
      </c>
      <c r="G212" s="3002">
        <v>0</v>
      </c>
      <c r="H212" s="2800">
        <v>1500</v>
      </c>
      <c r="I212" s="2800">
        <v>25245</v>
      </c>
      <c r="J212" s="2962">
        <v>0</v>
      </c>
      <c r="K212" s="2968">
        <v>0</v>
      </c>
      <c r="L212" s="2968">
        <v>0</v>
      </c>
      <c r="M212" s="2801">
        <f>SUM(F212:K212)</f>
        <v>26745</v>
      </c>
      <c r="N212" s="2801">
        <f>SUM(G212:L212)</f>
        <v>26745</v>
      </c>
      <c r="O212" s="4337"/>
    </row>
    <row r="213" spans="1:16" s="2803" customFormat="1" ht="15" customHeight="1">
      <c r="A213" s="4407"/>
      <c r="B213" s="2802" t="s">
        <v>18</v>
      </c>
      <c r="C213" s="4340"/>
      <c r="D213" s="2795">
        <f>D214</f>
        <v>134553</v>
      </c>
      <c r="E213" s="2947">
        <f t="shared" ref="E213:N213" si="145">+E214</f>
        <v>0</v>
      </c>
      <c r="F213" s="2947">
        <v>0</v>
      </c>
      <c r="G213" s="3037">
        <f>G214</f>
        <v>0</v>
      </c>
      <c r="H213" s="3037">
        <v>0</v>
      </c>
      <c r="I213" s="2796">
        <f>I214</f>
        <v>134553</v>
      </c>
      <c r="J213" s="2962">
        <v>0</v>
      </c>
      <c r="K213" s="2962">
        <v>0</v>
      </c>
      <c r="L213" s="2962">
        <v>0</v>
      </c>
      <c r="M213" s="2798">
        <f t="shared" si="145"/>
        <v>134553</v>
      </c>
      <c r="N213" s="2798">
        <f t="shared" si="145"/>
        <v>134553</v>
      </c>
      <c r="O213" s="4337"/>
    </row>
    <row r="214" spans="1:16" s="2803" customFormat="1" ht="15" customHeight="1">
      <c r="A214" s="4407"/>
      <c r="B214" s="2803" t="s">
        <v>21</v>
      </c>
      <c r="C214" s="4341"/>
      <c r="D214" s="2736">
        <f>E214+F214+G214+H214+I214+J214+K214+L214</f>
        <v>134553</v>
      </c>
      <c r="E214" s="2968">
        <v>0</v>
      </c>
      <c r="F214" s="2968">
        <v>0</v>
      </c>
      <c r="G214" s="3038">
        <v>0</v>
      </c>
      <c r="H214" s="3038">
        <v>0</v>
      </c>
      <c r="I214" s="2800">
        <v>134553</v>
      </c>
      <c r="J214" s="2968">
        <v>0</v>
      </c>
      <c r="K214" s="2968">
        <v>0</v>
      </c>
      <c r="L214" s="2968">
        <v>0</v>
      </c>
      <c r="M214" s="2801">
        <f>SUM(F214:K214)</f>
        <v>134553</v>
      </c>
      <c r="N214" s="2801">
        <f>SUM(G214:L214)</f>
        <v>134553</v>
      </c>
      <c r="O214" s="4338"/>
    </row>
    <row r="215" spans="1:16" s="2803" customFormat="1" ht="15" customHeight="1">
      <c r="A215" s="4407"/>
      <c r="B215" s="2791" t="s">
        <v>22</v>
      </c>
      <c r="C215" s="2792"/>
      <c r="D215" s="2750">
        <f t="shared" ref="D215:L216" si="146">D216</f>
        <v>134553</v>
      </c>
      <c r="E215" s="2872">
        <f t="shared" ref="E215" si="147">+E218</f>
        <v>0</v>
      </c>
      <c r="F215" s="2872">
        <f t="shared" si="146"/>
        <v>0</v>
      </c>
      <c r="G215" s="3039">
        <f t="shared" si="146"/>
        <v>0</v>
      </c>
      <c r="H215" s="3039">
        <f t="shared" si="146"/>
        <v>0</v>
      </c>
      <c r="I215" s="3039">
        <f t="shared" si="146"/>
        <v>0</v>
      </c>
      <c r="J215" s="2750">
        <f t="shared" si="146"/>
        <v>134553</v>
      </c>
      <c r="K215" s="2872">
        <f t="shared" si="146"/>
        <v>0</v>
      </c>
      <c r="L215" s="2872">
        <f t="shared" si="146"/>
        <v>0</v>
      </c>
      <c r="M215" s="4342" t="s">
        <v>61</v>
      </c>
      <c r="N215" s="4342" t="s">
        <v>61</v>
      </c>
      <c r="O215" s="4337" t="s">
        <v>231</v>
      </c>
    </row>
    <row r="216" spans="1:16" s="2803" customFormat="1" ht="15" customHeight="1">
      <c r="A216" s="4407"/>
      <c r="B216" s="2802" t="s">
        <v>18</v>
      </c>
      <c r="C216" s="4346" t="s">
        <v>582</v>
      </c>
      <c r="D216" s="2797">
        <f t="shared" si="146"/>
        <v>134553</v>
      </c>
      <c r="E216" s="2947">
        <f t="shared" si="146"/>
        <v>0</v>
      </c>
      <c r="F216" s="2962">
        <f t="shared" si="146"/>
        <v>0</v>
      </c>
      <c r="G216" s="3040">
        <f t="shared" si="146"/>
        <v>0</v>
      </c>
      <c r="H216" s="3040">
        <f t="shared" si="146"/>
        <v>0</v>
      </c>
      <c r="I216" s="3040">
        <f t="shared" si="146"/>
        <v>0</v>
      </c>
      <c r="J216" s="2797">
        <f t="shared" si="146"/>
        <v>134553</v>
      </c>
      <c r="K216" s="2962">
        <f t="shared" si="146"/>
        <v>0</v>
      </c>
      <c r="L216" s="2962">
        <f t="shared" si="146"/>
        <v>0</v>
      </c>
      <c r="M216" s="4343"/>
      <c r="N216" s="4343"/>
      <c r="O216" s="4337"/>
    </row>
    <row r="217" spans="1:16" s="2803" customFormat="1" ht="15" customHeight="1" thickBot="1">
      <c r="A217" s="4408"/>
      <c r="B217" s="2806" t="s">
        <v>21</v>
      </c>
      <c r="C217" s="4347"/>
      <c r="D217" s="2808">
        <f>E217+F217+G217+H217+I217+J217+K217+L217</f>
        <v>134553</v>
      </c>
      <c r="E217" s="3036">
        <v>0</v>
      </c>
      <c r="F217" s="2965">
        <v>0</v>
      </c>
      <c r="G217" s="3041">
        <v>0</v>
      </c>
      <c r="H217" s="3041">
        <v>0</v>
      </c>
      <c r="I217" s="3041">
        <v>0</v>
      </c>
      <c r="J217" s="2807">
        <v>134553</v>
      </c>
      <c r="K217" s="3036">
        <v>0</v>
      </c>
      <c r="L217" s="3036">
        <v>0</v>
      </c>
      <c r="M217" s="4344"/>
      <c r="N217" s="4344"/>
      <c r="O217" s="4345"/>
    </row>
    <row r="218" spans="1:16" s="2803" customFormat="1" ht="36.75" customHeight="1">
      <c r="A218" s="4403" t="s">
        <v>97</v>
      </c>
      <c r="B218" s="2784" t="s">
        <v>623</v>
      </c>
      <c r="C218" s="2785" t="s">
        <v>82</v>
      </c>
      <c r="D218" s="2786"/>
      <c r="E218" s="2787"/>
      <c r="F218" s="2788"/>
      <c r="G218" s="2788"/>
      <c r="H218" s="2788"/>
      <c r="I218" s="2789"/>
      <c r="J218" s="2789"/>
      <c r="K218" s="2789"/>
      <c r="L218" s="2789"/>
      <c r="M218" s="2790"/>
      <c r="N218" s="2790"/>
      <c r="O218" s="4336" t="s">
        <v>428</v>
      </c>
    </row>
    <row r="219" spans="1:16" s="2803" customFormat="1" ht="15" customHeight="1">
      <c r="A219" s="4404"/>
      <c r="B219" s="2791" t="s">
        <v>10</v>
      </c>
      <c r="C219" s="2792"/>
      <c r="D219" s="2750">
        <f>D220+D223</f>
        <v>7217997</v>
      </c>
      <c r="E219" s="2750">
        <f t="shared" ref="E219" si="148">E220+E223</f>
        <v>191980</v>
      </c>
      <c r="F219" s="3042">
        <f>F220</f>
        <v>0</v>
      </c>
      <c r="G219" s="2996">
        <f>+G223+G220</f>
        <v>0</v>
      </c>
      <c r="H219" s="2750">
        <f>+H223+H220</f>
        <v>4414172</v>
      </c>
      <c r="I219" s="2750">
        <f t="shared" ref="I219:L219" si="149">+I223+I220</f>
        <v>2611845</v>
      </c>
      <c r="J219" s="2872">
        <f t="shared" si="149"/>
        <v>0</v>
      </c>
      <c r="K219" s="2872">
        <f t="shared" si="149"/>
        <v>0</v>
      </c>
      <c r="L219" s="2872">
        <f t="shared" si="149"/>
        <v>0</v>
      </c>
      <c r="M219" s="2793">
        <f>+M223+M220</f>
        <v>7026017</v>
      </c>
      <c r="N219" s="2793">
        <f>+N223+N220</f>
        <v>7026017</v>
      </c>
      <c r="O219" s="4337"/>
      <c r="P219" s="2803" t="s">
        <v>486</v>
      </c>
    </row>
    <row r="220" spans="1:16" s="2803" customFormat="1" ht="15" customHeight="1">
      <c r="A220" s="4404"/>
      <c r="B220" s="2794" t="s">
        <v>24</v>
      </c>
      <c r="C220" s="4339" t="s">
        <v>223</v>
      </c>
      <c r="D220" s="2795">
        <f>D221+D222</f>
        <v>1203400</v>
      </c>
      <c r="E220" s="2795">
        <f t="shared" ref="E220:L220" si="150">E221+E222</f>
        <v>149497</v>
      </c>
      <c r="F220" s="2997">
        <f t="shared" si="150"/>
        <v>0</v>
      </c>
      <c r="G220" s="2997">
        <f t="shared" si="150"/>
        <v>0</v>
      </c>
      <c r="H220" s="2795">
        <f t="shared" si="150"/>
        <v>662126</v>
      </c>
      <c r="I220" s="2795">
        <f t="shared" si="150"/>
        <v>391777</v>
      </c>
      <c r="J220" s="2968">
        <f t="shared" si="150"/>
        <v>0</v>
      </c>
      <c r="K220" s="2968">
        <f t="shared" si="150"/>
        <v>0</v>
      </c>
      <c r="L220" s="2968">
        <f t="shared" si="150"/>
        <v>0</v>
      </c>
      <c r="M220" s="2798">
        <f>M221+M222</f>
        <v>1053903</v>
      </c>
      <c r="N220" s="2798">
        <f>N221</f>
        <v>1053903</v>
      </c>
      <c r="O220" s="4337"/>
    </row>
    <row r="221" spans="1:16" s="2803" customFormat="1" ht="15" customHeight="1">
      <c r="A221" s="4404"/>
      <c r="B221" s="2799" t="s">
        <v>12</v>
      </c>
      <c r="C221" s="4340"/>
      <c r="D221" s="2736">
        <f>E221+F221+G221+H221+I221+J221+K221+L221</f>
        <v>1083400</v>
      </c>
      <c r="E221" s="2736">
        <v>29497</v>
      </c>
      <c r="F221" s="3031">
        <v>0</v>
      </c>
      <c r="G221" s="3002">
        <v>0</v>
      </c>
      <c r="H221" s="2800">
        <v>662126</v>
      </c>
      <c r="I221" s="2800">
        <v>391777</v>
      </c>
      <c r="J221" s="2968">
        <v>0</v>
      </c>
      <c r="K221" s="2968">
        <v>0</v>
      </c>
      <c r="L221" s="2968">
        <v>0</v>
      </c>
      <c r="M221" s="2801">
        <f>SUM(F221:K221)</f>
        <v>1053903</v>
      </c>
      <c r="N221" s="2801">
        <f>SUM(G221:L221)</f>
        <v>1053903</v>
      </c>
      <c r="O221" s="4337"/>
    </row>
    <row r="222" spans="1:16" s="2803" customFormat="1" ht="15" customHeight="1">
      <c r="A222" s="4404"/>
      <c r="B222" s="2799" t="s">
        <v>15</v>
      </c>
      <c r="C222" s="4340"/>
      <c r="D222" s="3043">
        <f>E222+F222+G222+H222+I222+J222+K222+L222</f>
        <v>120000</v>
      </c>
      <c r="E222" s="3044">
        <v>120000</v>
      </c>
      <c r="F222" s="3031">
        <v>0</v>
      </c>
      <c r="G222" s="3031">
        <v>0</v>
      </c>
      <c r="H222" s="3031">
        <v>0</v>
      </c>
      <c r="I222" s="3031">
        <v>0</v>
      </c>
      <c r="J222" s="3031">
        <v>0</v>
      </c>
      <c r="K222" s="3031">
        <v>0</v>
      </c>
      <c r="L222" s="3031">
        <v>0</v>
      </c>
      <c r="M222" s="2801">
        <f>SUM(F222:K222)</f>
        <v>0</v>
      </c>
      <c r="N222" s="2801">
        <f>SUM(G222:L222)</f>
        <v>0</v>
      </c>
      <c r="O222" s="4337"/>
    </row>
    <row r="223" spans="1:16" s="2803" customFormat="1" ht="15" customHeight="1">
      <c r="A223" s="4404"/>
      <c r="B223" s="2802" t="s">
        <v>18</v>
      </c>
      <c r="C223" s="4340"/>
      <c r="D223" s="2795">
        <f>D224</f>
        <v>6014597</v>
      </c>
      <c r="E223" s="2942">
        <f t="shared" ref="E223:N223" si="151">+E224</f>
        <v>42483</v>
      </c>
      <c r="F223" s="3045">
        <v>0</v>
      </c>
      <c r="G223" s="3028">
        <f>G224</f>
        <v>0</v>
      </c>
      <c r="H223" s="2796">
        <f t="shared" ref="H223:L223" si="152">H224</f>
        <v>3752046</v>
      </c>
      <c r="I223" s="2796">
        <f t="shared" si="152"/>
        <v>2220068</v>
      </c>
      <c r="J223" s="2947">
        <f t="shared" si="152"/>
        <v>0</v>
      </c>
      <c r="K223" s="2947">
        <f t="shared" si="152"/>
        <v>0</v>
      </c>
      <c r="L223" s="2947">
        <f t="shared" si="152"/>
        <v>0</v>
      </c>
      <c r="M223" s="2798">
        <f t="shared" si="151"/>
        <v>5972114</v>
      </c>
      <c r="N223" s="2798">
        <f t="shared" si="151"/>
        <v>5972114</v>
      </c>
      <c r="O223" s="4337"/>
    </row>
    <row r="224" spans="1:16" s="2803" customFormat="1" ht="15" customHeight="1">
      <c r="A224" s="4404"/>
      <c r="B224" s="2803" t="s">
        <v>21</v>
      </c>
      <c r="C224" s="4341"/>
      <c r="D224" s="2736">
        <f>SUM(E224:L224)</f>
        <v>6014597</v>
      </c>
      <c r="E224" s="2736">
        <v>42483</v>
      </c>
      <c r="F224" s="3031">
        <v>0</v>
      </c>
      <c r="G224" s="3002">
        <v>0</v>
      </c>
      <c r="H224" s="2800">
        <v>3752046</v>
      </c>
      <c r="I224" s="2800">
        <v>2220068</v>
      </c>
      <c r="J224" s="3031">
        <v>0</v>
      </c>
      <c r="K224" s="3031">
        <v>0</v>
      </c>
      <c r="L224" s="3031">
        <v>0</v>
      </c>
      <c r="M224" s="2801">
        <f>SUM(F224:K224)</f>
        <v>5972114</v>
      </c>
      <c r="N224" s="2801">
        <f>SUM(G224:L224)</f>
        <v>5972114</v>
      </c>
      <c r="O224" s="4338"/>
    </row>
    <row r="225" spans="1:15" s="2803" customFormat="1" ht="15" customHeight="1">
      <c r="A225" s="4404"/>
      <c r="B225" s="2791" t="s">
        <v>22</v>
      </c>
      <c r="C225" s="2792"/>
      <c r="D225" s="2750">
        <f>D228+D226</f>
        <v>6134597</v>
      </c>
      <c r="E225" s="3046">
        <f t="shared" ref="E225:L225" si="153">E228+E226</f>
        <v>120000</v>
      </c>
      <c r="F225" s="2996">
        <f t="shared" si="153"/>
        <v>0</v>
      </c>
      <c r="G225" s="2996">
        <f t="shared" si="153"/>
        <v>0</v>
      </c>
      <c r="H225" s="2750">
        <f t="shared" si="153"/>
        <v>237555</v>
      </c>
      <c r="I225" s="2750">
        <f t="shared" si="153"/>
        <v>4513210</v>
      </c>
      <c r="J225" s="2750">
        <f t="shared" si="153"/>
        <v>1263832</v>
      </c>
      <c r="K225" s="2872">
        <f t="shared" si="153"/>
        <v>0</v>
      </c>
      <c r="L225" s="2872">
        <f t="shared" si="153"/>
        <v>0</v>
      </c>
      <c r="M225" s="4342" t="s">
        <v>61</v>
      </c>
      <c r="N225" s="4342" t="s">
        <v>61</v>
      </c>
      <c r="O225" s="4337" t="s">
        <v>231</v>
      </c>
    </row>
    <row r="226" spans="1:15" s="2803" customFormat="1" ht="15" customHeight="1">
      <c r="A226" s="4404"/>
      <c r="B226" s="2802" t="s">
        <v>583</v>
      </c>
      <c r="C226" s="4346" t="s">
        <v>582</v>
      </c>
      <c r="D226" s="2797">
        <f t="shared" ref="D226:L228" si="154">D227</f>
        <v>120000</v>
      </c>
      <c r="E226" s="3047">
        <f t="shared" ref="E226:E228" si="155">+E227</f>
        <v>120000</v>
      </c>
      <c r="F226" s="3048">
        <f t="shared" si="154"/>
        <v>0</v>
      </c>
      <c r="G226" s="3045">
        <f t="shared" si="154"/>
        <v>0</v>
      </c>
      <c r="H226" s="2947">
        <f t="shared" si="154"/>
        <v>0</v>
      </c>
      <c r="I226" s="2947">
        <f t="shared" si="154"/>
        <v>0</v>
      </c>
      <c r="J226" s="2947">
        <f t="shared" si="154"/>
        <v>0</v>
      </c>
      <c r="K226" s="2947">
        <f t="shared" si="154"/>
        <v>0</v>
      </c>
      <c r="L226" s="2947">
        <f t="shared" si="154"/>
        <v>0</v>
      </c>
      <c r="M226" s="4343"/>
      <c r="N226" s="4343"/>
      <c r="O226" s="4337"/>
    </row>
    <row r="227" spans="1:15" s="2803" customFormat="1" ht="15" customHeight="1">
      <c r="A227" s="4404"/>
      <c r="B227" s="3049" t="s">
        <v>15</v>
      </c>
      <c r="C227" s="4409"/>
      <c r="D227" s="2949">
        <f>E227+F227+G227+H227+I227+J227+K227+L227</f>
        <v>120000</v>
      </c>
      <c r="E227" s="3050">
        <v>120000</v>
      </c>
      <c r="F227" s="3051">
        <v>0</v>
      </c>
      <c r="G227" s="3052">
        <v>0</v>
      </c>
      <c r="H227" s="2950">
        <v>0</v>
      </c>
      <c r="I227" s="2950">
        <v>0</v>
      </c>
      <c r="J227" s="2950">
        <v>0</v>
      </c>
      <c r="K227" s="2950">
        <v>0</v>
      </c>
      <c r="L227" s="2950">
        <v>0</v>
      </c>
      <c r="M227" s="4343"/>
      <c r="N227" s="4343"/>
      <c r="O227" s="4337"/>
    </row>
    <row r="228" spans="1:15" s="2803" customFormat="1" ht="15" customHeight="1">
      <c r="A228" s="4404"/>
      <c r="B228" s="3053" t="s">
        <v>18</v>
      </c>
      <c r="C228" s="4409"/>
      <c r="D228" s="3033">
        <f t="shared" si="154"/>
        <v>6014597</v>
      </c>
      <c r="E228" s="3034">
        <f t="shared" si="155"/>
        <v>0</v>
      </c>
      <c r="F228" s="3054">
        <f t="shared" si="154"/>
        <v>0</v>
      </c>
      <c r="G228" s="3055">
        <f t="shared" si="154"/>
        <v>0</v>
      </c>
      <c r="H228" s="3033">
        <f t="shared" si="154"/>
        <v>237555</v>
      </c>
      <c r="I228" s="3033">
        <f t="shared" si="154"/>
        <v>4513210</v>
      </c>
      <c r="J228" s="3033">
        <f t="shared" si="154"/>
        <v>1263832</v>
      </c>
      <c r="K228" s="3034">
        <f t="shared" si="154"/>
        <v>0</v>
      </c>
      <c r="L228" s="3034">
        <f t="shared" si="154"/>
        <v>0</v>
      </c>
      <c r="M228" s="4343"/>
      <c r="N228" s="4343"/>
      <c r="O228" s="4337"/>
    </row>
    <row r="229" spans="1:15" s="2803" customFormat="1" ht="15" customHeight="1" thickBot="1">
      <c r="A229" s="4405"/>
      <c r="B229" s="2806" t="s">
        <v>21</v>
      </c>
      <c r="C229" s="4402"/>
      <c r="D229" s="2808">
        <f>E229+F229+G229+H229+I229+J229+K229+L229</f>
        <v>6014597</v>
      </c>
      <c r="E229" s="3036">
        <v>0</v>
      </c>
      <c r="F229" s="3056">
        <v>0</v>
      </c>
      <c r="G229" s="3012">
        <v>0</v>
      </c>
      <c r="H229" s="2807">
        <v>237555</v>
      </c>
      <c r="I229" s="2807">
        <v>4513210</v>
      </c>
      <c r="J229" s="2807">
        <v>1263832</v>
      </c>
      <c r="K229" s="3036">
        <v>0</v>
      </c>
      <c r="L229" s="3036">
        <v>0</v>
      </c>
      <c r="M229" s="4344"/>
      <c r="N229" s="4344"/>
      <c r="O229" s="4345"/>
    </row>
    <row r="230" spans="1:15" ht="23.25" customHeight="1" thickBot="1">
      <c r="A230" s="3057" t="s">
        <v>173</v>
      </c>
      <c r="B230" s="3058"/>
      <c r="C230" s="3058"/>
      <c r="D230" s="3058"/>
      <c r="E230" s="3058"/>
      <c r="F230" s="3058"/>
      <c r="G230" s="3058"/>
      <c r="H230" s="3058"/>
      <c r="I230" s="3058"/>
      <c r="J230" s="3058"/>
      <c r="K230" s="3058"/>
      <c r="L230" s="3058"/>
      <c r="M230" s="3059"/>
      <c r="N230" s="3059"/>
      <c r="O230" s="3060"/>
    </row>
    <row r="231" spans="1:15" ht="18.75" customHeight="1">
      <c r="A231" s="3061"/>
      <c r="B231" s="3062" t="s">
        <v>76</v>
      </c>
      <c r="C231" s="3063"/>
      <c r="D231" s="3064">
        <f>+D232+D233</f>
        <v>16198501</v>
      </c>
      <c r="E231" s="3064">
        <f t="shared" ref="E231:F231" si="156">+E232+E233</f>
        <v>7742800</v>
      </c>
      <c r="F231" s="3064">
        <f t="shared" si="156"/>
        <v>2600000</v>
      </c>
      <c r="G231" s="3064">
        <f t="shared" ref="G231:N231" si="157">+G232+G233</f>
        <v>2647000</v>
      </c>
      <c r="H231" s="3064">
        <f t="shared" si="157"/>
        <v>2788899</v>
      </c>
      <c r="I231" s="3064">
        <f t="shared" si="157"/>
        <v>83899</v>
      </c>
      <c r="J231" s="3064">
        <f t="shared" si="157"/>
        <v>97429</v>
      </c>
      <c r="K231" s="3064">
        <f t="shared" si="157"/>
        <v>113579</v>
      </c>
      <c r="L231" s="3064">
        <f t="shared" si="157"/>
        <v>124895</v>
      </c>
      <c r="M231" s="3065">
        <f t="shared" ref="M231" si="158">+M232+M233</f>
        <v>8330806</v>
      </c>
      <c r="N231" s="3065">
        <f t="shared" si="157"/>
        <v>5855701</v>
      </c>
      <c r="O231" s="4429"/>
    </row>
    <row r="232" spans="1:15" ht="14.25" customHeight="1">
      <c r="A232" s="3066"/>
      <c r="B232" s="3067" t="s">
        <v>77</v>
      </c>
      <c r="C232" s="2917"/>
      <c r="D232" s="2917">
        <f>D243+D247</f>
        <v>16198501</v>
      </c>
      <c r="E232" s="2917">
        <f t="shared" ref="E232:L232" si="159">E243+E247</f>
        <v>7742800</v>
      </c>
      <c r="F232" s="2917">
        <f t="shared" si="159"/>
        <v>2600000</v>
      </c>
      <c r="G232" s="2917">
        <f t="shared" si="159"/>
        <v>2647000</v>
      </c>
      <c r="H232" s="2917">
        <f t="shared" si="159"/>
        <v>2788899</v>
      </c>
      <c r="I232" s="2917">
        <f t="shared" si="159"/>
        <v>83899</v>
      </c>
      <c r="J232" s="2917">
        <f t="shared" si="159"/>
        <v>97429</v>
      </c>
      <c r="K232" s="2917">
        <f t="shared" si="159"/>
        <v>113579</v>
      </c>
      <c r="L232" s="2917">
        <f t="shared" si="159"/>
        <v>124895</v>
      </c>
      <c r="M232" s="2919">
        <f>SUM(F232:K232)</f>
        <v>8330806</v>
      </c>
      <c r="N232" s="2919">
        <f>SUM(G232:L232)</f>
        <v>5855701</v>
      </c>
      <c r="O232" s="4430"/>
    </row>
    <row r="233" spans="1:15" ht="14.25" customHeight="1" thickBot="1">
      <c r="A233" s="3066"/>
      <c r="B233" s="3068" t="s">
        <v>9</v>
      </c>
      <c r="C233" s="2922"/>
      <c r="D233" s="2922">
        <v>0</v>
      </c>
      <c r="E233" s="2922">
        <v>0</v>
      </c>
      <c r="F233" s="2922">
        <v>0</v>
      </c>
      <c r="G233" s="2922">
        <v>0</v>
      </c>
      <c r="H233" s="2922">
        <v>0</v>
      </c>
      <c r="I233" s="2922">
        <f>+I243</f>
        <v>0</v>
      </c>
      <c r="J233" s="2922">
        <f>+J243</f>
        <v>0</v>
      </c>
      <c r="K233" s="2922">
        <f>+K243</f>
        <v>0</v>
      </c>
      <c r="L233" s="2922">
        <f>+L243</f>
        <v>0</v>
      </c>
      <c r="M233" s="2671">
        <f>SUM(E233:K233)</f>
        <v>0</v>
      </c>
      <c r="N233" s="2671">
        <f>SUM(G233:L233)</f>
        <v>0</v>
      </c>
      <c r="O233" s="4430"/>
    </row>
    <row r="234" spans="1:15" ht="16.5" customHeight="1">
      <c r="A234" s="3069"/>
      <c r="B234" s="2674" t="s">
        <v>10</v>
      </c>
      <c r="C234" s="2675"/>
      <c r="D234" s="3070">
        <f t="shared" ref="D234:L234" si="160">+D235</f>
        <v>16198501</v>
      </c>
      <c r="E234" s="3070">
        <f t="shared" si="160"/>
        <v>7742800</v>
      </c>
      <c r="F234" s="3070">
        <f t="shared" si="160"/>
        <v>2600000</v>
      </c>
      <c r="G234" s="3070">
        <f t="shared" si="160"/>
        <v>2647000</v>
      </c>
      <c r="H234" s="3070">
        <f t="shared" si="160"/>
        <v>2788899</v>
      </c>
      <c r="I234" s="3070">
        <f t="shared" si="160"/>
        <v>83899</v>
      </c>
      <c r="J234" s="3070">
        <f t="shared" si="160"/>
        <v>97429</v>
      </c>
      <c r="K234" s="3070">
        <f t="shared" si="160"/>
        <v>113579</v>
      </c>
      <c r="L234" s="3070">
        <f t="shared" si="160"/>
        <v>124895</v>
      </c>
      <c r="M234" s="3071">
        <f>+M235</f>
        <v>8330806</v>
      </c>
      <c r="N234" s="3071">
        <f>+N235</f>
        <v>5855701</v>
      </c>
      <c r="O234" s="4430"/>
    </row>
    <row r="235" spans="1:15" ht="15" customHeight="1">
      <c r="A235" s="3072"/>
      <c r="B235" s="3073" t="s">
        <v>11</v>
      </c>
      <c r="C235" s="4427" t="s">
        <v>61</v>
      </c>
      <c r="D235" s="3074">
        <f>+D238+D236</f>
        <v>16198501</v>
      </c>
      <c r="E235" s="3074">
        <f t="shared" ref="E235:L235" si="161">+E238+E236</f>
        <v>7742800</v>
      </c>
      <c r="F235" s="3074">
        <f t="shared" si="161"/>
        <v>2600000</v>
      </c>
      <c r="G235" s="3074">
        <f t="shared" si="161"/>
        <v>2647000</v>
      </c>
      <c r="H235" s="3074">
        <f t="shared" si="161"/>
        <v>2788899</v>
      </c>
      <c r="I235" s="3074">
        <f t="shared" si="161"/>
        <v>83899</v>
      </c>
      <c r="J235" s="3074">
        <f t="shared" si="161"/>
        <v>97429</v>
      </c>
      <c r="K235" s="3074">
        <f t="shared" si="161"/>
        <v>113579</v>
      </c>
      <c r="L235" s="3074">
        <f t="shared" si="161"/>
        <v>124895</v>
      </c>
      <c r="M235" s="2798">
        <f>+M236+M237+M238</f>
        <v>8330806</v>
      </c>
      <c r="N235" s="2798">
        <f>+N236+N237+N238</f>
        <v>5855701</v>
      </c>
      <c r="O235" s="4430"/>
    </row>
    <row r="236" spans="1:15" s="2813" customFormat="1" ht="15" customHeight="1">
      <c r="A236" s="3072"/>
      <c r="B236" s="3075" t="s">
        <v>12</v>
      </c>
      <c r="C236" s="4428"/>
      <c r="D236" s="3076">
        <f>D249</f>
        <v>503701</v>
      </c>
      <c r="E236" s="2934">
        <f t="shared" ref="E236:L236" si="162">E249</f>
        <v>0</v>
      </c>
      <c r="F236" s="2934">
        <f t="shared" si="162"/>
        <v>0</v>
      </c>
      <c r="G236" s="2934">
        <f t="shared" si="162"/>
        <v>0</v>
      </c>
      <c r="H236" s="2934">
        <f t="shared" si="162"/>
        <v>83899</v>
      </c>
      <c r="I236" s="2934">
        <f t="shared" si="162"/>
        <v>83899</v>
      </c>
      <c r="J236" s="2934">
        <f t="shared" si="162"/>
        <v>97429</v>
      </c>
      <c r="K236" s="2934">
        <f t="shared" si="162"/>
        <v>113579</v>
      </c>
      <c r="L236" s="2934">
        <f t="shared" si="162"/>
        <v>124895</v>
      </c>
      <c r="M236" s="2801">
        <f t="shared" ref="M236:N238" si="163">SUM(F236:K236)</f>
        <v>378806</v>
      </c>
      <c r="N236" s="2801">
        <f t="shared" si="163"/>
        <v>503701</v>
      </c>
      <c r="O236" s="4430"/>
    </row>
    <row r="237" spans="1:15" ht="13.5" hidden="1" customHeight="1">
      <c r="A237" s="3072"/>
      <c r="B237" s="3077" t="s">
        <v>62</v>
      </c>
      <c r="C237" s="4428"/>
      <c r="D237" s="2934">
        <f t="shared" ref="D237:L237" si="164">D253</f>
        <v>0</v>
      </c>
      <c r="E237" s="2934">
        <f t="shared" si="164"/>
        <v>0</v>
      </c>
      <c r="F237" s="2934">
        <f t="shared" si="164"/>
        <v>0</v>
      </c>
      <c r="G237" s="2934">
        <f t="shared" si="164"/>
        <v>0</v>
      </c>
      <c r="H237" s="2934">
        <f t="shared" si="164"/>
        <v>0</v>
      </c>
      <c r="I237" s="2934">
        <f t="shared" si="164"/>
        <v>0</v>
      </c>
      <c r="J237" s="2934">
        <f t="shared" si="164"/>
        <v>0</v>
      </c>
      <c r="K237" s="2934">
        <f t="shared" si="164"/>
        <v>0</v>
      </c>
      <c r="L237" s="2934">
        <f t="shared" si="164"/>
        <v>0</v>
      </c>
      <c r="M237" s="2801">
        <f t="shared" si="163"/>
        <v>0</v>
      </c>
      <c r="N237" s="2801">
        <f t="shared" si="163"/>
        <v>0</v>
      </c>
      <c r="O237" s="4430"/>
    </row>
    <row r="238" spans="1:15" ht="15.75" customHeight="1" thickBot="1">
      <c r="A238" s="3078"/>
      <c r="B238" s="3077" t="s">
        <v>176</v>
      </c>
      <c r="C238" s="4428"/>
      <c r="D238" s="3076">
        <f t="shared" ref="D238:E238" si="165">+D245+D253</f>
        <v>15694800</v>
      </c>
      <c r="E238" s="3076">
        <f t="shared" si="165"/>
        <v>7742800</v>
      </c>
      <c r="F238" s="3076">
        <f t="shared" ref="F238:I238" si="166">+F245</f>
        <v>2600000</v>
      </c>
      <c r="G238" s="3076">
        <f t="shared" si="166"/>
        <v>2647000</v>
      </c>
      <c r="H238" s="3076">
        <f t="shared" si="166"/>
        <v>2705000</v>
      </c>
      <c r="I238" s="3076">
        <f t="shared" si="166"/>
        <v>0</v>
      </c>
      <c r="J238" s="3076">
        <f>+J245</f>
        <v>0</v>
      </c>
      <c r="K238" s="3076">
        <f>+K245</f>
        <v>0</v>
      </c>
      <c r="L238" s="3076">
        <f>+L245</f>
        <v>0</v>
      </c>
      <c r="M238" s="2801">
        <f t="shared" si="163"/>
        <v>7952000</v>
      </c>
      <c r="N238" s="2801">
        <f t="shared" si="163"/>
        <v>5352000</v>
      </c>
      <c r="O238" s="4430"/>
    </row>
    <row r="239" spans="1:15" ht="18.75" hidden="1" customHeight="1">
      <c r="A239" s="2912"/>
      <c r="B239" s="2923" t="s">
        <v>22</v>
      </c>
      <c r="C239" s="2792"/>
      <c r="D239" s="2728">
        <f t="shared" ref="D239:I240" si="167">D240</f>
        <v>0</v>
      </c>
      <c r="E239" s="2728">
        <f t="shared" si="167"/>
        <v>0</v>
      </c>
      <c r="F239" s="2728">
        <f t="shared" si="167"/>
        <v>0</v>
      </c>
      <c r="G239" s="2728">
        <f t="shared" si="167"/>
        <v>0</v>
      </c>
      <c r="H239" s="2728">
        <f t="shared" si="167"/>
        <v>0</v>
      </c>
      <c r="I239" s="2728">
        <f t="shared" si="167"/>
        <v>0</v>
      </c>
      <c r="J239" s="2728">
        <f t="shared" ref="J239:L240" si="168">J240</f>
        <v>0</v>
      </c>
      <c r="K239" s="2728">
        <f t="shared" si="168"/>
        <v>0</v>
      </c>
      <c r="L239" s="2728">
        <f t="shared" si="168"/>
        <v>0</v>
      </c>
      <c r="M239" s="4342" t="s">
        <v>61</v>
      </c>
      <c r="N239" s="4342" t="s">
        <v>61</v>
      </c>
      <c r="O239" s="4430"/>
    </row>
    <row r="240" spans="1:15" ht="13.5" hidden="1" customHeight="1">
      <c r="A240" s="2912"/>
      <c r="B240" s="2925" t="s">
        <v>11</v>
      </c>
      <c r="C240" s="2933"/>
      <c r="D240" s="2937">
        <f t="shared" si="167"/>
        <v>0</v>
      </c>
      <c r="E240" s="2937">
        <f t="shared" si="167"/>
        <v>0</v>
      </c>
      <c r="F240" s="2937">
        <f t="shared" si="167"/>
        <v>0</v>
      </c>
      <c r="G240" s="2937">
        <f t="shared" si="167"/>
        <v>0</v>
      </c>
      <c r="H240" s="2937">
        <f t="shared" si="167"/>
        <v>0</v>
      </c>
      <c r="I240" s="2937">
        <f t="shared" si="167"/>
        <v>0</v>
      </c>
      <c r="J240" s="2937">
        <f t="shared" si="168"/>
        <v>0</v>
      </c>
      <c r="K240" s="2937">
        <f t="shared" si="168"/>
        <v>0</v>
      </c>
      <c r="L240" s="2937">
        <f t="shared" si="168"/>
        <v>0</v>
      </c>
      <c r="M240" s="4343"/>
      <c r="N240" s="4343"/>
      <c r="O240" s="4430"/>
    </row>
    <row r="241" spans="1:17" ht="13.5" hidden="1" customHeight="1" thickBot="1">
      <c r="A241" s="2938"/>
      <c r="B241" s="2939" t="s">
        <v>62</v>
      </c>
      <c r="C241" s="3079"/>
      <c r="D241" s="3076"/>
      <c r="E241" s="2940">
        <f t="shared" ref="E241:G241" si="169">E255+E273+E280+E287+E294+E264+E301+E308+E315+E322</f>
        <v>0</v>
      </c>
      <c r="F241" s="2940">
        <f t="shared" si="169"/>
        <v>0</v>
      </c>
      <c r="G241" s="2940">
        <f t="shared" si="169"/>
        <v>0</v>
      </c>
      <c r="H241" s="2940">
        <f>H256</f>
        <v>0</v>
      </c>
      <c r="I241" s="2940">
        <f>I256</f>
        <v>0</v>
      </c>
      <c r="J241" s="2940">
        <f>J256</f>
        <v>0</v>
      </c>
      <c r="K241" s="2940">
        <f>K256</f>
        <v>0</v>
      </c>
      <c r="L241" s="2940">
        <f>L256</f>
        <v>0</v>
      </c>
      <c r="M241" s="4344"/>
      <c r="N241" s="4344"/>
      <c r="O241" s="4431"/>
    </row>
    <row r="242" spans="1:17" ht="29.25" customHeight="1">
      <c r="A242" s="4422" t="s">
        <v>63</v>
      </c>
      <c r="B242" s="2941" t="s">
        <v>334</v>
      </c>
      <c r="C242" s="2785" t="s">
        <v>172</v>
      </c>
      <c r="D242" s="2786"/>
      <c r="E242" s="2789"/>
      <c r="F242" s="2788"/>
      <c r="G242" s="2788"/>
      <c r="H242" s="2788"/>
      <c r="I242" s="2789"/>
      <c r="J242" s="2789"/>
      <c r="K242" s="2789"/>
      <c r="L242" s="2789"/>
      <c r="M242" s="2790"/>
      <c r="N242" s="2790"/>
      <c r="O242" s="4336" t="s">
        <v>174</v>
      </c>
    </row>
    <row r="243" spans="1:17" ht="15.75" customHeight="1">
      <c r="A243" s="4423"/>
      <c r="B243" s="2824" t="s">
        <v>10</v>
      </c>
      <c r="C243" s="2792"/>
      <c r="D243" s="2750">
        <f t="shared" ref="D243:N244" si="170">+D244</f>
        <v>15694800</v>
      </c>
      <c r="E243" s="2750">
        <f t="shared" si="170"/>
        <v>7742800</v>
      </c>
      <c r="F243" s="2750">
        <f t="shared" si="170"/>
        <v>2600000</v>
      </c>
      <c r="G243" s="2750">
        <f t="shared" si="170"/>
        <v>2647000</v>
      </c>
      <c r="H243" s="2750">
        <f t="shared" si="170"/>
        <v>2705000</v>
      </c>
      <c r="I243" s="2750">
        <f t="shared" si="170"/>
        <v>0</v>
      </c>
      <c r="J243" s="2750">
        <f t="shared" si="170"/>
        <v>0</v>
      </c>
      <c r="K243" s="2750">
        <f t="shared" si="170"/>
        <v>0</v>
      </c>
      <c r="L243" s="2750">
        <f t="shared" si="170"/>
        <v>0</v>
      </c>
      <c r="M243" s="3080">
        <f t="shared" si="170"/>
        <v>7952000</v>
      </c>
      <c r="N243" s="3080">
        <f t="shared" si="170"/>
        <v>5352000</v>
      </c>
      <c r="O243" s="4337"/>
    </row>
    <row r="244" spans="1:17" ht="15" customHeight="1">
      <c r="A244" s="4423"/>
      <c r="B244" s="2794" t="s">
        <v>24</v>
      </c>
      <c r="C244" s="4339" t="s">
        <v>175</v>
      </c>
      <c r="D244" s="2942">
        <f t="shared" si="170"/>
        <v>15694800</v>
      </c>
      <c r="E244" s="2942">
        <f t="shared" si="170"/>
        <v>7742800</v>
      </c>
      <c r="F244" s="2796">
        <f t="shared" ref="F244:H244" si="171">F245</f>
        <v>2600000</v>
      </c>
      <c r="G244" s="2796">
        <f t="shared" si="171"/>
        <v>2647000</v>
      </c>
      <c r="H244" s="2796">
        <f t="shared" si="171"/>
        <v>2705000</v>
      </c>
      <c r="I244" s="2796">
        <v>0</v>
      </c>
      <c r="J244" s="2796">
        <v>0</v>
      </c>
      <c r="K244" s="2796">
        <v>0</v>
      </c>
      <c r="L244" s="2796">
        <v>0</v>
      </c>
      <c r="M244" s="2798">
        <f t="shared" si="170"/>
        <v>7952000</v>
      </c>
      <c r="N244" s="2798">
        <f t="shared" si="170"/>
        <v>5352000</v>
      </c>
      <c r="O244" s="4337"/>
    </row>
    <row r="245" spans="1:17" ht="15" customHeight="1" thickBot="1">
      <c r="A245" s="4424"/>
      <c r="B245" s="2806" t="s">
        <v>176</v>
      </c>
      <c r="C245" s="4426"/>
      <c r="D245" s="2754">
        <f>E245+F245+G245+H245+I245+J245+K245+L245</f>
        <v>15694800</v>
      </c>
      <c r="E245" s="2754">
        <v>7742800</v>
      </c>
      <c r="F245" s="3081">
        <v>2600000</v>
      </c>
      <c r="G245" s="3081">
        <v>2647000</v>
      </c>
      <c r="H245" s="3081">
        <v>2705000</v>
      </c>
      <c r="I245" s="3081">
        <v>0</v>
      </c>
      <c r="J245" s="3081">
        <v>0</v>
      </c>
      <c r="K245" s="3081">
        <v>0</v>
      </c>
      <c r="L245" s="3081">
        <v>0</v>
      </c>
      <c r="M245" s="2801">
        <f>SUM(F245:K245)</f>
        <v>7952000</v>
      </c>
      <c r="N245" s="3082">
        <f>SUM(G245:L245)</f>
        <v>5352000</v>
      </c>
      <c r="O245" s="4345"/>
    </row>
    <row r="246" spans="1:17" ht="27" customHeight="1">
      <c r="A246" s="4400" t="s">
        <v>64</v>
      </c>
      <c r="B246" s="2867" t="s">
        <v>427</v>
      </c>
      <c r="C246" s="2868" t="s">
        <v>110</v>
      </c>
      <c r="D246" s="2868"/>
      <c r="E246" s="2869"/>
      <c r="F246" s="2870"/>
      <c r="G246" s="2870"/>
      <c r="H246" s="2870"/>
      <c r="I246" s="2870"/>
      <c r="J246" s="2870"/>
      <c r="K246" s="2870"/>
      <c r="L246" s="2870"/>
      <c r="M246" s="2871"/>
      <c r="N246" s="2871"/>
      <c r="O246" s="4385" t="s">
        <v>564</v>
      </c>
      <c r="Q246" s="2903"/>
    </row>
    <row r="247" spans="1:17" ht="15" customHeight="1">
      <c r="A247" s="4400"/>
      <c r="B247" s="2824" t="s">
        <v>10</v>
      </c>
      <c r="C247" s="2848"/>
      <c r="D247" s="2750">
        <f>D248</f>
        <v>503701</v>
      </c>
      <c r="E247" s="2750">
        <f t="shared" ref="E247:L248" si="172">E248</f>
        <v>0</v>
      </c>
      <c r="F247" s="2872">
        <f t="shared" si="172"/>
        <v>0</v>
      </c>
      <c r="G247" s="2872">
        <f t="shared" si="172"/>
        <v>0</v>
      </c>
      <c r="H247" s="2750">
        <f t="shared" si="172"/>
        <v>83899</v>
      </c>
      <c r="I247" s="2750">
        <f t="shared" si="172"/>
        <v>83899</v>
      </c>
      <c r="J247" s="2750">
        <f t="shared" si="172"/>
        <v>97429</v>
      </c>
      <c r="K247" s="2750">
        <f t="shared" si="172"/>
        <v>113579</v>
      </c>
      <c r="L247" s="2728">
        <f t="shared" si="172"/>
        <v>124895</v>
      </c>
      <c r="M247" s="2729">
        <f>M248</f>
        <v>503701</v>
      </c>
      <c r="N247" s="2729">
        <f>N248</f>
        <v>503701</v>
      </c>
      <c r="O247" s="4385"/>
    </row>
    <row r="248" spans="1:17" ht="15" customHeight="1">
      <c r="A248" s="4400"/>
      <c r="B248" s="2730" t="s">
        <v>11</v>
      </c>
      <c r="C248" s="4387" t="s">
        <v>171</v>
      </c>
      <c r="D248" s="2731">
        <f>D249</f>
        <v>503701</v>
      </c>
      <c r="E248" s="2731">
        <f t="shared" si="172"/>
        <v>0</v>
      </c>
      <c r="F248" s="2873">
        <f t="shared" si="172"/>
        <v>0</v>
      </c>
      <c r="G248" s="2873">
        <f t="shared" si="172"/>
        <v>0</v>
      </c>
      <c r="H248" s="2731">
        <f t="shared" si="172"/>
        <v>83899</v>
      </c>
      <c r="I248" s="2731">
        <f t="shared" si="172"/>
        <v>83899</v>
      </c>
      <c r="J248" s="2731">
        <f t="shared" si="172"/>
        <v>97429</v>
      </c>
      <c r="K248" s="2731">
        <f t="shared" si="172"/>
        <v>113579</v>
      </c>
      <c r="L248" s="2731">
        <f t="shared" si="172"/>
        <v>124895</v>
      </c>
      <c r="M248" s="2734">
        <f>M249</f>
        <v>503701</v>
      </c>
      <c r="N248" s="2734">
        <f>N249</f>
        <v>503701</v>
      </c>
      <c r="O248" s="4385"/>
    </row>
    <row r="249" spans="1:17" ht="15" customHeight="1" thickBot="1">
      <c r="A249" s="4401"/>
      <c r="B249" s="2753" t="s">
        <v>12</v>
      </c>
      <c r="C249" s="4398"/>
      <c r="D249" s="2754">
        <f>E249+F249+G249+H249+I249+J249+K249+L249</f>
        <v>503701</v>
      </c>
      <c r="E249" s="2754">
        <v>0</v>
      </c>
      <c r="F249" s="2876">
        <v>0</v>
      </c>
      <c r="G249" s="2876">
        <v>0</v>
      </c>
      <c r="H249" s="2758">
        <v>83899</v>
      </c>
      <c r="I249" s="2758">
        <v>83899</v>
      </c>
      <c r="J249" s="2758">
        <v>97429</v>
      </c>
      <c r="K249" s="2758">
        <v>113579</v>
      </c>
      <c r="L249" s="2758">
        <v>124895</v>
      </c>
      <c r="M249" s="2877">
        <f>SUM(F249:L249)</f>
        <v>503701</v>
      </c>
      <c r="N249" s="2877">
        <f>SUM(G249:L249)</f>
        <v>503701</v>
      </c>
      <c r="O249" s="4386"/>
    </row>
    <row r="250" spans="1:17" ht="40.5" hidden="1" customHeight="1">
      <c r="A250" s="4418" t="s">
        <v>65</v>
      </c>
      <c r="B250" s="3083"/>
      <c r="C250" s="2977" t="s">
        <v>172</v>
      </c>
      <c r="D250" s="2978"/>
      <c r="E250" s="2981"/>
      <c r="F250" s="2980"/>
      <c r="G250" s="2980"/>
      <c r="H250" s="2980"/>
      <c r="I250" s="2981"/>
      <c r="J250" s="2981"/>
      <c r="K250" s="2981"/>
      <c r="L250" s="2981"/>
      <c r="M250" s="2982"/>
      <c r="N250" s="2982"/>
      <c r="O250" s="4419" t="s">
        <v>224</v>
      </c>
    </row>
    <row r="251" spans="1:17" ht="17.25" hidden="1" customHeight="1">
      <c r="A251" s="4418"/>
      <c r="B251" s="3084" t="s">
        <v>10</v>
      </c>
      <c r="C251" s="3084"/>
      <c r="D251" s="2727"/>
      <c r="E251" s="2727"/>
      <c r="F251" s="3085"/>
      <c r="G251" s="3086">
        <f t="shared" ref="G251:N251" si="173">+G252</f>
        <v>0</v>
      </c>
      <c r="H251" s="3086">
        <f t="shared" si="173"/>
        <v>0</v>
      </c>
      <c r="I251" s="3085">
        <f t="shared" si="173"/>
        <v>0</v>
      </c>
      <c r="J251" s="3085"/>
      <c r="K251" s="3085"/>
      <c r="L251" s="3085"/>
      <c r="M251" s="2793">
        <f t="shared" si="173"/>
        <v>0</v>
      </c>
      <c r="N251" s="2793">
        <f t="shared" si="173"/>
        <v>0</v>
      </c>
      <c r="O251" s="4419"/>
    </row>
    <row r="252" spans="1:17" ht="16.5" hidden="1" customHeight="1">
      <c r="A252" s="4418"/>
      <c r="B252" s="2972" t="s">
        <v>225</v>
      </c>
      <c r="C252" s="4420" t="s">
        <v>223</v>
      </c>
      <c r="D252" s="3087"/>
      <c r="E252" s="3088"/>
      <c r="F252" s="3088"/>
      <c r="G252" s="3088">
        <f>G253</f>
        <v>0</v>
      </c>
      <c r="H252" s="3088">
        <f>H253</f>
        <v>0</v>
      </c>
      <c r="I252" s="3089">
        <f>I253</f>
        <v>0</v>
      </c>
      <c r="J252" s="3089"/>
      <c r="K252" s="3089"/>
      <c r="L252" s="3089"/>
      <c r="M252" s="2798">
        <f>+M253</f>
        <v>0</v>
      </c>
      <c r="N252" s="2798">
        <f>+N253</f>
        <v>0</v>
      </c>
      <c r="O252" s="4419"/>
    </row>
    <row r="253" spans="1:17" ht="13.5" hidden="1" customHeight="1">
      <c r="A253" s="4418"/>
      <c r="B253" s="3090" t="s">
        <v>62</v>
      </c>
      <c r="C253" s="4421"/>
      <c r="D253" s="3091"/>
      <c r="E253" s="3092"/>
      <c r="F253" s="3092"/>
      <c r="G253" s="3092">
        <v>0</v>
      </c>
      <c r="H253" s="3092">
        <v>0</v>
      </c>
      <c r="I253" s="3092">
        <v>0</v>
      </c>
      <c r="J253" s="3092"/>
      <c r="K253" s="3092"/>
      <c r="L253" s="3092"/>
      <c r="M253" s="2936"/>
      <c r="N253" s="2936"/>
      <c r="O253" s="4419"/>
    </row>
    <row r="254" spans="1:17" ht="15.75" hidden="1" customHeight="1">
      <c r="A254" s="4418"/>
      <c r="B254" s="3093" t="s">
        <v>22</v>
      </c>
      <c r="C254" s="2792"/>
      <c r="D254" s="3094"/>
      <c r="E254" s="2750"/>
      <c r="F254" s="2750"/>
      <c r="G254" s="2750"/>
      <c r="H254" s="2750">
        <f t="shared" ref="G254:I255" si="174">H255</f>
        <v>0</v>
      </c>
      <c r="I254" s="2750">
        <f t="shared" si="174"/>
        <v>0</v>
      </c>
      <c r="J254" s="3095"/>
      <c r="K254" s="3095"/>
      <c r="L254" s="3095"/>
      <c r="M254" s="4343" t="s">
        <v>61</v>
      </c>
      <c r="N254" s="4343" t="s">
        <v>61</v>
      </c>
      <c r="O254" s="4419"/>
    </row>
    <row r="255" spans="1:17" ht="16.5" hidden="1" customHeight="1">
      <c r="A255" s="4418"/>
      <c r="B255" s="2972" t="s">
        <v>11</v>
      </c>
      <c r="C255" s="4346" t="s">
        <v>223</v>
      </c>
      <c r="D255" s="3096"/>
      <c r="E255" s="2797"/>
      <c r="F255" s="2797"/>
      <c r="G255" s="2797">
        <f t="shared" si="174"/>
        <v>0</v>
      </c>
      <c r="H255" s="2797">
        <f t="shared" si="174"/>
        <v>0</v>
      </c>
      <c r="I255" s="2797">
        <f t="shared" si="174"/>
        <v>0</v>
      </c>
      <c r="J255" s="3097"/>
      <c r="K255" s="3097"/>
      <c r="L255" s="3097"/>
      <c r="M255" s="4343"/>
      <c r="N255" s="4343"/>
      <c r="O255" s="4419"/>
    </row>
    <row r="256" spans="1:17" ht="13.5" hidden="1" customHeight="1" thickBot="1">
      <c r="A256" s="4418"/>
      <c r="B256" s="2952" t="s">
        <v>62</v>
      </c>
      <c r="C256" s="4347"/>
      <c r="D256" s="3098"/>
      <c r="E256" s="3081"/>
      <c r="F256" s="2807"/>
      <c r="G256" s="2807">
        <v>0</v>
      </c>
      <c r="H256" s="2807">
        <v>0</v>
      </c>
      <c r="I256" s="2807">
        <v>0</v>
      </c>
      <c r="J256" s="3099"/>
      <c r="K256" s="3099"/>
      <c r="L256" s="3099"/>
      <c r="M256" s="4344"/>
      <c r="N256" s="4344"/>
      <c r="O256" s="4419"/>
    </row>
    <row r="257" spans="1:15" ht="17.25" customHeight="1">
      <c r="A257" s="2901" t="s">
        <v>550</v>
      </c>
    </row>
    <row r="258" spans="1:15" ht="11.25" customHeight="1">
      <c r="A258" s="4417"/>
      <c r="B258" s="4417"/>
      <c r="C258" s="4417"/>
      <c r="D258" s="4417"/>
      <c r="E258" s="4417"/>
      <c r="F258" s="4417"/>
      <c r="G258" s="4417"/>
      <c r="H258" s="4417"/>
      <c r="I258" s="4417"/>
      <c r="J258" s="4417"/>
      <c r="K258" s="4417"/>
      <c r="L258" s="4417"/>
      <c r="M258" s="4417"/>
      <c r="N258" s="4417"/>
      <c r="O258" s="4417"/>
    </row>
    <row r="259" spans="1:15">
      <c r="A259" s="4417"/>
      <c r="B259" s="4417"/>
      <c r="C259" s="4417"/>
      <c r="D259" s="4417"/>
      <c r="E259" s="4417"/>
      <c r="F259" s="4417"/>
      <c r="G259" s="4417"/>
      <c r="H259" s="4417"/>
      <c r="I259" s="4417"/>
      <c r="J259" s="4417"/>
      <c r="K259" s="4417"/>
      <c r="L259" s="4417"/>
      <c r="M259" s="4417"/>
      <c r="N259" s="4417"/>
      <c r="O259" s="4417"/>
    </row>
    <row r="260" spans="1:15" ht="12.75">
      <c r="B260" s="2882" t="s">
        <v>481</v>
      </c>
      <c r="C260" s="2883"/>
      <c r="D260" s="2883"/>
      <c r="E260" s="2883"/>
      <c r="F260" s="2883"/>
      <c r="G260" s="2883"/>
      <c r="H260" s="2883"/>
      <c r="I260" s="2883"/>
      <c r="J260" s="2883"/>
      <c r="K260" s="2883"/>
      <c r="L260" s="2883"/>
    </row>
    <row r="261" spans="1:15" ht="12.75">
      <c r="B261" s="2885" t="s">
        <v>482</v>
      </c>
      <c r="C261" s="2883"/>
      <c r="D261" s="2886">
        <f>D85+D110+D132+D141+D163+D185+D194+D217</f>
        <v>2929227</v>
      </c>
      <c r="E261" s="2886">
        <f t="shared" ref="E261:L261" si="175">E85+E110+E132+E141+E163+E185+E194+E217</f>
        <v>0</v>
      </c>
      <c r="F261" s="2886">
        <f t="shared" si="175"/>
        <v>977</v>
      </c>
      <c r="G261" s="2886">
        <f t="shared" si="175"/>
        <v>618334</v>
      </c>
      <c r="H261" s="2886">
        <f t="shared" si="175"/>
        <v>1306959</v>
      </c>
      <c r="I261" s="2886">
        <f t="shared" si="175"/>
        <v>679194</v>
      </c>
      <c r="J261" s="2886">
        <f t="shared" si="175"/>
        <v>323763</v>
      </c>
      <c r="K261" s="2886">
        <f t="shared" si="175"/>
        <v>0</v>
      </c>
      <c r="L261" s="2886">
        <f t="shared" si="175"/>
        <v>0</v>
      </c>
    </row>
    <row r="262" spans="1:15" ht="12.75">
      <c r="B262" s="2885" t="s">
        <v>483</v>
      </c>
      <c r="C262" s="2883"/>
      <c r="D262" s="2886">
        <f>D32+D44+D56+D67+D76+D95+D119+D150+D172+D204+D229+D227</f>
        <v>100238309</v>
      </c>
      <c r="E262" s="2886">
        <f t="shared" ref="E262:L262" si="176">E32+E44+E56+E67+E76+E95+E119+E150+E172+E204+E229+E227</f>
        <v>120000</v>
      </c>
      <c r="F262" s="2886">
        <f t="shared" si="176"/>
        <v>145886</v>
      </c>
      <c r="G262" s="2886">
        <f t="shared" si="176"/>
        <v>79171979</v>
      </c>
      <c r="H262" s="2886">
        <f t="shared" si="176"/>
        <v>11537238</v>
      </c>
      <c r="I262" s="2886">
        <f t="shared" si="176"/>
        <v>6239181</v>
      </c>
      <c r="J262" s="2886">
        <f t="shared" si="176"/>
        <v>3024025</v>
      </c>
      <c r="K262" s="2886">
        <f t="shared" si="176"/>
        <v>0</v>
      </c>
      <c r="L262" s="2886">
        <f t="shared" si="176"/>
        <v>0</v>
      </c>
    </row>
    <row r="263" spans="1:15" ht="12.75">
      <c r="B263" s="2885" t="s">
        <v>484</v>
      </c>
      <c r="C263" s="2883"/>
      <c r="D263" s="2887">
        <f>D261+D262</f>
        <v>103167536</v>
      </c>
      <c r="E263" s="2887">
        <f t="shared" ref="E263:I263" si="177">E261+E262</f>
        <v>120000</v>
      </c>
      <c r="F263" s="2887">
        <f t="shared" si="177"/>
        <v>146863</v>
      </c>
      <c r="G263" s="2887">
        <f t="shared" si="177"/>
        <v>79790313</v>
      </c>
      <c r="H263" s="2887">
        <f t="shared" si="177"/>
        <v>12844197</v>
      </c>
      <c r="I263" s="2887">
        <f t="shared" si="177"/>
        <v>6918375</v>
      </c>
      <c r="J263" s="2887">
        <f t="shared" ref="J263:L263" si="178">J261+J262</f>
        <v>3347788</v>
      </c>
      <c r="K263" s="2887">
        <f t="shared" si="178"/>
        <v>0</v>
      </c>
      <c r="L263" s="2887">
        <f t="shared" si="178"/>
        <v>0</v>
      </c>
    </row>
    <row r="264" spans="1:15" ht="12.75">
      <c r="B264" s="2889" t="s">
        <v>42</v>
      </c>
      <c r="C264" s="3101"/>
      <c r="D264" s="3102">
        <f>D263-D18</f>
        <v>0</v>
      </c>
      <c r="E264" s="3102">
        <f t="shared" ref="E264:L264" si="179">E263-E18</f>
        <v>0</v>
      </c>
      <c r="F264" s="3102">
        <f t="shared" si="179"/>
        <v>0</v>
      </c>
      <c r="G264" s="3102">
        <f t="shared" si="179"/>
        <v>0</v>
      </c>
      <c r="H264" s="3102">
        <f t="shared" si="179"/>
        <v>0</v>
      </c>
      <c r="I264" s="3102">
        <f t="shared" si="179"/>
        <v>0</v>
      </c>
      <c r="J264" s="3102">
        <f t="shared" si="179"/>
        <v>0</v>
      </c>
      <c r="K264" s="3102">
        <f t="shared" si="179"/>
        <v>0</v>
      </c>
      <c r="L264" s="3102">
        <f t="shared" si="179"/>
        <v>0</v>
      </c>
    </row>
  </sheetData>
  <mergeCells count="161">
    <mergeCell ref="M141:M143"/>
    <mergeCell ref="M150:M152"/>
    <mergeCell ref="M163:M165"/>
    <mergeCell ref="M172:M174"/>
    <mergeCell ref="N132:N134"/>
    <mergeCell ref="C133:C134"/>
    <mergeCell ref="C39:C43"/>
    <mergeCell ref="O37:O43"/>
    <mergeCell ref="O44:O48"/>
    <mergeCell ref="C47:C48"/>
    <mergeCell ref="N44:N48"/>
    <mergeCell ref="O85:O87"/>
    <mergeCell ref="O79:O84"/>
    <mergeCell ref="O88:O94"/>
    <mergeCell ref="O95:O99"/>
    <mergeCell ref="N119:N121"/>
    <mergeCell ref="C120:C121"/>
    <mergeCell ref="O100:O112"/>
    <mergeCell ref="O113:O121"/>
    <mergeCell ref="M85:M87"/>
    <mergeCell ref="M95:M99"/>
    <mergeCell ref="M110:M112"/>
    <mergeCell ref="M119:M121"/>
    <mergeCell ref="M132:M134"/>
    <mergeCell ref="A88:A99"/>
    <mergeCell ref="C90:C94"/>
    <mergeCell ref="N95:N99"/>
    <mergeCell ref="A100:A112"/>
    <mergeCell ref="N110:N112"/>
    <mergeCell ref="C111:C112"/>
    <mergeCell ref="A113:A121"/>
    <mergeCell ref="C115:C118"/>
    <mergeCell ref="M32:M36"/>
    <mergeCell ref="M44:M48"/>
    <mergeCell ref="C45:C46"/>
    <mergeCell ref="C33:C34"/>
    <mergeCell ref="C57:C58"/>
    <mergeCell ref="A122:A134"/>
    <mergeCell ref="O122:O134"/>
    <mergeCell ref="C124:C129"/>
    <mergeCell ref="C102:C109"/>
    <mergeCell ref="C77:C78"/>
    <mergeCell ref="N76:N78"/>
    <mergeCell ref="O71:O75"/>
    <mergeCell ref="A49:A60"/>
    <mergeCell ref="O49:O55"/>
    <mergeCell ref="C51:C55"/>
    <mergeCell ref="N56:N60"/>
    <mergeCell ref="O56:O60"/>
    <mergeCell ref="C59:C60"/>
    <mergeCell ref="M56:M60"/>
    <mergeCell ref="M67:M69"/>
    <mergeCell ref="M76:M78"/>
    <mergeCell ref="C96:C99"/>
    <mergeCell ref="A61:A69"/>
    <mergeCell ref="O61:O66"/>
    <mergeCell ref="C63:C66"/>
    <mergeCell ref="N67:N69"/>
    <mergeCell ref="O67:O69"/>
    <mergeCell ref="C68:C69"/>
    <mergeCell ref="C72:C75"/>
    <mergeCell ref="A3:O3"/>
    <mergeCell ref="B4:B5"/>
    <mergeCell ref="C4:C5"/>
    <mergeCell ref="D4:D5"/>
    <mergeCell ref="O4:O5"/>
    <mergeCell ref="N4:N5"/>
    <mergeCell ref="F4:F5"/>
    <mergeCell ref="G4:L4"/>
    <mergeCell ref="M4:M5"/>
    <mergeCell ref="M18:M24"/>
    <mergeCell ref="A79:A87"/>
    <mergeCell ref="C81:C84"/>
    <mergeCell ref="N85:N87"/>
    <mergeCell ref="C86:C87"/>
    <mergeCell ref="O25:O31"/>
    <mergeCell ref="O32:O36"/>
    <mergeCell ref="A70:A78"/>
    <mergeCell ref="N18:N24"/>
    <mergeCell ref="A25:A36"/>
    <mergeCell ref="C35:C36"/>
    <mergeCell ref="C27:C31"/>
    <mergeCell ref="N32:N36"/>
    <mergeCell ref="A37:A48"/>
    <mergeCell ref="O76:O78"/>
    <mergeCell ref="A258:O259"/>
    <mergeCell ref="A250:A256"/>
    <mergeCell ref="O250:O256"/>
    <mergeCell ref="C252:C253"/>
    <mergeCell ref="C255:C256"/>
    <mergeCell ref="N254:N256"/>
    <mergeCell ref="A242:A245"/>
    <mergeCell ref="A175:A187"/>
    <mergeCell ref="O175:O184"/>
    <mergeCell ref="C177:C184"/>
    <mergeCell ref="N185:N187"/>
    <mergeCell ref="O185:O187"/>
    <mergeCell ref="C186:C187"/>
    <mergeCell ref="A246:A249"/>
    <mergeCell ref="O246:O249"/>
    <mergeCell ref="C248:C249"/>
    <mergeCell ref="O242:O245"/>
    <mergeCell ref="C244:C245"/>
    <mergeCell ref="C235:C238"/>
    <mergeCell ref="O231:O241"/>
    <mergeCell ref="N239:N241"/>
    <mergeCell ref="M185:M187"/>
    <mergeCell ref="M239:M241"/>
    <mergeCell ref="M254:M256"/>
    <mergeCell ref="O163:O165"/>
    <mergeCell ref="C164:C165"/>
    <mergeCell ref="A166:A174"/>
    <mergeCell ref="O166:O171"/>
    <mergeCell ref="C168:C171"/>
    <mergeCell ref="N172:N174"/>
    <mergeCell ref="O172:O174"/>
    <mergeCell ref="C173:C174"/>
    <mergeCell ref="A135:A143"/>
    <mergeCell ref="C137:C140"/>
    <mergeCell ref="N141:N143"/>
    <mergeCell ref="C142:C143"/>
    <mergeCell ref="A144:A152"/>
    <mergeCell ref="C146:C149"/>
    <mergeCell ref="N150:N152"/>
    <mergeCell ref="C151:C152"/>
    <mergeCell ref="O135:O140"/>
    <mergeCell ref="O141:O143"/>
    <mergeCell ref="O144:O149"/>
    <mergeCell ref="O150:O152"/>
    <mergeCell ref="A153:A165"/>
    <mergeCell ref="O153:O162"/>
    <mergeCell ref="C155:C162"/>
    <mergeCell ref="N163:N165"/>
    <mergeCell ref="A188:A196"/>
    <mergeCell ref="O188:O193"/>
    <mergeCell ref="C190:C193"/>
    <mergeCell ref="M194:M196"/>
    <mergeCell ref="N194:N196"/>
    <mergeCell ref="O194:O196"/>
    <mergeCell ref="C195:C196"/>
    <mergeCell ref="A197:A208"/>
    <mergeCell ref="O197:O203"/>
    <mergeCell ref="C199:C203"/>
    <mergeCell ref="M204:M208"/>
    <mergeCell ref="N204:N208"/>
    <mergeCell ref="O204:O208"/>
    <mergeCell ref="C205:C208"/>
    <mergeCell ref="A218:A229"/>
    <mergeCell ref="A209:A217"/>
    <mergeCell ref="O209:O214"/>
    <mergeCell ref="C211:C214"/>
    <mergeCell ref="M215:M217"/>
    <mergeCell ref="N215:N217"/>
    <mergeCell ref="O215:O217"/>
    <mergeCell ref="C216:C217"/>
    <mergeCell ref="O218:O224"/>
    <mergeCell ref="C220:C224"/>
    <mergeCell ref="M225:M229"/>
    <mergeCell ref="N225:N229"/>
    <mergeCell ref="O225:O229"/>
    <mergeCell ref="C226:C229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67" firstPageNumber="37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_______________________________________________________________________________________________________________________</oddHeader>
    <oddFooter>&amp;C&amp;9&amp;P</oddFooter>
  </headerFooter>
  <rowBreaks count="4" manualBreakCount="4">
    <brk id="48" max="14" man="1"/>
    <brk id="87" max="14" man="1"/>
    <brk id="152" max="14" man="1"/>
    <brk id="208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S107"/>
  <sheetViews>
    <sheetView showGridLines="0" view="pageBreakPreview" topLeftCell="A4" zoomScaleSheetLayoutView="100" workbookViewId="0">
      <pane xSplit="2" ySplit="4" topLeftCell="C56" activePane="bottomRight" state="frozen"/>
      <selection activeCell="L250" sqref="L250"/>
      <selection pane="topRight" activeCell="L250" sqref="L250"/>
      <selection pane="bottomLeft" activeCell="L250" sqref="L250"/>
      <selection pane="bottomRight" activeCell="A4" sqref="A1:XFD1048576"/>
    </sheetView>
  </sheetViews>
  <sheetFormatPr defaultRowHeight="11.25"/>
  <cols>
    <col min="1" max="1" width="2.85546875" style="3108" customWidth="1"/>
    <col min="2" max="2" width="60.42578125" style="3109" customWidth="1"/>
    <col min="3" max="3" width="10.5703125" style="3109" customWidth="1"/>
    <col min="4" max="5" width="13.28515625" style="3109" customWidth="1"/>
    <col min="6" max="6" width="10.28515625" style="3109" customWidth="1"/>
    <col min="7" max="10" width="9.7109375" style="3109" customWidth="1"/>
    <col min="11" max="12" width="9.28515625" style="3109" customWidth="1"/>
    <col min="13" max="13" width="11.85546875" style="3109" hidden="1" customWidth="1"/>
    <col min="14" max="14" width="11.42578125" style="3109" customWidth="1"/>
    <col min="15" max="15" width="15.28515625" style="3259" customWidth="1"/>
    <col min="16" max="16" width="11.85546875" style="3109" customWidth="1"/>
    <col min="17" max="251" width="9.140625" style="3109"/>
    <col min="252" max="252" width="2.85546875" style="3109" customWidth="1"/>
    <col min="253" max="253" width="50.7109375" style="3109" customWidth="1"/>
    <col min="254" max="254" width="9.42578125" style="3109" customWidth="1"/>
    <col min="255" max="255" width="11.85546875" style="3109" customWidth="1"/>
    <col min="256" max="256" width="8.42578125" style="3109" bestFit="1" customWidth="1"/>
    <col min="257" max="259" width="0" style="3109" hidden="1" customWidth="1"/>
    <col min="260" max="260" width="6" style="3109" bestFit="1" customWidth="1"/>
    <col min="261" max="261" width="9.5703125" style="3109" customWidth="1"/>
    <col min="262" max="262" width="9.85546875" style="3109" customWidth="1"/>
    <col min="263" max="263" width="9.7109375" style="3109" customWidth="1"/>
    <col min="264" max="264" width="9.5703125" style="3109" customWidth="1"/>
    <col min="265" max="265" width="9.85546875" style="3109" customWidth="1"/>
    <col min="266" max="266" width="6.5703125" style="3109" customWidth="1"/>
    <col min="267" max="267" width="6" style="3109" bestFit="1" customWidth="1"/>
    <col min="268" max="268" width="6.28515625" style="3109" customWidth="1"/>
    <col min="269" max="269" width="11.7109375" style="3109" customWidth="1"/>
    <col min="270" max="270" width="0" style="3109" hidden="1" customWidth="1"/>
    <col min="271" max="271" width="14.5703125" style="3109" customWidth="1"/>
    <col min="272" max="272" width="11.85546875" style="3109" customWidth="1"/>
    <col min="273" max="507" width="9.140625" style="3109"/>
    <col min="508" max="508" width="2.85546875" style="3109" customWidth="1"/>
    <col min="509" max="509" width="50.7109375" style="3109" customWidth="1"/>
    <col min="510" max="510" width="9.42578125" style="3109" customWidth="1"/>
    <col min="511" max="511" width="11.85546875" style="3109" customWidth="1"/>
    <col min="512" max="512" width="8.42578125" style="3109" bestFit="1" customWidth="1"/>
    <col min="513" max="515" width="0" style="3109" hidden="1" customWidth="1"/>
    <col min="516" max="516" width="6" style="3109" bestFit="1" customWidth="1"/>
    <col min="517" max="517" width="9.5703125" style="3109" customWidth="1"/>
    <col min="518" max="518" width="9.85546875" style="3109" customWidth="1"/>
    <col min="519" max="519" width="9.7109375" style="3109" customWidth="1"/>
    <col min="520" max="520" width="9.5703125" style="3109" customWidth="1"/>
    <col min="521" max="521" width="9.85546875" style="3109" customWidth="1"/>
    <col min="522" max="522" width="6.5703125" style="3109" customWidth="1"/>
    <col min="523" max="523" width="6" style="3109" bestFit="1" customWidth="1"/>
    <col min="524" max="524" width="6.28515625" style="3109" customWidth="1"/>
    <col min="525" max="525" width="11.7109375" style="3109" customWidth="1"/>
    <col min="526" max="526" width="0" style="3109" hidden="1" customWidth="1"/>
    <col min="527" max="527" width="14.5703125" style="3109" customWidth="1"/>
    <col min="528" max="528" width="11.85546875" style="3109" customWidth="1"/>
    <col min="529" max="763" width="9.140625" style="3109"/>
    <col min="764" max="764" width="2.85546875" style="3109" customWidth="1"/>
    <col min="765" max="765" width="50.7109375" style="3109" customWidth="1"/>
    <col min="766" max="766" width="9.42578125" style="3109" customWidth="1"/>
    <col min="767" max="767" width="11.85546875" style="3109" customWidth="1"/>
    <col min="768" max="768" width="8.42578125" style="3109" bestFit="1" customWidth="1"/>
    <col min="769" max="771" width="0" style="3109" hidden="1" customWidth="1"/>
    <col min="772" max="772" width="6" style="3109" bestFit="1" customWidth="1"/>
    <col min="773" max="773" width="9.5703125" style="3109" customWidth="1"/>
    <col min="774" max="774" width="9.85546875" style="3109" customWidth="1"/>
    <col min="775" max="775" width="9.7109375" style="3109" customWidth="1"/>
    <col min="776" max="776" width="9.5703125" style="3109" customWidth="1"/>
    <col min="777" max="777" width="9.85546875" style="3109" customWidth="1"/>
    <col min="778" max="778" width="6.5703125" style="3109" customWidth="1"/>
    <col min="779" max="779" width="6" style="3109" bestFit="1" customWidth="1"/>
    <col min="780" max="780" width="6.28515625" style="3109" customWidth="1"/>
    <col min="781" max="781" width="11.7109375" style="3109" customWidth="1"/>
    <col min="782" max="782" width="0" style="3109" hidden="1" customWidth="1"/>
    <col min="783" max="783" width="14.5703125" style="3109" customWidth="1"/>
    <col min="784" max="784" width="11.85546875" style="3109" customWidth="1"/>
    <col min="785" max="1019" width="9.140625" style="3109"/>
    <col min="1020" max="1020" width="2.85546875" style="3109" customWidth="1"/>
    <col min="1021" max="1021" width="50.7109375" style="3109" customWidth="1"/>
    <col min="1022" max="1022" width="9.42578125" style="3109" customWidth="1"/>
    <col min="1023" max="1023" width="11.85546875" style="3109" customWidth="1"/>
    <col min="1024" max="1024" width="8.42578125" style="3109" bestFit="1" customWidth="1"/>
    <col min="1025" max="1027" width="0" style="3109" hidden="1" customWidth="1"/>
    <col min="1028" max="1028" width="6" style="3109" bestFit="1" customWidth="1"/>
    <col min="1029" max="1029" width="9.5703125" style="3109" customWidth="1"/>
    <col min="1030" max="1030" width="9.85546875" style="3109" customWidth="1"/>
    <col min="1031" max="1031" width="9.7109375" style="3109" customWidth="1"/>
    <col min="1032" max="1032" width="9.5703125" style="3109" customWidth="1"/>
    <col min="1033" max="1033" width="9.85546875" style="3109" customWidth="1"/>
    <col min="1034" max="1034" width="6.5703125" style="3109" customWidth="1"/>
    <col min="1035" max="1035" width="6" style="3109" bestFit="1" customWidth="1"/>
    <col min="1036" max="1036" width="6.28515625" style="3109" customWidth="1"/>
    <col min="1037" max="1037" width="11.7109375" style="3109" customWidth="1"/>
    <col min="1038" max="1038" width="0" style="3109" hidden="1" customWidth="1"/>
    <col min="1039" max="1039" width="14.5703125" style="3109" customWidth="1"/>
    <col min="1040" max="1040" width="11.85546875" style="3109" customWidth="1"/>
    <col min="1041" max="1275" width="9.140625" style="3109"/>
    <col min="1276" max="1276" width="2.85546875" style="3109" customWidth="1"/>
    <col min="1277" max="1277" width="50.7109375" style="3109" customWidth="1"/>
    <col min="1278" max="1278" width="9.42578125" style="3109" customWidth="1"/>
    <col min="1279" max="1279" width="11.85546875" style="3109" customWidth="1"/>
    <col min="1280" max="1280" width="8.42578125" style="3109" bestFit="1" customWidth="1"/>
    <col min="1281" max="1283" width="0" style="3109" hidden="1" customWidth="1"/>
    <col min="1284" max="1284" width="6" style="3109" bestFit="1" customWidth="1"/>
    <col min="1285" max="1285" width="9.5703125" style="3109" customWidth="1"/>
    <col min="1286" max="1286" width="9.85546875" style="3109" customWidth="1"/>
    <col min="1287" max="1287" width="9.7109375" style="3109" customWidth="1"/>
    <col min="1288" max="1288" width="9.5703125" style="3109" customWidth="1"/>
    <col min="1289" max="1289" width="9.85546875" style="3109" customWidth="1"/>
    <col min="1290" max="1290" width="6.5703125" style="3109" customWidth="1"/>
    <col min="1291" max="1291" width="6" style="3109" bestFit="1" customWidth="1"/>
    <col min="1292" max="1292" width="6.28515625" style="3109" customWidth="1"/>
    <col min="1293" max="1293" width="11.7109375" style="3109" customWidth="1"/>
    <col min="1294" max="1294" width="0" style="3109" hidden="1" customWidth="1"/>
    <col min="1295" max="1295" width="14.5703125" style="3109" customWidth="1"/>
    <col min="1296" max="1296" width="11.85546875" style="3109" customWidth="1"/>
    <col min="1297" max="1531" width="9.140625" style="3109"/>
    <col min="1532" max="1532" width="2.85546875" style="3109" customWidth="1"/>
    <col min="1533" max="1533" width="50.7109375" style="3109" customWidth="1"/>
    <col min="1534" max="1534" width="9.42578125" style="3109" customWidth="1"/>
    <col min="1535" max="1535" width="11.85546875" style="3109" customWidth="1"/>
    <col min="1536" max="1536" width="8.42578125" style="3109" bestFit="1" customWidth="1"/>
    <col min="1537" max="1539" width="0" style="3109" hidden="1" customWidth="1"/>
    <col min="1540" max="1540" width="6" style="3109" bestFit="1" customWidth="1"/>
    <col min="1541" max="1541" width="9.5703125" style="3109" customWidth="1"/>
    <col min="1542" max="1542" width="9.85546875" style="3109" customWidth="1"/>
    <col min="1543" max="1543" width="9.7109375" style="3109" customWidth="1"/>
    <col min="1544" max="1544" width="9.5703125" style="3109" customWidth="1"/>
    <col min="1545" max="1545" width="9.85546875" style="3109" customWidth="1"/>
    <col min="1546" max="1546" width="6.5703125" style="3109" customWidth="1"/>
    <col min="1547" max="1547" width="6" style="3109" bestFit="1" customWidth="1"/>
    <col min="1548" max="1548" width="6.28515625" style="3109" customWidth="1"/>
    <col min="1549" max="1549" width="11.7109375" style="3109" customWidth="1"/>
    <col min="1550" max="1550" width="0" style="3109" hidden="1" customWidth="1"/>
    <col min="1551" max="1551" width="14.5703125" style="3109" customWidth="1"/>
    <col min="1552" max="1552" width="11.85546875" style="3109" customWidth="1"/>
    <col min="1553" max="1787" width="9.140625" style="3109"/>
    <col min="1788" max="1788" width="2.85546875" style="3109" customWidth="1"/>
    <col min="1789" max="1789" width="50.7109375" style="3109" customWidth="1"/>
    <col min="1790" max="1790" width="9.42578125" style="3109" customWidth="1"/>
    <col min="1791" max="1791" width="11.85546875" style="3109" customWidth="1"/>
    <col min="1792" max="1792" width="8.42578125" style="3109" bestFit="1" customWidth="1"/>
    <col min="1793" max="1795" width="0" style="3109" hidden="1" customWidth="1"/>
    <col min="1796" max="1796" width="6" style="3109" bestFit="1" customWidth="1"/>
    <col min="1797" max="1797" width="9.5703125" style="3109" customWidth="1"/>
    <col min="1798" max="1798" width="9.85546875" style="3109" customWidth="1"/>
    <col min="1799" max="1799" width="9.7109375" style="3109" customWidth="1"/>
    <col min="1800" max="1800" width="9.5703125" style="3109" customWidth="1"/>
    <col min="1801" max="1801" width="9.85546875" style="3109" customWidth="1"/>
    <col min="1802" max="1802" width="6.5703125" style="3109" customWidth="1"/>
    <col min="1803" max="1803" width="6" style="3109" bestFit="1" customWidth="1"/>
    <col min="1804" max="1804" width="6.28515625" style="3109" customWidth="1"/>
    <col min="1805" max="1805" width="11.7109375" style="3109" customWidth="1"/>
    <col min="1806" max="1806" width="0" style="3109" hidden="1" customWidth="1"/>
    <col min="1807" max="1807" width="14.5703125" style="3109" customWidth="1"/>
    <col min="1808" max="1808" width="11.85546875" style="3109" customWidth="1"/>
    <col min="1809" max="2043" width="9.140625" style="3109"/>
    <col min="2044" max="2044" width="2.85546875" style="3109" customWidth="1"/>
    <col min="2045" max="2045" width="50.7109375" style="3109" customWidth="1"/>
    <col min="2046" max="2046" width="9.42578125" style="3109" customWidth="1"/>
    <col min="2047" max="2047" width="11.85546875" style="3109" customWidth="1"/>
    <col min="2048" max="2048" width="8.42578125" style="3109" bestFit="1" customWidth="1"/>
    <col min="2049" max="2051" width="0" style="3109" hidden="1" customWidth="1"/>
    <col min="2052" max="2052" width="6" style="3109" bestFit="1" customWidth="1"/>
    <col min="2053" max="2053" width="9.5703125" style="3109" customWidth="1"/>
    <col min="2054" max="2054" width="9.85546875" style="3109" customWidth="1"/>
    <col min="2055" max="2055" width="9.7109375" style="3109" customWidth="1"/>
    <col min="2056" max="2056" width="9.5703125" style="3109" customWidth="1"/>
    <col min="2057" max="2057" width="9.85546875" style="3109" customWidth="1"/>
    <col min="2058" max="2058" width="6.5703125" style="3109" customWidth="1"/>
    <col min="2059" max="2059" width="6" style="3109" bestFit="1" customWidth="1"/>
    <col min="2060" max="2060" width="6.28515625" style="3109" customWidth="1"/>
    <col min="2061" max="2061" width="11.7109375" style="3109" customWidth="1"/>
    <col min="2062" max="2062" width="0" style="3109" hidden="1" customWidth="1"/>
    <col min="2063" max="2063" width="14.5703125" style="3109" customWidth="1"/>
    <col min="2064" max="2064" width="11.85546875" style="3109" customWidth="1"/>
    <col min="2065" max="2299" width="9.140625" style="3109"/>
    <col min="2300" max="2300" width="2.85546875" style="3109" customWidth="1"/>
    <col min="2301" max="2301" width="50.7109375" style="3109" customWidth="1"/>
    <col min="2302" max="2302" width="9.42578125" style="3109" customWidth="1"/>
    <col min="2303" max="2303" width="11.85546875" style="3109" customWidth="1"/>
    <col min="2304" max="2304" width="8.42578125" style="3109" bestFit="1" customWidth="1"/>
    <col min="2305" max="2307" width="0" style="3109" hidden="1" customWidth="1"/>
    <col min="2308" max="2308" width="6" style="3109" bestFit="1" customWidth="1"/>
    <col min="2309" max="2309" width="9.5703125" style="3109" customWidth="1"/>
    <col min="2310" max="2310" width="9.85546875" style="3109" customWidth="1"/>
    <col min="2311" max="2311" width="9.7109375" style="3109" customWidth="1"/>
    <col min="2312" max="2312" width="9.5703125" style="3109" customWidth="1"/>
    <col min="2313" max="2313" width="9.85546875" style="3109" customWidth="1"/>
    <col min="2314" max="2314" width="6.5703125" style="3109" customWidth="1"/>
    <col min="2315" max="2315" width="6" style="3109" bestFit="1" customWidth="1"/>
    <col min="2316" max="2316" width="6.28515625" style="3109" customWidth="1"/>
    <col min="2317" max="2317" width="11.7109375" style="3109" customWidth="1"/>
    <col min="2318" max="2318" width="0" style="3109" hidden="1" customWidth="1"/>
    <col min="2319" max="2319" width="14.5703125" style="3109" customWidth="1"/>
    <col min="2320" max="2320" width="11.85546875" style="3109" customWidth="1"/>
    <col min="2321" max="2555" width="9.140625" style="3109"/>
    <col min="2556" max="2556" width="2.85546875" style="3109" customWidth="1"/>
    <col min="2557" max="2557" width="50.7109375" style="3109" customWidth="1"/>
    <col min="2558" max="2558" width="9.42578125" style="3109" customWidth="1"/>
    <col min="2559" max="2559" width="11.85546875" style="3109" customWidth="1"/>
    <col min="2560" max="2560" width="8.42578125" style="3109" bestFit="1" customWidth="1"/>
    <col min="2561" max="2563" width="0" style="3109" hidden="1" customWidth="1"/>
    <col min="2564" max="2564" width="6" style="3109" bestFit="1" customWidth="1"/>
    <col min="2565" max="2565" width="9.5703125" style="3109" customWidth="1"/>
    <col min="2566" max="2566" width="9.85546875" style="3109" customWidth="1"/>
    <col min="2567" max="2567" width="9.7109375" style="3109" customWidth="1"/>
    <col min="2568" max="2568" width="9.5703125" style="3109" customWidth="1"/>
    <col min="2569" max="2569" width="9.85546875" style="3109" customWidth="1"/>
    <col min="2570" max="2570" width="6.5703125" style="3109" customWidth="1"/>
    <col min="2571" max="2571" width="6" style="3109" bestFit="1" customWidth="1"/>
    <col min="2572" max="2572" width="6.28515625" style="3109" customWidth="1"/>
    <col min="2573" max="2573" width="11.7109375" style="3109" customWidth="1"/>
    <col min="2574" max="2574" width="0" style="3109" hidden="1" customWidth="1"/>
    <col min="2575" max="2575" width="14.5703125" style="3109" customWidth="1"/>
    <col min="2576" max="2576" width="11.85546875" style="3109" customWidth="1"/>
    <col min="2577" max="2811" width="9.140625" style="3109"/>
    <col min="2812" max="2812" width="2.85546875" style="3109" customWidth="1"/>
    <col min="2813" max="2813" width="50.7109375" style="3109" customWidth="1"/>
    <col min="2814" max="2814" width="9.42578125" style="3109" customWidth="1"/>
    <col min="2815" max="2815" width="11.85546875" style="3109" customWidth="1"/>
    <col min="2816" max="2816" width="8.42578125" style="3109" bestFit="1" customWidth="1"/>
    <col min="2817" max="2819" width="0" style="3109" hidden="1" customWidth="1"/>
    <col min="2820" max="2820" width="6" style="3109" bestFit="1" customWidth="1"/>
    <col min="2821" max="2821" width="9.5703125" style="3109" customWidth="1"/>
    <col min="2822" max="2822" width="9.85546875" style="3109" customWidth="1"/>
    <col min="2823" max="2823" width="9.7109375" style="3109" customWidth="1"/>
    <col min="2824" max="2824" width="9.5703125" style="3109" customWidth="1"/>
    <col min="2825" max="2825" width="9.85546875" style="3109" customWidth="1"/>
    <col min="2826" max="2826" width="6.5703125" style="3109" customWidth="1"/>
    <col min="2827" max="2827" width="6" style="3109" bestFit="1" customWidth="1"/>
    <col min="2828" max="2828" width="6.28515625" style="3109" customWidth="1"/>
    <col min="2829" max="2829" width="11.7109375" style="3109" customWidth="1"/>
    <col min="2830" max="2830" width="0" style="3109" hidden="1" customWidth="1"/>
    <col min="2831" max="2831" width="14.5703125" style="3109" customWidth="1"/>
    <col min="2832" max="2832" width="11.85546875" style="3109" customWidth="1"/>
    <col min="2833" max="3067" width="9.140625" style="3109"/>
    <col min="3068" max="3068" width="2.85546875" style="3109" customWidth="1"/>
    <col min="3069" max="3069" width="50.7109375" style="3109" customWidth="1"/>
    <col min="3070" max="3070" width="9.42578125" style="3109" customWidth="1"/>
    <col min="3071" max="3071" width="11.85546875" style="3109" customWidth="1"/>
    <col min="3072" max="3072" width="8.42578125" style="3109" bestFit="1" customWidth="1"/>
    <col min="3073" max="3075" width="0" style="3109" hidden="1" customWidth="1"/>
    <col min="3076" max="3076" width="6" style="3109" bestFit="1" customWidth="1"/>
    <col min="3077" max="3077" width="9.5703125" style="3109" customWidth="1"/>
    <col min="3078" max="3078" width="9.85546875" style="3109" customWidth="1"/>
    <col min="3079" max="3079" width="9.7109375" style="3109" customWidth="1"/>
    <col min="3080" max="3080" width="9.5703125" style="3109" customWidth="1"/>
    <col min="3081" max="3081" width="9.85546875" style="3109" customWidth="1"/>
    <col min="3082" max="3082" width="6.5703125" style="3109" customWidth="1"/>
    <col min="3083" max="3083" width="6" style="3109" bestFit="1" customWidth="1"/>
    <col min="3084" max="3084" width="6.28515625" style="3109" customWidth="1"/>
    <col min="3085" max="3085" width="11.7109375" style="3109" customWidth="1"/>
    <col min="3086" max="3086" width="0" style="3109" hidden="1" customWidth="1"/>
    <col min="3087" max="3087" width="14.5703125" style="3109" customWidth="1"/>
    <col min="3088" max="3088" width="11.85546875" style="3109" customWidth="1"/>
    <col min="3089" max="3323" width="9.140625" style="3109"/>
    <col min="3324" max="3324" width="2.85546875" style="3109" customWidth="1"/>
    <col min="3325" max="3325" width="50.7109375" style="3109" customWidth="1"/>
    <col min="3326" max="3326" width="9.42578125" style="3109" customWidth="1"/>
    <col min="3327" max="3327" width="11.85546875" style="3109" customWidth="1"/>
    <col min="3328" max="3328" width="8.42578125" style="3109" bestFit="1" customWidth="1"/>
    <col min="3329" max="3331" width="0" style="3109" hidden="1" customWidth="1"/>
    <col min="3332" max="3332" width="6" style="3109" bestFit="1" customWidth="1"/>
    <col min="3333" max="3333" width="9.5703125" style="3109" customWidth="1"/>
    <col min="3334" max="3334" width="9.85546875" style="3109" customWidth="1"/>
    <col min="3335" max="3335" width="9.7109375" style="3109" customWidth="1"/>
    <col min="3336" max="3336" width="9.5703125" style="3109" customWidth="1"/>
    <col min="3337" max="3337" width="9.85546875" style="3109" customWidth="1"/>
    <col min="3338" max="3338" width="6.5703125" style="3109" customWidth="1"/>
    <col min="3339" max="3339" width="6" style="3109" bestFit="1" customWidth="1"/>
    <col min="3340" max="3340" width="6.28515625" style="3109" customWidth="1"/>
    <col min="3341" max="3341" width="11.7109375" style="3109" customWidth="1"/>
    <col min="3342" max="3342" width="0" style="3109" hidden="1" customWidth="1"/>
    <col min="3343" max="3343" width="14.5703125" style="3109" customWidth="1"/>
    <col min="3344" max="3344" width="11.85546875" style="3109" customWidth="1"/>
    <col min="3345" max="3579" width="9.140625" style="3109"/>
    <col min="3580" max="3580" width="2.85546875" style="3109" customWidth="1"/>
    <col min="3581" max="3581" width="50.7109375" style="3109" customWidth="1"/>
    <col min="3582" max="3582" width="9.42578125" style="3109" customWidth="1"/>
    <col min="3583" max="3583" width="11.85546875" style="3109" customWidth="1"/>
    <col min="3584" max="3584" width="8.42578125" style="3109" bestFit="1" customWidth="1"/>
    <col min="3585" max="3587" width="0" style="3109" hidden="1" customWidth="1"/>
    <col min="3588" max="3588" width="6" style="3109" bestFit="1" customWidth="1"/>
    <col min="3589" max="3589" width="9.5703125" style="3109" customWidth="1"/>
    <col min="3590" max="3590" width="9.85546875" style="3109" customWidth="1"/>
    <col min="3591" max="3591" width="9.7109375" style="3109" customWidth="1"/>
    <col min="3592" max="3592" width="9.5703125" style="3109" customWidth="1"/>
    <col min="3593" max="3593" width="9.85546875" style="3109" customWidth="1"/>
    <col min="3594" max="3594" width="6.5703125" style="3109" customWidth="1"/>
    <col min="3595" max="3595" width="6" style="3109" bestFit="1" customWidth="1"/>
    <col min="3596" max="3596" width="6.28515625" style="3109" customWidth="1"/>
    <col min="3597" max="3597" width="11.7109375" style="3109" customWidth="1"/>
    <col min="3598" max="3598" width="0" style="3109" hidden="1" customWidth="1"/>
    <col min="3599" max="3599" width="14.5703125" style="3109" customWidth="1"/>
    <col min="3600" max="3600" width="11.85546875" style="3109" customWidth="1"/>
    <col min="3601" max="3835" width="9.140625" style="3109"/>
    <col min="3836" max="3836" width="2.85546875" style="3109" customWidth="1"/>
    <col min="3837" max="3837" width="50.7109375" style="3109" customWidth="1"/>
    <col min="3838" max="3838" width="9.42578125" style="3109" customWidth="1"/>
    <col min="3839" max="3839" width="11.85546875" style="3109" customWidth="1"/>
    <col min="3840" max="3840" width="8.42578125" style="3109" bestFit="1" customWidth="1"/>
    <col min="3841" max="3843" width="0" style="3109" hidden="1" customWidth="1"/>
    <col min="3844" max="3844" width="6" style="3109" bestFit="1" customWidth="1"/>
    <col min="3845" max="3845" width="9.5703125" style="3109" customWidth="1"/>
    <col min="3846" max="3846" width="9.85546875" style="3109" customWidth="1"/>
    <col min="3847" max="3847" width="9.7109375" style="3109" customWidth="1"/>
    <col min="3848" max="3848" width="9.5703125" style="3109" customWidth="1"/>
    <col min="3849" max="3849" width="9.85546875" style="3109" customWidth="1"/>
    <col min="3850" max="3850" width="6.5703125" style="3109" customWidth="1"/>
    <col min="3851" max="3851" width="6" style="3109" bestFit="1" customWidth="1"/>
    <col min="3852" max="3852" width="6.28515625" style="3109" customWidth="1"/>
    <col min="3853" max="3853" width="11.7109375" style="3109" customWidth="1"/>
    <col min="3854" max="3854" width="0" style="3109" hidden="1" customWidth="1"/>
    <col min="3855" max="3855" width="14.5703125" style="3109" customWidth="1"/>
    <col min="3856" max="3856" width="11.85546875" style="3109" customWidth="1"/>
    <col min="3857" max="4091" width="9.140625" style="3109"/>
    <col min="4092" max="4092" width="2.85546875" style="3109" customWidth="1"/>
    <col min="4093" max="4093" width="50.7109375" style="3109" customWidth="1"/>
    <col min="4094" max="4094" width="9.42578125" style="3109" customWidth="1"/>
    <col min="4095" max="4095" width="11.85546875" style="3109" customWidth="1"/>
    <col min="4096" max="4096" width="8.42578125" style="3109" bestFit="1" customWidth="1"/>
    <col min="4097" max="4099" width="0" style="3109" hidden="1" customWidth="1"/>
    <col min="4100" max="4100" width="6" style="3109" bestFit="1" customWidth="1"/>
    <col min="4101" max="4101" width="9.5703125" style="3109" customWidth="1"/>
    <col min="4102" max="4102" width="9.85546875" style="3109" customWidth="1"/>
    <col min="4103" max="4103" width="9.7109375" style="3109" customWidth="1"/>
    <col min="4104" max="4104" width="9.5703125" style="3109" customWidth="1"/>
    <col min="4105" max="4105" width="9.85546875" style="3109" customWidth="1"/>
    <col min="4106" max="4106" width="6.5703125" style="3109" customWidth="1"/>
    <col min="4107" max="4107" width="6" style="3109" bestFit="1" customWidth="1"/>
    <col min="4108" max="4108" width="6.28515625" style="3109" customWidth="1"/>
    <col min="4109" max="4109" width="11.7109375" style="3109" customWidth="1"/>
    <col min="4110" max="4110" width="0" style="3109" hidden="1" customWidth="1"/>
    <col min="4111" max="4111" width="14.5703125" style="3109" customWidth="1"/>
    <col min="4112" max="4112" width="11.85546875" style="3109" customWidth="1"/>
    <col min="4113" max="4347" width="9.140625" style="3109"/>
    <col min="4348" max="4348" width="2.85546875" style="3109" customWidth="1"/>
    <col min="4349" max="4349" width="50.7109375" style="3109" customWidth="1"/>
    <col min="4350" max="4350" width="9.42578125" style="3109" customWidth="1"/>
    <col min="4351" max="4351" width="11.85546875" style="3109" customWidth="1"/>
    <col min="4352" max="4352" width="8.42578125" style="3109" bestFit="1" customWidth="1"/>
    <col min="4353" max="4355" width="0" style="3109" hidden="1" customWidth="1"/>
    <col min="4356" max="4356" width="6" style="3109" bestFit="1" customWidth="1"/>
    <col min="4357" max="4357" width="9.5703125" style="3109" customWidth="1"/>
    <col min="4358" max="4358" width="9.85546875" style="3109" customWidth="1"/>
    <col min="4359" max="4359" width="9.7109375" style="3109" customWidth="1"/>
    <col min="4360" max="4360" width="9.5703125" style="3109" customWidth="1"/>
    <col min="4361" max="4361" width="9.85546875" style="3109" customWidth="1"/>
    <col min="4362" max="4362" width="6.5703125" style="3109" customWidth="1"/>
    <col min="4363" max="4363" width="6" style="3109" bestFit="1" customWidth="1"/>
    <col min="4364" max="4364" width="6.28515625" style="3109" customWidth="1"/>
    <col min="4365" max="4365" width="11.7109375" style="3109" customWidth="1"/>
    <col min="4366" max="4366" width="0" style="3109" hidden="1" customWidth="1"/>
    <col min="4367" max="4367" width="14.5703125" style="3109" customWidth="1"/>
    <col min="4368" max="4368" width="11.85546875" style="3109" customWidth="1"/>
    <col min="4369" max="4603" width="9.140625" style="3109"/>
    <col min="4604" max="4604" width="2.85546875" style="3109" customWidth="1"/>
    <col min="4605" max="4605" width="50.7109375" style="3109" customWidth="1"/>
    <col min="4606" max="4606" width="9.42578125" style="3109" customWidth="1"/>
    <col min="4607" max="4607" width="11.85546875" style="3109" customWidth="1"/>
    <col min="4608" max="4608" width="8.42578125" style="3109" bestFit="1" customWidth="1"/>
    <col min="4609" max="4611" width="0" style="3109" hidden="1" customWidth="1"/>
    <col min="4612" max="4612" width="6" style="3109" bestFit="1" customWidth="1"/>
    <col min="4613" max="4613" width="9.5703125" style="3109" customWidth="1"/>
    <col min="4614" max="4614" width="9.85546875" style="3109" customWidth="1"/>
    <col min="4615" max="4615" width="9.7109375" style="3109" customWidth="1"/>
    <col min="4616" max="4616" width="9.5703125" style="3109" customWidth="1"/>
    <col min="4617" max="4617" width="9.85546875" style="3109" customWidth="1"/>
    <col min="4618" max="4618" width="6.5703125" style="3109" customWidth="1"/>
    <col min="4619" max="4619" width="6" style="3109" bestFit="1" customWidth="1"/>
    <col min="4620" max="4620" width="6.28515625" style="3109" customWidth="1"/>
    <col min="4621" max="4621" width="11.7109375" style="3109" customWidth="1"/>
    <col min="4622" max="4622" width="0" style="3109" hidden="1" customWidth="1"/>
    <col min="4623" max="4623" width="14.5703125" style="3109" customWidth="1"/>
    <col min="4624" max="4624" width="11.85546875" style="3109" customWidth="1"/>
    <col min="4625" max="4859" width="9.140625" style="3109"/>
    <col min="4860" max="4860" width="2.85546875" style="3109" customWidth="1"/>
    <col min="4861" max="4861" width="50.7109375" style="3109" customWidth="1"/>
    <col min="4862" max="4862" width="9.42578125" style="3109" customWidth="1"/>
    <col min="4863" max="4863" width="11.85546875" style="3109" customWidth="1"/>
    <col min="4864" max="4864" width="8.42578125" style="3109" bestFit="1" customWidth="1"/>
    <col min="4865" max="4867" width="0" style="3109" hidden="1" customWidth="1"/>
    <col min="4868" max="4868" width="6" style="3109" bestFit="1" customWidth="1"/>
    <col min="4869" max="4869" width="9.5703125" style="3109" customWidth="1"/>
    <col min="4870" max="4870" width="9.85546875" style="3109" customWidth="1"/>
    <col min="4871" max="4871" width="9.7109375" style="3109" customWidth="1"/>
    <col min="4872" max="4872" width="9.5703125" style="3109" customWidth="1"/>
    <col min="4873" max="4873" width="9.85546875" style="3109" customWidth="1"/>
    <col min="4874" max="4874" width="6.5703125" style="3109" customWidth="1"/>
    <col min="4875" max="4875" width="6" style="3109" bestFit="1" customWidth="1"/>
    <col min="4876" max="4876" width="6.28515625" style="3109" customWidth="1"/>
    <col min="4877" max="4877" width="11.7109375" style="3109" customWidth="1"/>
    <col min="4878" max="4878" width="0" style="3109" hidden="1" customWidth="1"/>
    <col min="4879" max="4879" width="14.5703125" style="3109" customWidth="1"/>
    <col min="4880" max="4880" width="11.85546875" style="3109" customWidth="1"/>
    <col min="4881" max="5115" width="9.140625" style="3109"/>
    <col min="5116" max="5116" width="2.85546875" style="3109" customWidth="1"/>
    <col min="5117" max="5117" width="50.7109375" style="3109" customWidth="1"/>
    <col min="5118" max="5118" width="9.42578125" style="3109" customWidth="1"/>
    <col min="5119" max="5119" width="11.85546875" style="3109" customWidth="1"/>
    <col min="5120" max="5120" width="8.42578125" style="3109" bestFit="1" customWidth="1"/>
    <col min="5121" max="5123" width="0" style="3109" hidden="1" customWidth="1"/>
    <col min="5124" max="5124" width="6" style="3109" bestFit="1" customWidth="1"/>
    <col min="5125" max="5125" width="9.5703125" style="3109" customWidth="1"/>
    <col min="5126" max="5126" width="9.85546875" style="3109" customWidth="1"/>
    <col min="5127" max="5127" width="9.7109375" style="3109" customWidth="1"/>
    <col min="5128" max="5128" width="9.5703125" style="3109" customWidth="1"/>
    <col min="5129" max="5129" width="9.85546875" style="3109" customWidth="1"/>
    <col min="5130" max="5130" width="6.5703125" style="3109" customWidth="1"/>
    <col min="5131" max="5131" width="6" style="3109" bestFit="1" customWidth="1"/>
    <col min="5132" max="5132" width="6.28515625" style="3109" customWidth="1"/>
    <col min="5133" max="5133" width="11.7109375" style="3109" customWidth="1"/>
    <col min="5134" max="5134" width="0" style="3109" hidden="1" customWidth="1"/>
    <col min="5135" max="5135" width="14.5703125" style="3109" customWidth="1"/>
    <col min="5136" max="5136" width="11.85546875" style="3109" customWidth="1"/>
    <col min="5137" max="5371" width="9.140625" style="3109"/>
    <col min="5372" max="5372" width="2.85546875" style="3109" customWidth="1"/>
    <col min="5373" max="5373" width="50.7109375" style="3109" customWidth="1"/>
    <col min="5374" max="5374" width="9.42578125" style="3109" customWidth="1"/>
    <col min="5375" max="5375" width="11.85546875" style="3109" customWidth="1"/>
    <col min="5376" max="5376" width="8.42578125" style="3109" bestFit="1" customWidth="1"/>
    <col min="5377" max="5379" width="0" style="3109" hidden="1" customWidth="1"/>
    <col min="5380" max="5380" width="6" style="3109" bestFit="1" customWidth="1"/>
    <col min="5381" max="5381" width="9.5703125" style="3109" customWidth="1"/>
    <col min="5382" max="5382" width="9.85546875" style="3109" customWidth="1"/>
    <col min="5383" max="5383" width="9.7109375" style="3109" customWidth="1"/>
    <col min="5384" max="5384" width="9.5703125" style="3109" customWidth="1"/>
    <col min="5385" max="5385" width="9.85546875" style="3109" customWidth="1"/>
    <col min="5386" max="5386" width="6.5703125" style="3109" customWidth="1"/>
    <col min="5387" max="5387" width="6" style="3109" bestFit="1" customWidth="1"/>
    <col min="5388" max="5388" width="6.28515625" style="3109" customWidth="1"/>
    <col min="5389" max="5389" width="11.7109375" style="3109" customWidth="1"/>
    <col min="5390" max="5390" width="0" style="3109" hidden="1" customWidth="1"/>
    <col min="5391" max="5391" width="14.5703125" style="3109" customWidth="1"/>
    <col min="5392" max="5392" width="11.85546875" style="3109" customWidth="1"/>
    <col min="5393" max="5627" width="9.140625" style="3109"/>
    <col min="5628" max="5628" width="2.85546875" style="3109" customWidth="1"/>
    <col min="5629" max="5629" width="50.7109375" style="3109" customWidth="1"/>
    <col min="5630" max="5630" width="9.42578125" style="3109" customWidth="1"/>
    <col min="5631" max="5631" width="11.85546875" style="3109" customWidth="1"/>
    <col min="5632" max="5632" width="8.42578125" style="3109" bestFit="1" customWidth="1"/>
    <col min="5633" max="5635" width="0" style="3109" hidden="1" customWidth="1"/>
    <col min="5636" max="5636" width="6" style="3109" bestFit="1" customWidth="1"/>
    <col min="5637" max="5637" width="9.5703125" style="3109" customWidth="1"/>
    <col min="5638" max="5638" width="9.85546875" style="3109" customWidth="1"/>
    <col min="5639" max="5639" width="9.7109375" style="3109" customWidth="1"/>
    <col min="5640" max="5640" width="9.5703125" style="3109" customWidth="1"/>
    <col min="5641" max="5641" width="9.85546875" style="3109" customWidth="1"/>
    <col min="5642" max="5642" width="6.5703125" style="3109" customWidth="1"/>
    <col min="5643" max="5643" width="6" style="3109" bestFit="1" customWidth="1"/>
    <col min="5644" max="5644" width="6.28515625" style="3109" customWidth="1"/>
    <col min="5645" max="5645" width="11.7109375" style="3109" customWidth="1"/>
    <col min="5646" max="5646" width="0" style="3109" hidden="1" customWidth="1"/>
    <col min="5647" max="5647" width="14.5703125" style="3109" customWidth="1"/>
    <col min="5648" max="5648" width="11.85546875" style="3109" customWidth="1"/>
    <col min="5649" max="5883" width="9.140625" style="3109"/>
    <col min="5884" max="5884" width="2.85546875" style="3109" customWidth="1"/>
    <col min="5885" max="5885" width="50.7109375" style="3109" customWidth="1"/>
    <col min="5886" max="5886" width="9.42578125" style="3109" customWidth="1"/>
    <col min="5887" max="5887" width="11.85546875" style="3109" customWidth="1"/>
    <col min="5888" max="5888" width="8.42578125" style="3109" bestFit="1" customWidth="1"/>
    <col min="5889" max="5891" width="0" style="3109" hidden="1" customWidth="1"/>
    <col min="5892" max="5892" width="6" style="3109" bestFit="1" customWidth="1"/>
    <col min="5893" max="5893" width="9.5703125" style="3109" customWidth="1"/>
    <col min="5894" max="5894" width="9.85546875" style="3109" customWidth="1"/>
    <col min="5895" max="5895" width="9.7109375" style="3109" customWidth="1"/>
    <col min="5896" max="5896" width="9.5703125" style="3109" customWidth="1"/>
    <col min="5897" max="5897" width="9.85546875" style="3109" customWidth="1"/>
    <col min="5898" max="5898" width="6.5703125" style="3109" customWidth="1"/>
    <col min="5899" max="5899" width="6" style="3109" bestFit="1" customWidth="1"/>
    <col min="5900" max="5900" width="6.28515625" style="3109" customWidth="1"/>
    <col min="5901" max="5901" width="11.7109375" style="3109" customWidth="1"/>
    <col min="5902" max="5902" width="0" style="3109" hidden="1" customWidth="1"/>
    <col min="5903" max="5903" width="14.5703125" style="3109" customWidth="1"/>
    <col min="5904" max="5904" width="11.85546875" style="3109" customWidth="1"/>
    <col min="5905" max="6139" width="9.140625" style="3109"/>
    <col min="6140" max="6140" width="2.85546875" style="3109" customWidth="1"/>
    <col min="6141" max="6141" width="50.7109375" style="3109" customWidth="1"/>
    <col min="6142" max="6142" width="9.42578125" style="3109" customWidth="1"/>
    <col min="6143" max="6143" width="11.85546875" style="3109" customWidth="1"/>
    <col min="6144" max="6144" width="8.42578125" style="3109" bestFit="1" customWidth="1"/>
    <col min="6145" max="6147" width="0" style="3109" hidden="1" customWidth="1"/>
    <col min="6148" max="6148" width="6" style="3109" bestFit="1" customWidth="1"/>
    <col min="6149" max="6149" width="9.5703125" style="3109" customWidth="1"/>
    <col min="6150" max="6150" width="9.85546875" style="3109" customWidth="1"/>
    <col min="6151" max="6151" width="9.7109375" style="3109" customWidth="1"/>
    <col min="6152" max="6152" width="9.5703125" style="3109" customWidth="1"/>
    <col min="6153" max="6153" width="9.85546875" style="3109" customWidth="1"/>
    <col min="6154" max="6154" width="6.5703125" style="3109" customWidth="1"/>
    <col min="6155" max="6155" width="6" style="3109" bestFit="1" customWidth="1"/>
    <col min="6156" max="6156" width="6.28515625" style="3109" customWidth="1"/>
    <col min="6157" max="6157" width="11.7109375" style="3109" customWidth="1"/>
    <col min="6158" max="6158" width="0" style="3109" hidden="1" customWidth="1"/>
    <col min="6159" max="6159" width="14.5703125" style="3109" customWidth="1"/>
    <col min="6160" max="6160" width="11.85546875" style="3109" customWidth="1"/>
    <col min="6161" max="6395" width="9.140625" style="3109"/>
    <col min="6396" max="6396" width="2.85546875" style="3109" customWidth="1"/>
    <col min="6397" max="6397" width="50.7109375" style="3109" customWidth="1"/>
    <col min="6398" max="6398" width="9.42578125" style="3109" customWidth="1"/>
    <col min="6399" max="6399" width="11.85546875" style="3109" customWidth="1"/>
    <col min="6400" max="6400" width="8.42578125" style="3109" bestFit="1" customWidth="1"/>
    <col min="6401" max="6403" width="0" style="3109" hidden="1" customWidth="1"/>
    <col min="6404" max="6404" width="6" style="3109" bestFit="1" customWidth="1"/>
    <col min="6405" max="6405" width="9.5703125" style="3109" customWidth="1"/>
    <col min="6406" max="6406" width="9.85546875" style="3109" customWidth="1"/>
    <col min="6407" max="6407" width="9.7109375" style="3109" customWidth="1"/>
    <col min="6408" max="6408" width="9.5703125" style="3109" customWidth="1"/>
    <col min="6409" max="6409" width="9.85546875" style="3109" customWidth="1"/>
    <col min="6410" max="6410" width="6.5703125" style="3109" customWidth="1"/>
    <col min="6411" max="6411" width="6" style="3109" bestFit="1" customWidth="1"/>
    <col min="6412" max="6412" width="6.28515625" style="3109" customWidth="1"/>
    <col min="6413" max="6413" width="11.7109375" style="3109" customWidth="1"/>
    <col min="6414" max="6414" width="0" style="3109" hidden="1" customWidth="1"/>
    <col min="6415" max="6415" width="14.5703125" style="3109" customWidth="1"/>
    <col min="6416" max="6416" width="11.85546875" style="3109" customWidth="1"/>
    <col min="6417" max="6651" width="9.140625" style="3109"/>
    <col min="6652" max="6652" width="2.85546875" style="3109" customWidth="1"/>
    <col min="6653" max="6653" width="50.7109375" style="3109" customWidth="1"/>
    <col min="6654" max="6654" width="9.42578125" style="3109" customWidth="1"/>
    <col min="6655" max="6655" width="11.85546875" style="3109" customWidth="1"/>
    <col min="6656" max="6656" width="8.42578125" style="3109" bestFit="1" customWidth="1"/>
    <col min="6657" max="6659" width="0" style="3109" hidden="1" customWidth="1"/>
    <col min="6660" max="6660" width="6" style="3109" bestFit="1" customWidth="1"/>
    <col min="6661" max="6661" width="9.5703125" style="3109" customWidth="1"/>
    <col min="6662" max="6662" width="9.85546875" style="3109" customWidth="1"/>
    <col min="6663" max="6663" width="9.7109375" style="3109" customWidth="1"/>
    <col min="6664" max="6664" width="9.5703125" style="3109" customWidth="1"/>
    <col min="6665" max="6665" width="9.85546875" style="3109" customWidth="1"/>
    <col min="6666" max="6666" width="6.5703125" style="3109" customWidth="1"/>
    <col min="6667" max="6667" width="6" style="3109" bestFit="1" customWidth="1"/>
    <col min="6668" max="6668" width="6.28515625" style="3109" customWidth="1"/>
    <col min="6669" max="6669" width="11.7109375" style="3109" customWidth="1"/>
    <col min="6670" max="6670" width="0" style="3109" hidden="1" customWidth="1"/>
    <col min="6671" max="6671" width="14.5703125" style="3109" customWidth="1"/>
    <col min="6672" max="6672" width="11.85546875" style="3109" customWidth="1"/>
    <col min="6673" max="6907" width="9.140625" style="3109"/>
    <col min="6908" max="6908" width="2.85546875" style="3109" customWidth="1"/>
    <col min="6909" max="6909" width="50.7109375" style="3109" customWidth="1"/>
    <col min="6910" max="6910" width="9.42578125" style="3109" customWidth="1"/>
    <col min="6911" max="6911" width="11.85546875" style="3109" customWidth="1"/>
    <col min="6912" max="6912" width="8.42578125" style="3109" bestFit="1" customWidth="1"/>
    <col min="6913" max="6915" width="0" style="3109" hidden="1" customWidth="1"/>
    <col min="6916" max="6916" width="6" style="3109" bestFit="1" customWidth="1"/>
    <col min="6917" max="6917" width="9.5703125" style="3109" customWidth="1"/>
    <col min="6918" max="6918" width="9.85546875" style="3109" customWidth="1"/>
    <col min="6919" max="6919" width="9.7109375" style="3109" customWidth="1"/>
    <col min="6920" max="6920" width="9.5703125" style="3109" customWidth="1"/>
    <col min="6921" max="6921" width="9.85546875" style="3109" customWidth="1"/>
    <col min="6922" max="6922" width="6.5703125" style="3109" customWidth="1"/>
    <col min="6923" max="6923" width="6" style="3109" bestFit="1" customWidth="1"/>
    <col min="6924" max="6924" width="6.28515625" style="3109" customWidth="1"/>
    <col min="6925" max="6925" width="11.7109375" style="3109" customWidth="1"/>
    <col min="6926" max="6926" width="0" style="3109" hidden="1" customWidth="1"/>
    <col min="6927" max="6927" width="14.5703125" style="3109" customWidth="1"/>
    <col min="6928" max="6928" width="11.85546875" style="3109" customWidth="1"/>
    <col min="6929" max="7163" width="9.140625" style="3109"/>
    <col min="7164" max="7164" width="2.85546875" style="3109" customWidth="1"/>
    <col min="7165" max="7165" width="50.7109375" style="3109" customWidth="1"/>
    <col min="7166" max="7166" width="9.42578125" style="3109" customWidth="1"/>
    <col min="7167" max="7167" width="11.85546875" style="3109" customWidth="1"/>
    <col min="7168" max="7168" width="8.42578125" style="3109" bestFit="1" customWidth="1"/>
    <col min="7169" max="7171" width="0" style="3109" hidden="1" customWidth="1"/>
    <col min="7172" max="7172" width="6" style="3109" bestFit="1" customWidth="1"/>
    <col min="7173" max="7173" width="9.5703125" style="3109" customWidth="1"/>
    <col min="7174" max="7174" width="9.85546875" style="3109" customWidth="1"/>
    <col min="7175" max="7175" width="9.7109375" style="3109" customWidth="1"/>
    <col min="7176" max="7176" width="9.5703125" style="3109" customWidth="1"/>
    <col min="7177" max="7177" width="9.85546875" style="3109" customWidth="1"/>
    <col min="7178" max="7178" width="6.5703125" style="3109" customWidth="1"/>
    <col min="7179" max="7179" width="6" style="3109" bestFit="1" customWidth="1"/>
    <col min="7180" max="7180" width="6.28515625" style="3109" customWidth="1"/>
    <col min="7181" max="7181" width="11.7109375" style="3109" customWidth="1"/>
    <col min="7182" max="7182" width="0" style="3109" hidden="1" customWidth="1"/>
    <col min="7183" max="7183" width="14.5703125" style="3109" customWidth="1"/>
    <col min="7184" max="7184" width="11.85546875" style="3109" customWidth="1"/>
    <col min="7185" max="7419" width="9.140625" style="3109"/>
    <col min="7420" max="7420" width="2.85546875" style="3109" customWidth="1"/>
    <col min="7421" max="7421" width="50.7109375" style="3109" customWidth="1"/>
    <col min="7422" max="7422" width="9.42578125" style="3109" customWidth="1"/>
    <col min="7423" max="7423" width="11.85546875" style="3109" customWidth="1"/>
    <col min="7424" max="7424" width="8.42578125" style="3109" bestFit="1" customWidth="1"/>
    <col min="7425" max="7427" width="0" style="3109" hidden="1" customWidth="1"/>
    <col min="7428" max="7428" width="6" style="3109" bestFit="1" customWidth="1"/>
    <col min="7429" max="7429" width="9.5703125" style="3109" customWidth="1"/>
    <col min="7430" max="7430" width="9.85546875" style="3109" customWidth="1"/>
    <col min="7431" max="7431" width="9.7109375" style="3109" customWidth="1"/>
    <col min="7432" max="7432" width="9.5703125" style="3109" customWidth="1"/>
    <col min="7433" max="7433" width="9.85546875" style="3109" customWidth="1"/>
    <col min="7434" max="7434" width="6.5703125" style="3109" customWidth="1"/>
    <col min="7435" max="7435" width="6" style="3109" bestFit="1" customWidth="1"/>
    <col min="7436" max="7436" width="6.28515625" style="3109" customWidth="1"/>
    <col min="7437" max="7437" width="11.7109375" style="3109" customWidth="1"/>
    <col min="7438" max="7438" width="0" style="3109" hidden="1" customWidth="1"/>
    <col min="7439" max="7439" width="14.5703125" style="3109" customWidth="1"/>
    <col min="7440" max="7440" width="11.85546875" style="3109" customWidth="1"/>
    <col min="7441" max="7675" width="9.140625" style="3109"/>
    <col min="7676" max="7676" width="2.85546875" style="3109" customWidth="1"/>
    <col min="7677" max="7677" width="50.7109375" style="3109" customWidth="1"/>
    <col min="7678" max="7678" width="9.42578125" style="3109" customWidth="1"/>
    <col min="7679" max="7679" width="11.85546875" style="3109" customWidth="1"/>
    <col min="7680" max="7680" width="8.42578125" style="3109" bestFit="1" customWidth="1"/>
    <col min="7681" max="7683" width="0" style="3109" hidden="1" customWidth="1"/>
    <col min="7684" max="7684" width="6" style="3109" bestFit="1" customWidth="1"/>
    <col min="7685" max="7685" width="9.5703125" style="3109" customWidth="1"/>
    <col min="7686" max="7686" width="9.85546875" style="3109" customWidth="1"/>
    <col min="7687" max="7687" width="9.7109375" style="3109" customWidth="1"/>
    <col min="7688" max="7688" width="9.5703125" style="3109" customWidth="1"/>
    <col min="7689" max="7689" width="9.85546875" style="3109" customWidth="1"/>
    <col min="7690" max="7690" width="6.5703125" style="3109" customWidth="1"/>
    <col min="7691" max="7691" width="6" style="3109" bestFit="1" customWidth="1"/>
    <col min="7692" max="7692" width="6.28515625" style="3109" customWidth="1"/>
    <col min="7693" max="7693" width="11.7109375" style="3109" customWidth="1"/>
    <col min="7694" max="7694" width="0" style="3109" hidden="1" customWidth="1"/>
    <col min="7695" max="7695" width="14.5703125" style="3109" customWidth="1"/>
    <col min="7696" max="7696" width="11.85546875" style="3109" customWidth="1"/>
    <col min="7697" max="7931" width="9.140625" style="3109"/>
    <col min="7932" max="7932" width="2.85546875" style="3109" customWidth="1"/>
    <col min="7933" max="7933" width="50.7109375" style="3109" customWidth="1"/>
    <col min="7934" max="7934" width="9.42578125" style="3109" customWidth="1"/>
    <col min="7935" max="7935" width="11.85546875" style="3109" customWidth="1"/>
    <col min="7936" max="7936" width="8.42578125" style="3109" bestFit="1" customWidth="1"/>
    <col min="7937" max="7939" width="0" style="3109" hidden="1" customWidth="1"/>
    <col min="7940" max="7940" width="6" style="3109" bestFit="1" customWidth="1"/>
    <col min="7941" max="7941" width="9.5703125" style="3109" customWidth="1"/>
    <col min="7942" max="7942" width="9.85546875" style="3109" customWidth="1"/>
    <col min="7943" max="7943" width="9.7109375" style="3109" customWidth="1"/>
    <col min="7944" max="7944" width="9.5703125" style="3109" customWidth="1"/>
    <col min="7945" max="7945" width="9.85546875" style="3109" customWidth="1"/>
    <col min="7946" max="7946" width="6.5703125" style="3109" customWidth="1"/>
    <col min="7947" max="7947" width="6" style="3109" bestFit="1" customWidth="1"/>
    <col min="7948" max="7948" width="6.28515625" style="3109" customWidth="1"/>
    <col min="7949" max="7949" width="11.7109375" style="3109" customWidth="1"/>
    <col min="7950" max="7950" width="0" style="3109" hidden="1" customWidth="1"/>
    <col min="7951" max="7951" width="14.5703125" style="3109" customWidth="1"/>
    <col min="7952" max="7952" width="11.85546875" style="3109" customWidth="1"/>
    <col min="7953" max="8187" width="9.140625" style="3109"/>
    <col min="8188" max="8188" width="2.85546875" style="3109" customWidth="1"/>
    <col min="8189" max="8189" width="50.7109375" style="3109" customWidth="1"/>
    <col min="8190" max="8190" width="9.42578125" style="3109" customWidth="1"/>
    <col min="8191" max="8191" width="11.85546875" style="3109" customWidth="1"/>
    <col min="8192" max="8192" width="8.42578125" style="3109" bestFit="1" customWidth="1"/>
    <col min="8193" max="8195" width="0" style="3109" hidden="1" customWidth="1"/>
    <col min="8196" max="8196" width="6" style="3109" bestFit="1" customWidth="1"/>
    <col min="8197" max="8197" width="9.5703125" style="3109" customWidth="1"/>
    <col min="8198" max="8198" width="9.85546875" style="3109" customWidth="1"/>
    <col min="8199" max="8199" width="9.7109375" style="3109" customWidth="1"/>
    <col min="8200" max="8200" width="9.5703125" style="3109" customWidth="1"/>
    <col min="8201" max="8201" width="9.85546875" style="3109" customWidth="1"/>
    <col min="8202" max="8202" width="6.5703125" style="3109" customWidth="1"/>
    <col min="8203" max="8203" width="6" style="3109" bestFit="1" customWidth="1"/>
    <col min="8204" max="8204" width="6.28515625" style="3109" customWidth="1"/>
    <col min="8205" max="8205" width="11.7109375" style="3109" customWidth="1"/>
    <col min="8206" max="8206" width="0" style="3109" hidden="1" customWidth="1"/>
    <col min="8207" max="8207" width="14.5703125" style="3109" customWidth="1"/>
    <col min="8208" max="8208" width="11.85546875" style="3109" customWidth="1"/>
    <col min="8209" max="8443" width="9.140625" style="3109"/>
    <col min="8444" max="8444" width="2.85546875" style="3109" customWidth="1"/>
    <col min="8445" max="8445" width="50.7109375" style="3109" customWidth="1"/>
    <col min="8446" max="8446" width="9.42578125" style="3109" customWidth="1"/>
    <col min="8447" max="8447" width="11.85546875" style="3109" customWidth="1"/>
    <col min="8448" max="8448" width="8.42578125" style="3109" bestFit="1" customWidth="1"/>
    <col min="8449" max="8451" width="0" style="3109" hidden="1" customWidth="1"/>
    <col min="8452" max="8452" width="6" style="3109" bestFit="1" customWidth="1"/>
    <col min="8453" max="8453" width="9.5703125" style="3109" customWidth="1"/>
    <col min="8454" max="8454" width="9.85546875" style="3109" customWidth="1"/>
    <col min="8455" max="8455" width="9.7109375" style="3109" customWidth="1"/>
    <col min="8456" max="8456" width="9.5703125" style="3109" customWidth="1"/>
    <col min="8457" max="8457" width="9.85546875" style="3109" customWidth="1"/>
    <col min="8458" max="8458" width="6.5703125" style="3109" customWidth="1"/>
    <col min="8459" max="8459" width="6" style="3109" bestFit="1" customWidth="1"/>
    <col min="8460" max="8460" width="6.28515625" style="3109" customWidth="1"/>
    <col min="8461" max="8461" width="11.7109375" style="3109" customWidth="1"/>
    <col min="8462" max="8462" width="0" style="3109" hidden="1" customWidth="1"/>
    <col min="8463" max="8463" width="14.5703125" style="3109" customWidth="1"/>
    <col min="8464" max="8464" width="11.85546875" style="3109" customWidth="1"/>
    <col min="8465" max="8699" width="9.140625" style="3109"/>
    <col min="8700" max="8700" width="2.85546875" style="3109" customWidth="1"/>
    <col min="8701" max="8701" width="50.7109375" style="3109" customWidth="1"/>
    <col min="8702" max="8702" width="9.42578125" style="3109" customWidth="1"/>
    <col min="8703" max="8703" width="11.85546875" style="3109" customWidth="1"/>
    <col min="8704" max="8704" width="8.42578125" style="3109" bestFit="1" customWidth="1"/>
    <col min="8705" max="8707" width="0" style="3109" hidden="1" customWidth="1"/>
    <col min="8708" max="8708" width="6" style="3109" bestFit="1" customWidth="1"/>
    <col min="8709" max="8709" width="9.5703125" style="3109" customWidth="1"/>
    <col min="8710" max="8710" width="9.85546875" style="3109" customWidth="1"/>
    <col min="8711" max="8711" width="9.7109375" style="3109" customWidth="1"/>
    <col min="8712" max="8712" width="9.5703125" style="3109" customWidth="1"/>
    <col min="8713" max="8713" width="9.85546875" style="3109" customWidth="1"/>
    <col min="8714" max="8714" width="6.5703125" style="3109" customWidth="1"/>
    <col min="8715" max="8715" width="6" style="3109" bestFit="1" customWidth="1"/>
    <col min="8716" max="8716" width="6.28515625" style="3109" customWidth="1"/>
    <col min="8717" max="8717" width="11.7109375" style="3109" customWidth="1"/>
    <col min="8718" max="8718" width="0" style="3109" hidden="1" customWidth="1"/>
    <col min="8719" max="8719" width="14.5703125" style="3109" customWidth="1"/>
    <col min="8720" max="8720" width="11.85546875" style="3109" customWidth="1"/>
    <col min="8721" max="8955" width="9.140625" style="3109"/>
    <col min="8956" max="8956" width="2.85546875" style="3109" customWidth="1"/>
    <col min="8957" max="8957" width="50.7109375" style="3109" customWidth="1"/>
    <col min="8958" max="8958" width="9.42578125" style="3109" customWidth="1"/>
    <col min="8959" max="8959" width="11.85546875" style="3109" customWidth="1"/>
    <col min="8960" max="8960" width="8.42578125" style="3109" bestFit="1" customWidth="1"/>
    <col min="8961" max="8963" width="0" style="3109" hidden="1" customWidth="1"/>
    <col min="8964" max="8964" width="6" style="3109" bestFit="1" customWidth="1"/>
    <col min="8965" max="8965" width="9.5703125" style="3109" customWidth="1"/>
    <col min="8966" max="8966" width="9.85546875" style="3109" customWidth="1"/>
    <col min="8967" max="8967" width="9.7109375" style="3109" customWidth="1"/>
    <col min="8968" max="8968" width="9.5703125" style="3109" customWidth="1"/>
    <col min="8969" max="8969" width="9.85546875" style="3109" customWidth="1"/>
    <col min="8970" max="8970" width="6.5703125" style="3109" customWidth="1"/>
    <col min="8971" max="8971" width="6" style="3109" bestFit="1" customWidth="1"/>
    <col min="8972" max="8972" width="6.28515625" style="3109" customWidth="1"/>
    <col min="8973" max="8973" width="11.7109375" style="3109" customWidth="1"/>
    <col min="8974" max="8974" width="0" style="3109" hidden="1" customWidth="1"/>
    <col min="8975" max="8975" width="14.5703125" style="3109" customWidth="1"/>
    <col min="8976" max="8976" width="11.85546875" style="3109" customWidth="1"/>
    <col min="8977" max="9211" width="9.140625" style="3109"/>
    <col min="9212" max="9212" width="2.85546875" style="3109" customWidth="1"/>
    <col min="9213" max="9213" width="50.7109375" style="3109" customWidth="1"/>
    <col min="9214" max="9214" width="9.42578125" style="3109" customWidth="1"/>
    <col min="9215" max="9215" width="11.85546875" style="3109" customWidth="1"/>
    <col min="9216" max="9216" width="8.42578125" style="3109" bestFit="1" customWidth="1"/>
    <col min="9217" max="9219" width="0" style="3109" hidden="1" customWidth="1"/>
    <col min="9220" max="9220" width="6" style="3109" bestFit="1" customWidth="1"/>
    <col min="9221" max="9221" width="9.5703125" style="3109" customWidth="1"/>
    <col min="9222" max="9222" width="9.85546875" style="3109" customWidth="1"/>
    <col min="9223" max="9223" width="9.7109375" style="3109" customWidth="1"/>
    <col min="9224" max="9224" width="9.5703125" style="3109" customWidth="1"/>
    <col min="9225" max="9225" width="9.85546875" style="3109" customWidth="1"/>
    <col min="9226" max="9226" width="6.5703125" style="3109" customWidth="1"/>
    <col min="9227" max="9227" width="6" style="3109" bestFit="1" customWidth="1"/>
    <col min="9228" max="9228" width="6.28515625" style="3109" customWidth="1"/>
    <col min="9229" max="9229" width="11.7109375" style="3109" customWidth="1"/>
    <col min="9230" max="9230" width="0" style="3109" hidden="1" customWidth="1"/>
    <col min="9231" max="9231" width="14.5703125" style="3109" customWidth="1"/>
    <col min="9232" max="9232" width="11.85546875" style="3109" customWidth="1"/>
    <col min="9233" max="9467" width="9.140625" style="3109"/>
    <col min="9468" max="9468" width="2.85546875" style="3109" customWidth="1"/>
    <col min="9469" max="9469" width="50.7109375" style="3109" customWidth="1"/>
    <col min="9470" max="9470" width="9.42578125" style="3109" customWidth="1"/>
    <col min="9471" max="9471" width="11.85546875" style="3109" customWidth="1"/>
    <col min="9472" max="9472" width="8.42578125" style="3109" bestFit="1" customWidth="1"/>
    <col min="9473" max="9475" width="0" style="3109" hidden="1" customWidth="1"/>
    <col min="9476" max="9476" width="6" style="3109" bestFit="1" customWidth="1"/>
    <col min="9477" max="9477" width="9.5703125" style="3109" customWidth="1"/>
    <col min="9478" max="9478" width="9.85546875" style="3109" customWidth="1"/>
    <col min="9479" max="9479" width="9.7109375" style="3109" customWidth="1"/>
    <col min="9480" max="9480" width="9.5703125" style="3109" customWidth="1"/>
    <col min="9481" max="9481" width="9.85546875" style="3109" customWidth="1"/>
    <col min="9482" max="9482" width="6.5703125" style="3109" customWidth="1"/>
    <col min="9483" max="9483" width="6" style="3109" bestFit="1" customWidth="1"/>
    <col min="9484" max="9484" width="6.28515625" style="3109" customWidth="1"/>
    <col min="9485" max="9485" width="11.7109375" style="3109" customWidth="1"/>
    <col min="9486" max="9486" width="0" style="3109" hidden="1" customWidth="1"/>
    <col min="9487" max="9487" width="14.5703125" style="3109" customWidth="1"/>
    <col min="9488" max="9488" width="11.85546875" style="3109" customWidth="1"/>
    <col min="9489" max="9723" width="9.140625" style="3109"/>
    <col min="9724" max="9724" width="2.85546875" style="3109" customWidth="1"/>
    <col min="9725" max="9725" width="50.7109375" style="3109" customWidth="1"/>
    <col min="9726" max="9726" width="9.42578125" style="3109" customWidth="1"/>
    <col min="9727" max="9727" width="11.85546875" style="3109" customWidth="1"/>
    <col min="9728" max="9728" width="8.42578125" style="3109" bestFit="1" customWidth="1"/>
    <col min="9729" max="9731" width="0" style="3109" hidden="1" customWidth="1"/>
    <col min="9732" max="9732" width="6" style="3109" bestFit="1" customWidth="1"/>
    <col min="9733" max="9733" width="9.5703125" style="3109" customWidth="1"/>
    <col min="9734" max="9734" width="9.85546875" style="3109" customWidth="1"/>
    <col min="9735" max="9735" width="9.7109375" style="3109" customWidth="1"/>
    <col min="9736" max="9736" width="9.5703125" style="3109" customWidth="1"/>
    <col min="9737" max="9737" width="9.85546875" style="3109" customWidth="1"/>
    <col min="9738" max="9738" width="6.5703125" style="3109" customWidth="1"/>
    <col min="9739" max="9739" width="6" style="3109" bestFit="1" customWidth="1"/>
    <col min="9740" max="9740" width="6.28515625" style="3109" customWidth="1"/>
    <col min="9741" max="9741" width="11.7109375" style="3109" customWidth="1"/>
    <col min="9742" max="9742" width="0" style="3109" hidden="1" customWidth="1"/>
    <col min="9743" max="9743" width="14.5703125" style="3109" customWidth="1"/>
    <col min="9744" max="9744" width="11.85546875" style="3109" customWidth="1"/>
    <col min="9745" max="9979" width="9.140625" style="3109"/>
    <col min="9980" max="9980" width="2.85546875" style="3109" customWidth="1"/>
    <col min="9981" max="9981" width="50.7109375" style="3109" customWidth="1"/>
    <col min="9982" max="9982" width="9.42578125" style="3109" customWidth="1"/>
    <col min="9983" max="9983" width="11.85546875" style="3109" customWidth="1"/>
    <col min="9984" max="9984" width="8.42578125" style="3109" bestFit="1" customWidth="1"/>
    <col min="9985" max="9987" width="0" style="3109" hidden="1" customWidth="1"/>
    <col min="9988" max="9988" width="6" style="3109" bestFit="1" customWidth="1"/>
    <col min="9989" max="9989" width="9.5703125" style="3109" customWidth="1"/>
    <col min="9990" max="9990" width="9.85546875" style="3109" customWidth="1"/>
    <col min="9991" max="9991" width="9.7109375" style="3109" customWidth="1"/>
    <col min="9992" max="9992" width="9.5703125" style="3109" customWidth="1"/>
    <col min="9993" max="9993" width="9.85546875" style="3109" customWidth="1"/>
    <col min="9994" max="9994" width="6.5703125" style="3109" customWidth="1"/>
    <col min="9995" max="9995" width="6" style="3109" bestFit="1" customWidth="1"/>
    <col min="9996" max="9996" width="6.28515625" style="3109" customWidth="1"/>
    <col min="9997" max="9997" width="11.7109375" style="3109" customWidth="1"/>
    <col min="9998" max="9998" width="0" style="3109" hidden="1" customWidth="1"/>
    <col min="9999" max="9999" width="14.5703125" style="3109" customWidth="1"/>
    <col min="10000" max="10000" width="11.85546875" style="3109" customWidth="1"/>
    <col min="10001" max="10235" width="9.140625" style="3109"/>
    <col min="10236" max="10236" width="2.85546875" style="3109" customWidth="1"/>
    <col min="10237" max="10237" width="50.7109375" style="3109" customWidth="1"/>
    <col min="10238" max="10238" width="9.42578125" style="3109" customWidth="1"/>
    <col min="10239" max="10239" width="11.85546875" style="3109" customWidth="1"/>
    <col min="10240" max="10240" width="8.42578125" style="3109" bestFit="1" customWidth="1"/>
    <col min="10241" max="10243" width="0" style="3109" hidden="1" customWidth="1"/>
    <col min="10244" max="10244" width="6" style="3109" bestFit="1" customWidth="1"/>
    <col min="10245" max="10245" width="9.5703125" style="3109" customWidth="1"/>
    <col min="10246" max="10246" width="9.85546875" style="3109" customWidth="1"/>
    <col min="10247" max="10247" width="9.7109375" style="3109" customWidth="1"/>
    <col min="10248" max="10248" width="9.5703125" style="3109" customWidth="1"/>
    <col min="10249" max="10249" width="9.85546875" style="3109" customWidth="1"/>
    <col min="10250" max="10250" width="6.5703125" style="3109" customWidth="1"/>
    <col min="10251" max="10251" width="6" style="3109" bestFit="1" customWidth="1"/>
    <col min="10252" max="10252" width="6.28515625" style="3109" customWidth="1"/>
    <col min="10253" max="10253" width="11.7109375" style="3109" customWidth="1"/>
    <col min="10254" max="10254" width="0" style="3109" hidden="1" customWidth="1"/>
    <col min="10255" max="10255" width="14.5703125" style="3109" customWidth="1"/>
    <col min="10256" max="10256" width="11.85546875" style="3109" customWidth="1"/>
    <col min="10257" max="10491" width="9.140625" style="3109"/>
    <col min="10492" max="10492" width="2.85546875" style="3109" customWidth="1"/>
    <col min="10493" max="10493" width="50.7109375" style="3109" customWidth="1"/>
    <col min="10494" max="10494" width="9.42578125" style="3109" customWidth="1"/>
    <col min="10495" max="10495" width="11.85546875" style="3109" customWidth="1"/>
    <col min="10496" max="10496" width="8.42578125" style="3109" bestFit="1" customWidth="1"/>
    <col min="10497" max="10499" width="0" style="3109" hidden="1" customWidth="1"/>
    <col min="10500" max="10500" width="6" style="3109" bestFit="1" customWidth="1"/>
    <col min="10501" max="10501" width="9.5703125" style="3109" customWidth="1"/>
    <col min="10502" max="10502" width="9.85546875" style="3109" customWidth="1"/>
    <col min="10503" max="10503" width="9.7109375" style="3109" customWidth="1"/>
    <col min="10504" max="10504" width="9.5703125" style="3109" customWidth="1"/>
    <col min="10505" max="10505" width="9.85546875" style="3109" customWidth="1"/>
    <col min="10506" max="10506" width="6.5703125" style="3109" customWidth="1"/>
    <col min="10507" max="10507" width="6" style="3109" bestFit="1" customWidth="1"/>
    <col min="10508" max="10508" width="6.28515625" style="3109" customWidth="1"/>
    <col min="10509" max="10509" width="11.7109375" style="3109" customWidth="1"/>
    <col min="10510" max="10510" width="0" style="3109" hidden="1" customWidth="1"/>
    <col min="10511" max="10511" width="14.5703125" style="3109" customWidth="1"/>
    <col min="10512" max="10512" width="11.85546875" style="3109" customWidth="1"/>
    <col min="10513" max="10747" width="9.140625" style="3109"/>
    <col min="10748" max="10748" width="2.85546875" style="3109" customWidth="1"/>
    <col min="10749" max="10749" width="50.7109375" style="3109" customWidth="1"/>
    <col min="10750" max="10750" width="9.42578125" style="3109" customWidth="1"/>
    <col min="10751" max="10751" width="11.85546875" style="3109" customWidth="1"/>
    <col min="10752" max="10752" width="8.42578125" style="3109" bestFit="1" customWidth="1"/>
    <col min="10753" max="10755" width="0" style="3109" hidden="1" customWidth="1"/>
    <col min="10756" max="10756" width="6" style="3109" bestFit="1" customWidth="1"/>
    <col min="10757" max="10757" width="9.5703125" style="3109" customWidth="1"/>
    <col min="10758" max="10758" width="9.85546875" style="3109" customWidth="1"/>
    <col min="10759" max="10759" width="9.7109375" style="3109" customWidth="1"/>
    <col min="10760" max="10760" width="9.5703125" style="3109" customWidth="1"/>
    <col min="10761" max="10761" width="9.85546875" style="3109" customWidth="1"/>
    <col min="10762" max="10762" width="6.5703125" style="3109" customWidth="1"/>
    <col min="10763" max="10763" width="6" style="3109" bestFit="1" customWidth="1"/>
    <col min="10764" max="10764" width="6.28515625" style="3109" customWidth="1"/>
    <col min="10765" max="10765" width="11.7109375" style="3109" customWidth="1"/>
    <col min="10766" max="10766" width="0" style="3109" hidden="1" customWidth="1"/>
    <col min="10767" max="10767" width="14.5703125" style="3109" customWidth="1"/>
    <col min="10768" max="10768" width="11.85546875" style="3109" customWidth="1"/>
    <col min="10769" max="11003" width="9.140625" style="3109"/>
    <col min="11004" max="11004" width="2.85546875" style="3109" customWidth="1"/>
    <col min="11005" max="11005" width="50.7109375" style="3109" customWidth="1"/>
    <col min="11006" max="11006" width="9.42578125" style="3109" customWidth="1"/>
    <col min="11007" max="11007" width="11.85546875" style="3109" customWidth="1"/>
    <col min="11008" max="11008" width="8.42578125" style="3109" bestFit="1" customWidth="1"/>
    <col min="11009" max="11011" width="0" style="3109" hidden="1" customWidth="1"/>
    <col min="11012" max="11012" width="6" style="3109" bestFit="1" customWidth="1"/>
    <col min="11013" max="11013" width="9.5703125" style="3109" customWidth="1"/>
    <col min="11014" max="11014" width="9.85546875" style="3109" customWidth="1"/>
    <col min="11015" max="11015" width="9.7109375" style="3109" customWidth="1"/>
    <col min="11016" max="11016" width="9.5703125" style="3109" customWidth="1"/>
    <col min="11017" max="11017" width="9.85546875" style="3109" customWidth="1"/>
    <col min="11018" max="11018" width="6.5703125" style="3109" customWidth="1"/>
    <col min="11019" max="11019" width="6" style="3109" bestFit="1" customWidth="1"/>
    <col min="11020" max="11020" width="6.28515625" style="3109" customWidth="1"/>
    <col min="11021" max="11021" width="11.7109375" style="3109" customWidth="1"/>
    <col min="11022" max="11022" width="0" style="3109" hidden="1" customWidth="1"/>
    <col min="11023" max="11023" width="14.5703125" style="3109" customWidth="1"/>
    <col min="11024" max="11024" width="11.85546875" style="3109" customWidth="1"/>
    <col min="11025" max="11259" width="9.140625" style="3109"/>
    <col min="11260" max="11260" width="2.85546875" style="3109" customWidth="1"/>
    <col min="11261" max="11261" width="50.7109375" style="3109" customWidth="1"/>
    <col min="11262" max="11262" width="9.42578125" style="3109" customWidth="1"/>
    <col min="11263" max="11263" width="11.85546875" style="3109" customWidth="1"/>
    <col min="11264" max="11264" width="8.42578125" style="3109" bestFit="1" customWidth="1"/>
    <col min="11265" max="11267" width="0" style="3109" hidden="1" customWidth="1"/>
    <col min="11268" max="11268" width="6" style="3109" bestFit="1" customWidth="1"/>
    <col min="11269" max="11269" width="9.5703125" style="3109" customWidth="1"/>
    <col min="11270" max="11270" width="9.85546875" style="3109" customWidth="1"/>
    <col min="11271" max="11271" width="9.7109375" style="3109" customWidth="1"/>
    <col min="11272" max="11272" width="9.5703125" style="3109" customWidth="1"/>
    <col min="11273" max="11273" width="9.85546875" style="3109" customWidth="1"/>
    <col min="11274" max="11274" width="6.5703125" style="3109" customWidth="1"/>
    <col min="11275" max="11275" width="6" style="3109" bestFit="1" customWidth="1"/>
    <col min="11276" max="11276" width="6.28515625" style="3109" customWidth="1"/>
    <col min="11277" max="11277" width="11.7109375" style="3109" customWidth="1"/>
    <col min="11278" max="11278" width="0" style="3109" hidden="1" customWidth="1"/>
    <col min="11279" max="11279" width="14.5703125" style="3109" customWidth="1"/>
    <col min="11280" max="11280" width="11.85546875" style="3109" customWidth="1"/>
    <col min="11281" max="11515" width="9.140625" style="3109"/>
    <col min="11516" max="11516" width="2.85546875" style="3109" customWidth="1"/>
    <col min="11517" max="11517" width="50.7109375" style="3109" customWidth="1"/>
    <col min="11518" max="11518" width="9.42578125" style="3109" customWidth="1"/>
    <col min="11519" max="11519" width="11.85546875" style="3109" customWidth="1"/>
    <col min="11520" max="11520" width="8.42578125" style="3109" bestFit="1" customWidth="1"/>
    <col min="11521" max="11523" width="0" style="3109" hidden="1" customWidth="1"/>
    <col min="11524" max="11524" width="6" style="3109" bestFit="1" customWidth="1"/>
    <col min="11525" max="11525" width="9.5703125" style="3109" customWidth="1"/>
    <col min="11526" max="11526" width="9.85546875" style="3109" customWidth="1"/>
    <col min="11527" max="11527" width="9.7109375" style="3109" customWidth="1"/>
    <col min="11528" max="11528" width="9.5703125" style="3109" customWidth="1"/>
    <col min="11529" max="11529" width="9.85546875" style="3109" customWidth="1"/>
    <col min="11530" max="11530" width="6.5703125" style="3109" customWidth="1"/>
    <col min="11531" max="11531" width="6" style="3109" bestFit="1" customWidth="1"/>
    <col min="11532" max="11532" width="6.28515625" style="3109" customWidth="1"/>
    <col min="11533" max="11533" width="11.7109375" style="3109" customWidth="1"/>
    <col min="11534" max="11534" width="0" style="3109" hidden="1" customWidth="1"/>
    <col min="11535" max="11535" width="14.5703125" style="3109" customWidth="1"/>
    <col min="11536" max="11536" width="11.85546875" style="3109" customWidth="1"/>
    <col min="11537" max="11771" width="9.140625" style="3109"/>
    <col min="11772" max="11772" width="2.85546875" style="3109" customWidth="1"/>
    <col min="11773" max="11773" width="50.7109375" style="3109" customWidth="1"/>
    <col min="11774" max="11774" width="9.42578125" style="3109" customWidth="1"/>
    <col min="11775" max="11775" width="11.85546875" style="3109" customWidth="1"/>
    <col min="11776" max="11776" width="8.42578125" style="3109" bestFit="1" customWidth="1"/>
    <col min="11777" max="11779" width="0" style="3109" hidden="1" customWidth="1"/>
    <col min="11780" max="11780" width="6" style="3109" bestFit="1" customWidth="1"/>
    <col min="11781" max="11781" width="9.5703125" style="3109" customWidth="1"/>
    <col min="11782" max="11782" width="9.85546875" style="3109" customWidth="1"/>
    <col min="11783" max="11783" width="9.7109375" style="3109" customWidth="1"/>
    <col min="11784" max="11784" width="9.5703125" style="3109" customWidth="1"/>
    <col min="11785" max="11785" width="9.85546875" style="3109" customWidth="1"/>
    <col min="11786" max="11786" width="6.5703125" style="3109" customWidth="1"/>
    <col min="11787" max="11787" width="6" style="3109" bestFit="1" customWidth="1"/>
    <col min="11788" max="11788" width="6.28515625" style="3109" customWidth="1"/>
    <col min="11789" max="11789" width="11.7109375" style="3109" customWidth="1"/>
    <col min="11790" max="11790" width="0" style="3109" hidden="1" customWidth="1"/>
    <col min="11791" max="11791" width="14.5703125" style="3109" customWidth="1"/>
    <col min="11792" max="11792" width="11.85546875" style="3109" customWidth="1"/>
    <col min="11793" max="12027" width="9.140625" style="3109"/>
    <col min="12028" max="12028" width="2.85546875" style="3109" customWidth="1"/>
    <col min="12029" max="12029" width="50.7109375" style="3109" customWidth="1"/>
    <col min="12030" max="12030" width="9.42578125" style="3109" customWidth="1"/>
    <col min="12031" max="12031" width="11.85546875" style="3109" customWidth="1"/>
    <col min="12032" max="12032" width="8.42578125" style="3109" bestFit="1" customWidth="1"/>
    <col min="12033" max="12035" width="0" style="3109" hidden="1" customWidth="1"/>
    <col min="12036" max="12036" width="6" style="3109" bestFit="1" customWidth="1"/>
    <col min="12037" max="12037" width="9.5703125" style="3109" customWidth="1"/>
    <col min="12038" max="12038" width="9.85546875" style="3109" customWidth="1"/>
    <col min="12039" max="12039" width="9.7109375" style="3109" customWidth="1"/>
    <col min="12040" max="12040" width="9.5703125" style="3109" customWidth="1"/>
    <col min="12041" max="12041" width="9.85546875" style="3109" customWidth="1"/>
    <col min="12042" max="12042" width="6.5703125" style="3109" customWidth="1"/>
    <col min="12043" max="12043" width="6" style="3109" bestFit="1" customWidth="1"/>
    <col min="12044" max="12044" width="6.28515625" style="3109" customWidth="1"/>
    <col min="12045" max="12045" width="11.7109375" style="3109" customWidth="1"/>
    <col min="12046" max="12046" width="0" style="3109" hidden="1" customWidth="1"/>
    <col min="12047" max="12047" width="14.5703125" style="3109" customWidth="1"/>
    <col min="12048" max="12048" width="11.85546875" style="3109" customWidth="1"/>
    <col min="12049" max="12283" width="9.140625" style="3109"/>
    <col min="12284" max="12284" width="2.85546875" style="3109" customWidth="1"/>
    <col min="12285" max="12285" width="50.7109375" style="3109" customWidth="1"/>
    <col min="12286" max="12286" width="9.42578125" style="3109" customWidth="1"/>
    <col min="12287" max="12287" width="11.85546875" style="3109" customWidth="1"/>
    <col min="12288" max="12288" width="8.42578125" style="3109" bestFit="1" customWidth="1"/>
    <col min="12289" max="12291" width="0" style="3109" hidden="1" customWidth="1"/>
    <col min="12292" max="12292" width="6" style="3109" bestFit="1" customWidth="1"/>
    <col min="12293" max="12293" width="9.5703125" style="3109" customWidth="1"/>
    <col min="12294" max="12294" width="9.85546875" style="3109" customWidth="1"/>
    <col min="12295" max="12295" width="9.7109375" style="3109" customWidth="1"/>
    <col min="12296" max="12296" width="9.5703125" style="3109" customWidth="1"/>
    <col min="12297" max="12297" width="9.85546875" style="3109" customWidth="1"/>
    <col min="12298" max="12298" width="6.5703125" style="3109" customWidth="1"/>
    <col min="12299" max="12299" width="6" style="3109" bestFit="1" customWidth="1"/>
    <col min="12300" max="12300" width="6.28515625" style="3109" customWidth="1"/>
    <col min="12301" max="12301" width="11.7109375" style="3109" customWidth="1"/>
    <col min="12302" max="12302" width="0" style="3109" hidden="1" customWidth="1"/>
    <col min="12303" max="12303" width="14.5703125" style="3109" customWidth="1"/>
    <col min="12304" max="12304" width="11.85546875" style="3109" customWidth="1"/>
    <col min="12305" max="12539" width="9.140625" style="3109"/>
    <col min="12540" max="12540" width="2.85546875" style="3109" customWidth="1"/>
    <col min="12541" max="12541" width="50.7109375" style="3109" customWidth="1"/>
    <col min="12542" max="12542" width="9.42578125" style="3109" customWidth="1"/>
    <col min="12543" max="12543" width="11.85546875" style="3109" customWidth="1"/>
    <col min="12544" max="12544" width="8.42578125" style="3109" bestFit="1" customWidth="1"/>
    <col min="12545" max="12547" width="0" style="3109" hidden="1" customWidth="1"/>
    <col min="12548" max="12548" width="6" style="3109" bestFit="1" customWidth="1"/>
    <col min="12549" max="12549" width="9.5703125" style="3109" customWidth="1"/>
    <col min="12550" max="12550" width="9.85546875" style="3109" customWidth="1"/>
    <col min="12551" max="12551" width="9.7109375" style="3109" customWidth="1"/>
    <col min="12552" max="12552" width="9.5703125" style="3109" customWidth="1"/>
    <col min="12553" max="12553" width="9.85546875" style="3109" customWidth="1"/>
    <col min="12554" max="12554" width="6.5703125" style="3109" customWidth="1"/>
    <col min="12555" max="12555" width="6" style="3109" bestFit="1" customWidth="1"/>
    <col min="12556" max="12556" width="6.28515625" style="3109" customWidth="1"/>
    <col min="12557" max="12557" width="11.7109375" style="3109" customWidth="1"/>
    <col min="12558" max="12558" width="0" style="3109" hidden="1" customWidth="1"/>
    <col min="12559" max="12559" width="14.5703125" style="3109" customWidth="1"/>
    <col min="12560" max="12560" width="11.85546875" style="3109" customWidth="1"/>
    <col min="12561" max="12795" width="9.140625" style="3109"/>
    <col min="12796" max="12796" width="2.85546875" style="3109" customWidth="1"/>
    <col min="12797" max="12797" width="50.7109375" style="3109" customWidth="1"/>
    <col min="12798" max="12798" width="9.42578125" style="3109" customWidth="1"/>
    <col min="12799" max="12799" width="11.85546875" style="3109" customWidth="1"/>
    <col min="12800" max="12800" width="8.42578125" style="3109" bestFit="1" customWidth="1"/>
    <col min="12801" max="12803" width="0" style="3109" hidden="1" customWidth="1"/>
    <col min="12804" max="12804" width="6" style="3109" bestFit="1" customWidth="1"/>
    <col min="12805" max="12805" width="9.5703125" style="3109" customWidth="1"/>
    <col min="12806" max="12806" width="9.85546875" style="3109" customWidth="1"/>
    <col min="12807" max="12807" width="9.7109375" style="3109" customWidth="1"/>
    <col min="12808" max="12808" width="9.5703125" style="3109" customWidth="1"/>
    <col min="12809" max="12809" width="9.85546875" style="3109" customWidth="1"/>
    <col min="12810" max="12810" width="6.5703125" style="3109" customWidth="1"/>
    <col min="12811" max="12811" width="6" style="3109" bestFit="1" customWidth="1"/>
    <col min="12812" max="12812" width="6.28515625" style="3109" customWidth="1"/>
    <col min="12813" max="12813" width="11.7109375" style="3109" customWidth="1"/>
    <col min="12814" max="12814" width="0" style="3109" hidden="1" customWidth="1"/>
    <col min="12815" max="12815" width="14.5703125" style="3109" customWidth="1"/>
    <col min="12816" max="12816" width="11.85546875" style="3109" customWidth="1"/>
    <col min="12817" max="13051" width="9.140625" style="3109"/>
    <col min="13052" max="13052" width="2.85546875" style="3109" customWidth="1"/>
    <col min="13053" max="13053" width="50.7109375" style="3109" customWidth="1"/>
    <col min="13054" max="13054" width="9.42578125" style="3109" customWidth="1"/>
    <col min="13055" max="13055" width="11.85546875" style="3109" customWidth="1"/>
    <col min="13056" max="13056" width="8.42578125" style="3109" bestFit="1" customWidth="1"/>
    <col min="13057" max="13059" width="0" style="3109" hidden="1" customWidth="1"/>
    <col min="13060" max="13060" width="6" style="3109" bestFit="1" customWidth="1"/>
    <col min="13061" max="13061" width="9.5703125" style="3109" customWidth="1"/>
    <col min="13062" max="13062" width="9.85546875" style="3109" customWidth="1"/>
    <col min="13063" max="13063" width="9.7109375" style="3109" customWidth="1"/>
    <col min="13064" max="13064" width="9.5703125" style="3109" customWidth="1"/>
    <col min="13065" max="13065" width="9.85546875" style="3109" customWidth="1"/>
    <col min="13066" max="13066" width="6.5703125" style="3109" customWidth="1"/>
    <col min="13067" max="13067" width="6" style="3109" bestFit="1" customWidth="1"/>
    <col min="13068" max="13068" width="6.28515625" style="3109" customWidth="1"/>
    <col min="13069" max="13069" width="11.7109375" style="3109" customWidth="1"/>
    <col min="13070" max="13070" width="0" style="3109" hidden="1" customWidth="1"/>
    <col min="13071" max="13071" width="14.5703125" style="3109" customWidth="1"/>
    <col min="13072" max="13072" width="11.85546875" style="3109" customWidth="1"/>
    <col min="13073" max="13307" width="9.140625" style="3109"/>
    <col min="13308" max="13308" width="2.85546875" style="3109" customWidth="1"/>
    <col min="13309" max="13309" width="50.7109375" style="3109" customWidth="1"/>
    <col min="13310" max="13310" width="9.42578125" style="3109" customWidth="1"/>
    <col min="13311" max="13311" width="11.85546875" style="3109" customWidth="1"/>
    <col min="13312" max="13312" width="8.42578125" style="3109" bestFit="1" customWidth="1"/>
    <col min="13313" max="13315" width="0" style="3109" hidden="1" customWidth="1"/>
    <col min="13316" max="13316" width="6" style="3109" bestFit="1" customWidth="1"/>
    <col min="13317" max="13317" width="9.5703125" style="3109" customWidth="1"/>
    <col min="13318" max="13318" width="9.85546875" style="3109" customWidth="1"/>
    <col min="13319" max="13319" width="9.7109375" style="3109" customWidth="1"/>
    <col min="13320" max="13320" width="9.5703125" style="3109" customWidth="1"/>
    <col min="13321" max="13321" width="9.85546875" style="3109" customWidth="1"/>
    <col min="13322" max="13322" width="6.5703125" style="3109" customWidth="1"/>
    <col min="13323" max="13323" width="6" style="3109" bestFit="1" customWidth="1"/>
    <col min="13324" max="13324" width="6.28515625" style="3109" customWidth="1"/>
    <col min="13325" max="13325" width="11.7109375" style="3109" customWidth="1"/>
    <col min="13326" max="13326" width="0" style="3109" hidden="1" customWidth="1"/>
    <col min="13327" max="13327" width="14.5703125" style="3109" customWidth="1"/>
    <col min="13328" max="13328" width="11.85546875" style="3109" customWidth="1"/>
    <col min="13329" max="13563" width="9.140625" style="3109"/>
    <col min="13564" max="13564" width="2.85546875" style="3109" customWidth="1"/>
    <col min="13565" max="13565" width="50.7109375" style="3109" customWidth="1"/>
    <col min="13566" max="13566" width="9.42578125" style="3109" customWidth="1"/>
    <col min="13567" max="13567" width="11.85546875" style="3109" customWidth="1"/>
    <col min="13568" max="13568" width="8.42578125" style="3109" bestFit="1" customWidth="1"/>
    <col min="13569" max="13571" width="0" style="3109" hidden="1" customWidth="1"/>
    <col min="13572" max="13572" width="6" style="3109" bestFit="1" customWidth="1"/>
    <col min="13573" max="13573" width="9.5703125" style="3109" customWidth="1"/>
    <col min="13574" max="13574" width="9.85546875" style="3109" customWidth="1"/>
    <col min="13575" max="13575" width="9.7109375" style="3109" customWidth="1"/>
    <col min="13576" max="13576" width="9.5703125" style="3109" customWidth="1"/>
    <col min="13577" max="13577" width="9.85546875" style="3109" customWidth="1"/>
    <col min="13578" max="13578" width="6.5703125" style="3109" customWidth="1"/>
    <col min="13579" max="13579" width="6" style="3109" bestFit="1" customWidth="1"/>
    <col min="13580" max="13580" width="6.28515625" style="3109" customWidth="1"/>
    <col min="13581" max="13581" width="11.7109375" style="3109" customWidth="1"/>
    <col min="13582" max="13582" width="0" style="3109" hidden="1" customWidth="1"/>
    <col min="13583" max="13583" width="14.5703125" style="3109" customWidth="1"/>
    <col min="13584" max="13584" width="11.85546875" style="3109" customWidth="1"/>
    <col min="13585" max="13819" width="9.140625" style="3109"/>
    <col min="13820" max="13820" width="2.85546875" style="3109" customWidth="1"/>
    <col min="13821" max="13821" width="50.7109375" style="3109" customWidth="1"/>
    <col min="13822" max="13822" width="9.42578125" style="3109" customWidth="1"/>
    <col min="13823" max="13823" width="11.85546875" style="3109" customWidth="1"/>
    <col min="13824" max="13824" width="8.42578125" style="3109" bestFit="1" customWidth="1"/>
    <col min="13825" max="13827" width="0" style="3109" hidden="1" customWidth="1"/>
    <col min="13828" max="13828" width="6" style="3109" bestFit="1" customWidth="1"/>
    <col min="13829" max="13829" width="9.5703125" style="3109" customWidth="1"/>
    <col min="13830" max="13830" width="9.85546875" style="3109" customWidth="1"/>
    <col min="13831" max="13831" width="9.7109375" style="3109" customWidth="1"/>
    <col min="13832" max="13832" width="9.5703125" style="3109" customWidth="1"/>
    <col min="13833" max="13833" width="9.85546875" style="3109" customWidth="1"/>
    <col min="13834" max="13834" width="6.5703125" style="3109" customWidth="1"/>
    <col min="13835" max="13835" width="6" style="3109" bestFit="1" customWidth="1"/>
    <col min="13836" max="13836" width="6.28515625" style="3109" customWidth="1"/>
    <col min="13837" max="13837" width="11.7109375" style="3109" customWidth="1"/>
    <col min="13838" max="13838" width="0" style="3109" hidden="1" customWidth="1"/>
    <col min="13839" max="13839" width="14.5703125" style="3109" customWidth="1"/>
    <col min="13840" max="13840" width="11.85546875" style="3109" customWidth="1"/>
    <col min="13841" max="14075" width="9.140625" style="3109"/>
    <col min="14076" max="14076" width="2.85546875" style="3109" customWidth="1"/>
    <col min="14077" max="14077" width="50.7109375" style="3109" customWidth="1"/>
    <col min="14078" max="14078" width="9.42578125" style="3109" customWidth="1"/>
    <col min="14079" max="14079" width="11.85546875" style="3109" customWidth="1"/>
    <col min="14080" max="14080" width="8.42578125" style="3109" bestFit="1" customWidth="1"/>
    <col min="14081" max="14083" width="0" style="3109" hidden="1" customWidth="1"/>
    <col min="14084" max="14084" width="6" style="3109" bestFit="1" customWidth="1"/>
    <col min="14085" max="14085" width="9.5703125" style="3109" customWidth="1"/>
    <col min="14086" max="14086" width="9.85546875" style="3109" customWidth="1"/>
    <col min="14087" max="14087" width="9.7109375" style="3109" customWidth="1"/>
    <col min="14088" max="14088" width="9.5703125" style="3109" customWidth="1"/>
    <col min="14089" max="14089" width="9.85546875" style="3109" customWidth="1"/>
    <col min="14090" max="14090" width="6.5703125" style="3109" customWidth="1"/>
    <col min="14091" max="14091" width="6" style="3109" bestFit="1" customWidth="1"/>
    <col min="14092" max="14092" width="6.28515625" style="3109" customWidth="1"/>
    <col min="14093" max="14093" width="11.7109375" style="3109" customWidth="1"/>
    <col min="14094" max="14094" width="0" style="3109" hidden="1" customWidth="1"/>
    <col min="14095" max="14095" width="14.5703125" style="3109" customWidth="1"/>
    <col min="14096" max="14096" width="11.85546875" style="3109" customWidth="1"/>
    <col min="14097" max="14331" width="9.140625" style="3109"/>
    <col min="14332" max="14332" width="2.85546875" style="3109" customWidth="1"/>
    <col min="14333" max="14333" width="50.7109375" style="3109" customWidth="1"/>
    <col min="14334" max="14334" width="9.42578125" style="3109" customWidth="1"/>
    <col min="14335" max="14335" width="11.85546875" style="3109" customWidth="1"/>
    <col min="14336" max="14336" width="8.42578125" style="3109" bestFit="1" customWidth="1"/>
    <col min="14337" max="14339" width="0" style="3109" hidden="1" customWidth="1"/>
    <col min="14340" max="14340" width="6" style="3109" bestFit="1" customWidth="1"/>
    <col min="14341" max="14341" width="9.5703125" style="3109" customWidth="1"/>
    <col min="14342" max="14342" width="9.85546875" style="3109" customWidth="1"/>
    <col min="14343" max="14343" width="9.7109375" style="3109" customWidth="1"/>
    <col min="14344" max="14344" width="9.5703125" style="3109" customWidth="1"/>
    <col min="14345" max="14345" width="9.85546875" style="3109" customWidth="1"/>
    <col min="14346" max="14346" width="6.5703125" style="3109" customWidth="1"/>
    <col min="14347" max="14347" width="6" style="3109" bestFit="1" customWidth="1"/>
    <col min="14348" max="14348" width="6.28515625" style="3109" customWidth="1"/>
    <col min="14349" max="14349" width="11.7109375" style="3109" customWidth="1"/>
    <col min="14350" max="14350" width="0" style="3109" hidden="1" customWidth="1"/>
    <col min="14351" max="14351" width="14.5703125" style="3109" customWidth="1"/>
    <col min="14352" max="14352" width="11.85546875" style="3109" customWidth="1"/>
    <col min="14353" max="14587" width="9.140625" style="3109"/>
    <col min="14588" max="14588" width="2.85546875" style="3109" customWidth="1"/>
    <col min="14589" max="14589" width="50.7109375" style="3109" customWidth="1"/>
    <col min="14590" max="14590" width="9.42578125" style="3109" customWidth="1"/>
    <col min="14591" max="14591" width="11.85546875" style="3109" customWidth="1"/>
    <col min="14592" max="14592" width="8.42578125" style="3109" bestFit="1" customWidth="1"/>
    <col min="14593" max="14595" width="0" style="3109" hidden="1" customWidth="1"/>
    <col min="14596" max="14596" width="6" style="3109" bestFit="1" customWidth="1"/>
    <col min="14597" max="14597" width="9.5703125" style="3109" customWidth="1"/>
    <col min="14598" max="14598" width="9.85546875" style="3109" customWidth="1"/>
    <col min="14599" max="14599" width="9.7109375" style="3109" customWidth="1"/>
    <col min="14600" max="14600" width="9.5703125" style="3109" customWidth="1"/>
    <col min="14601" max="14601" width="9.85546875" style="3109" customWidth="1"/>
    <col min="14602" max="14602" width="6.5703125" style="3109" customWidth="1"/>
    <col min="14603" max="14603" width="6" style="3109" bestFit="1" customWidth="1"/>
    <col min="14604" max="14604" width="6.28515625" style="3109" customWidth="1"/>
    <col min="14605" max="14605" width="11.7109375" style="3109" customWidth="1"/>
    <col min="14606" max="14606" width="0" style="3109" hidden="1" customWidth="1"/>
    <col min="14607" max="14607" width="14.5703125" style="3109" customWidth="1"/>
    <col min="14608" max="14608" width="11.85546875" style="3109" customWidth="1"/>
    <col min="14609" max="14843" width="9.140625" style="3109"/>
    <col min="14844" max="14844" width="2.85546875" style="3109" customWidth="1"/>
    <col min="14845" max="14845" width="50.7109375" style="3109" customWidth="1"/>
    <col min="14846" max="14846" width="9.42578125" style="3109" customWidth="1"/>
    <col min="14847" max="14847" width="11.85546875" style="3109" customWidth="1"/>
    <col min="14848" max="14848" width="8.42578125" style="3109" bestFit="1" customWidth="1"/>
    <col min="14849" max="14851" width="0" style="3109" hidden="1" customWidth="1"/>
    <col min="14852" max="14852" width="6" style="3109" bestFit="1" customWidth="1"/>
    <col min="14853" max="14853" width="9.5703125" style="3109" customWidth="1"/>
    <col min="14854" max="14854" width="9.85546875" style="3109" customWidth="1"/>
    <col min="14855" max="14855" width="9.7109375" style="3109" customWidth="1"/>
    <col min="14856" max="14856" width="9.5703125" style="3109" customWidth="1"/>
    <col min="14857" max="14857" width="9.85546875" style="3109" customWidth="1"/>
    <col min="14858" max="14858" width="6.5703125" style="3109" customWidth="1"/>
    <col min="14859" max="14859" width="6" style="3109" bestFit="1" customWidth="1"/>
    <col min="14860" max="14860" width="6.28515625" style="3109" customWidth="1"/>
    <col min="14861" max="14861" width="11.7109375" style="3109" customWidth="1"/>
    <col min="14862" max="14862" width="0" style="3109" hidden="1" customWidth="1"/>
    <col min="14863" max="14863" width="14.5703125" style="3109" customWidth="1"/>
    <col min="14864" max="14864" width="11.85546875" style="3109" customWidth="1"/>
    <col min="14865" max="15099" width="9.140625" style="3109"/>
    <col min="15100" max="15100" width="2.85546875" style="3109" customWidth="1"/>
    <col min="15101" max="15101" width="50.7109375" style="3109" customWidth="1"/>
    <col min="15102" max="15102" width="9.42578125" style="3109" customWidth="1"/>
    <col min="15103" max="15103" width="11.85546875" style="3109" customWidth="1"/>
    <col min="15104" max="15104" width="8.42578125" style="3109" bestFit="1" customWidth="1"/>
    <col min="15105" max="15107" width="0" style="3109" hidden="1" customWidth="1"/>
    <col min="15108" max="15108" width="6" style="3109" bestFit="1" customWidth="1"/>
    <col min="15109" max="15109" width="9.5703125" style="3109" customWidth="1"/>
    <col min="15110" max="15110" width="9.85546875" style="3109" customWidth="1"/>
    <col min="15111" max="15111" width="9.7109375" style="3109" customWidth="1"/>
    <col min="15112" max="15112" width="9.5703125" style="3109" customWidth="1"/>
    <col min="15113" max="15113" width="9.85546875" style="3109" customWidth="1"/>
    <col min="15114" max="15114" width="6.5703125" style="3109" customWidth="1"/>
    <col min="15115" max="15115" width="6" style="3109" bestFit="1" customWidth="1"/>
    <col min="15116" max="15116" width="6.28515625" style="3109" customWidth="1"/>
    <col min="15117" max="15117" width="11.7109375" style="3109" customWidth="1"/>
    <col min="15118" max="15118" width="0" style="3109" hidden="1" customWidth="1"/>
    <col min="15119" max="15119" width="14.5703125" style="3109" customWidth="1"/>
    <col min="15120" max="15120" width="11.85546875" style="3109" customWidth="1"/>
    <col min="15121" max="15355" width="9.140625" style="3109"/>
    <col min="15356" max="15356" width="2.85546875" style="3109" customWidth="1"/>
    <col min="15357" max="15357" width="50.7109375" style="3109" customWidth="1"/>
    <col min="15358" max="15358" width="9.42578125" style="3109" customWidth="1"/>
    <col min="15359" max="15359" width="11.85546875" style="3109" customWidth="1"/>
    <col min="15360" max="15360" width="8.42578125" style="3109" bestFit="1" customWidth="1"/>
    <col min="15361" max="15363" width="0" style="3109" hidden="1" customWidth="1"/>
    <col min="15364" max="15364" width="6" style="3109" bestFit="1" customWidth="1"/>
    <col min="15365" max="15365" width="9.5703125" style="3109" customWidth="1"/>
    <col min="15366" max="15366" width="9.85546875" style="3109" customWidth="1"/>
    <col min="15367" max="15367" width="9.7109375" style="3109" customWidth="1"/>
    <col min="15368" max="15368" width="9.5703125" style="3109" customWidth="1"/>
    <col min="15369" max="15369" width="9.85546875" style="3109" customWidth="1"/>
    <col min="15370" max="15370" width="6.5703125" style="3109" customWidth="1"/>
    <col min="15371" max="15371" width="6" style="3109" bestFit="1" customWidth="1"/>
    <col min="15372" max="15372" width="6.28515625" style="3109" customWidth="1"/>
    <col min="15373" max="15373" width="11.7109375" style="3109" customWidth="1"/>
    <col min="15374" max="15374" width="0" style="3109" hidden="1" customWidth="1"/>
    <col min="15375" max="15375" width="14.5703125" style="3109" customWidth="1"/>
    <col min="15376" max="15376" width="11.85546875" style="3109" customWidth="1"/>
    <col min="15377" max="15611" width="9.140625" style="3109"/>
    <col min="15612" max="15612" width="2.85546875" style="3109" customWidth="1"/>
    <col min="15613" max="15613" width="50.7109375" style="3109" customWidth="1"/>
    <col min="15614" max="15614" width="9.42578125" style="3109" customWidth="1"/>
    <col min="15615" max="15615" width="11.85546875" style="3109" customWidth="1"/>
    <col min="15616" max="15616" width="8.42578125" style="3109" bestFit="1" customWidth="1"/>
    <col min="15617" max="15619" width="0" style="3109" hidden="1" customWidth="1"/>
    <col min="15620" max="15620" width="6" style="3109" bestFit="1" customWidth="1"/>
    <col min="15621" max="15621" width="9.5703125" style="3109" customWidth="1"/>
    <col min="15622" max="15622" width="9.85546875" style="3109" customWidth="1"/>
    <col min="15623" max="15623" width="9.7109375" style="3109" customWidth="1"/>
    <col min="15624" max="15624" width="9.5703125" style="3109" customWidth="1"/>
    <col min="15625" max="15625" width="9.85546875" style="3109" customWidth="1"/>
    <col min="15626" max="15626" width="6.5703125" style="3109" customWidth="1"/>
    <col min="15627" max="15627" width="6" style="3109" bestFit="1" customWidth="1"/>
    <col min="15628" max="15628" width="6.28515625" style="3109" customWidth="1"/>
    <col min="15629" max="15629" width="11.7109375" style="3109" customWidth="1"/>
    <col min="15630" max="15630" width="0" style="3109" hidden="1" customWidth="1"/>
    <col min="15631" max="15631" width="14.5703125" style="3109" customWidth="1"/>
    <col min="15632" max="15632" width="11.85546875" style="3109" customWidth="1"/>
    <col min="15633" max="15867" width="9.140625" style="3109"/>
    <col min="15868" max="15868" width="2.85546875" style="3109" customWidth="1"/>
    <col min="15869" max="15869" width="50.7109375" style="3109" customWidth="1"/>
    <col min="15870" max="15870" width="9.42578125" style="3109" customWidth="1"/>
    <col min="15871" max="15871" width="11.85546875" style="3109" customWidth="1"/>
    <col min="15872" max="15872" width="8.42578125" style="3109" bestFit="1" customWidth="1"/>
    <col min="15873" max="15875" width="0" style="3109" hidden="1" customWidth="1"/>
    <col min="15876" max="15876" width="6" style="3109" bestFit="1" customWidth="1"/>
    <col min="15877" max="15877" width="9.5703125" style="3109" customWidth="1"/>
    <col min="15878" max="15878" width="9.85546875" style="3109" customWidth="1"/>
    <col min="15879" max="15879" width="9.7109375" style="3109" customWidth="1"/>
    <col min="15880" max="15880" width="9.5703125" style="3109" customWidth="1"/>
    <col min="15881" max="15881" width="9.85546875" style="3109" customWidth="1"/>
    <col min="15882" max="15882" width="6.5703125" style="3109" customWidth="1"/>
    <col min="15883" max="15883" width="6" style="3109" bestFit="1" customWidth="1"/>
    <col min="15884" max="15884" width="6.28515625" style="3109" customWidth="1"/>
    <col min="15885" max="15885" width="11.7109375" style="3109" customWidth="1"/>
    <col min="15886" max="15886" width="0" style="3109" hidden="1" customWidth="1"/>
    <col min="15887" max="15887" width="14.5703125" style="3109" customWidth="1"/>
    <col min="15888" max="15888" width="11.85546875" style="3109" customWidth="1"/>
    <col min="15889" max="16123" width="9.140625" style="3109"/>
    <col min="16124" max="16124" width="2.85546875" style="3109" customWidth="1"/>
    <col min="16125" max="16125" width="50.7109375" style="3109" customWidth="1"/>
    <col min="16126" max="16126" width="9.42578125" style="3109" customWidth="1"/>
    <col min="16127" max="16127" width="11.85546875" style="3109" customWidth="1"/>
    <col min="16128" max="16128" width="8.42578125" style="3109" bestFit="1" customWidth="1"/>
    <col min="16129" max="16131" width="0" style="3109" hidden="1" customWidth="1"/>
    <col min="16132" max="16132" width="6" style="3109" bestFit="1" customWidth="1"/>
    <col min="16133" max="16133" width="9.5703125" style="3109" customWidth="1"/>
    <col min="16134" max="16134" width="9.85546875" style="3109" customWidth="1"/>
    <col min="16135" max="16135" width="9.7109375" style="3109" customWidth="1"/>
    <col min="16136" max="16136" width="9.5703125" style="3109" customWidth="1"/>
    <col min="16137" max="16137" width="9.85546875" style="3109" customWidth="1"/>
    <col min="16138" max="16138" width="6.5703125" style="3109" customWidth="1"/>
    <col min="16139" max="16139" width="6" style="3109" bestFit="1" customWidth="1"/>
    <col min="16140" max="16140" width="6.28515625" style="3109" customWidth="1"/>
    <col min="16141" max="16141" width="11.7109375" style="3109" customWidth="1"/>
    <col min="16142" max="16142" width="0" style="3109" hidden="1" customWidth="1"/>
    <col min="16143" max="16143" width="14.5703125" style="3109" customWidth="1"/>
    <col min="16144" max="16144" width="11.85546875" style="3109" customWidth="1"/>
    <col min="16145" max="16384" width="9.140625" style="3109"/>
  </cols>
  <sheetData>
    <row r="1" spans="1:16" s="3104" customFormat="1" ht="15" customHeight="1">
      <c r="A1" s="3103"/>
      <c r="H1" s="3105" t="s">
        <v>569</v>
      </c>
      <c r="M1" s="3106"/>
      <c r="N1" s="3106"/>
      <c r="O1" s="3107"/>
    </row>
    <row r="2" spans="1:16" ht="2.25" customHeight="1">
      <c r="M2" s="3110"/>
      <c r="N2" s="3110"/>
      <c r="O2" s="3111"/>
    </row>
    <row r="3" spans="1:16" ht="6.75" customHeight="1">
      <c r="M3" s="3110"/>
      <c r="N3" s="3110"/>
      <c r="O3" s="3111"/>
    </row>
    <row r="4" spans="1:16" ht="36" customHeight="1" thickBot="1">
      <c r="A4" s="4489" t="s">
        <v>209</v>
      </c>
      <c r="B4" s="4489"/>
      <c r="C4" s="4489"/>
      <c r="D4" s="4489"/>
      <c r="E4" s="4489"/>
      <c r="F4" s="4489"/>
      <c r="G4" s="4489"/>
      <c r="H4" s="4489"/>
      <c r="I4" s="4489"/>
      <c r="J4" s="4489"/>
      <c r="K4" s="4489"/>
      <c r="L4" s="4489"/>
      <c r="M4" s="4489"/>
      <c r="N4" s="4489"/>
      <c r="O4" s="4489"/>
    </row>
    <row r="5" spans="1:16" ht="62.25" customHeight="1">
      <c r="A5" s="3112"/>
      <c r="B5" s="4490" t="s">
        <v>75</v>
      </c>
      <c r="C5" s="4441" t="s">
        <v>71</v>
      </c>
      <c r="D5" s="4443" t="s">
        <v>118</v>
      </c>
      <c r="E5" s="3113" t="s">
        <v>270</v>
      </c>
      <c r="F5" s="4371" t="s">
        <v>625</v>
      </c>
      <c r="G5" s="4373" t="s">
        <v>553</v>
      </c>
      <c r="H5" s="4374"/>
      <c r="I5" s="4374"/>
      <c r="J5" s="4374"/>
      <c r="K5" s="4374"/>
      <c r="L5" s="4375"/>
      <c r="M5" s="4366" t="s">
        <v>572</v>
      </c>
      <c r="N5" s="4366" t="s">
        <v>558</v>
      </c>
      <c r="O5" s="4364" t="s">
        <v>73</v>
      </c>
    </row>
    <row r="6" spans="1:16" ht="18.75" customHeight="1" thickBot="1">
      <c r="A6" s="3114"/>
      <c r="B6" s="4491"/>
      <c r="C6" s="4492"/>
      <c r="D6" s="4444"/>
      <c r="E6" s="3115" t="s">
        <v>534</v>
      </c>
      <c r="F6" s="4447"/>
      <c r="G6" s="2908" t="s">
        <v>6</v>
      </c>
      <c r="H6" s="2909" t="s">
        <v>214</v>
      </c>
      <c r="I6" s="2909" t="s">
        <v>215</v>
      </c>
      <c r="J6" s="2909" t="s">
        <v>262</v>
      </c>
      <c r="K6" s="2909" t="s">
        <v>263</v>
      </c>
      <c r="L6" s="2909" t="s">
        <v>264</v>
      </c>
      <c r="M6" s="4493"/>
      <c r="N6" s="4493"/>
      <c r="O6" s="4445"/>
    </row>
    <row r="7" spans="1:16" ht="15" customHeight="1" thickBot="1">
      <c r="A7" s="2652">
        <v>1</v>
      </c>
      <c r="B7" s="2653">
        <v>2</v>
      </c>
      <c r="C7" s="2654" t="s">
        <v>119</v>
      </c>
      <c r="D7" s="2654" t="s">
        <v>120</v>
      </c>
      <c r="E7" s="2654">
        <v>5</v>
      </c>
      <c r="F7" s="2654">
        <v>6</v>
      </c>
      <c r="G7" s="2654">
        <v>7</v>
      </c>
      <c r="H7" s="2654">
        <v>8</v>
      </c>
      <c r="I7" s="2654">
        <v>9</v>
      </c>
      <c r="J7" s="2654">
        <v>10</v>
      </c>
      <c r="K7" s="2654">
        <v>11</v>
      </c>
      <c r="L7" s="2654">
        <v>12</v>
      </c>
      <c r="M7" s="2656">
        <v>13</v>
      </c>
      <c r="N7" s="2656">
        <v>13</v>
      </c>
      <c r="O7" s="2657">
        <v>14</v>
      </c>
    </row>
    <row r="8" spans="1:16" s="3120" customFormat="1" ht="15.75" customHeight="1">
      <c r="A8" s="2912"/>
      <c r="B8" s="3116" t="s">
        <v>76</v>
      </c>
      <c r="C8" s="3117"/>
      <c r="D8" s="3118">
        <f>+D9+D10</f>
        <v>2254391</v>
      </c>
      <c r="E8" s="3064">
        <f t="shared" ref="E8" si="0">+E9+E10</f>
        <v>437818</v>
      </c>
      <c r="F8" s="3064">
        <f t="shared" ref="F8" si="1">+F9+F10</f>
        <v>715352</v>
      </c>
      <c r="G8" s="3064">
        <f t="shared" ref="G8:N8" si="2">+G9+G10</f>
        <v>815800</v>
      </c>
      <c r="H8" s="3064">
        <f t="shared" si="2"/>
        <v>152857</v>
      </c>
      <c r="I8" s="3064">
        <f t="shared" si="2"/>
        <v>132564</v>
      </c>
      <c r="J8" s="3064">
        <f t="shared" si="2"/>
        <v>0</v>
      </c>
      <c r="K8" s="3064">
        <f t="shared" si="2"/>
        <v>0</v>
      </c>
      <c r="L8" s="3064">
        <f t="shared" si="2"/>
        <v>0</v>
      </c>
      <c r="M8" s="2662">
        <f t="shared" ref="M8" si="3">+M9+M10</f>
        <v>2254391</v>
      </c>
      <c r="N8" s="2662">
        <f t="shared" si="2"/>
        <v>1101221</v>
      </c>
      <c r="O8" s="2841"/>
      <c r="P8" s="3119"/>
    </row>
    <row r="9" spans="1:16" s="3120" customFormat="1" ht="13.5" customHeight="1">
      <c r="A9" s="2912"/>
      <c r="B9" s="3121" t="s">
        <v>77</v>
      </c>
      <c r="C9" s="3122"/>
      <c r="D9" s="3123">
        <f>+D25+D34+D54</f>
        <v>2250056</v>
      </c>
      <c r="E9" s="2917">
        <f t="shared" ref="E9" si="4">+E25+E34+E54</f>
        <v>437818</v>
      </c>
      <c r="F9" s="2917">
        <f t="shared" ref="F9:I9" si="5">+F25+F34+F54</f>
        <v>711017</v>
      </c>
      <c r="G9" s="2917">
        <f t="shared" si="5"/>
        <v>815800</v>
      </c>
      <c r="H9" s="2917">
        <f t="shared" si="5"/>
        <v>152857</v>
      </c>
      <c r="I9" s="2917">
        <f t="shared" si="5"/>
        <v>132564</v>
      </c>
      <c r="J9" s="2917">
        <f>+J25+J34+J55</f>
        <v>0</v>
      </c>
      <c r="K9" s="2917">
        <f>+K25+K34+K55</f>
        <v>0</v>
      </c>
      <c r="L9" s="2917">
        <f>+L25+L34+L55</f>
        <v>0</v>
      </c>
      <c r="M9" s="2918">
        <f>SUM(E9:K9)</f>
        <v>2250056</v>
      </c>
      <c r="N9" s="2918">
        <f>SUM(G9:L9)</f>
        <v>1101221</v>
      </c>
      <c r="O9" s="2841"/>
    </row>
    <row r="10" spans="1:16" s="3120" customFormat="1" ht="13.5" customHeight="1" thickBot="1">
      <c r="A10" s="2912"/>
      <c r="B10" s="3124" t="s">
        <v>9</v>
      </c>
      <c r="C10" s="3125"/>
      <c r="D10" s="3126">
        <f>D43+D72</f>
        <v>4335</v>
      </c>
      <c r="E10" s="3127">
        <f>E43+E72</f>
        <v>0</v>
      </c>
      <c r="F10" s="3127">
        <f>F43+F72</f>
        <v>4335</v>
      </c>
      <c r="G10" s="3127">
        <f t="shared" ref="G10:L10" si="6">G43+G72</f>
        <v>0</v>
      </c>
      <c r="H10" s="3127">
        <f t="shared" si="6"/>
        <v>0</v>
      </c>
      <c r="I10" s="3127">
        <f t="shared" si="6"/>
        <v>0</v>
      </c>
      <c r="J10" s="3127">
        <f t="shared" si="6"/>
        <v>0</v>
      </c>
      <c r="K10" s="3127">
        <f t="shared" si="6"/>
        <v>0</v>
      </c>
      <c r="L10" s="3127">
        <f t="shared" si="6"/>
        <v>0</v>
      </c>
      <c r="M10" s="2671">
        <f>SUM(E10:K10)</f>
        <v>4335</v>
      </c>
      <c r="N10" s="2671">
        <f>SUM(G10:L10)</f>
        <v>0</v>
      </c>
      <c r="O10" s="2841"/>
    </row>
    <row r="11" spans="1:16" ht="14.25" customHeight="1">
      <c r="A11" s="2912"/>
      <c r="B11" s="3128" t="s">
        <v>10</v>
      </c>
      <c r="C11" s="2705"/>
      <c r="D11" s="3129">
        <f>D12+D15</f>
        <v>2254391</v>
      </c>
      <c r="E11" s="3129">
        <f t="shared" ref="E11" si="7">E12+E15</f>
        <v>437818</v>
      </c>
      <c r="F11" s="3129">
        <f t="shared" ref="F11:L11" si="8">F12+F15</f>
        <v>715352</v>
      </c>
      <c r="G11" s="3129">
        <f t="shared" si="8"/>
        <v>815800</v>
      </c>
      <c r="H11" s="3129">
        <f t="shared" si="8"/>
        <v>152857</v>
      </c>
      <c r="I11" s="3129">
        <f t="shared" si="8"/>
        <v>132564</v>
      </c>
      <c r="J11" s="3129">
        <f t="shared" si="8"/>
        <v>0</v>
      </c>
      <c r="K11" s="3129">
        <f t="shared" si="8"/>
        <v>0</v>
      </c>
      <c r="L11" s="3129">
        <f t="shared" si="8"/>
        <v>0</v>
      </c>
      <c r="M11" s="2793">
        <f>+M12+M15</f>
        <v>2254391</v>
      </c>
      <c r="N11" s="2793">
        <f>+N12+N15</f>
        <v>1101221</v>
      </c>
      <c r="O11" s="2924"/>
    </row>
    <row r="12" spans="1:16" ht="13.5" customHeight="1">
      <c r="A12" s="2912"/>
      <c r="B12" s="3130" t="s">
        <v>24</v>
      </c>
      <c r="C12" s="3131"/>
      <c r="D12" s="3132">
        <f>+D13+D14</f>
        <v>378022</v>
      </c>
      <c r="E12" s="3132">
        <f t="shared" ref="E12" si="9">+E13+E14</f>
        <v>73814</v>
      </c>
      <c r="F12" s="3132">
        <f t="shared" ref="F12:L12" si="10">+F13+F14</f>
        <v>113308</v>
      </c>
      <c r="G12" s="3132">
        <f t="shared" si="10"/>
        <v>132888</v>
      </c>
      <c r="H12" s="3132">
        <f t="shared" si="10"/>
        <v>30463</v>
      </c>
      <c r="I12" s="3132">
        <f t="shared" si="10"/>
        <v>27549</v>
      </c>
      <c r="J12" s="3132">
        <f t="shared" si="10"/>
        <v>0</v>
      </c>
      <c r="K12" s="3132">
        <f t="shared" si="10"/>
        <v>0</v>
      </c>
      <c r="L12" s="3132">
        <f t="shared" si="10"/>
        <v>0</v>
      </c>
      <c r="M12" s="3133">
        <f>+M13+M14</f>
        <v>378022</v>
      </c>
      <c r="N12" s="3133">
        <f>+N13+N14</f>
        <v>190900</v>
      </c>
      <c r="O12" s="2929"/>
    </row>
    <row r="13" spans="1:16" ht="12">
      <c r="A13" s="2912"/>
      <c r="B13" s="3134" t="s">
        <v>12</v>
      </c>
      <c r="C13" s="3135"/>
      <c r="D13" s="3136">
        <f>D27+D36+D60</f>
        <v>278625</v>
      </c>
      <c r="E13" s="3136">
        <f t="shared" ref="E13" si="11">E27+E36+E60</f>
        <v>51859</v>
      </c>
      <c r="F13" s="3136">
        <f t="shared" ref="F13:L13" si="12">F27+F36+F60</f>
        <v>98575</v>
      </c>
      <c r="G13" s="3136">
        <f t="shared" si="12"/>
        <v>107651</v>
      </c>
      <c r="H13" s="3136">
        <f t="shared" si="12"/>
        <v>11726</v>
      </c>
      <c r="I13" s="3136">
        <f t="shared" si="12"/>
        <v>8814</v>
      </c>
      <c r="J13" s="3136">
        <f t="shared" si="12"/>
        <v>0</v>
      </c>
      <c r="K13" s="3136">
        <f t="shared" si="12"/>
        <v>0</v>
      </c>
      <c r="L13" s="3136">
        <f t="shared" si="12"/>
        <v>0</v>
      </c>
      <c r="M13" s="3137">
        <f>SUM(E13:K13)</f>
        <v>278625</v>
      </c>
      <c r="N13" s="3137">
        <f>SUM(G13:L13)</f>
        <v>128191</v>
      </c>
      <c r="O13" s="2929"/>
    </row>
    <row r="14" spans="1:16" ht="12">
      <c r="A14" s="2912"/>
      <c r="B14" s="3134" t="s">
        <v>13</v>
      </c>
      <c r="C14" s="3135"/>
      <c r="D14" s="3138">
        <f>+D56+D74</f>
        <v>99397</v>
      </c>
      <c r="E14" s="3138">
        <f>+E56+E74</f>
        <v>21955</v>
      </c>
      <c r="F14" s="3138">
        <f>+F56+F74</f>
        <v>14733</v>
      </c>
      <c r="G14" s="3138">
        <f t="shared" ref="G14:I14" si="13">+G56+G74</f>
        <v>25237</v>
      </c>
      <c r="H14" s="3138">
        <f t="shared" si="13"/>
        <v>18737</v>
      </c>
      <c r="I14" s="3138">
        <f t="shared" si="13"/>
        <v>18735</v>
      </c>
      <c r="J14" s="3138">
        <f t="shared" ref="J14:L14" si="14">+J56</f>
        <v>0</v>
      </c>
      <c r="K14" s="3138">
        <f t="shared" si="14"/>
        <v>0</v>
      </c>
      <c r="L14" s="3138">
        <f t="shared" si="14"/>
        <v>0</v>
      </c>
      <c r="M14" s="3137">
        <f>SUM(E14:K14)</f>
        <v>99397</v>
      </c>
      <c r="N14" s="3137">
        <f>SUM(G14:L14)</f>
        <v>62709</v>
      </c>
      <c r="O14" s="2929"/>
    </row>
    <row r="15" spans="1:16" ht="13.5" customHeight="1">
      <c r="A15" s="2912"/>
      <c r="B15" s="3139" t="s">
        <v>18</v>
      </c>
      <c r="C15" s="3140"/>
      <c r="D15" s="3132">
        <f>+D16+D17</f>
        <v>1876369</v>
      </c>
      <c r="E15" s="3132">
        <f t="shared" ref="E15" si="15">+E16+E17</f>
        <v>364004</v>
      </c>
      <c r="F15" s="3132">
        <f t="shared" ref="F15:L15" si="16">+F16+F17</f>
        <v>602044</v>
      </c>
      <c r="G15" s="3132">
        <f t="shared" si="16"/>
        <v>682912</v>
      </c>
      <c r="H15" s="3132">
        <f t="shared" si="16"/>
        <v>122394</v>
      </c>
      <c r="I15" s="3132">
        <f t="shared" si="16"/>
        <v>105015</v>
      </c>
      <c r="J15" s="3132">
        <f t="shared" si="16"/>
        <v>0</v>
      </c>
      <c r="K15" s="3132">
        <f t="shared" si="16"/>
        <v>0</v>
      </c>
      <c r="L15" s="3132">
        <f t="shared" si="16"/>
        <v>0</v>
      </c>
      <c r="M15" s="2798">
        <f>+M16+M17</f>
        <v>1876369</v>
      </c>
      <c r="N15" s="2798">
        <f>+N16+N17</f>
        <v>910321</v>
      </c>
      <c r="O15" s="2929"/>
    </row>
    <row r="16" spans="1:16" ht="13.5" hidden="1" customHeight="1">
      <c r="A16" s="2912"/>
      <c r="B16" s="3134" t="s">
        <v>21</v>
      </c>
      <c r="C16" s="3141"/>
      <c r="D16" s="3142"/>
      <c r="E16" s="3142"/>
      <c r="F16" s="3142"/>
      <c r="G16" s="3142"/>
      <c r="H16" s="3142"/>
      <c r="I16" s="3142"/>
      <c r="J16" s="3142"/>
      <c r="K16" s="3142"/>
      <c r="L16" s="3142"/>
      <c r="M16" s="3137">
        <f>SUM(E16:K16)</f>
        <v>0</v>
      </c>
      <c r="N16" s="3137">
        <f>SUM(F16:L16)</f>
        <v>0</v>
      </c>
      <c r="O16" s="2929"/>
    </row>
    <row r="17" spans="1:17" ht="12.75" customHeight="1">
      <c r="A17" s="2912"/>
      <c r="B17" s="3143" t="s">
        <v>20</v>
      </c>
      <c r="C17" s="3141"/>
      <c r="D17" s="3142">
        <f>+D29+D38+D62+D76</f>
        <v>1876369</v>
      </c>
      <c r="E17" s="3142">
        <f>+E29+E38+E62+E76</f>
        <v>364004</v>
      </c>
      <c r="F17" s="3142">
        <f>+F29+F38+F62+F76</f>
        <v>602044</v>
      </c>
      <c r="G17" s="3142">
        <f t="shared" ref="G17:I17" si="17">+G29+G38+G62+G76</f>
        <v>682912</v>
      </c>
      <c r="H17" s="3142">
        <f t="shared" si="17"/>
        <v>122394</v>
      </c>
      <c r="I17" s="3142">
        <f t="shared" si="17"/>
        <v>105015</v>
      </c>
      <c r="J17" s="3142">
        <f t="shared" ref="J17:L17" si="18">+J29+J38+J62</f>
        <v>0</v>
      </c>
      <c r="K17" s="3142">
        <f t="shared" si="18"/>
        <v>0</v>
      </c>
      <c r="L17" s="3142">
        <f t="shared" si="18"/>
        <v>0</v>
      </c>
      <c r="M17" s="3137">
        <f>SUM(E17:K17)</f>
        <v>1876369</v>
      </c>
      <c r="N17" s="3137">
        <f>SUM(G17:L17)</f>
        <v>910321</v>
      </c>
      <c r="O17" s="2929"/>
    </row>
    <row r="18" spans="1:17" ht="15" customHeight="1">
      <c r="A18" s="2912"/>
      <c r="B18" s="2674" t="s">
        <v>22</v>
      </c>
      <c r="C18" s="2792"/>
      <c r="D18" s="3094">
        <f>D21+D19</f>
        <v>1975766</v>
      </c>
      <c r="E18" s="3094">
        <f>E21+E20</f>
        <v>0</v>
      </c>
      <c r="F18" s="3094">
        <f>F21+F20</f>
        <v>482232</v>
      </c>
      <c r="G18" s="3094">
        <f t="shared" ref="G18:L18" si="19">G21+G20</f>
        <v>705374</v>
      </c>
      <c r="H18" s="3094">
        <f t="shared" si="19"/>
        <v>627014</v>
      </c>
      <c r="I18" s="3094">
        <f t="shared" si="19"/>
        <v>94942</v>
      </c>
      <c r="J18" s="3094">
        <f t="shared" si="19"/>
        <v>66204</v>
      </c>
      <c r="K18" s="3094">
        <f t="shared" si="19"/>
        <v>0</v>
      </c>
      <c r="L18" s="3094">
        <f t="shared" si="19"/>
        <v>0</v>
      </c>
      <c r="M18" s="4342" t="s">
        <v>61</v>
      </c>
      <c r="N18" s="4342" t="s">
        <v>61</v>
      </c>
      <c r="O18" s="3144"/>
      <c r="P18" s="3145"/>
    </row>
    <row r="19" spans="1:17" ht="12">
      <c r="A19" s="2912"/>
      <c r="B19" s="3146" t="s">
        <v>12</v>
      </c>
      <c r="C19" s="3147"/>
      <c r="D19" s="3148">
        <f>+D20</f>
        <v>99397</v>
      </c>
      <c r="E19" s="3148">
        <f t="shared" ref="E19:L19" si="20">+E20</f>
        <v>0</v>
      </c>
      <c r="F19" s="3148">
        <f t="shared" si="20"/>
        <v>23112</v>
      </c>
      <c r="G19" s="3148">
        <f t="shared" si="20"/>
        <v>19886</v>
      </c>
      <c r="H19" s="3148">
        <f t="shared" si="20"/>
        <v>23613</v>
      </c>
      <c r="I19" s="3148">
        <f t="shared" si="20"/>
        <v>18735</v>
      </c>
      <c r="J19" s="3148">
        <f t="shared" si="20"/>
        <v>14051</v>
      </c>
      <c r="K19" s="3148">
        <f t="shared" si="20"/>
        <v>0</v>
      </c>
      <c r="L19" s="3148">
        <f t="shared" si="20"/>
        <v>0</v>
      </c>
      <c r="M19" s="4343"/>
      <c r="N19" s="4343"/>
      <c r="O19" s="3144"/>
      <c r="P19" s="3145"/>
    </row>
    <row r="20" spans="1:17" ht="12">
      <c r="A20" s="2912"/>
      <c r="B20" s="3149" t="s">
        <v>13</v>
      </c>
      <c r="C20" s="3147"/>
      <c r="D20" s="3136">
        <f>+D68+D79</f>
        <v>99397</v>
      </c>
      <c r="E20" s="3136">
        <f>+E68+E79</f>
        <v>0</v>
      </c>
      <c r="F20" s="3136">
        <f>+F68+F79</f>
        <v>23112</v>
      </c>
      <c r="G20" s="3136">
        <f>+G68+G79</f>
        <v>19886</v>
      </c>
      <c r="H20" s="3136">
        <f t="shared" ref="H20:J20" si="21">+H68+H79</f>
        <v>23613</v>
      </c>
      <c r="I20" s="3136">
        <f t="shared" si="21"/>
        <v>18735</v>
      </c>
      <c r="J20" s="3136">
        <f t="shared" si="21"/>
        <v>14051</v>
      </c>
      <c r="K20" s="3136">
        <f t="shared" ref="K20:L20" si="22">+K68</f>
        <v>0</v>
      </c>
      <c r="L20" s="3136">
        <f t="shared" si="22"/>
        <v>0</v>
      </c>
      <c r="M20" s="4343"/>
      <c r="N20" s="4343"/>
      <c r="O20" s="3144"/>
      <c r="P20" s="3145">
        <f>D14-D20</f>
        <v>0</v>
      </c>
    </row>
    <row r="21" spans="1:17" ht="12">
      <c r="A21" s="3150"/>
      <c r="B21" s="3151" t="s">
        <v>18</v>
      </c>
      <c r="C21" s="3152"/>
      <c r="D21" s="3153">
        <f>+D22+D23</f>
        <v>1876369</v>
      </c>
      <c r="E21" s="3153">
        <f t="shared" ref="E21" si="23">+E22+E23</f>
        <v>0</v>
      </c>
      <c r="F21" s="3153">
        <f t="shared" ref="F21:L21" si="24">+F22+F23</f>
        <v>459120</v>
      </c>
      <c r="G21" s="3153">
        <f t="shared" si="24"/>
        <v>685488</v>
      </c>
      <c r="H21" s="3153">
        <f t="shared" si="24"/>
        <v>603401</v>
      </c>
      <c r="I21" s="3153">
        <f t="shared" si="24"/>
        <v>76207</v>
      </c>
      <c r="J21" s="3153">
        <f t="shared" si="24"/>
        <v>52153</v>
      </c>
      <c r="K21" s="3153">
        <f t="shared" si="24"/>
        <v>0</v>
      </c>
      <c r="L21" s="3153">
        <f t="shared" si="24"/>
        <v>0</v>
      </c>
      <c r="M21" s="4343"/>
      <c r="N21" s="4343"/>
      <c r="O21" s="3144"/>
    </row>
    <row r="22" spans="1:17" ht="15" hidden="1" customHeight="1">
      <c r="A22" s="3150"/>
      <c r="B22" s="3149" t="s">
        <v>21</v>
      </c>
      <c r="C22" s="3147"/>
      <c r="D22" s="3136"/>
      <c r="E22" s="3136"/>
      <c r="F22" s="3136"/>
      <c r="G22" s="3136"/>
      <c r="H22" s="3136"/>
      <c r="I22" s="3136"/>
      <c r="J22" s="3136"/>
      <c r="K22" s="3136"/>
      <c r="L22" s="3136"/>
      <c r="M22" s="4343"/>
      <c r="N22" s="4343"/>
      <c r="O22" s="3144"/>
      <c r="P22" s="3145"/>
    </row>
    <row r="23" spans="1:17" ht="12.75" thickBot="1">
      <c r="A23" s="3154"/>
      <c r="B23" s="3155" t="s">
        <v>20</v>
      </c>
      <c r="C23" s="3156"/>
      <c r="D23" s="3136">
        <f>+D32+D41+D70+D81</f>
        <v>1876369</v>
      </c>
      <c r="E23" s="3136">
        <f t="shared" ref="E23" si="25">+E32+E41+E70+E81</f>
        <v>0</v>
      </c>
      <c r="F23" s="3136">
        <f t="shared" ref="F23:J23" si="26">+F32+F41+F70+F81</f>
        <v>459120</v>
      </c>
      <c r="G23" s="3136">
        <f t="shared" si="26"/>
        <v>685488</v>
      </c>
      <c r="H23" s="3136">
        <f t="shared" si="26"/>
        <v>603401</v>
      </c>
      <c r="I23" s="3136">
        <f t="shared" si="26"/>
        <v>76207</v>
      </c>
      <c r="J23" s="3136">
        <f t="shared" si="26"/>
        <v>52153</v>
      </c>
      <c r="K23" s="3136">
        <f t="shared" ref="K23:L23" si="27">+K32+K41+K70</f>
        <v>0</v>
      </c>
      <c r="L23" s="3136">
        <f t="shared" si="27"/>
        <v>0</v>
      </c>
      <c r="M23" s="4344"/>
      <c r="N23" s="4344"/>
      <c r="O23" s="3157"/>
      <c r="P23" s="3145">
        <f>D17-D23</f>
        <v>0</v>
      </c>
    </row>
    <row r="24" spans="1:17" ht="25.5" customHeight="1">
      <c r="A24" s="4470" t="s">
        <v>63</v>
      </c>
      <c r="B24" s="3158" t="s">
        <v>720</v>
      </c>
      <c r="C24" s="3159" t="s">
        <v>110</v>
      </c>
      <c r="D24" s="3160"/>
      <c r="E24" s="3161"/>
      <c r="F24" s="3162"/>
      <c r="G24" s="3162"/>
      <c r="H24" s="3162"/>
      <c r="I24" s="3162"/>
      <c r="J24" s="3162"/>
      <c r="K24" s="3162"/>
      <c r="L24" s="3162"/>
      <c r="M24" s="3163"/>
      <c r="N24" s="3163"/>
      <c r="O24" s="4473" t="s">
        <v>343</v>
      </c>
    </row>
    <row r="25" spans="1:17" ht="12">
      <c r="A25" s="4494"/>
      <c r="B25" s="3164" t="s">
        <v>10</v>
      </c>
      <c r="C25" s="2792"/>
      <c r="D25" s="2728">
        <f t="shared" ref="D25" si="28">+D26+D28</f>
        <v>960682</v>
      </c>
      <c r="E25" s="2728">
        <f t="shared" ref="E25" si="29">+E26+E28</f>
        <v>184963</v>
      </c>
      <c r="F25" s="2728">
        <f t="shared" ref="F25:H25" si="30">+F26+F28</f>
        <v>332518</v>
      </c>
      <c r="G25" s="2728">
        <f t="shared" si="30"/>
        <v>408671</v>
      </c>
      <c r="H25" s="2728">
        <f t="shared" si="30"/>
        <v>34530</v>
      </c>
      <c r="I25" s="2728"/>
      <c r="J25" s="2728"/>
      <c r="K25" s="2728"/>
      <c r="L25" s="2728"/>
      <c r="M25" s="2793">
        <f>+M26+M28</f>
        <v>775719</v>
      </c>
      <c r="N25" s="2793">
        <f>+N26+N28</f>
        <v>443201</v>
      </c>
      <c r="O25" s="4474"/>
      <c r="P25" s="3145"/>
      <c r="Q25" s="3145"/>
    </row>
    <row r="26" spans="1:17" ht="13.5" customHeight="1">
      <c r="A26" s="4494"/>
      <c r="B26" s="3165" t="s">
        <v>24</v>
      </c>
      <c r="C26" s="4339" t="s">
        <v>275</v>
      </c>
      <c r="D26" s="2942">
        <f>+D27</f>
        <v>144099</v>
      </c>
      <c r="E26" s="3166">
        <f t="shared" ref="E26:H26" si="31">+E27</f>
        <v>27744</v>
      </c>
      <c r="F26" s="2731">
        <f t="shared" si="31"/>
        <v>49876</v>
      </c>
      <c r="G26" s="2731">
        <f t="shared" si="31"/>
        <v>61298</v>
      </c>
      <c r="H26" s="2731">
        <f t="shared" si="31"/>
        <v>5181</v>
      </c>
      <c r="I26" s="2731"/>
      <c r="J26" s="2731"/>
      <c r="K26" s="2731"/>
      <c r="L26" s="2731"/>
      <c r="M26" s="2763">
        <f>+M27</f>
        <v>116355</v>
      </c>
      <c r="N26" s="2763">
        <f>+N27</f>
        <v>66479</v>
      </c>
      <c r="O26" s="4475"/>
    </row>
    <row r="27" spans="1:17" ht="13.5" customHeight="1">
      <c r="A27" s="4494"/>
      <c r="B27" s="3167" t="s">
        <v>12</v>
      </c>
      <c r="C27" s="4477"/>
      <c r="D27" s="2736">
        <f>E27+F27+G27+H27+I27+J27+K27+L27</f>
        <v>144099</v>
      </c>
      <c r="E27" s="2949">
        <v>27744</v>
      </c>
      <c r="F27" s="3168">
        <f>58031-8100-55</f>
        <v>49876</v>
      </c>
      <c r="G27" s="3168">
        <f>53201+8098-1</f>
        <v>61298</v>
      </c>
      <c r="H27" s="3168">
        <f>5126+55</f>
        <v>5181</v>
      </c>
      <c r="I27" s="3168"/>
      <c r="J27" s="3168"/>
      <c r="K27" s="3168"/>
      <c r="L27" s="3168"/>
      <c r="M27" s="3137">
        <f>SUM(F27:K27)</f>
        <v>116355</v>
      </c>
      <c r="N27" s="3137">
        <f>SUM(G27:L27)</f>
        <v>66479</v>
      </c>
      <c r="O27" s="4475"/>
    </row>
    <row r="28" spans="1:17" ht="13.5" customHeight="1">
      <c r="A28" s="4494"/>
      <c r="B28" s="3169" t="s">
        <v>18</v>
      </c>
      <c r="C28" s="4477"/>
      <c r="D28" s="3170">
        <f t="shared" ref="D28:N28" si="32">+D29</f>
        <v>816583</v>
      </c>
      <c r="E28" s="2942">
        <f t="shared" si="32"/>
        <v>157219</v>
      </c>
      <c r="F28" s="2796">
        <f>+F29</f>
        <v>282642</v>
      </c>
      <c r="G28" s="2796">
        <f>+G29</f>
        <v>347373</v>
      </c>
      <c r="H28" s="2796">
        <f>+H29</f>
        <v>29349</v>
      </c>
      <c r="I28" s="2796"/>
      <c r="J28" s="2796"/>
      <c r="K28" s="2796"/>
      <c r="L28" s="2796"/>
      <c r="M28" s="2798">
        <f t="shared" si="32"/>
        <v>659364</v>
      </c>
      <c r="N28" s="2798">
        <f t="shared" si="32"/>
        <v>376722</v>
      </c>
      <c r="O28" s="4475"/>
    </row>
    <row r="29" spans="1:17" ht="13.5" customHeight="1">
      <c r="A29" s="4494"/>
      <c r="B29" s="3171" t="s">
        <v>20</v>
      </c>
      <c r="C29" s="4477"/>
      <c r="D29" s="2736">
        <f>E29+F29+G29+H29+I29+J29+K29+L29</f>
        <v>816583</v>
      </c>
      <c r="E29" s="2949">
        <v>157219</v>
      </c>
      <c r="F29" s="2970">
        <f>328844-45898-304</f>
        <v>282642</v>
      </c>
      <c r="G29" s="2970">
        <f>301472+45901</f>
        <v>347373</v>
      </c>
      <c r="H29" s="2800">
        <f>29045+304</f>
        <v>29349</v>
      </c>
      <c r="I29" s="2800"/>
      <c r="J29" s="2800"/>
      <c r="K29" s="2800"/>
      <c r="L29" s="2800"/>
      <c r="M29" s="3137">
        <f>SUM(F29:K29)</f>
        <v>659364</v>
      </c>
      <c r="N29" s="3137">
        <f>SUM(G29:L29)</f>
        <v>376722</v>
      </c>
      <c r="O29" s="4475"/>
    </row>
    <row r="30" spans="1:17" ht="12">
      <c r="A30" s="4494"/>
      <c r="B30" s="3164" t="s">
        <v>22</v>
      </c>
      <c r="C30" s="2792"/>
      <c r="D30" s="2750">
        <f>+D31</f>
        <v>816583</v>
      </c>
      <c r="E30" s="2750">
        <v>0</v>
      </c>
      <c r="F30" s="2750">
        <f t="shared" ref="F30:I31" si="33">+F31</f>
        <v>183266</v>
      </c>
      <c r="G30" s="2750">
        <f t="shared" si="33"/>
        <v>328844</v>
      </c>
      <c r="H30" s="2750">
        <f t="shared" si="33"/>
        <v>294473</v>
      </c>
      <c r="I30" s="2750">
        <f t="shared" si="33"/>
        <v>10000</v>
      </c>
      <c r="J30" s="2728"/>
      <c r="K30" s="2728"/>
      <c r="L30" s="2728"/>
      <c r="M30" s="4342" t="s">
        <v>61</v>
      </c>
      <c r="N30" s="4342" t="s">
        <v>61</v>
      </c>
      <c r="O30" s="4475"/>
    </row>
    <row r="31" spans="1:17" ht="13.5" customHeight="1">
      <c r="A31" s="4494"/>
      <c r="B31" s="3169" t="s">
        <v>18</v>
      </c>
      <c r="C31" s="4346" t="s">
        <v>275</v>
      </c>
      <c r="D31" s="3170">
        <f>+D32</f>
        <v>816583</v>
      </c>
      <c r="E31" s="3170">
        <v>0</v>
      </c>
      <c r="F31" s="3170">
        <f t="shared" si="33"/>
        <v>183266</v>
      </c>
      <c r="G31" s="3170">
        <f t="shared" si="33"/>
        <v>328844</v>
      </c>
      <c r="H31" s="3170">
        <f t="shared" si="33"/>
        <v>294473</v>
      </c>
      <c r="I31" s="3170">
        <f t="shared" si="33"/>
        <v>10000</v>
      </c>
      <c r="J31" s="3170"/>
      <c r="K31" s="3170"/>
      <c r="L31" s="3170"/>
      <c r="M31" s="4343"/>
      <c r="N31" s="4343"/>
      <c r="O31" s="4475"/>
      <c r="P31" s="3145">
        <f>+D32-D29</f>
        <v>0</v>
      </c>
    </row>
    <row r="32" spans="1:17" ht="12.75" thickBot="1">
      <c r="A32" s="4495"/>
      <c r="B32" s="3171" t="s">
        <v>20</v>
      </c>
      <c r="C32" s="4478"/>
      <c r="D32" s="2736">
        <f>E32+F32+G32+H32+I32+J32+K32+L32</f>
        <v>816583</v>
      </c>
      <c r="E32" s="2949">
        <v>0</v>
      </c>
      <c r="F32" s="3172">
        <f>159401+23865</f>
        <v>183266</v>
      </c>
      <c r="G32" s="3172">
        <v>328844</v>
      </c>
      <c r="H32" s="3172">
        <f>301472-6999</f>
        <v>294473</v>
      </c>
      <c r="I32" s="3172">
        <f>29045-2182+3-16866</f>
        <v>10000</v>
      </c>
      <c r="J32" s="3172"/>
      <c r="K32" s="3172"/>
      <c r="L32" s="3172"/>
      <c r="M32" s="4344"/>
      <c r="N32" s="4344"/>
      <c r="O32" s="4476"/>
    </row>
    <row r="33" spans="1:19" ht="40.5" customHeight="1">
      <c r="A33" s="4470" t="s">
        <v>64</v>
      </c>
      <c r="B33" s="3158" t="s">
        <v>721</v>
      </c>
      <c r="C33" s="3159" t="s">
        <v>110</v>
      </c>
      <c r="D33" s="3160"/>
      <c r="E33" s="3161"/>
      <c r="F33" s="3162"/>
      <c r="G33" s="3162"/>
      <c r="H33" s="3162"/>
      <c r="I33" s="3162"/>
      <c r="J33" s="3162"/>
      <c r="K33" s="3162"/>
      <c r="L33" s="3162"/>
      <c r="M33" s="3173"/>
      <c r="N33" s="3173"/>
      <c r="O33" s="4473" t="s">
        <v>343</v>
      </c>
    </row>
    <row r="34" spans="1:19" ht="12.75" customHeight="1">
      <c r="A34" s="4494"/>
      <c r="B34" s="3164" t="s">
        <v>10</v>
      </c>
      <c r="C34" s="2792"/>
      <c r="D34" s="2750">
        <f t="shared" ref="D34:I34" si="34">+D35+D37</f>
        <v>895017</v>
      </c>
      <c r="E34" s="2728">
        <f t="shared" ref="E34" si="35">+E35+E37</f>
        <v>164812</v>
      </c>
      <c r="F34" s="2728">
        <f>+F35+F37</f>
        <v>323767</v>
      </c>
      <c r="G34" s="2728">
        <f t="shared" si="34"/>
        <v>305828</v>
      </c>
      <c r="H34" s="2728">
        <f t="shared" si="34"/>
        <v>43185</v>
      </c>
      <c r="I34" s="2728">
        <f t="shared" si="34"/>
        <v>57425</v>
      </c>
      <c r="J34" s="2728"/>
      <c r="K34" s="2728"/>
      <c r="L34" s="2728"/>
      <c r="M34" s="2793">
        <f>+M35+M37</f>
        <v>730205</v>
      </c>
      <c r="N34" s="2793">
        <f>+N35+N37</f>
        <v>406438</v>
      </c>
      <c r="O34" s="4474"/>
      <c r="P34" s="3145"/>
      <c r="Q34" s="3145"/>
      <c r="R34" s="3145"/>
      <c r="S34" s="3145"/>
    </row>
    <row r="35" spans="1:19" ht="12" customHeight="1">
      <c r="A35" s="4494"/>
      <c r="B35" s="3165" t="s">
        <v>24</v>
      </c>
      <c r="C35" s="4339" t="s">
        <v>275</v>
      </c>
      <c r="D35" s="3174">
        <f>+D36</f>
        <v>133424</v>
      </c>
      <c r="E35" s="3175">
        <f t="shared" ref="E35:I35" si="36">+E36</f>
        <v>23893</v>
      </c>
      <c r="F35" s="3176">
        <f t="shared" si="36"/>
        <v>48565</v>
      </c>
      <c r="G35" s="3176">
        <f t="shared" si="36"/>
        <v>46007</v>
      </c>
      <c r="H35" s="3176">
        <f t="shared" si="36"/>
        <v>6345</v>
      </c>
      <c r="I35" s="3176">
        <f t="shared" si="36"/>
        <v>8614</v>
      </c>
      <c r="J35" s="2743"/>
      <c r="K35" s="2743"/>
      <c r="L35" s="2743"/>
      <c r="M35" s="2798">
        <f>+M36</f>
        <v>109531</v>
      </c>
      <c r="N35" s="2798">
        <f>+N36</f>
        <v>60966</v>
      </c>
      <c r="O35" s="4475"/>
    </row>
    <row r="36" spans="1:19" ht="12">
      <c r="A36" s="4494"/>
      <c r="B36" s="3167" t="s">
        <v>12</v>
      </c>
      <c r="C36" s="4477"/>
      <c r="D36" s="2736">
        <f>E36+F36+G36+H36+I36+J36+K36+L36</f>
        <v>133424</v>
      </c>
      <c r="E36" s="2949">
        <v>23893</v>
      </c>
      <c r="F36" s="3168">
        <f>52409-1560-2170-114</f>
        <v>48565</v>
      </c>
      <c r="G36" s="3168">
        <f>43837+2170</f>
        <v>46007</v>
      </c>
      <c r="H36" s="3168">
        <f>6231+114</f>
        <v>6345</v>
      </c>
      <c r="I36" s="3168">
        <v>8614</v>
      </c>
      <c r="J36" s="3168"/>
      <c r="K36" s="3168"/>
      <c r="L36" s="3168"/>
      <c r="M36" s="3137">
        <f>SUM(F36:K36)</f>
        <v>109531</v>
      </c>
      <c r="N36" s="3137">
        <f>SUM(G36:L36)</f>
        <v>60966</v>
      </c>
      <c r="O36" s="4475"/>
    </row>
    <row r="37" spans="1:19" ht="12">
      <c r="A37" s="4494"/>
      <c r="B37" s="3169" t="s">
        <v>18</v>
      </c>
      <c r="C37" s="4477"/>
      <c r="D37" s="3177">
        <f t="shared" ref="D37:N37" si="37">+D38</f>
        <v>761593</v>
      </c>
      <c r="E37" s="2942">
        <f t="shared" si="37"/>
        <v>140919</v>
      </c>
      <c r="F37" s="3166">
        <f t="shared" si="37"/>
        <v>275202</v>
      </c>
      <c r="G37" s="3166">
        <f t="shared" si="37"/>
        <v>259821</v>
      </c>
      <c r="H37" s="3166">
        <f t="shared" si="37"/>
        <v>36840</v>
      </c>
      <c r="I37" s="3166">
        <f t="shared" si="37"/>
        <v>48811</v>
      </c>
      <c r="J37" s="2943"/>
      <c r="K37" s="2943"/>
      <c r="L37" s="2943"/>
      <c r="M37" s="2798">
        <f t="shared" si="37"/>
        <v>620674</v>
      </c>
      <c r="N37" s="2798">
        <f t="shared" si="37"/>
        <v>345472</v>
      </c>
      <c r="O37" s="4475"/>
    </row>
    <row r="38" spans="1:19" ht="12">
      <c r="A38" s="4494"/>
      <c r="B38" s="3171" t="s">
        <v>20</v>
      </c>
      <c r="C38" s="4477"/>
      <c r="D38" s="2736">
        <f>E38+F38+G38+H38+I38+J38+K38+L38</f>
        <v>761593</v>
      </c>
      <c r="E38" s="2949">
        <v>140919</v>
      </c>
      <c r="F38" s="2800">
        <f>296984-8840-11410+1-1533</f>
        <v>275202</v>
      </c>
      <c r="G38" s="2800">
        <f>248412+11409</f>
        <v>259821</v>
      </c>
      <c r="H38" s="2800">
        <f>35307+1533</f>
        <v>36840</v>
      </c>
      <c r="I38" s="2800">
        <v>48811</v>
      </c>
      <c r="J38" s="2800"/>
      <c r="K38" s="2800"/>
      <c r="L38" s="2800"/>
      <c r="M38" s="3137">
        <f>SUM(F38:K38)</f>
        <v>620674</v>
      </c>
      <c r="N38" s="3137">
        <f>SUM(G38:L38)</f>
        <v>345472</v>
      </c>
      <c r="O38" s="4475"/>
    </row>
    <row r="39" spans="1:19" ht="12">
      <c r="A39" s="4494"/>
      <c r="B39" s="2723" t="s">
        <v>22</v>
      </c>
      <c r="C39" s="2792"/>
      <c r="D39" s="2750">
        <f>+D40</f>
        <v>761593</v>
      </c>
      <c r="E39" s="2750">
        <v>0</v>
      </c>
      <c r="F39" s="2750">
        <f t="shared" ref="F39:I39" si="38">+F40</f>
        <v>206519</v>
      </c>
      <c r="G39" s="2750">
        <f t="shared" si="38"/>
        <v>296984</v>
      </c>
      <c r="H39" s="2750">
        <f t="shared" si="38"/>
        <v>238090</v>
      </c>
      <c r="I39" s="2750">
        <f t="shared" si="38"/>
        <v>10000</v>
      </c>
      <c r="J39" s="2750">
        <f t="shared" ref="F39:J40" si="39">+J40</f>
        <v>10000</v>
      </c>
      <c r="K39" s="2728"/>
      <c r="L39" s="2728"/>
      <c r="M39" s="4342" t="s">
        <v>61</v>
      </c>
      <c r="N39" s="4342" t="s">
        <v>61</v>
      </c>
      <c r="O39" s="4475"/>
    </row>
    <row r="40" spans="1:19" ht="12" customHeight="1">
      <c r="A40" s="4494"/>
      <c r="B40" s="3169" t="s">
        <v>18</v>
      </c>
      <c r="C40" s="4346" t="s">
        <v>275</v>
      </c>
      <c r="D40" s="3177">
        <f>+D41</f>
        <v>761593</v>
      </c>
      <c r="E40" s="3170">
        <v>0</v>
      </c>
      <c r="F40" s="3170">
        <f t="shared" si="39"/>
        <v>206519</v>
      </c>
      <c r="G40" s="3170">
        <f t="shared" si="39"/>
        <v>296984</v>
      </c>
      <c r="H40" s="3170">
        <f t="shared" si="39"/>
        <v>238090</v>
      </c>
      <c r="I40" s="3170">
        <f t="shared" si="39"/>
        <v>10000</v>
      </c>
      <c r="J40" s="3170">
        <f t="shared" si="39"/>
        <v>10000</v>
      </c>
      <c r="K40" s="3170"/>
      <c r="L40" s="3170"/>
      <c r="M40" s="4343"/>
      <c r="N40" s="4343"/>
      <c r="O40" s="4475"/>
    </row>
    <row r="41" spans="1:19" ht="13.5" thickBot="1">
      <c r="A41" s="4495"/>
      <c r="B41" s="3171" t="s">
        <v>20</v>
      </c>
      <c r="C41" s="4478"/>
      <c r="D41" s="2736">
        <f>E41+F41+G41+H41+I41+J41+K41+L41</f>
        <v>761593</v>
      </c>
      <c r="E41" s="2949">
        <v>0</v>
      </c>
      <c r="F41" s="2807">
        <f>133538+72981</f>
        <v>206519</v>
      </c>
      <c r="G41" s="2807">
        <v>296984</v>
      </c>
      <c r="H41" s="2807">
        <f>248412-10322</f>
        <v>238090</v>
      </c>
      <c r="I41" s="2807">
        <f>35307-25307</f>
        <v>10000</v>
      </c>
      <c r="J41" s="2807">
        <f>48811-1459-37352</f>
        <v>10000</v>
      </c>
      <c r="K41" s="3178"/>
      <c r="L41" s="3178"/>
      <c r="M41" s="4344"/>
      <c r="N41" s="4344"/>
      <c r="O41" s="4476"/>
      <c r="P41" s="3145">
        <f>+D41-D38</f>
        <v>0</v>
      </c>
    </row>
    <row r="42" spans="1:19" ht="12" hidden="1">
      <c r="A42" s="4470" t="s">
        <v>64</v>
      </c>
      <c r="B42" s="3158"/>
      <c r="C42" s="3159" t="s">
        <v>82</v>
      </c>
      <c r="D42" s="3160"/>
      <c r="E42" s="3161"/>
      <c r="F42" s="3162"/>
      <c r="G42" s="3162"/>
      <c r="H42" s="3162"/>
      <c r="I42" s="3162"/>
      <c r="J42" s="3162"/>
      <c r="K42" s="3162"/>
      <c r="L42" s="3162"/>
      <c r="M42" s="3163"/>
      <c r="N42" s="3163"/>
      <c r="O42" s="4473"/>
    </row>
    <row r="43" spans="1:19" ht="15.75" hidden="1" customHeight="1">
      <c r="A43" s="4471"/>
      <c r="B43" s="3164" t="s">
        <v>10</v>
      </c>
      <c r="C43" s="2792"/>
      <c r="D43" s="2750"/>
      <c r="E43" s="2728">
        <v>0</v>
      </c>
      <c r="F43" s="2728"/>
      <c r="G43" s="2728"/>
      <c r="H43" s="2728"/>
      <c r="I43" s="2728"/>
      <c r="J43" s="2728"/>
      <c r="K43" s="2728"/>
      <c r="L43" s="2728"/>
      <c r="M43" s="2793">
        <f>+M44+M46</f>
        <v>0</v>
      </c>
      <c r="N43" s="2793">
        <f>+N44+N46</f>
        <v>0</v>
      </c>
      <c r="O43" s="4474"/>
      <c r="Q43" s="3145"/>
    </row>
    <row r="44" spans="1:19" ht="12.75" hidden="1" customHeight="1">
      <c r="A44" s="4471"/>
      <c r="B44" s="3165" t="s">
        <v>24</v>
      </c>
      <c r="C44" s="4339" t="s">
        <v>210</v>
      </c>
      <c r="D44" s="3174"/>
      <c r="E44" s="3175">
        <v>0</v>
      </c>
      <c r="F44" s="3120"/>
      <c r="G44" s="3120"/>
      <c r="H44" s="3120"/>
      <c r="I44" s="3120"/>
      <c r="J44" s="3120"/>
      <c r="K44" s="3120"/>
      <c r="L44" s="3120"/>
      <c r="M44" s="2798">
        <f>+M45</f>
        <v>0</v>
      </c>
      <c r="N44" s="2798">
        <f>+N45</f>
        <v>0</v>
      </c>
      <c r="O44" s="4475"/>
    </row>
    <row r="45" spans="1:19" ht="12.75" hidden="1" customHeight="1">
      <c r="A45" s="4471"/>
      <c r="B45" s="3167" t="s">
        <v>12</v>
      </c>
      <c r="C45" s="4477"/>
      <c r="D45" s="3179"/>
      <c r="E45" s="2805">
        <v>0</v>
      </c>
      <c r="F45" s="3168"/>
      <c r="G45" s="3168"/>
      <c r="H45" s="3168"/>
      <c r="I45" s="3168"/>
      <c r="J45" s="3180"/>
      <c r="K45" s="3180"/>
      <c r="L45" s="3180"/>
      <c r="M45" s="3181"/>
      <c r="N45" s="3181"/>
      <c r="O45" s="4475"/>
    </row>
    <row r="46" spans="1:19" ht="12" hidden="1" customHeight="1">
      <c r="A46" s="4471"/>
      <c r="B46" s="3169" t="s">
        <v>18</v>
      </c>
      <c r="C46" s="4477"/>
      <c r="D46" s="3182"/>
      <c r="E46" s="2942">
        <v>0</v>
      </c>
      <c r="F46" s="2796"/>
      <c r="G46" s="2796"/>
      <c r="H46" s="2796"/>
      <c r="I46" s="2796"/>
      <c r="J46" s="2796"/>
      <c r="K46" s="2796"/>
      <c r="L46" s="2796"/>
      <c r="M46" s="2798">
        <f t="shared" ref="M46:N46" si="40">+M47</f>
        <v>0</v>
      </c>
      <c r="N46" s="2798">
        <f t="shared" si="40"/>
        <v>0</v>
      </c>
      <c r="O46" s="4475"/>
    </row>
    <row r="47" spans="1:19" ht="13.5" hidden="1" thickBot="1">
      <c r="A47" s="4471"/>
      <c r="B47" s="3183" t="s">
        <v>21</v>
      </c>
      <c r="C47" s="4477"/>
      <c r="D47" s="2805"/>
      <c r="E47" s="2805"/>
      <c r="F47" s="2800"/>
      <c r="G47" s="2800"/>
      <c r="H47" s="2800"/>
      <c r="I47" s="2800"/>
      <c r="J47" s="2800"/>
      <c r="K47" s="2800"/>
      <c r="L47" s="2800"/>
      <c r="M47" s="3137">
        <f>SUM(E47:H47)</f>
        <v>0</v>
      </c>
      <c r="N47" s="3137">
        <f>SUM(F47:I47)</f>
        <v>0</v>
      </c>
      <c r="O47" s="4475"/>
    </row>
    <row r="48" spans="1:19" ht="15.75" hidden="1" customHeight="1">
      <c r="A48" s="4471"/>
      <c r="B48" s="2723" t="s">
        <v>22</v>
      </c>
      <c r="C48" s="2792"/>
      <c r="D48" s="2676"/>
      <c r="E48" s="2750">
        <v>0</v>
      </c>
      <c r="F48" s="2750"/>
      <c r="G48" s="2728"/>
      <c r="H48" s="2728"/>
      <c r="I48" s="2728"/>
      <c r="J48" s="2728"/>
      <c r="K48" s="2728"/>
      <c r="L48" s="2728"/>
      <c r="M48" s="4342" t="s">
        <v>61</v>
      </c>
      <c r="N48" s="4342" t="s">
        <v>61</v>
      </c>
      <c r="O48" s="4475"/>
    </row>
    <row r="49" spans="1:16" ht="15.75" hidden="1" customHeight="1">
      <c r="A49" s="4471"/>
      <c r="B49" s="3184"/>
      <c r="C49" s="3185"/>
      <c r="D49" s="3186"/>
      <c r="E49" s="2973"/>
      <c r="F49" s="2973"/>
      <c r="G49" s="3187"/>
      <c r="H49" s="3187"/>
      <c r="I49" s="3187"/>
      <c r="J49" s="3187"/>
      <c r="K49" s="3187"/>
      <c r="L49" s="3187"/>
      <c r="M49" s="4343"/>
      <c r="N49" s="4343"/>
      <c r="O49" s="4475"/>
    </row>
    <row r="50" spans="1:16" ht="15.75" hidden="1" customHeight="1">
      <c r="A50" s="4471"/>
      <c r="B50" s="3184"/>
      <c r="C50" s="3185"/>
      <c r="D50" s="3186"/>
      <c r="E50" s="2973"/>
      <c r="F50" s="2973"/>
      <c r="G50" s="3187"/>
      <c r="H50" s="3187"/>
      <c r="I50" s="3187"/>
      <c r="J50" s="3187"/>
      <c r="K50" s="3187"/>
      <c r="L50" s="3187"/>
      <c r="M50" s="4343"/>
      <c r="N50" s="4343"/>
      <c r="O50" s="4475"/>
    </row>
    <row r="51" spans="1:16" ht="12" hidden="1" customHeight="1">
      <c r="A51" s="4471"/>
      <c r="B51" s="3169" t="s">
        <v>18</v>
      </c>
      <c r="C51" s="4346" t="s">
        <v>211</v>
      </c>
      <c r="D51" s="3177"/>
      <c r="E51" s="3170">
        <v>0</v>
      </c>
      <c r="F51" s="3170"/>
      <c r="G51" s="3170"/>
      <c r="H51" s="3170"/>
      <c r="I51" s="3170"/>
      <c r="J51" s="3170"/>
      <c r="K51" s="3170"/>
      <c r="L51" s="3170"/>
      <c r="M51" s="4343"/>
      <c r="N51" s="4343"/>
      <c r="O51" s="4475"/>
    </row>
    <row r="52" spans="1:16" ht="13.5" hidden="1" thickBot="1">
      <c r="A52" s="4472"/>
      <c r="B52" s="3183" t="s">
        <v>21</v>
      </c>
      <c r="C52" s="4478"/>
      <c r="D52" s="2807"/>
      <c r="E52" s="2807"/>
      <c r="F52" s="3188"/>
      <c r="G52" s="3188"/>
      <c r="H52" s="3188"/>
      <c r="I52" s="3188"/>
      <c r="J52" s="3188"/>
      <c r="K52" s="3188"/>
      <c r="L52" s="3188"/>
      <c r="M52" s="4344"/>
      <c r="N52" s="4344"/>
      <c r="O52" s="4476"/>
    </row>
    <row r="53" spans="1:16" s="3194" customFormat="1" ht="26.25" customHeight="1">
      <c r="A53" s="4467" t="s">
        <v>65</v>
      </c>
      <c r="B53" s="3189" t="s">
        <v>531</v>
      </c>
      <c r="C53" s="3190" t="s">
        <v>110</v>
      </c>
      <c r="D53" s="3191"/>
      <c r="E53" s="3191"/>
      <c r="F53" s="3191"/>
      <c r="G53" s="3191"/>
      <c r="H53" s="3191"/>
      <c r="I53" s="3191"/>
      <c r="J53" s="3192"/>
      <c r="K53" s="3192"/>
      <c r="L53" s="3192"/>
      <c r="M53" s="3193"/>
      <c r="N53" s="3191"/>
      <c r="O53" s="4348" t="s">
        <v>319</v>
      </c>
    </row>
    <row r="54" spans="1:16" s="3194" customFormat="1" ht="12.75">
      <c r="A54" s="4468"/>
      <c r="B54" s="3164" t="s">
        <v>10</v>
      </c>
      <c r="C54" s="2792"/>
      <c r="D54" s="2725">
        <f>+D55+D61</f>
        <v>394357</v>
      </c>
      <c r="E54" s="2725">
        <f t="shared" ref="E54" si="41">+E55+E61</f>
        <v>88043</v>
      </c>
      <c r="F54" s="2728">
        <f t="shared" ref="F54:I54" si="42">+F55+F61</f>
        <v>54732</v>
      </c>
      <c r="G54" s="2728">
        <f t="shared" si="42"/>
        <v>101301</v>
      </c>
      <c r="H54" s="2728">
        <f t="shared" si="42"/>
        <v>75142</v>
      </c>
      <c r="I54" s="2728">
        <f t="shared" si="42"/>
        <v>75139</v>
      </c>
      <c r="J54" s="2728"/>
      <c r="K54" s="2728"/>
      <c r="L54" s="2728"/>
      <c r="M54" s="2762">
        <f>+M55+M61</f>
        <v>306314</v>
      </c>
      <c r="N54" s="2762">
        <f>+N55+N61</f>
        <v>251582</v>
      </c>
      <c r="O54" s="4349"/>
      <c r="P54" s="3195"/>
    </row>
    <row r="55" spans="1:16" s="3194" customFormat="1" ht="12.75">
      <c r="A55" s="4468"/>
      <c r="B55" s="3165" t="s">
        <v>24</v>
      </c>
      <c r="C55" s="4339" t="s">
        <v>149</v>
      </c>
      <c r="D55" s="3196">
        <f>+D56+D60</f>
        <v>99415</v>
      </c>
      <c r="E55" s="3196">
        <f>+E56+E60</f>
        <v>22177</v>
      </c>
      <c r="F55" s="3197">
        <f t="shared" ref="F55:I55" si="43">+F56+F60</f>
        <v>13783</v>
      </c>
      <c r="G55" s="3197">
        <f t="shared" si="43"/>
        <v>25583</v>
      </c>
      <c r="H55" s="3197">
        <f t="shared" si="43"/>
        <v>18937</v>
      </c>
      <c r="I55" s="3197">
        <f t="shared" si="43"/>
        <v>18935</v>
      </c>
      <c r="J55" s="3196"/>
      <c r="K55" s="3196"/>
      <c r="L55" s="3196"/>
      <c r="M55" s="3198">
        <f>+M56+M60</f>
        <v>77238</v>
      </c>
      <c r="N55" s="3198">
        <f>+N56+N60</f>
        <v>63455</v>
      </c>
      <c r="O55" s="4349"/>
    </row>
    <row r="56" spans="1:16" s="3194" customFormat="1" ht="10.5" customHeight="1">
      <c r="A56" s="4468"/>
      <c r="B56" s="3199" t="s">
        <v>13</v>
      </c>
      <c r="C56" s="4340"/>
      <c r="D56" s="2736">
        <f>E56+F56+G56+H56+I56+J56+K56+L56</f>
        <v>98313</v>
      </c>
      <c r="E56" s="2949">
        <f>+E58+E59</f>
        <v>21955</v>
      </c>
      <c r="F56" s="3200">
        <f>+F58+F59</f>
        <v>13649</v>
      </c>
      <c r="G56" s="3200">
        <f t="shared" ref="G56:I56" si="44">+G58+G59</f>
        <v>25237</v>
      </c>
      <c r="H56" s="3200">
        <f t="shared" si="44"/>
        <v>18737</v>
      </c>
      <c r="I56" s="3200">
        <f t="shared" si="44"/>
        <v>18735</v>
      </c>
      <c r="J56" s="2949"/>
      <c r="K56" s="2949"/>
      <c r="L56" s="2949"/>
      <c r="M56" s="3137">
        <f>SUM(F56:K56)</f>
        <v>76358</v>
      </c>
      <c r="N56" s="3137">
        <f>SUM(G56:L56)</f>
        <v>62709</v>
      </c>
      <c r="O56" s="4349"/>
      <c r="P56" s="3195">
        <f>D56-D68</f>
        <v>0</v>
      </c>
    </row>
    <row r="57" spans="1:16" s="3194" customFormat="1" ht="12.75" hidden="1">
      <c r="A57" s="4468"/>
      <c r="B57" s="3201" t="s">
        <v>150</v>
      </c>
      <c r="C57" s="4340"/>
      <c r="D57" s="2736">
        <f>E57+F57+G57+H57+I57+J57+K57+L57</f>
        <v>0</v>
      </c>
      <c r="E57" s="2949"/>
      <c r="F57" s="3168"/>
      <c r="G57" s="3168"/>
      <c r="H57" s="3168"/>
      <c r="I57" s="3168"/>
      <c r="J57" s="3168"/>
      <c r="K57" s="3168"/>
      <c r="L57" s="3168"/>
      <c r="M57" s="3137"/>
      <c r="N57" s="3137"/>
      <c r="O57" s="4349"/>
      <c r="P57" s="3195"/>
    </row>
    <row r="58" spans="1:16" s="3194" customFormat="1" ht="12.75" hidden="1">
      <c r="A58" s="4468"/>
      <c r="B58" s="3201" t="s">
        <v>304</v>
      </c>
      <c r="C58" s="4340"/>
      <c r="D58" s="2736">
        <f>E58+F58+G58+H58+I58+J58+K58+L58</f>
        <v>59778</v>
      </c>
      <c r="E58" s="2949">
        <v>15556</v>
      </c>
      <c r="F58" s="3202">
        <f>8056+671+1501+214+2452-4245</f>
        <v>8649</v>
      </c>
      <c r="G58" s="3202">
        <f>8056+671+1501+214+1413</f>
        <v>11855</v>
      </c>
      <c r="H58" s="3202">
        <f>8057+671+1501+214+1417</f>
        <v>11860</v>
      </c>
      <c r="I58" s="3202">
        <f>8057+671+1501+214+1415</f>
        <v>11858</v>
      </c>
      <c r="J58" s="3168"/>
      <c r="K58" s="3168"/>
      <c r="L58" s="3168"/>
      <c r="M58" s="3203">
        <f>SUM(E58:H58)</f>
        <v>47920</v>
      </c>
      <c r="N58" s="3203">
        <f>SUM(G58:I58)</f>
        <v>35573</v>
      </c>
      <c r="O58" s="4349"/>
      <c r="P58" s="3195"/>
    </row>
    <row r="59" spans="1:16" s="3194" customFormat="1" ht="12.75" hidden="1">
      <c r="A59" s="4468"/>
      <c r="B59" s="3201" t="s">
        <v>111</v>
      </c>
      <c r="C59" s="4340"/>
      <c r="D59" s="2736">
        <f>E59+F59+G59+H59+I59+J59+K59+L59</f>
        <v>38535</v>
      </c>
      <c r="E59" s="2949">
        <f>6510-111</f>
        <v>6399</v>
      </c>
      <c r="F59" s="3204">
        <f>512+979+979+1250+2157+750+250+5601-1889-5589</f>
        <v>5000</v>
      </c>
      <c r="G59" s="3202">
        <f>512+979+979+1250+2407+750+6505</f>
        <v>13382</v>
      </c>
      <c r="H59" s="3202">
        <f>512+979+979+1250+2407+750</f>
        <v>6877</v>
      </c>
      <c r="I59" s="3202">
        <f>512+979+979+1250+2407+750</f>
        <v>6877</v>
      </c>
      <c r="J59" s="3168"/>
      <c r="K59" s="3168"/>
      <c r="L59" s="3168"/>
      <c r="M59" s="3203">
        <f>SUM(E59:H59)</f>
        <v>31658</v>
      </c>
      <c r="N59" s="3203">
        <f>SUM(G59:I59)</f>
        <v>27136</v>
      </c>
      <c r="O59" s="4349"/>
      <c r="P59" s="3195"/>
    </row>
    <row r="60" spans="1:16" s="3194" customFormat="1" ht="12.75">
      <c r="A60" s="4468"/>
      <c r="B60" s="3205" t="s">
        <v>12</v>
      </c>
      <c r="C60" s="4340"/>
      <c r="D60" s="2736">
        <f>E60+F60+G60+H60+I60+J60+K60+L60</f>
        <v>1102</v>
      </c>
      <c r="E60" s="2949">
        <v>222</v>
      </c>
      <c r="F60" s="3168">
        <f>280-146</f>
        <v>134</v>
      </c>
      <c r="G60" s="3168">
        <f>200+146</f>
        <v>346</v>
      </c>
      <c r="H60" s="3168">
        <v>200</v>
      </c>
      <c r="I60" s="3168">
        <v>200</v>
      </c>
      <c r="J60" s="3168"/>
      <c r="K60" s="3168"/>
      <c r="L60" s="3168"/>
      <c r="M60" s="3137">
        <f>SUM(F60:K60)</f>
        <v>880</v>
      </c>
      <c r="N60" s="3137">
        <f>SUM(G60:L60)</f>
        <v>746</v>
      </c>
      <c r="O60" s="4349"/>
    </row>
    <row r="61" spans="1:16" s="3194" customFormat="1" ht="13.5" customHeight="1">
      <c r="A61" s="4468"/>
      <c r="B61" s="3169" t="s">
        <v>18</v>
      </c>
      <c r="C61" s="4340"/>
      <c r="D61" s="2795">
        <f>+D62</f>
        <v>294942</v>
      </c>
      <c r="E61" s="2795">
        <f t="shared" ref="E61" si="45">+E62</f>
        <v>65866</v>
      </c>
      <c r="F61" s="2797">
        <f t="shared" ref="F61:I61" si="46">+F62</f>
        <v>40949</v>
      </c>
      <c r="G61" s="2797">
        <f t="shared" si="46"/>
        <v>75718</v>
      </c>
      <c r="H61" s="2797">
        <f t="shared" si="46"/>
        <v>56205</v>
      </c>
      <c r="I61" s="2797">
        <f t="shared" si="46"/>
        <v>56204</v>
      </c>
      <c r="J61" s="2797"/>
      <c r="K61" s="2797"/>
      <c r="L61" s="2797"/>
      <c r="M61" s="3206">
        <f>+M62</f>
        <v>229076</v>
      </c>
      <c r="N61" s="3206">
        <f>+N62</f>
        <v>188127</v>
      </c>
      <c r="O61" s="4349"/>
    </row>
    <row r="62" spans="1:16" s="3194" customFormat="1" ht="12.75">
      <c r="A62" s="4468"/>
      <c r="B62" s="3207" t="s">
        <v>20</v>
      </c>
      <c r="C62" s="4341"/>
      <c r="D62" s="2736">
        <f>E62+F62+G62+H62+I62+J62+K62+L62</f>
        <v>294942</v>
      </c>
      <c r="E62" s="2949">
        <f>+E64+E65</f>
        <v>65866</v>
      </c>
      <c r="F62" s="3208">
        <f>SUM(F64:F65)</f>
        <v>40949</v>
      </c>
      <c r="G62" s="3208">
        <f>SUM(G64:G65)</f>
        <v>75718</v>
      </c>
      <c r="H62" s="3208">
        <f>SUM(H64:H65)</f>
        <v>56205</v>
      </c>
      <c r="I62" s="3208">
        <f>SUM(I64:I65)</f>
        <v>56204</v>
      </c>
      <c r="J62" s="2800"/>
      <c r="K62" s="2800"/>
      <c r="L62" s="2800"/>
      <c r="M62" s="3137">
        <f>SUM(F62:K62)</f>
        <v>229076</v>
      </c>
      <c r="N62" s="3137">
        <f>SUM(G62:L62)</f>
        <v>188127</v>
      </c>
      <c r="O62" s="4349"/>
      <c r="P62" s="3195">
        <f>D62-D70</f>
        <v>0</v>
      </c>
    </row>
    <row r="63" spans="1:16" s="3212" customFormat="1" ht="13.5" hidden="1" customHeight="1">
      <c r="A63" s="4468"/>
      <c r="B63" s="3201" t="s">
        <v>150</v>
      </c>
      <c r="C63" s="3209"/>
      <c r="D63" s="3023"/>
      <c r="E63" s="3021"/>
      <c r="F63" s="3021"/>
      <c r="G63" s="3021"/>
      <c r="H63" s="3021"/>
      <c r="I63" s="3021"/>
      <c r="J63" s="3021"/>
      <c r="K63" s="3021"/>
      <c r="L63" s="3021"/>
      <c r="M63" s="3210"/>
      <c r="N63" s="3210"/>
      <c r="O63" s="4349"/>
      <c r="P63" s="3211"/>
    </row>
    <row r="64" spans="1:16" s="3212" customFormat="1" ht="13.5" hidden="1" customHeight="1">
      <c r="A64" s="4468"/>
      <c r="B64" s="3201" t="s">
        <v>304</v>
      </c>
      <c r="C64" s="3209"/>
      <c r="D64" s="2736">
        <f>E64+F64+G64+H64+I64+J64+K64+L64</f>
        <v>179344</v>
      </c>
      <c r="E64" s="3021">
        <v>46667</v>
      </c>
      <c r="F64" s="3021">
        <f>24173+2014+4502+642+7355-12738</f>
        <v>25948</v>
      </c>
      <c r="G64" s="3021">
        <f>24173+2014+4502+642+4245</f>
        <v>35576</v>
      </c>
      <c r="H64" s="3021">
        <f>24172+2014+4502+642+4247</f>
        <v>35577</v>
      </c>
      <c r="I64" s="3021">
        <f>24172+2014+4502+642+4246</f>
        <v>35576</v>
      </c>
      <c r="J64" s="3021"/>
      <c r="K64" s="3021"/>
      <c r="L64" s="3021"/>
      <c r="M64" s="3203">
        <f>SUM(E64:H64)</f>
        <v>143768</v>
      </c>
      <c r="N64" s="3203">
        <f>SUM(G64:I64)</f>
        <v>106729</v>
      </c>
      <c r="O64" s="4349"/>
      <c r="P64" s="3211"/>
    </row>
    <row r="65" spans="1:17" s="3212" customFormat="1" ht="13.5" hidden="1" customHeight="1">
      <c r="A65" s="4468"/>
      <c r="B65" s="3201" t="s">
        <v>111</v>
      </c>
      <c r="C65" s="3209"/>
      <c r="D65" s="2736">
        <f>E65+F65+G65+H65+I65+J65+K65+L65</f>
        <v>115598</v>
      </c>
      <c r="E65" s="3021">
        <f>19532-333</f>
        <v>19199</v>
      </c>
      <c r="F65" s="3021">
        <f>1537+2936+2936+3750+6469+2250+750+16805-5672-16760</f>
        <v>15001</v>
      </c>
      <c r="G65" s="3021">
        <f>1537+2936+2936+3750+7219+2250+19514</f>
        <v>40142</v>
      </c>
      <c r="H65" s="3021">
        <f>1537+2936+2936+3750+7219+2250</f>
        <v>20628</v>
      </c>
      <c r="I65" s="3021">
        <f>1537+2936+2936+3750+7219+2250</f>
        <v>20628</v>
      </c>
      <c r="J65" s="3021"/>
      <c r="K65" s="3021"/>
      <c r="L65" s="3021"/>
      <c r="M65" s="3203">
        <f>SUM(E65:H65)</f>
        <v>94970</v>
      </c>
      <c r="N65" s="3203">
        <f>SUM(G65:I65)</f>
        <v>81398</v>
      </c>
      <c r="O65" s="4349"/>
      <c r="P65" s="3211"/>
    </row>
    <row r="66" spans="1:17" s="3194" customFormat="1" ht="12.75">
      <c r="A66" s="4468"/>
      <c r="B66" s="2723" t="s">
        <v>22</v>
      </c>
      <c r="C66" s="2792"/>
      <c r="D66" s="2750">
        <f>+D67+D69</f>
        <v>393255</v>
      </c>
      <c r="E66" s="2750">
        <f t="shared" ref="E66" si="47">+E67+E69</f>
        <v>0</v>
      </c>
      <c r="F66" s="2750">
        <f t="shared" ref="F66:J66" si="48">+F67+F69</f>
        <v>92447</v>
      </c>
      <c r="G66" s="2750">
        <f t="shared" si="48"/>
        <v>75211</v>
      </c>
      <c r="H66" s="2750">
        <f t="shared" si="48"/>
        <v>94451</v>
      </c>
      <c r="I66" s="2750">
        <f t="shared" si="48"/>
        <v>74942</v>
      </c>
      <c r="J66" s="2750">
        <f t="shared" si="48"/>
        <v>56204</v>
      </c>
      <c r="K66" s="2728"/>
      <c r="L66" s="2728"/>
      <c r="M66" s="4342" t="s">
        <v>61</v>
      </c>
      <c r="N66" s="4342" t="s">
        <v>61</v>
      </c>
      <c r="O66" s="4349"/>
    </row>
    <row r="67" spans="1:17" s="3194" customFormat="1" ht="13.5" customHeight="1">
      <c r="A67" s="4468"/>
      <c r="B67" s="3213" t="s">
        <v>24</v>
      </c>
      <c r="C67" s="4346" t="s">
        <v>149</v>
      </c>
      <c r="D67" s="3177">
        <f>+D68</f>
        <v>98313</v>
      </c>
      <c r="E67" s="3177">
        <f t="shared" ref="E67" si="49">+E68</f>
        <v>0</v>
      </c>
      <c r="F67" s="3170">
        <f t="shared" ref="F67:J67" si="50">+F68</f>
        <v>23112</v>
      </c>
      <c r="G67" s="3170">
        <f t="shared" si="50"/>
        <v>18802</v>
      </c>
      <c r="H67" s="3170">
        <f t="shared" si="50"/>
        <v>23613</v>
      </c>
      <c r="I67" s="3170">
        <f t="shared" si="50"/>
        <v>18735</v>
      </c>
      <c r="J67" s="3170">
        <f t="shared" si="50"/>
        <v>14051</v>
      </c>
      <c r="K67" s="3170"/>
      <c r="L67" s="3170"/>
      <c r="M67" s="4343"/>
      <c r="N67" s="4343"/>
      <c r="O67" s="4349"/>
    </row>
    <row r="68" spans="1:17" s="3194" customFormat="1" ht="12.75">
      <c r="A68" s="4468"/>
      <c r="B68" s="3199" t="s">
        <v>13</v>
      </c>
      <c r="C68" s="4409"/>
      <c r="D68" s="2804">
        <f>E68+F68+G68+H68+I68+J68+K68+L68</f>
        <v>98313</v>
      </c>
      <c r="E68" s="2949">
        <v>0</v>
      </c>
      <c r="F68" s="2949">
        <f>28409-5297</f>
        <v>23112</v>
      </c>
      <c r="G68" s="2949">
        <f>17319+6040-1889-2668</f>
        <v>18802</v>
      </c>
      <c r="H68" s="2949">
        <f>17319+6294</f>
        <v>23613</v>
      </c>
      <c r="I68" s="2949">
        <f>17320+1415</f>
        <v>18735</v>
      </c>
      <c r="J68" s="2949">
        <f>12990+1061</f>
        <v>14051</v>
      </c>
      <c r="K68" s="3214"/>
      <c r="L68" s="3214"/>
      <c r="M68" s="4343"/>
      <c r="N68" s="4343"/>
      <c r="O68" s="4349"/>
    </row>
    <row r="69" spans="1:17" s="3194" customFormat="1" ht="12.75">
      <c r="A69" s="4468"/>
      <c r="B69" s="3215" t="s">
        <v>18</v>
      </c>
      <c r="C69" s="4409"/>
      <c r="D69" s="3216">
        <f>+D70</f>
        <v>294942</v>
      </c>
      <c r="E69" s="3216">
        <f t="shared" ref="E69" si="51">+E70</f>
        <v>0</v>
      </c>
      <c r="F69" s="3216">
        <f>+F70</f>
        <v>69335</v>
      </c>
      <c r="G69" s="3216">
        <f>+G70</f>
        <v>56409</v>
      </c>
      <c r="H69" s="3216">
        <f>+H70</f>
        <v>70838</v>
      </c>
      <c r="I69" s="3216">
        <f>+I70</f>
        <v>56207</v>
      </c>
      <c r="J69" s="3216">
        <f>+J70</f>
        <v>42153</v>
      </c>
      <c r="K69" s="3217"/>
      <c r="L69" s="3217"/>
      <c r="M69" s="4343"/>
      <c r="N69" s="4343"/>
      <c r="O69" s="4349"/>
    </row>
    <row r="70" spans="1:17" s="3194" customFormat="1" ht="13.5" thickBot="1">
      <c r="A70" s="4469"/>
      <c r="B70" s="3218" t="s">
        <v>20</v>
      </c>
      <c r="C70" s="4402"/>
      <c r="D70" s="2754">
        <f>E70+F70+G70+H70+I70+J70+K70+L70</f>
        <v>294942</v>
      </c>
      <c r="E70" s="2808">
        <v>0</v>
      </c>
      <c r="F70" s="2807">
        <f>85229-15894</f>
        <v>69335</v>
      </c>
      <c r="G70" s="2807">
        <f>51959+18120-5672-7998</f>
        <v>56409</v>
      </c>
      <c r="H70" s="2807">
        <f>51959+18879</f>
        <v>70838</v>
      </c>
      <c r="I70" s="2807">
        <f>51958+4249</f>
        <v>56207</v>
      </c>
      <c r="J70" s="2807">
        <f>38968+3185</f>
        <v>42153</v>
      </c>
      <c r="K70" s="3178"/>
      <c r="L70" s="3178"/>
      <c r="M70" s="4344"/>
      <c r="N70" s="4344"/>
      <c r="O70" s="4350"/>
    </row>
    <row r="71" spans="1:17" s="3194" customFormat="1" ht="27.75" customHeight="1">
      <c r="A71" s="4467" t="s">
        <v>66</v>
      </c>
      <c r="B71" s="3189" t="s">
        <v>608</v>
      </c>
      <c r="C71" s="3190" t="s">
        <v>82</v>
      </c>
      <c r="D71" s="3191"/>
      <c r="E71" s="3192"/>
      <c r="F71" s="3192"/>
      <c r="G71" s="3192"/>
      <c r="H71" s="3192"/>
      <c r="I71" s="3192"/>
      <c r="J71" s="3192"/>
      <c r="K71" s="3192"/>
      <c r="L71" s="3192"/>
      <c r="M71" s="3193"/>
      <c r="N71" s="3193"/>
      <c r="O71" s="4348" t="s">
        <v>111</v>
      </c>
    </row>
    <row r="72" spans="1:17" s="3194" customFormat="1" ht="14.25" customHeight="1" thickBot="1">
      <c r="A72" s="4469"/>
      <c r="B72" s="3164" t="s">
        <v>10</v>
      </c>
      <c r="C72" s="2792"/>
      <c r="D72" s="2728">
        <f>+D73+D75</f>
        <v>4335</v>
      </c>
      <c r="E72" s="2728">
        <f>+E73+E75</f>
        <v>0</v>
      </c>
      <c r="F72" s="2728">
        <f>+F73+F75</f>
        <v>4335</v>
      </c>
      <c r="G72" s="3219">
        <v>0</v>
      </c>
      <c r="H72" s="3220">
        <v>0</v>
      </c>
      <c r="I72" s="3220">
        <v>0</v>
      </c>
      <c r="J72" s="3220">
        <v>0</v>
      </c>
      <c r="K72" s="3220">
        <v>0</v>
      </c>
      <c r="L72" s="3220">
        <v>0</v>
      </c>
      <c r="M72" s="2762">
        <f>+M73+M75</f>
        <v>4335</v>
      </c>
      <c r="N72" s="2762">
        <f>+N73+N75</f>
        <v>0</v>
      </c>
      <c r="O72" s="4386"/>
      <c r="P72" s="3195" t="s">
        <v>512</v>
      </c>
    </row>
    <row r="73" spans="1:17" s="3194" customFormat="1" ht="13.5" customHeight="1" thickBot="1">
      <c r="A73" s="4469"/>
      <c r="B73" s="3165" t="s">
        <v>24</v>
      </c>
      <c r="C73" s="4339" t="s">
        <v>149</v>
      </c>
      <c r="D73" s="3197">
        <f>+D74</f>
        <v>1084</v>
      </c>
      <c r="E73" s="3197">
        <f>+E74</f>
        <v>0</v>
      </c>
      <c r="F73" s="3197">
        <f>+F74</f>
        <v>1084</v>
      </c>
      <c r="G73" s="3221">
        <v>0</v>
      </c>
      <c r="H73" s="3222">
        <v>0</v>
      </c>
      <c r="I73" s="3222">
        <v>0</v>
      </c>
      <c r="J73" s="3222">
        <v>0</v>
      </c>
      <c r="K73" s="3222">
        <v>0</v>
      </c>
      <c r="L73" s="3222">
        <v>0</v>
      </c>
      <c r="M73" s="3198">
        <f>+M74</f>
        <v>1084</v>
      </c>
      <c r="N73" s="3198">
        <f>+N74</f>
        <v>0</v>
      </c>
      <c r="O73" s="4386"/>
      <c r="P73" s="3194" t="s">
        <v>514</v>
      </c>
      <c r="Q73" s="3195"/>
    </row>
    <row r="74" spans="1:17" s="3194" customFormat="1" ht="13.5" customHeight="1" thickBot="1">
      <c r="A74" s="4469"/>
      <c r="B74" s="3199" t="s">
        <v>13</v>
      </c>
      <c r="C74" s="4340"/>
      <c r="D74" s="2804">
        <f>E74+F74+G74+H74+I74+J74+K74+L74</f>
        <v>1084</v>
      </c>
      <c r="E74" s="2949">
        <v>0</v>
      </c>
      <c r="F74" s="3168">
        <f>1889-805</f>
        <v>1084</v>
      </c>
      <c r="G74" s="3221">
        <v>0</v>
      </c>
      <c r="H74" s="3222">
        <v>0</v>
      </c>
      <c r="I74" s="3222">
        <v>0</v>
      </c>
      <c r="J74" s="3222">
        <v>0</v>
      </c>
      <c r="K74" s="3222">
        <v>0</v>
      </c>
      <c r="L74" s="3222">
        <v>0</v>
      </c>
      <c r="M74" s="3137">
        <f>SUM(F74:K74)</f>
        <v>1084</v>
      </c>
      <c r="N74" s="3137">
        <f>SUM(G74:L74)</f>
        <v>0</v>
      </c>
      <c r="O74" s="4386"/>
    </row>
    <row r="75" spans="1:17" s="3225" customFormat="1" ht="13.5" thickBot="1">
      <c r="A75" s="4483"/>
      <c r="B75" s="3169" t="s">
        <v>18</v>
      </c>
      <c r="C75" s="4340"/>
      <c r="D75" s="2743">
        <f>+D76</f>
        <v>3251</v>
      </c>
      <c r="E75" s="2743">
        <f>+E76</f>
        <v>0</v>
      </c>
      <c r="F75" s="2743">
        <f>+F76</f>
        <v>3251</v>
      </c>
      <c r="G75" s="3223">
        <v>0</v>
      </c>
      <c r="H75" s="3222">
        <v>0</v>
      </c>
      <c r="I75" s="3222">
        <v>0</v>
      </c>
      <c r="J75" s="3222">
        <v>0</v>
      </c>
      <c r="K75" s="3222">
        <v>0</v>
      </c>
      <c r="L75" s="3222">
        <v>0</v>
      </c>
      <c r="M75" s="2798">
        <f>+M76</f>
        <v>3251</v>
      </c>
      <c r="N75" s="2798">
        <f>+N76</f>
        <v>0</v>
      </c>
      <c r="O75" s="4484"/>
      <c r="P75" s="3224"/>
    </row>
    <row r="76" spans="1:17" s="3194" customFormat="1" ht="13.5" thickBot="1">
      <c r="A76" s="4469"/>
      <c r="B76" s="3207" t="s">
        <v>20</v>
      </c>
      <c r="C76" s="4341"/>
      <c r="D76" s="2804">
        <f>E76+F76+G76+H76+I76+J76+K76+L76</f>
        <v>3251</v>
      </c>
      <c r="E76" s="2949">
        <v>0</v>
      </c>
      <c r="F76" s="3208">
        <f>5672-2421</f>
        <v>3251</v>
      </c>
      <c r="G76" s="3226">
        <v>0</v>
      </c>
      <c r="H76" s="3227">
        <v>0</v>
      </c>
      <c r="I76" s="3227">
        <v>0</v>
      </c>
      <c r="J76" s="3227">
        <v>0</v>
      </c>
      <c r="K76" s="3227">
        <v>0</v>
      </c>
      <c r="L76" s="3227">
        <v>0</v>
      </c>
      <c r="M76" s="3137">
        <f>SUM(F76:K76)</f>
        <v>3251</v>
      </c>
      <c r="N76" s="3137">
        <f>SUM(G76:L76)</f>
        <v>0</v>
      </c>
      <c r="O76" s="4386"/>
      <c r="P76" s="3195"/>
    </row>
    <row r="77" spans="1:17" s="3194" customFormat="1" ht="13.5" thickBot="1">
      <c r="A77" s="4469"/>
      <c r="B77" s="2723" t="s">
        <v>22</v>
      </c>
      <c r="C77" s="2792"/>
      <c r="D77" s="2750">
        <f>+D78+D80</f>
        <v>4335</v>
      </c>
      <c r="E77" s="2750">
        <f>+E78+E80</f>
        <v>0</v>
      </c>
      <c r="F77" s="2872">
        <v>0</v>
      </c>
      <c r="G77" s="2750">
        <f>+G78+G80</f>
        <v>4335</v>
      </c>
      <c r="H77" s="2872">
        <v>0</v>
      </c>
      <c r="I77" s="2872">
        <v>0</v>
      </c>
      <c r="J77" s="2872">
        <v>0</v>
      </c>
      <c r="K77" s="2872">
        <v>0</v>
      </c>
      <c r="L77" s="2872">
        <v>0</v>
      </c>
      <c r="M77" s="4485" t="s">
        <v>61</v>
      </c>
      <c r="N77" s="4485" t="s">
        <v>61</v>
      </c>
      <c r="O77" s="4386"/>
      <c r="P77" s="3195"/>
    </row>
    <row r="78" spans="1:17" s="3225" customFormat="1" ht="12.75" customHeight="1" thickBot="1">
      <c r="A78" s="4483"/>
      <c r="B78" s="3213" t="s">
        <v>24</v>
      </c>
      <c r="C78" s="4339" t="s">
        <v>149</v>
      </c>
      <c r="D78" s="2745">
        <f>+D79</f>
        <v>1084</v>
      </c>
      <c r="E78" s="2745">
        <f>+E79</f>
        <v>0</v>
      </c>
      <c r="F78" s="3228">
        <v>0</v>
      </c>
      <c r="G78" s="2745">
        <f>+G79</f>
        <v>1084</v>
      </c>
      <c r="H78" s="3222">
        <v>0</v>
      </c>
      <c r="I78" s="3222">
        <v>0</v>
      </c>
      <c r="J78" s="3222">
        <v>0</v>
      </c>
      <c r="K78" s="3222">
        <v>0</v>
      </c>
      <c r="L78" s="3222">
        <v>0</v>
      </c>
      <c r="M78" s="4486"/>
      <c r="N78" s="4486"/>
      <c r="O78" s="4484"/>
      <c r="P78" s="3224"/>
    </row>
    <row r="79" spans="1:17" s="3194" customFormat="1" ht="13.5" customHeight="1" thickBot="1">
      <c r="A79" s="4469"/>
      <c r="B79" s="3199" t="s">
        <v>13</v>
      </c>
      <c r="C79" s="4340"/>
      <c r="D79" s="2804">
        <f>E79+F79+G79+H79+I79+J79+K79+L79</f>
        <v>1084</v>
      </c>
      <c r="E79" s="2949">
        <v>0</v>
      </c>
      <c r="F79" s="2950">
        <v>0</v>
      </c>
      <c r="G79" s="3168">
        <f>1889-805</f>
        <v>1084</v>
      </c>
      <c r="H79" s="3227">
        <v>0</v>
      </c>
      <c r="I79" s="3227">
        <v>0</v>
      </c>
      <c r="J79" s="3227">
        <v>0</v>
      </c>
      <c r="K79" s="3227">
        <v>0</v>
      </c>
      <c r="L79" s="3227">
        <v>0</v>
      </c>
      <c r="M79" s="4486"/>
      <c r="N79" s="4486"/>
      <c r="O79" s="4386"/>
    </row>
    <row r="80" spans="1:17" s="3194" customFormat="1" ht="13.5" customHeight="1" thickBot="1">
      <c r="A80" s="4469"/>
      <c r="B80" s="3215" t="s">
        <v>18</v>
      </c>
      <c r="C80" s="4340"/>
      <c r="D80" s="2797">
        <f>+D81</f>
        <v>3251</v>
      </c>
      <c r="E80" s="2797">
        <f>+E81</f>
        <v>0</v>
      </c>
      <c r="F80" s="2962">
        <v>0</v>
      </c>
      <c r="G80" s="2797">
        <f>+G81</f>
        <v>3251</v>
      </c>
      <c r="H80" s="2966">
        <v>0</v>
      </c>
      <c r="I80" s="2966">
        <v>0</v>
      </c>
      <c r="J80" s="2966">
        <v>0</v>
      </c>
      <c r="K80" s="2966">
        <v>0</v>
      </c>
      <c r="L80" s="2966">
        <v>0</v>
      </c>
      <c r="M80" s="4486"/>
      <c r="N80" s="4486"/>
      <c r="O80" s="4386"/>
    </row>
    <row r="81" spans="1:16" s="3194" customFormat="1" ht="13.5" customHeight="1" thickBot="1">
      <c r="A81" s="4469"/>
      <c r="B81" s="3218" t="s">
        <v>20</v>
      </c>
      <c r="C81" s="4426"/>
      <c r="D81" s="2804">
        <f>E81+F81+G81+H81+I81+J81+K81+L81</f>
        <v>3251</v>
      </c>
      <c r="E81" s="2949">
        <v>0</v>
      </c>
      <c r="F81" s="3229">
        <v>0</v>
      </c>
      <c r="G81" s="3208">
        <f>5672-2421</f>
        <v>3251</v>
      </c>
      <c r="H81" s="3227">
        <v>0</v>
      </c>
      <c r="I81" s="3227">
        <v>0</v>
      </c>
      <c r="J81" s="3227">
        <v>0</v>
      </c>
      <c r="K81" s="3227">
        <v>0</v>
      </c>
      <c r="L81" s="3227">
        <v>0</v>
      </c>
      <c r="M81" s="4487"/>
      <c r="N81" s="4487"/>
      <c r="O81" s="4386"/>
      <c r="P81" s="3195"/>
    </row>
    <row r="82" spans="1:16" ht="28.5" customHeight="1" thickBot="1">
      <c r="A82" s="3057" t="s">
        <v>274</v>
      </c>
      <c r="B82" s="3058"/>
      <c r="C82" s="3058"/>
      <c r="D82" s="3058"/>
      <c r="E82" s="3058"/>
      <c r="F82" s="3058"/>
      <c r="G82" s="3058"/>
      <c r="H82" s="3058"/>
      <c r="I82" s="3058"/>
      <c r="J82" s="3058"/>
      <c r="K82" s="3058"/>
      <c r="L82" s="3058"/>
      <c r="M82" s="3059"/>
      <c r="N82" s="3059"/>
      <c r="O82" s="3060"/>
    </row>
    <row r="83" spans="1:16" ht="15.75" customHeight="1">
      <c r="A83" s="3066"/>
      <c r="B83" s="3230" t="s">
        <v>76</v>
      </c>
      <c r="C83" s="2660"/>
      <c r="D83" s="2661">
        <f>+D84+D85</f>
        <v>312355</v>
      </c>
      <c r="E83" s="2661">
        <v>24302</v>
      </c>
      <c r="F83" s="2661">
        <f t="shared" ref="F83" si="52">+F84+F85</f>
        <v>54161</v>
      </c>
      <c r="G83" s="2661">
        <f t="shared" ref="G83:N83" si="53">+G84+G85</f>
        <v>208325</v>
      </c>
      <c r="H83" s="2661">
        <f t="shared" si="53"/>
        <v>25567</v>
      </c>
      <c r="I83" s="2661">
        <f t="shared" si="53"/>
        <v>0</v>
      </c>
      <c r="J83" s="2661">
        <f t="shared" si="53"/>
        <v>0</v>
      </c>
      <c r="K83" s="2661">
        <f t="shared" si="53"/>
        <v>0</v>
      </c>
      <c r="L83" s="2661">
        <f t="shared" si="53"/>
        <v>0</v>
      </c>
      <c r="M83" s="2662">
        <f t="shared" ref="M83" si="54">+M84+M85</f>
        <v>288053</v>
      </c>
      <c r="N83" s="2662">
        <f t="shared" si="53"/>
        <v>233892</v>
      </c>
      <c r="O83" s="4429" t="s">
        <v>61</v>
      </c>
    </row>
    <row r="84" spans="1:16" ht="16.5" customHeight="1">
      <c r="A84" s="3066"/>
      <c r="B84" s="3067" t="s">
        <v>77</v>
      </c>
      <c r="C84" s="3122"/>
      <c r="D84" s="2917">
        <f>+D94+D98</f>
        <v>312355</v>
      </c>
      <c r="E84" s="2917">
        <v>24302</v>
      </c>
      <c r="F84" s="2917">
        <f t="shared" ref="F84:L84" si="55">+F94+F98</f>
        <v>54161</v>
      </c>
      <c r="G84" s="2917">
        <f t="shared" si="55"/>
        <v>208325</v>
      </c>
      <c r="H84" s="2917">
        <f t="shared" si="55"/>
        <v>25567</v>
      </c>
      <c r="I84" s="2917">
        <f t="shared" si="55"/>
        <v>0</v>
      </c>
      <c r="J84" s="2917">
        <f t="shared" si="55"/>
        <v>0</v>
      </c>
      <c r="K84" s="2917">
        <f t="shared" si="55"/>
        <v>0</v>
      </c>
      <c r="L84" s="2917">
        <f t="shared" si="55"/>
        <v>0</v>
      </c>
      <c r="M84" s="2918">
        <f>SUM(F84:K84)</f>
        <v>288053</v>
      </c>
      <c r="N84" s="2918">
        <f>SUM(G84:L84)</f>
        <v>233892</v>
      </c>
      <c r="O84" s="4430"/>
    </row>
    <row r="85" spans="1:16" ht="12.75" thickBot="1">
      <c r="A85" s="3066"/>
      <c r="B85" s="3231" t="s">
        <v>9</v>
      </c>
      <c r="C85" s="3122"/>
      <c r="D85" s="2917"/>
      <c r="E85" s="2917"/>
      <c r="F85" s="2917"/>
      <c r="G85" s="3232"/>
      <c r="H85" s="3232"/>
      <c r="I85" s="3232"/>
      <c r="J85" s="3232"/>
      <c r="K85" s="3232"/>
      <c r="L85" s="3232"/>
      <c r="M85" s="2671">
        <f>SUM(F85:H85)</f>
        <v>0</v>
      </c>
      <c r="N85" s="2671">
        <f>SUM(G85:I85)</f>
        <v>0</v>
      </c>
      <c r="O85" s="4430"/>
    </row>
    <row r="86" spans="1:16" ht="15.75" customHeight="1">
      <c r="A86" s="3069"/>
      <c r="B86" s="3233" t="s">
        <v>10</v>
      </c>
      <c r="C86" s="3234"/>
      <c r="D86" s="3235">
        <f>+D87</f>
        <v>312355</v>
      </c>
      <c r="E86" s="3235">
        <v>24302</v>
      </c>
      <c r="F86" s="3235">
        <f t="shared" ref="F86:L87" si="56">+F87</f>
        <v>54161</v>
      </c>
      <c r="G86" s="3235">
        <f t="shared" si="56"/>
        <v>208325</v>
      </c>
      <c r="H86" s="3235">
        <f t="shared" si="56"/>
        <v>25567</v>
      </c>
      <c r="I86" s="3235">
        <f t="shared" si="56"/>
        <v>0</v>
      </c>
      <c r="J86" s="3235">
        <f t="shared" si="56"/>
        <v>0</v>
      </c>
      <c r="K86" s="3235">
        <f t="shared" si="56"/>
        <v>0</v>
      </c>
      <c r="L86" s="3235">
        <f t="shared" si="56"/>
        <v>0</v>
      </c>
      <c r="M86" s="3071">
        <f>+M87</f>
        <v>288053</v>
      </c>
      <c r="N86" s="3071">
        <f>+N87</f>
        <v>233892</v>
      </c>
      <c r="O86" s="4430"/>
    </row>
    <row r="87" spans="1:16" ht="15" customHeight="1">
      <c r="A87" s="3072"/>
      <c r="B87" s="3073" t="s">
        <v>11</v>
      </c>
      <c r="C87" s="4427" t="s">
        <v>61</v>
      </c>
      <c r="D87" s="3074">
        <f>+D88+D89</f>
        <v>312355</v>
      </c>
      <c r="E87" s="3074">
        <v>24302</v>
      </c>
      <c r="F87" s="3074">
        <f t="shared" si="56"/>
        <v>54161</v>
      </c>
      <c r="G87" s="3074">
        <f t="shared" si="56"/>
        <v>208325</v>
      </c>
      <c r="H87" s="3074">
        <f t="shared" si="56"/>
        <v>25567</v>
      </c>
      <c r="I87" s="3074">
        <f t="shared" si="56"/>
        <v>0</v>
      </c>
      <c r="J87" s="3074">
        <f t="shared" si="56"/>
        <v>0</v>
      </c>
      <c r="K87" s="3074">
        <f t="shared" si="56"/>
        <v>0</v>
      </c>
      <c r="L87" s="3074">
        <f t="shared" si="56"/>
        <v>0</v>
      </c>
      <c r="M87" s="2928">
        <f>+M88+M89</f>
        <v>288053</v>
      </c>
      <c r="N87" s="2928">
        <f>+N88+N89</f>
        <v>233892</v>
      </c>
      <c r="O87" s="4430"/>
    </row>
    <row r="88" spans="1:16" ht="15" customHeight="1" thickBot="1">
      <c r="A88" s="3078"/>
      <c r="B88" s="3077" t="s">
        <v>12</v>
      </c>
      <c r="C88" s="4428"/>
      <c r="D88" s="3076">
        <f>+D96+D103+D107+D100</f>
        <v>312355</v>
      </c>
      <c r="E88" s="3076">
        <v>24302</v>
      </c>
      <c r="F88" s="3076">
        <f t="shared" ref="F88:L88" si="57">+F96+F103+F107+F100</f>
        <v>54161</v>
      </c>
      <c r="G88" s="3076">
        <f t="shared" si="57"/>
        <v>208325</v>
      </c>
      <c r="H88" s="3076">
        <f t="shared" si="57"/>
        <v>25567</v>
      </c>
      <c r="I88" s="3076">
        <f t="shared" si="57"/>
        <v>0</v>
      </c>
      <c r="J88" s="3076">
        <f t="shared" si="57"/>
        <v>0</v>
      </c>
      <c r="K88" s="3076">
        <f t="shared" si="57"/>
        <v>0</v>
      </c>
      <c r="L88" s="3076">
        <f t="shared" si="57"/>
        <v>0</v>
      </c>
      <c r="M88" s="3137">
        <f>SUM(F88:K88)</f>
        <v>288053</v>
      </c>
      <c r="N88" s="3137">
        <f>SUM(G88:L88)</f>
        <v>233892</v>
      </c>
      <c r="O88" s="4430"/>
    </row>
    <row r="89" spans="1:16" ht="12.75" hidden="1" thickBot="1">
      <c r="A89" s="3078"/>
      <c r="B89" s="3077" t="s">
        <v>14</v>
      </c>
      <c r="C89" s="4479"/>
      <c r="D89" s="3076">
        <f>+D108</f>
        <v>0</v>
      </c>
      <c r="E89" s="3236">
        <v>0</v>
      </c>
      <c r="F89" s="3076">
        <f t="shared" ref="F89:I89" si="58">+F108</f>
        <v>0</v>
      </c>
      <c r="G89" s="3076">
        <f t="shared" si="58"/>
        <v>0</v>
      </c>
      <c r="H89" s="3076">
        <f t="shared" si="58"/>
        <v>0</v>
      </c>
      <c r="I89" s="3076">
        <f t="shared" si="58"/>
        <v>0</v>
      </c>
      <c r="J89" s="3076"/>
      <c r="K89" s="3076"/>
      <c r="L89" s="3076"/>
      <c r="M89" s="3237">
        <f>SUM(E89:K89)</f>
        <v>0</v>
      </c>
      <c r="N89" s="3237">
        <f>SUM(F89:L89)</f>
        <v>0</v>
      </c>
      <c r="O89" s="4430"/>
    </row>
    <row r="90" spans="1:16" ht="12" hidden="1" customHeight="1">
      <c r="A90" s="3069"/>
      <c r="B90" s="2674" t="s">
        <v>22</v>
      </c>
      <c r="C90" s="2705"/>
      <c r="D90" s="3070">
        <f>+D91</f>
        <v>0</v>
      </c>
      <c r="E90" s="3238">
        <v>0</v>
      </c>
      <c r="F90" s="3070">
        <f t="shared" ref="F90:I91" si="59">+F91</f>
        <v>0</v>
      </c>
      <c r="G90" s="3070">
        <f t="shared" si="59"/>
        <v>0</v>
      </c>
      <c r="H90" s="3070">
        <f t="shared" si="59"/>
        <v>0</v>
      </c>
      <c r="I90" s="3070">
        <f t="shared" si="59"/>
        <v>0</v>
      </c>
      <c r="J90" s="3070"/>
      <c r="K90" s="3070"/>
      <c r="L90" s="3070"/>
      <c r="M90" s="4480" t="s">
        <v>61</v>
      </c>
      <c r="N90" s="4480" t="s">
        <v>61</v>
      </c>
      <c r="O90" s="4430"/>
    </row>
    <row r="91" spans="1:16" ht="12" hidden="1" customHeight="1">
      <c r="A91" s="3069"/>
      <c r="B91" s="3073" t="s">
        <v>11</v>
      </c>
      <c r="C91" s="4427" t="s">
        <v>61</v>
      </c>
      <c r="D91" s="3074">
        <f>+D92</f>
        <v>0</v>
      </c>
      <c r="E91" s="3239">
        <v>0</v>
      </c>
      <c r="F91" s="3074">
        <f t="shared" si="59"/>
        <v>0</v>
      </c>
      <c r="G91" s="3074">
        <f t="shared" si="59"/>
        <v>0</v>
      </c>
      <c r="H91" s="3074">
        <f t="shared" si="59"/>
        <v>0</v>
      </c>
      <c r="I91" s="3074">
        <f t="shared" si="59"/>
        <v>0</v>
      </c>
      <c r="J91" s="3074"/>
      <c r="K91" s="3074"/>
      <c r="L91" s="3074"/>
      <c r="M91" s="4481"/>
      <c r="N91" s="4481"/>
      <c r="O91" s="4430"/>
    </row>
    <row r="92" spans="1:16" ht="12.75" hidden="1" customHeight="1" thickBot="1">
      <c r="A92" s="3078"/>
      <c r="B92" s="3077" t="s">
        <v>14</v>
      </c>
      <c r="C92" s="4428"/>
      <c r="D92" s="3076">
        <f>+D111</f>
        <v>0</v>
      </c>
      <c r="E92" s="3236">
        <v>0</v>
      </c>
      <c r="F92" s="3076">
        <f t="shared" ref="F92:I92" si="60">+F111</f>
        <v>0</v>
      </c>
      <c r="G92" s="3076">
        <f t="shared" si="60"/>
        <v>0</v>
      </c>
      <c r="H92" s="3076">
        <f t="shared" si="60"/>
        <v>0</v>
      </c>
      <c r="I92" s="3076">
        <f t="shared" si="60"/>
        <v>0</v>
      </c>
      <c r="J92" s="3240"/>
      <c r="K92" s="3240"/>
      <c r="L92" s="3240"/>
      <c r="M92" s="4482"/>
      <c r="N92" s="4482"/>
      <c r="O92" s="4431"/>
    </row>
    <row r="93" spans="1:16" ht="18" customHeight="1">
      <c r="A93" s="4459" t="s">
        <v>63</v>
      </c>
      <c r="B93" s="3241" t="s">
        <v>610</v>
      </c>
      <c r="C93" s="3159" t="s">
        <v>110</v>
      </c>
      <c r="D93" s="3242"/>
      <c r="E93" s="3243"/>
      <c r="F93" s="3244"/>
      <c r="G93" s="3244"/>
      <c r="H93" s="3244"/>
      <c r="I93" s="3244"/>
      <c r="J93" s="3244"/>
      <c r="K93" s="3244"/>
      <c r="L93" s="3244"/>
      <c r="M93" s="3245"/>
      <c r="N93" s="3245"/>
      <c r="O93" s="4462" t="s">
        <v>343</v>
      </c>
    </row>
    <row r="94" spans="1:16" ht="17.25" customHeight="1">
      <c r="A94" s="4460"/>
      <c r="B94" s="2674" t="s">
        <v>10</v>
      </c>
      <c r="C94" s="3246"/>
      <c r="D94" s="3247">
        <f>+D95</f>
        <v>103580</v>
      </c>
      <c r="E94" s="3247">
        <f t="shared" ref="E94:N95" si="61">+E95</f>
        <v>24302</v>
      </c>
      <c r="F94" s="3247">
        <f t="shared" si="61"/>
        <v>26855</v>
      </c>
      <c r="G94" s="3247">
        <f t="shared" si="61"/>
        <v>26856</v>
      </c>
      <c r="H94" s="3247">
        <f t="shared" si="61"/>
        <v>25567</v>
      </c>
      <c r="I94" s="3220">
        <v>0</v>
      </c>
      <c r="J94" s="3220">
        <v>0</v>
      </c>
      <c r="K94" s="3220">
        <v>0</v>
      </c>
      <c r="L94" s="3220">
        <v>0</v>
      </c>
      <c r="M94" s="3248">
        <f t="shared" si="61"/>
        <v>79278</v>
      </c>
      <c r="N94" s="3248">
        <f t="shared" si="61"/>
        <v>52423</v>
      </c>
      <c r="O94" s="4463"/>
    </row>
    <row r="95" spans="1:16" ht="15.75" customHeight="1">
      <c r="A95" s="4460"/>
      <c r="B95" s="2946" t="s">
        <v>24</v>
      </c>
      <c r="C95" s="4465" t="s">
        <v>275</v>
      </c>
      <c r="D95" s="3249">
        <f>+D96</f>
        <v>103580</v>
      </c>
      <c r="E95" s="3249">
        <f t="shared" si="61"/>
        <v>24302</v>
      </c>
      <c r="F95" s="3249">
        <f t="shared" si="61"/>
        <v>26855</v>
      </c>
      <c r="G95" s="3249">
        <f t="shared" si="61"/>
        <v>26856</v>
      </c>
      <c r="H95" s="3249">
        <f t="shared" si="61"/>
        <v>25567</v>
      </c>
      <c r="I95" s="3222">
        <v>0</v>
      </c>
      <c r="J95" s="3222">
        <v>0</v>
      </c>
      <c r="K95" s="3222">
        <v>0</v>
      </c>
      <c r="L95" s="3222">
        <v>0</v>
      </c>
      <c r="M95" s="3250">
        <f t="shared" si="61"/>
        <v>79278</v>
      </c>
      <c r="N95" s="3250">
        <f t="shared" si="61"/>
        <v>52423</v>
      </c>
      <c r="O95" s="4463"/>
    </row>
    <row r="96" spans="1:16" ht="15" customHeight="1" thickBot="1">
      <c r="A96" s="4461"/>
      <c r="B96" s="3251" t="s">
        <v>12</v>
      </c>
      <c r="C96" s="4466"/>
      <c r="D96" s="2804">
        <f>E96+F96+G96+H96+I96+J96+K96+L96</f>
        <v>103580</v>
      </c>
      <c r="E96" s="2949">
        <v>24302</v>
      </c>
      <c r="F96" s="3252">
        <v>26855</v>
      </c>
      <c r="G96" s="3252">
        <v>26856</v>
      </c>
      <c r="H96" s="3252">
        <v>25567</v>
      </c>
      <c r="I96" s="3253">
        <v>0</v>
      </c>
      <c r="J96" s="3253">
        <v>0</v>
      </c>
      <c r="K96" s="3253">
        <v>0</v>
      </c>
      <c r="L96" s="3253">
        <v>0</v>
      </c>
      <c r="M96" s="3137">
        <f>SUM(F96:K96)</f>
        <v>79278</v>
      </c>
      <c r="N96" s="3137">
        <f>SUM(G96:L96)</f>
        <v>52423</v>
      </c>
      <c r="O96" s="4464"/>
    </row>
    <row r="97" spans="1:17" ht="25.5" customHeight="1">
      <c r="A97" s="4459" t="s">
        <v>64</v>
      </c>
      <c r="B97" s="3241" t="s">
        <v>476</v>
      </c>
      <c r="C97" s="3159" t="s">
        <v>110</v>
      </c>
      <c r="D97" s="3242"/>
      <c r="E97" s="3243"/>
      <c r="F97" s="3244"/>
      <c r="G97" s="3244"/>
      <c r="H97" s="3244"/>
      <c r="I97" s="3244"/>
      <c r="J97" s="3244"/>
      <c r="K97" s="3244"/>
      <c r="L97" s="3244"/>
      <c r="M97" s="3245"/>
      <c r="N97" s="3245"/>
      <c r="O97" s="4462" t="s">
        <v>330</v>
      </c>
      <c r="Q97" s="3145">
        <f>+N98+N94</f>
        <v>233892</v>
      </c>
    </row>
    <row r="98" spans="1:17" ht="17.25" customHeight="1">
      <c r="A98" s="4460"/>
      <c r="B98" s="2674" t="s">
        <v>10</v>
      </c>
      <c r="C98" s="3246"/>
      <c r="D98" s="3247">
        <f>+D99</f>
        <v>208775</v>
      </c>
      <c r="E98" s="3220">
        <f t="shared" ref="E98:N99" si="62">+E99</f>
        <v>0</v>
      </c>
      <c r="F98" s="3247">
        <f t="shared" si="62"/>
        <v>27306</v>
      </c>
      <c r="G98" s="3247">
        <f t="shared" si="62"/>
        <v>181469</v>
      </c>
      <c r="H98" s="3220">
        <f t="shared" si="62"/>
        <v>0</v>
      </c>
      <c r="I98" s="3220">
        <v>0</v>
      </c>
      <c r="J98" s="3220">
        <v>0</v>
      </c>
      <c r="K98" s="3220">
        <v>0</v>
      </c>
      <c r="L98" s="2842">
        <v>0</v>
      </c>
      <c r="M98" s="3248">
        <f t="shared" si="62"/>
        <v>208775</v>
      </c>
      <c r="N98" s="3248">
        <f t="shared" si="62"/>
        <v>181469</v>
      </c>
      <c r="O98" s="4463"/>
    </row>
    <row r="99" spans="1:17" ht="15.75" customHeight="1">
      <c r="A99" s="4460"/>
      <c r="B99" s="2946" t="s">
        <v>24</v>
      </c>
      <c r="C99" s="4465" t="s">
        <v>475</v>
      </c>
      <c r="D99" s="3249">
        <f>+D100</f>
        <v>208775</v>
      </c>
      <c r="E99" s="3222">
        <f t="shared" si="62"/>
        <v>0</v>
      </c>
      <c r="F99" s="3249">
        <f t="shared" si="62"/>
        <v>27306</v>
      </c>
      <c r="G99" s="3249">
        <f t="shared" si="62"/>
        <v>181469</v>
      </c>
      <c r="H99" s="3222">
        <f t="shared" si="62"/>
        <v>0</v>
      </c>
      <c r="I99" s="3222">
        <v>0</v>
      </c>
      <c r="J99" s="3222">
        <v>0</v>
      </c>
      <c r="K99" s="3222">
        <v>0</v>
      </c>
      <c r="L99" s="3254">
        <v>0</v>
      </c>
      <c r="M99" s="3250">
        <f t="shared" si="62"/>
        <v>208775</v>
      </c>
      <c r="N99" s="3250">
        <f t="shared" si="62"/>
        <v>181469</v>
      </c>
      <c r="O99" s="4463"/>
    </row>
    <row r="100" spans="1:17" ht="15" customHeight="1" thickBot="1">
      <c r="A100" s="4461"/>
      <c r="B100" s="3251" t="s">
        <v>12</v>
      </c>
      <c r="C100" s="4466"/>
      <c r="D100" s="2754">
        <f>E100+F100+G100+H100+I100+J100+K100+L100</f>
        <v>208775</v>
      </c>
      <c r="E100" s="3253">
        <v>0</v>
      </c>
      <c r="F100" s="3252">
        <f>34000-6694</f>
        <v>27306</v>
      </c>
      <c r="G100" s="3252">
        <f>166000+15469</f>
        <v>181469</v>
      </c>
      <c r="H100" s="3253">
        <v>0</v>
      </c>
      <c r="I100" s="3253">
        <v>0</v>
      </c>
      <c r="J100" s="3253">
        <v>0</v>
      </c>
      <c r="K100" s="3253">
        <v>0</v>
      </c>
      <c r="L100" s="3253">
        <v>0</v>
      </c>
      <c r="M100" s="3255">
        <f>SUM(F100:K100)</f>
        <v>208775</v>
      </c>
      <c r="N100" s="3256">
        <f>SUM(G100:L100)</f>
        <v>181469</v>
      </c>
      <c r="O100" s="4464"/>
    </row>
    <row r="101" spans="1:17" ht="30" customHeight="1">
      <c r="A101" s="4488"/>
      <c r="B101" s="4488"/>
      <c r="C101" s="4488"/>
      <c r="D101" s="4488"/>
      <c r="E101" s="4488"/>
      <c r="F101" s="4488"/>
      <c r="G101" s="4488"/>
      <c r="H101" s="4488"/>
      <c r="I101" s="4488"/>
      <c r="J101" s="4488"/>
      <c r="K101" s="4488"/>
      <c r="L101" s="4488"/>
      <c r="M101" s="3257"/>
      <c r="N101" s="4488"/>
      <c r="O101" s="4488"/>
    </row>
    <row r="103" spans="1:17" ht="12.75">
      <c r="B103" s="2882" t="s">
        <v>481</v>
      </c>
      <c r="C103" s="3258"/>
      <c r="D103" s="3258"/>
      <c r="E103" s="3258"/>
      <c r="F103" s="3258"/>
      <c r="G103" s="3258"/>
      <c r="H103" s="3258"/>
      <c r="I103" s="3258"/>
      <c r="J103" s="3258"/>
      <c r="K103" s="3258"/>
      <c r="L103" s="3258"/>
    </row>
    <row r="104" spans="1:17" ht="12.75">
      <c r="B104" s="3260" t="s">
        <v>482</v>
      </c>
      <c r="C104" s="3258"/>
      <c r="D104" s="3261">
        <f t="shared" ref="D104:L104" si="63">D30+D39+D66</f>
        <v>1971431</v>
      </c>
      <c r="E104" s="3261">
        <f t="shared" si="63"/>
        <v>0</v>
      </c>
      <c r="F104" s="3261">
        <f t="shared" si="63"/>
        <v>482232</v>
      </c>
      <c r="G104" s="3261">
        <f t="shared" si="63"/>
        <v>701039</v>
      </c>
      <c r="H104" s="3261">
        <f t="shared" si="63"/>
        <v>627014</v>
      </c>
      <c r="I104" s="3261">
        <f t="shared" si="63"/>
        <v>94942</v>
      </c>
      <c r="J104" s="3261">
        <f t="shared" si="63"/>
        <v>66204</v>
      </c>
      <c r="K104" s="3261">
        <f t="shared" si="63"/>
        <v>0</v>
      </c>
      <c r="L104" s="3261">
        <f t="shared" si="63"/>
        <v>0</v>
      </c>
    </row>
    <row r="105" spans="1:17" ht="12.75">
      <c r="B105" s="3260" t="s">
        <v>483</v>
      </c>
      <c r="C105" s="3258"/>
      <c r="D105" s="3261">
        <f>D77</f>
        <v>4335</v>
      </c>
      <c r="E105" s="3261">
        <v>0</v>
      </c>
      <c r="F105" s="3261">
        <f>F77</f>
        <v>0</v>
      </c>
      <c r="G105" s="3261">
        <f>G77</f>
        <v>4335</v>
      </c>
      <c r="H105" s="3261">
        <f t="shared" ref="H105:L105" si="64">H77</f>
        <v>0</v>
      </c>
      <c r="I105" s="3261">
        <f t="shared" si="64"/>
        <v>0</v>
      </c>
      <c r="J105" s="3261">
        <f t="shared" si="64"/>
        <v>0</v>
      </c>
      <c r="K105" s="3261">
        <f t="shared" si="64"/>
        <v>0</v>
      </c>
      <c r="L105" s="3261">
        <f t="shared" si="64"/>
        <v>0</v>
      </c>
    </row>
    <row r="106" spans="1:17" ht="12.75">
      <c r="B106" s="3260" t="s">
        <v>484</v>
      </c>
      <c r="C106" s="3258"/>
      <c r="D106" s="2887">
        <f>D104+D105</f>
        <v>1975766</v>
      </c>
      <c r="E106" s="2887">
        <f>E104+E105</f>
        <v>0</v>
      </c>
      <c r="F106" s="2887">
        <f t="shared" ref="F106:L106" si="65">F104+F105</f>
        <v>482232</v>
      </c>
      <c r="G106" s="2887">
        <f t="shared" si="65"/>
        <v>705374</v>
      </c>
      <c r="H106" s="2887">
        <f t="shared" si="65"/>
        <v>627014</v>
      </c>
      <c r="I106" s="2887">
        <f t="shared" si="65"/>
        <v>94942</v>
      </c>
      <c r="J106" s="2887">
        <f t="shared" si="65"/>
        <v>66204</v>
      </c>
      <c r="K106" s="2887">
        <f t="shared" si="65"/>
        <v>0</v>
      </c>
      <c r="L106" s="2887">
        <f t="shared" si="65"/>
        <v>0</v>
      </c>
    </row>
    <row r="107" spans="1:17" ht="12.75">
      <c r="B107" s="2889" t="s">
        <v>42</v>
      </c>
      <c r="C107" s="3101"/>
      <c r="D107" s="3102">
        <f t="shared" ref="D107:L107" si="66">D106-D18</f>
        <v>0</v>
      </c>
      <c r="E107" s="3102">
        <f t="shared" si="66"/>
        <v>0</v>
      </c>
      <c r="F107" s="3102">
        <f t="shared" si="66"/>
        <v>0</v>
      </c>
      <c r="G107" s="3102">
        <f t="shared" si="66"/>
        <v>0</v>
      </c>
      <c r="H107" s="3102">
        <f t="shared" si="66"/>
        <v>0</v>
      </c>
      <c r="I107" s="3102">
        <f t="shared" si="66"/>
        <v>0</v>
      </c>
      <c r="J107" s="3102">
        <f t="shared" si="66"/>
        <v>0</v>
      </c>
      <c r="K107" s="3102">
        <f t="shared" si="66"/>
        <v>0</v>
      </c>
      <c r="L107" s="3102">
        <f t="shared" si="66"/>
        <v>0</v>
      </c>
    </row>
  </sheetData>
  <mergeCells count="54">
    <mergeCell ref="M90:M92"/>
    <mergeCell ref="M5:M6"/>
    <mergeCell ref="M18:M23"/>
    <mergeCell ref="M30:M32"/>
    <mergeCell ref="M39:M41"/>
    <mergeCell ref="M48:M52"/>
    <mergeCell ref="A101:L101"/>
    <mergeCell ref="N101:O101"/>
    <mergeCell ref="A4:O4"/>
    <mergeCell ref="B5:B6"/>
    <mergeCell ref="C5:C6"/>
    <mergeCell ref="D5:D6"/>
    <mergeCell ref="O5:O6"/>
    <mergeCell ref="N5:N6"/>
    <mergeCell ref="A24:A32"/>
    <mergeCell ref="O24:O32"/>
    <mergeCell ref="C26:C29"/>
    <mergeCell ref="C31:C32"/>
    <mergeCell ref="N30:N32"/>
    <mergeCell ref="C35:C38"/>
    <mergeCell ref="C40:C41"/>
    <mergeCell ref="A33:A41"/>
    <mergeCell ref="O33:O41"/>
    <mergeCell ref="N39:N41"/>
    <mergeCell ref="A93:A96"/>
    <mergeCell ref="O93:O96"/>
    <mergeCell ref="C95:C96"/>
    <mergeCell ref="O83:O92"/>
    <mergeCell ref="C87:C89"/>
    <mergeCell ref="N90:N92"/>
    <mergeCell ref="C91:C92"/>
    <mergeCell ref="A71:A81"/>
    <mergeCell ref="O71:O81"/>
    <mergeCell ref="N77:N81"/>
    <mergeCell ref="C73:C76"/>
    <mergeCell ref="C78:C81"/>
    <mergeCell ref="M66:M70"/>
    <mergeCell ref="M77:M81"/>
    <mergeCell ref="F5:F6"/>
    <mergeCell ref="G5:L5"/>
    <mergeCell ref="A97:A100"/>
    <mergeCell ref="O97:O100"/>
    <mergeCell ref="C99:C100"/>
    <mergeCell ref="N18:N23"/>
    <mergeCell ref="A53:A70"/>
    <mergeCell ref="A42:A52"/>
    <mergeCell ref="O42:O52"/>
    <mergeCell ref="C44:C47"/>
    <mergeCell ref="C51:C52"/>
    <mergeCell ref="N48:N52"/>
    <mergeCell ref="N66:N70"/>
    <mergeCell ref="C55:C62"/>
    <mergeCell ref="C67:C70"/>
    <mergeCell ref="O53:O70"/>
  </mergeCells>
  <printOptions horizontalCentered="1"/>
  <pageMargins left="0.31496062992125984" right="0.31496062992125984" top="0.59055118110236227" bottom="0.35433070866141736" header="0.31496062992125984" footer="0.11811023622047245"/>
  <pageSetup paperSize="9" scale="69" firstPageNumber="42" orientation="landscape" useFirstPageNumber="1" r:id="rId1"/>
  <headerFooter>
    <oddHeader>&amp;C&amp;"Arial,Kursywa"Wieloletnia prognoza finansowa Województwa Zachodniopomorskiego&amp;"Arial,Normalny"
____________________________________________________________________________________________________________________</oddHeader>
    <oddFooter>&amp;C&amp;9&amp;P</oddFooter>
  </headerFooter>
  <rowBreaks count="1" manualBreakCount="1">
    <brk id="70" max="2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indexed="15"/>
  </sheetPr>
  <dimension ref="A1:S1012"/>
  <sheetViews>
    <sheetView zoomScaleSheetLayoutView="90" workbookViewId="0">
      <pane xSplit="7" ySplit="8" topLeftCell="H38" activePane="bottomRight" state="frozen"/>
      <selection pane="topRight" activeCell="H1" sqref="H1"/>
      <selection pane="bottomLeft" activeCell="A9" sqref="A9"/>
      <selection pane="bottomRight" sqref="A1:XFD1048576"/>
    </sheetView>
  </sheetViews>
  <sheetFormatPr defaultColWidth="9.140625" defaultRowHeight="12.75" outlineLevelCol="1"/>
  <cols>
    <col min="1" max="1" width="13.28515625" style="3316" customWidth="1"/>
    <col min="2" max="2" width="35.85546875" style="3269" customWidth="1"/>
    <col min="3" max="3" width="14.7109375" style="3317" customWidth="1"/>
    <col min="4" max="10" width="12.7109375" style="3269" customWidth="1"/>
    <col min="11" max="11" width="14" style="3269" customWidth="1"/>
    <col min="12" max="12" width="14.42578125" style="3269" hidden="1" customWidth="1"/>
    <col min="13" max="13" width="14.42578125" style="3269" customWidth="1"/>
    <col min="14" max="14" width="7.85546875" style="3269" customWidth="1"/>
    <col min="15" max="15" width="6.140625" style="3269" customWidth="1"/>
    <col min="16" max="16" width="14.85546875" style="3268" bestFit="1" customWidth="1"/>
    <col min="17" max="17" width="11.85546875" style="2665" hidden="1" customWidth="1" outlineLevel="1"/>
    <col min="18" max="18" width="13.28515625" style="2665" hidden="1" customWidth="1" outlineLevel="1"/>
    <col min="19" max="19" width="20.140625" style="3269" customWidth="1" collapsed="1"/>
    <col min="20" max="21" width="9.140625" style="3269"/>
    <col min="22" max="22" width="9.7109375" style="3269" bestFit="1" customWidth="1"/>
    <col min="23" max="16384" width="9.140625" style="3269"/>
  </cols>
  <sheetData>
    <row r="1" spans="1:19" s="3265" customFormat="1" ht="68.25" customHeight="1">
      <c r="A1" s="4496" t="s">
        <v>177</v>
      </c>
      <c r="B1" s="4496"/>
      <c r="C1" s="4496"/>
      <c r="D1" s="4496"/>
      <c r="E1" s="4496"/>
      <c r="F1" s="4496"/>
      <c r="G1" s="4496"/>
      <c r="H1" s="4496"/>
      <c r="I1" s="4496"/>
      <c r="J1" s="4496"/>
      <c r="K1" s="4496"/>
      <c r="L1" s="4496"/>
      <c r="M1" s="4497"/>
      <c r="N1" s="3262"/>
      <c r="O1" s="3262"/>
      <c r="P1" s="3263"/>
      <c r="Q1" s="3264"/>
      <c r="R1" s="3264"/>
    </row>
    <row r="2" spans="1:19" ht="15.75" customHeight="1" thickBot="1">
      <c r="A2" s="3266"/>
      <c r="B2" s="3266"/>
      <c r="C2" s="3266"/>
      <c r="D2" s="3266"/>
      <c r="E2" s="3266"/>
      <c r="F2" s="3266"/>
      <c r="G2" s="3266"/>
      <c r="H2" s="3266"/>
      <c r="I2" s="3266"/>
      <c r="J2" s="3266"/>
      <c r="K2" s="3266"/>
      <c r="L2" s="3267"/>
      <c r="M2" s="3267"/>
      <c r="N2" s="3267"/>
      <c r="O2" s="3267"/>
    </row>
    <row r="3" spans="1:19" ht="34.5" customHeight="1">
      <c r="A3" s="4498" t="s">
        <v>4</v>
      </c>
      <c r="B3" s="4499"/>
      <c r="C3" s="4510" t="s">
        <v>269</v>
      </c>
      <c r="D3" s="4371" t="s">
        <v>625</v>
      </c>
      <c r="E3" s="4373" t="s">
        <v>553</v>
      </c>
      <c r="F3" s="4374"/>
      <c r="G3" s="4374"/>
      <c r="H3" s="4374"/>
      <c r="I3" s="4374"/>
      <c r="J3" s="4375"/>
      <c r="K3" s="4504" t="s">
        <v>3</v>
      </c>
      <c r="L3" s="4506" t="s">
        <v>573</v>
      </c>
      <c r="M3" s="4506" t="s">
        <v>559</v>
      </c>
      <c r="N3" s="3270"/>
      <c r="O3" s="3270"/>
    </row>
    <row r="4" spans="1:19" ht="19.5" customHeight="1">
      <c r="A4" s="4500"/>
      <c r="B4" s="4501"/>
      <c r="C4" s="4511"/>
      <c r="D4" s="4513"/>
      <c r="E4" s="4512" t="s">
        <v>6</v>
      </c>
      <c r="F4" s="4512" t="s">
        <v>214</v>
      </c>
      <c r="G4" s="4512" t="s">
        <v>215</v>
      </c>
      <c r="H4" s="4512" t="s">
        <v>262</v>
      </c>
      <c r="I4" s="4512" t="s">
        <v>263</v>
      </c>
      <c r="J4" s="4512" t="s">
        <v>264</v>
      </c>
      <c r="K4" s="4505"/>
      <c r="L4" s="4507"/>
      <c r="M4" s="4507"/>
      <c r="N4" s="3270"/>
      <c r="O4" s="3270"/>
    </row>
    <row r="5" spans="1:19" ht="18.75" customHeight="1" thickBot="1">
      <c r="A5" s="4502"/>
      <c r="B5" s="4503"/>
      <c r="C5" s="3271" t="s">
        <v>534</v>
      </c>
      <c r="D5" s="4447"/>
      <c r="E5" s="4447"/>
      <c r="F5" s="4447"/>
      <c r="G5" s="4447"/>
      <c r="H5" s="4447"/>
      <c r="I5" s="4447"/>
      <c r="J5" s="4447"/>
      <c r="K5" s="4505"/>
      <c r="L5" s="4507"/>
      <c r="M5" s="4507"/>
      <c r="N5" s="3270"/>
      <c r="O5" s="3270"/>
    </row>
    <row r="6" spans="1:19" s="3277" customFormat="1" ht="14.25" customHeight="1" thickBot="1">
      <c r="A6" s="4508">
        <v>1</v>
      </c>
      <c r="B6" s="4509"/>
      <c r="C6" s="3272">
        <v>2</v>
      </c>
      <c r="D6" s="3273">
        <v>3</v>
      </c>
      <c r="E6" s="3273">
        <v>4</v>
      </c>
      <c r="F6" s="3273">
        <v>5</v>
      </c>
      <c r="G6" s="3273">
        <v>6</v>
      </c>
      <c r="H6" s="3273">
        <v>7</v>
      </c>
      <c r="I6" s="3273">
        <v>8</v>
      </c>
      <c r="J6" s="3273">
        <v>9</v>
      </c>
      <c r="K6" s="3273">
        <v>10</v>
      </c>
      <c r="L6" s="3274">
        <v>11</v>
      </c>
      <c r="M6" s="3274">
        <v>11</v>
      </c>
      <c r="N6" s="3275"/>
      <c r="O6" s="3275"/>
      <c r="P6" s="3276"/>
      <c r="Q6" s="2803"/>
      <c r="R6" s="2803"/>
    </row>
    <row r="7" spans="1:19" s="3283" customFormat="1" ht="24.75" customHeight="1" thickBot="1">
      <c r="A7" s="4542" t="s">
        <v>178</v>
      </c>
      <c r="B7" s="4543"/>
      <c r="C7" s="3278">
        <f>'Tab. 6A -Drogi'!E35+'Tab. 6B Polit społ i rozwój prz'!E45+'Tab. 6B Polit społ i rozwój prz'!E86+'Tab. 6B Polit społ i rozwój prz'!E98+'Tab. 6B Polit społ i rozwój prz'!E123+'Tab. 6B Polit społ i rozwój prz'!E136+'Tab. 6B Polit społ i rozwój prz'!E148+'Tab. 6B Polit społ i rozwój prz'!E158+'Tab. 6B Polit społ i rozwój prz'!E176+'Tab. 6B Polit społ i rozwój prz'!E188+'Tab. 6B Polit społ i rozwój prz'!E221+'Tab. 6B Polit społ i rozwój prz'!E239+'Tab. 6B Polit społ i rozwój prz'!E254+'Tab. 6E - Administracja'!E94-'Tab. 6E - Administracja'!E102+'Tab. 6E - Administracja'!E124+'Tab. 6E - Administracja'!E138+'Tab. 6G - Roln i ochrona środ.'!E69+'Tab. 6G - Roln i ochrona środ.'!E78+'Tab. 6G - Roln i ochrona środ.'!E87+'Tab. 6G - Roln i ochrona środ.'!E96+'Tab. 6H - Kultura fiz. i turyst'!E26+'Tab. 6H - Kultura fiz. i turyst'!E38+'Tab. 6H - Kultura fiz. i turyst'!E50+'Tab. 6H - Kultura fiz. i turyst'!E62+'Tab. 6H - Kultura fiz. i turyst'!E71+'Tab. 6H - Kultura fiz. i turyst'!E80+'Tab. 6H - Kultura fiz. i turyst'!E89+'Tab. 6B Polit społ i rozwój prz'!E110-'Tab. 6B Polit społ i rozwój prz'!E114</f>
        <v>78844076</v>
      </c>
      <c r="D7" s="3278">
        <f>'Tab. 6A -Drogi'!F35+'Tab. 6B Polit społ i rozwój prz'!F45+'Tab. 6B Polit społ i rozwój prz'!F86+'Tab. 6B Polit społ i rozwój prz'!F98+'Tab. 6B Polit społ i rozwój prz'!F123+'Tab. 6B Polit społ i rozwój prz'!F136+'Tab. 6B Polit społ i rozwój prz'!F148+'Tab. 6B Polit społ i rozwój prz'!F158+'Tab. 6B Polit społ i rozwój prz'!F176+'Tab. 6B Polit społ i rozwój prz'!F188+'Tab. 6B Polit społ i rozwój prz'!F221+'Tab. 6B Polit społ i rozwój prz'!F239+'Tab. 6B Polit społ i rozwój prz'!F254+'Tab. 6E - Administracja'!F94-'Tab. 6E - Administracja'!F102+'Tab. 6E - Administracja'!F124+'Tab. 6E - Administracja'!F138+'Tab. 6G - Roln i ochrona środ.'!F69+'Tab. 6G - Roln i ochrona środ.'!F78+'Tab. 6G - Roln i ochrona środ.'!F87+'Tab. 6G - Roln i ochrona środ.'!F96+'Tab. 6H - Kultura fiz. i turyst'!F26+'Tab. 6H - Kultura fiz. i turyst'!F38+'Tab. 6H - Kultura fiz. i turyst'!F50+'Tab. 6H - Kultura fiz. i turyst'!F62+'Tab. 6H - Kultura fiz. i turyst'!F71+'Tab. 6H - Kultura fiz. i turyst'!F80+'Tab. 6H - Kultura fiz. i turyst'!F89+'Tab. 6B Polit społ i rozwój prz'!F110-'Tab. 6B Polit społ i rozwój prz'!F114</f>
        <v>252774611</v>
      </c>
      <c r="E7" s="3278">
        <f>'Tab. 6A -Drogi'!G35+'Tab. 6B Polit społ i rozwój prz'!G45+'Tab. 6B Polit społ i rozwój prz'!G86+'Tab. 6B Polit społ i rozwój prz'!G98+'Tab. 6B Polit społ i rozwój prz'!G123+'Tab. 6B Polit społ i rozwój prz'!G136+'Tab. 6B Polit społ i rozwój prz'!G148+'Tab. 6B Polit społ i rozwój prz'!G158+'Tab. 6B Polit społ i rozwój prz'!G176+'Tab. 6B Polit społ i rozwój prz'!G188+'Tab. 6B Polit społ i rozwój prz'!G221+'Tab. 6B Polit społ i rozwój prz'!G239+'Tab. 6B Polit społ i rozwój prz'!G254+'Tab. 6E - Administracja'!G94-'Tab. 6E - Administracja'!G102+'Tab. 6E - Administracja'!G124+'Tab. 6E - Administracja'!G138+'Tab. 6G - Roln i ochrona środ.'!G69+'Tab. 6G - Roln i ochrona środ.'!G78+'Tab. 6G - Roln i ochrona środ.'!G87+'Tab. 6G - Roln i ochrona środ.'!G96+'Tab. 6H - Kultura fiz. i turyst'!G26+'Tab. 6H - Kultura fiz. i turyst'!G38+'Tab. 6H - Kultura fiz. i turyst'!G50+'Tab. 6H - Kultura fiz. i turyst'!G62+'Tab. 6H - Kultura fiz. i turyst'!G71+'Tab. 6H - Kultura fiz. i turyst'!G80+'Tab. 6H - Kultura fiz. i turyst'!G89+'Tab. 6B Polit społ i rozwój prz'!G110-'Tab. 6B Polit społ i rozwój prz'!G114</f>
        <v>555443409</v>
      </c>
      <c r="F7" s="3278">
        <f>'Tab. 6A -Drogi'!H35+'Tab. 6B Polit społ i rozwój prz'!H45+'Tab. 6B Polit społ i rozwój prz'!H86+'Tab. 6B Polit społ i rozwój prz'!H98+'Tab. 6B Polit społ i rozwój prz'!H123+'Tab. 6B Polit społ i rozwój prz'!H136+'Tab. 6B Polit społ i rozwój prz'!H148+'Tab. 6B Polit społ i rozwój prz'!H158+'Tab. 6B Polit społ i rozwój prz'!H176+'Tab. 6B Polit społ i rozwój prz'!H188+'Tab. 6B Polit społ i rozwój prz'!H221+'Tab. 6B Polit społ i rozwój prz'!H239+'Tab. 6B Polit społ i rozwój prz'!H254+'Tab. 6E - Administracja'!H94-'Tab. 6E - Administracja'!H102+'Tab. 6E - Administracja'!H124+'Tab. 6E - Administracja'!H138+'Tab. 6G - Roln i ochrona środ.'!H69+'Tab. 6G - Roln i ochrona środ.'!H78+'Tab. 6G - Roln i ochrona środ.'!H87+'Tab. 6G - Roln i ochrona środ.'!H96+'Tab. 6H - Kultura fiz. i turyst'!H26+'Tab. 6H - Kultura fiz. i turyst'!H38+'Tab. 6H - Kultura fiz. i turyst'!H50+'Tab. 6H - Kultura fiz. i turyst'!H62+'Tab. 6H - Kultura fiz. i turyst'!H71+'Tab. 6H - Kultura fiz. i turyst'!H80+'Tab. 6H - Kultura fiz. i turyst'!H89+'Tab. 6B Polit społ i rozwój prz'!H110-'Tab. 6B Polit społ i rozwój prz'!H114</f>
        <v>198038617</v>
      </c>
      <c r="G7" s="3278">
        <f>'Tab. 6A -Drogi'!I35+'Tab. 6B Polit społ i rozwój prz'!I45+'Tab. 6B Polit społ i rozwój prz'!I86+'Tab. 6B Polit społ i rozwój prz'!I98+'Tab. 6B Polit społ i rozwój prz'!I123+'Tab. 6B Polit społ i rozwój prz'!I136+'Tab. 6B Polit społ i rozwój prz'!I148+'Tab. 6B Polit społ i rozwój prz'!I158+'Tab. 6B Polit społ i rozwój prz'!I176+'Tab. 6B Polit społ i rozwój prz'!I188+'Tab. 6B Polit społ i rozwój prz'!I221+'Tab. 6B Polit społ i rozwój prz'!I239+'Tab. 6B Polit społ i rozwój prz'!I254+'Tab. 6E - Administracja'!I94-'Tab. 6E - Administracja'!I102+'Tab. 6E - Administracja'!I124+'Tab. 6E - Administracja'!I138+'Tab. 6G - Roln i ochrona środ.'!I69+'Tab. 6G - Roln i ochrona środ.'!I78+'Tab. 6G - Roln i ochrona środ.'!I87+'Tab. 6G - Roln i ochrona środ.'!I96+'Tab. 6H - Kultura fiz. i turyst'!I26+'Tab. 6H - Kultura fiz. i turyst'!I38+'Tab. 6H - Kultura fiz. i turyst'!I50+'Tab. 6H - Kultura fiz. i turyst'!I62+'Tab. 6H - Kultura fiz. i turyst'!I71+'Tab. 6H - Kultura fiz. i turyst'!I80+'Tab. 6H - Kultura fiz. i turyst'!I89+'Tab. 6B Polit społ i rozwój prz'!I110-'Tab. 6B Polit społ i rozwój prz'!I114</f>
        <v>87506523</v>
      </c>
      <c r="H7" s="3278">
        <f>'Tab. 6A -Drogi'!J35+'Tab. 6B Polit społ i rozwój prz'!J45+'Tab. 6B Polit społ i rozwój prz'!J86+'Tab. 6B Polit społ i rozwój prz'!J98+'Tab. 6B Polit społ i rozwój prz'!J123+'Tab. 6B Polit społ i rozwój prz'!J136+'Tab. 6B Polit społ i rozwój prz'!J148+'Tab. 6B Polit społ i rozwój prz'!J158+'Tab. 6B Polit społ i rozwój prz'!J176+'Tab. 6B Polit społ i rozwój prz'!J188+'Tab. 6B Polit społ i rozwój prz'!J221+'Tab. 6B Polit społ i rozwój prz'!J239+'Tab. 6B Polit społ i rozwój prz'!J254+'Tab. 6E - Administracja'!J94-'Tab. 6E - Administracja'!J102+'Tab. 6E - Administracja'!J124+'Tab. 6E - Administracja'!J138+'Tab. 6G - Roln i ochrona środ.'!J69+'Tab. 6G - Roln i ochrona środ.'!J78+'Tab. 6G - Roln i ochrona środ.'!J87+'Tab. 6G - Roln i ochrona środ.'!J96+'Tab. 6H - Kultura fiz. i turyst'!J26+'Tab. 6H - Kultura fiz. i turyst'!J38+'Tab. 6H - Kultura fiz. i turyst'!J50+'Tab. 6H - Kultura fiz. i turyst'!J62+'Tab. 6H - Kultura fiz. i turyst'!J71+'Tab. 6H - Kultura fiz. i turyst'!J80+'Tab. 6H - Kultura fiz. i turyst'!J89+'Tab. 6B Polit społ i rozwój prz'!J110-'Tab. 6B Polit społ i rozwój prz'!J114</f>
        <v>37070346</v>
      </c>
      <c r="I7" s="3278">
        <f>'Tab. 6A -Drogi'!K35+'Tab. 6B Polit społ i rozwój prz'!K45+'Tab. 6B Polit społ i rozwój prz'!K86+'Tab. 6B Polit społ i rozwój prz'!K98+'Tab. 6B Polit społ i rozwój prz'!K123+'Tab. 6B Polit społ i rozwój prz'!K136+'Tab. 6B Polit społ i rozwój prz'!K148+'Tab. 6B Polit społ i rozwój prz'!K158+'Tab. 6B Polit społ i rozwój prz'!K176+'Tab. 6B Polit społ i rozwój prz'!K188+'Tab. 6B Polit społ i rozwój prz'!K221+'Tab. 6B Polit społ i rozwój prz'!K239+'Tab. 6B Polit społ i rozwój prz'!K254+'Tab. 6E - Administracja'!K94-'Tab. 6E - Administracja'!K102+'Tab. 6E - Administracja'!K124+'Tab. 6E - Administracja'!K138+'Tab. 6G - Roln i ochrona środ.'!K69+'Tab. 6G - Roln i ochrona środ.'!K78+'Tab. 6G - Roln i ochrona środ.'!K87+'Tab. 6G - Roln i ochrona środ.'!K96+'Tab. 6H - Kultura fiz. i turyst'!K26+'Tab. 6H - Kultura fiz. i turyst'!K38+'Tab. 6H - Kultura fiz. i turyst'!K50+'Tab. 6H - Kultura fiz. i turyst'!K62+'Tab. 6H - Kultura fiz. i turyst'!K71+'Tab. 6H - Kultura fiz. i turyst'!K80+'Tab. 6H - Kultura fiz. i turyst'!K89+'Tab. 6B Polit społ i rozwój prz'!K110-'Tab. 6B Polit społ i rozwój prz'!K114</f>
        <v>35465533</v>
      </c>
      <c r="J7" s="3278">
        <f>'Tab. 6A -Drogi'!L35+'Tab. 6B Polit społ i rozwój prz'!L45+'Tab. 6B Polit społ i rozwój prz'!L86+'Tab. 6B Polit społ i rozwój prz'!L98+'Tab. 6B Polit społ i rozwój prz'!L123+'Tab. 6B Polit społ i rozwój prz'!L136+'Tab. 6B Polit społ i rozwój prz'!L148+'Tab. 6B Polit społ i rozwój prz'!L158+'Tab. 6B Polit społ i rozwój prz'!L176+'Tab. 6B Polit społ i rozwój prz'!L188+'Tab. 6B Polit społ i rozwój prz'!L221+'Tab. 6B Polit społ i rozwój prz'!L239+'Tab. 6B Polit społ i rozwój prz'!L254+'Tab. 6E - Administracja'!L94-'Tab. 6E - Administracja'!L102+'Tab. 6E - Administracja'!L124+'Tab. 6E - Administracja'!L138+'Tab. 6G - Roln i ochrona środ.'!L69+'Tab. 6G - Roln i ochrona środ.'!L78+'Tab. 6G - Roln i ochrona środ.'!L87+'Tab. 6G - Roln i ochrona środ.'!L96+'Tab. 6H - Kultura fiz. i turyst'!L26+'Tab. 6H - Kultura fiz. i turyst'!L38+'Tab. 6H - Kultura fiz. i turyst'!L50+'Tab. 6H - Kultura fiz. i turyst'!L62+'Tab. 6H - Kultura fiz. i turyst'!L71+'Tab. 6H - Kultura fiz. i turyst'!L80+'Tab. 6H - Kultura fiz. i turyst'!L89+'Tab. 6B Polit społ i rozwój prz'!L110-'Tab. 6B Polit społ i rozwój prz'!L114</f>
        <v>33761752</v>
      </c>
      <c r="K7" s="3278">
        <f>C7+D7+E7+F7+G7+H7+I7+J7</f>
        <v>1278904867</v>
      </c>
      <c r="L7" s="3279">
        <f>+D7+E7+F7+G7+H7+I7+J7</f>
        <v>1200060791</v>
      </c>
      <c r="M7" s="3279">
        <f>+E7+F7+G7+H7+I7+J7</f>
        <v>947286180</v>
      </c>
      <c r="N7" s="3280">
        <f>E7/$E$45%</f>
        <v>94.791287578435558</v>
      </c>
      <c r="O7" s="3280">
        <f>E7/$O$48%</f>
        <v>46.422919341373905</v>
      </c>
      <c r="P7" s="3281">
        <f>K7-'[4]projekty UE'!$K$7</f>
        <v>15152880</v>
      </c>
      <c r="Q7" s="3282"/>
      <c r="R7" s="3282"/>
      <c r="S7" s="3282">
        <f>E7-'[4]projekty UE'!$E$7</f>
        <v>1443600</v>
      </c>
    </row>
    <row r="8" spans="1:19" s="3283" customFormat="1" ht="24.75" customHeight="1" thickBot="1">
      <c r="A8" s="4532" t="s">
        <v>179</v>
      </c>
      <c r="B8" s="4533"/>
      <c r="C8" s="3284">
        <f>'Tab. 6A -Drogi'!E43+'Tab. 6B Polit społ i rozwój prz'!E55+'Tab. 6B Polit społ i rozwój prz'!E92+'Tab. 6B Polit społ i rozwój prz'!E104+'Tab. 6B Polit społ i rozwój prz'!E132+'Tab. 6B Polit społ i rozwój prz'!E144+'Tab. 6B Polit społ i rozwój prz'!E154+'Tab. 6B Polit społ i rozwój prz'!E170+'Tab. 6B Polit społ i rozwój prz'!E182+'Tab. 6B Polit społ i rozwój prz'!E200+'Tab. 6B Polit społ i rozwój prz'!E233+'Tab. 6B Polit społ i rozwój prz'!E248+'Tab. 6B Polit społ i rozwój prz'!E259+'Tab. 6E - Administracja'!E115+'Tab. 6E - Administracja'!E134+'Tab. 6E - Administracja'!E147+'Tab. 6G - Roln i ochrona środ.'!E74+'Tab. 6G - Roln i ochrona środ.'!E83+'Tab. 6G - Roln i ochrona środ.'!E92+'Tab. 6G - Roln i ochrona środ.'!E101+'Tab. 6H - Kultura fiz. i turyst'!E32+'Tab. 6H - Kultura fiz. i turyst'!E44+'Tab. 6H - Kultura fiz. i turyst'!E56+'Tab. 6H - Kultura fiz. i turyst'!E67+'Tab. 6H - Kultura fiz. i turyst'!E76+'Tab. 6H - Kultura fiz. i turyst'!E85+'Tab. 6H - Kultura fiz. i turyst'!E95+'Tab. 6B Polit społ i rozwój prz'!E117</f>
        <v>57213241</v>
      </c>
      <c r="D8" s="3284">
        <f>'Tab. 6A -Drogi'!F43+'Tab. 6B Polit społ i rozwój prz'!F55+'Tab. 6B Polit społ i rozwój prz'!F92+'Tab. 6B Polit społ i rozwój prz'!F104+'Tab. 6B Polit społ i rozwój prz'!F132+'Tab. 6B Polit społ i rozwój prz'!F144+'Tab. 6B Polit społ i rozwój prz'!F154+'Tab. 6B Polit społ i rozwój prz'!F170+'Tab. 6B Polit społ i rozwój prz'!F182+'Tab. 6B Polit społ i rozwój prz'!F200+'Tab. 6B Polit społ i rozwój prz'!F233+'Tab. 6B Polit społ i rozwój prz'!F248+'Tab. 6B Polit społ i rozwój prz'!F259+'Tab. 6E - Administracja'!F115+'Tab. 6E - Administracja'!F134+'Tab. 6E - Administracja'!F147+'Tab. 6G - Roln i ochrona środ.'!F74+'Tab. 6G - Roln i ochrona środ.'!F83+'Tab. 6G - Roln i ochrona środ.'!F92+'Tab. 6G - Roln i ochrona środ.'!F101+'Tab. 6H - Kultura fiz. i turyst'!F32+'Tab. 6H - Kultura fiz. i turyst'!F44+'Tab. 6H - Kultura fiz. i turyst'!F56+'Tab. 6H - Kultura fiz. i turyst'!F67+'Tab. 6H - Kultura fiz. i turyst'!F76+'Tab. 6H - Kultura fiz. i turyst'!F85+'Tab. 6H - Kultura fiz. i turyst'!F95+'Tab. 6B Polit społ i rozwój prz'!F117</f>
        <v>211886598</v>
      </c>
      <c r="E8" s="3284">
        <f>'Tab. 6A -Drogi'!G43+'Tab. 6B Polit społ i rozwój prz'!G55+'Tab. 6B Polit społ i rozwój prz'!G92+'Tab. 6B Polit społ i rozwój prz'!G104+'Tab. 6B Polit społ i rozwój prz'!G132+'Tab. 6B Polit społ i rozwój prz'!G144+'Tab. 6B Polit społ i rozwój prz'!G154+'Tab. 6B Polit społ i rozwój prz'!G170+'Tab. 6B Polit społ i rozwój prz'!G182+'Tab. 6B Polit społ i rozwój prz'!G200+'Tab. 6B Polit społ i rozwój prz'!G233+'Tab. 6B Polit społ i rozwój prz'!G248+'Tab. 6B Polit społ i rozwój prz'!G259+'Tab. 6E - Administracja'!G115+'Tab. 6E - Administracja'!G134+'Tab. 6E - Administracja'!G147+'Tab. 6G - Roln i ochrona środ.'!G74+'Tab. 6G - Roln i ochrona środ.'!G83+'Tab. 6G - Roln i ochrona środ.'!G92+'Tab. 6G - Roln i ochrona środ.'!G101+'Tab. 6H - Kultura fiz. i turyst'!G32+'Tab. 6H - Kultura fiz. i turyst'!G44+'Tab. 6H - Kultura fiz. i turyst'!G56+'Tab. 6H - Kultura fiz. i turyst'!G67+'Tab. 6H - Kultura fiz. i turyst'!G76+'Tab. 6H - Kultura fiz. i turyst'!G85+'Tab. 6H - Kultura fiz. i turyst'!G95+'Tab. 6B Polit społ i rozwój prz'!G117</f>
        <v>477598762</v>
      </c>
      <c r="F8" s="3284">
        <f>'Tab. 6A -Drogi'!H43+'Tab. 6B Polit społ i rozwój prz'!H55+'Tab. 6B Polit społ i rozwój prz'!H92+'Tab. 6B Polit społ i rozwój prz'!H104+'Tab. 6B Polit społ i rozwój prz'!H132+'Tab. 6B Polit społ i rozwój prz'!H144+'Tab. 6B Polit społ i rozwój prz'!H154+'Tab. 6B Polit społ i rozwój prz'!H170+'Tab. 6B Polit społ i rozwój prz'!H182+'Tab. 6B Polit społ i rozwój prz'!H200+'Tab. 6B Polit społ i rozwój prz'!H233+'Tab. 6B Polit społ i rozwój prz'!H248+'Tab. 6B Polit społ i rozwój prz'!H259+'Tab. 6E - Administracja'!H115+'Tab. 6E - Administracja'!H134+'Tab. 6E - Administracja'!H147+'Tab. 6G - Roln i ochrona środ.'!H74+'Tab. 6G - Roln i ochrona środ.'!H83+'Tab. 6G - Roln i ochrona środ.'!H92+'Tab. 6G - Roln i ochrona środ.'!H101+'Tab. 6H - Kultura fiz. i turyst'!H32+'Tab. 6H - Kultura fiz. i turyst'!H44+'Tab. 6H - Kultura fiz. i turyst'!H56+'Tab. 6H - Kultura fiz. i turyst'!H67+'Tab. 6H - Kultura fiz. i turyst'!H76+'Tab. 6H - Kultura fiz. i turyst'!H85+'Tab. 6H - Kultura fiz. i turyst'!H95+'Tab. 6B Polit społ i rozwój prz'!H117</f>
        <v>167227371</v>
      </c>
      <c r="G8" s="3284">
        <f>'Tab. 6A -Drogi'!I43+'Tab. 6B Polit społ i rozwój prz'!I55+'Tab. 6B Polit społ i rozwój prz'!I92+'Tab. 6B Polit społ i rozwój prz'!I104+'Tab. 6B Polit społ i rozwój prz'!I132+'Tab. 6B Polit społ i rozwój prz'!I144+'Tab. 6B Polit społ i rozwój prz'!I154+'Tab. 6B Polit społ i rozwój prz'!I170+'Tab. 6B Polit społ i rozwój prz'!I182+'Tab. 6B Polit społ i rozwój prz'!I200+'Tab. 6B Polit społ i rozwój prz'!I233+'Tab. 6B Polit społ i rozwój prz'!I248+'Tab. 6B Polit społ i rozwój prz'!I259+'Tab. 6E - Administracja'!I115+'Tab. 6E - Administracja'!I134+'Tab. 6E - Administracja'!I147+'Tab. 6G - Roln i ochrona środ.'!I74+'Tab. 6G - Roln i ochrona środ.'!I83+'Tab. 6G - Roln i ochrona środ.'!I92+'Tab. 6G - Roln i ochrona środ.'!I101+'Tab. 6H - Kultura fiz. i turyst'!I32+'Tab. 6H - Kultura fiz. i turyst'!I44+'Tab. 6H - Kultura fiz. i turyst'!I56+'Tab. 6H - Kultura fiz. i turyst'!I67+'Tab. 6H - Kultura fiz. i turyst'!I76+'Tab. 6H - Kultura fiz. i turyst'!I85+'Tab. 6H - Kultura fiz. i turyst'!I95+'Tab. 6B Polit społ i rozwój prz'!I117</f>
        <v>67343024</v>
      </c>
      <c r="H8" s="3284">
        <f>'Tab. 6A -Drogi'!J43+'Tab. 6B Polit społ i rozwój prz'!J55+'Tab. 6B Polit społ i rozwój prz'!J92+'Tab. 6B Polit społ i rozwój prz'!J104+'Tab. 6B Polit społ i rozwój prz'!J132+'Tab. 6B Polit społ i rozwój prz'!J144+'Tab. 6B Polit społ i rozwój prz'!J154+'Tab. 6B Polit społ i rozwój prz'!J170+'Tab. 6B Polit społ i rozwój prz'!J182+'Tab. 6B Polit społ i rozwój prz'!J200+'Tab. 6B Polit społ i rozwój prz'!J233+'Tab. 6B Polit społ i rozwój prz'!J248+'Tab. 6B Polit społ i rozwój prz'!J259+'Tab. 6E - Administracja'!J115+'Tab. 6E - Administracja'!J134+'Tab. 6E - Administracja'!J147+'Tab. 6G - Roln i ochrona środ.'!J74+'Tab. 6G - Roln i ochrona środ.'!J83+'Tab. 6G - Roln i ochrona środ.'!J92+'Tab. 6G - Roln i ochrona środ.'!J101+'Tab. 6H - Kultura fiz. i turyst'!J32+'Tab. 6H - Kultura fiz. i turyst'!J44+'Tab. 6H - Kultura fiz. i turyst'!J56+'Tab. 6H - Kultura fiz. i turyst'!J67+'Tab. 6H - Kultura fiz. i turyst'!J76+'Tab. 6H - Kultura fiz. i turyst'!J85+'Tab. 6H - Kultura fiz. i turyst'!J95+'Tab. 6B Polit społ i rozwój prz'!J117</f>
        <v>31097061</v>
      </c>
      <c r="I8" s="3284">
        <f>'Tab. 6A -Drogi'!K43+'Tab. 6B Polit społ i rozwój prz'!K55+'Tab. 6B Polit społ i rozwój prz'!K92+'Tab. 6B Polit społ i rozwój prz'!K104+'Tab. 6B Polit społ i rozwój prz'!K132+'Tab. 6B Polit społ i rozwój prz'!K144+'Tab. 6B Polit społ i rozwój prz'!K154+'Tab. 6B Polit społ i rozwój prz'!K170+'Tab. 6B Polit społ i rozwój prz'!K182+'Tab. 6B Polit społ i rozwój prz'!K200+'Tab. 6B Polit społ i rozwój prz'!K233+'Tab. 6B Polit społ i rozwój prz'!K248+'Tab. 6B Polit społ i rozwój prz'!K259+'Tab. 6E - Administracja'!K115+'Tab. 6E - Administracja'!K134+'Tab. 6E - Administracja'!K147+'Tab. 6G - Roln i ochrona środ.'!K74+'Tab. 6G - Roln i ochrona środ.'!K83+'Tab. 6G - Roln i ochrona środ.'!K92+'Tab. 6G - Roln i ochrona środ.'!K101+'Tab. 6H - Kultura fiz. i turyst'!K32+'Tab. 6H - Kultura fiz. i turyst'!K44+'Tab. 6H - Kultura fiz. i turyst'!K56+'Tab. 6H - Kultura fiz. i turyst'!K67+'Tab. 6H - Kultura fiz. i turyst'!K76+'Tab. 6H - Kultura fiz. i turyst'!K85+'Tab. 6H - Kultura fiz. i turyst'!K95+'Tab. 6B Polit społ i rozwój prz'!K117</f>
        <v>31003698</v>
      </c>
      <c r="J8" s="3284">
        <f>'Tab. 6A -Drogi'!L43+'Tab. 6B Polit społ i rozwój prz'!L55+'Tab. 6B Polit społ i rozwój prz'!L92+'Tab. 6B Polit społ i rozwój prz'!L104+'Tab. 6B Polit społ i rozwój prz'!L132+'Tab. 6B Polit społ i rozwój prz'!L144+'Tab. 6B Polit społ i rozwój prz'!L154+'Tab. 6B Polit społ i rozwój prz'!L170+'Tab. 6B Polit społ i rozwój prz'!L182+'Tab. 6B Polit społ i rozwój prz'!L200+'Tab. 6B Polit społ i rozwój prz'!L233+'Tab. 6B Polit społ i rozwój prz'!L248+'Tab. 6B Polit społ i rozwój prz'!L259+'Tab. 6E - Administracja'!L115+'Tab. 6E - Administracja'!L134+'Tab. 6E - Administracja'!L147+'Tab. 6G - Roln i ochrona środ.'!L74+'Tab. 6G - Roln i ochrona środ.'!L83+'Tab. 6G - Roln i ochrona środ.'!L92+'Tab. 6G - Roln i ochrona środ.'!L101+'Tab. 6H - Kultura fiz. i turyst'!L32+'Tab. 6H - Kultura fiz. i turyst'!L44+'Tab. 6H - Kultura fiz. i turyst'!L56+'Tab. 6H - Kultura fiz. i turyst'!L67+'Tab. 6H - Kultura fiz. i turyst'!L76+'Tab. 6H - Kultura fiz. i turyst'!L85+'Tab. 6H - Kultura fiz. i turyst'!L95+'Tab. 6B Polit społ i rozwój prz'!L117</f>
        <v>29465472</v>
      </c>
      <c r="K8" s="3284">
        <f>+C8+D8+E8+F8+G8+H8+I8+J8+5028154+11590+2055406+299481</f>
        <v>1080229858</v>
      </c>
      <c r="L8" s="3285" t="s">
        <v>61</v>
      </c>
      <c r="M8" s="3285" t="s">
        <v>61</v>
      </c>
      <c r="N8" s="3286"/>
      <c r="O8" s="3286"/>
      <c r="P8" s="3281">
        <f>K8-'[4]projekty UE'!$K$8</f>
        <v>14970664</v>
      </c>
      <c r="Q8" s="3282"/>
      <c r="R8" s="3282"/>
      <c r="S8" s="3282">
        <f>E8-'[4]projekty UE'!$E$8</f>
        <v>1281731</v>
      </c>
    </row>
    <row r="9" spans="1:19" s="3283" customFormat="1" ht="24.75" hidden="1" customHeight="1" thickBot="1">
      <c r="A9" s="3287" t="s">
        <v>180</v>
      </c>
      <c r="B9" s="3288"/>
      <c r="C9" s="3278"/>
      <c r="D9" s="3278"/>
      <c r="E9" s="3278"/>
      <c r="F9" s="3278"/>
      <c r="G9" s="3278"/>
      <c r="H9" s="3278"/>
      <c r="I9" s="3278"/>
      <c r="J9" s="3278"/>
      <c r="K9" s="3278"/>
      <c r="L9" s="3279">
        <f>+D9+E9+F9+G9+H9+I9+J9</f>
        <v>0</v>
      </c>
      <c r="M9" s="3279">
        <f>+E9+F9+G9+H9+I9+J9</f>
        <v>0</v>
      </c>
      <c r="N9" s="3289"/>
      <c r="O9" s="3289"/>
      <c r="P9" s="3281"/>
      <c r="Q9" s="3282"/>
      <c r="R9" s="3282"/>
      <c r="S9" s="3281"/>
    </row>
    <row r="10" spans="1:19" s="3283" customFormat="1" ht="24.75" hidden="1" customHeight="1" thickBot="1">
      <c r="A10" s="4532" t="s">
        <v>181</v>
      </c>
      <c r="B10" s="4533"/>
      <c r="C10" s="3284"/>
      <c r="D10" s="3284"/>
      <c r="E10" s="3284"/>
      <c r="F10" s="3284"/>
      <c r="G10" s="3284"/>
      <c r="H10" s="3284"/>
      <c r="I10" s="3284"/>
      <c r="J10" s="3284"/>
      <c r="K10" s="3284"/>
      <c r="L10" s="3285" t="s">
        <v>61</v>
      </c>
      <c r="M10" s="3285" t="s">
        <v>61</v>
      </c>
      <c r="N10" s="3286"/>
      <c r="O10" s="3286"/>
      <c r="P10" s="3281"/>
      <c r="Q10" s="3282"/>
      <c r="R10" s="3282"/>
    </row>
    <row r="11" spans="1:19" s="3283" customFormat="1" ht="24.75" hidden="1" customHeight="1" thickBot="1">
      <c r="A11" s="4542" t="s">
        <v>182</v>
      </c>
      <c r="B11" s="4543"/>
      <c r="C11" s="3278"/>
      <c r="D11" s="3278"/>
      <c r="E11" s="3278"/>
      <c r="F11" s="3278"/>
      <c r="G11" s="3278"/>
      <c r="H11" s="3278"/>
      <c r="I11" s="3278"/>
      <c r="J11" s="3278"/>
      <c r="K11" s="3278"/>
      <c r="L11" s="3279">
        <f>+D11+E11+F11+G11+H11+I11+J11</f>
        <v>0</v>
      </c>
      <c r="M11" s="3279">
        <f>+E11+F11+G11+H11+I11+J11</f>
        <v>0</v>
      </c>
      <c r="N11" s="3289"/>
      <c r="O11" s="3289"/>
      <c r="P11" s="3281"/>
      <c r="Q11" s="3282"/>
      <c r="R11" s="3282"/>
    </row>
    <row r="12" spans="1:19" s="3283" customFormat="1" ht="24.75" hidden="1" customHeight="1" thickBot="1">
      <c r="A12" s="4532" t="s">
        <v>183</v>
      </c>
      <c r="B12" s="4533"/>
      <c r="C12" s="3284"/>
      <c r="D12" s="3284"/>
      <c r="E12" s="3284"/>
      <c r="F12" s="3284"/>
      <c r="G12" s="3284"/>
      <c r="H12" s="3284"/>
      <c r="I12" s="3284"/>
      <c r="J12" s="3284"/>
      <c r="K12" s="3284"/>
      <c r="L12" s="3285" t="s">
        <v>61</v>
      </c>
      <c r="M12" s="3285" t="s">
        <v>61</v>
      </c>
      <c r="N12" s="3286"/>
      <c r="O12" s="3286"/>
      <c r="P12" s="3281"/>
      <c r="Q12" s="3282"/>
      <c r="R12" s="3282"/>
    </row>
    <row r="13" spans="1:19" s="3283" customFormat="1" ht="24.75" customHeight="1" thickBot="1">
      <c r="A13" s="4542" t="s">
        <v>184</v>
      </c>
      <c r="B13" s="4543"/>
      <c r="C13" s="3278">
        <f>+'Tab. 6G - Roln i ochrona środ.'!E44</f>
        <v>5960282</v>
      </c>
      <c r="D13" s="3278">
        <f>+'Tab. 6G - Roln i ochrona środ.'!F44</f>
        <v>3712693</v>
      </c>
      <c r="E13" s="3278">
        <f>+'Tab. 6G - Roln i ochrona środ.'!G44</f>
        <v>5500000</v>
      </c>
      <c r="F13" s="3278">
        <f>+'Tab. 6G - Roln i ochrona środ.'!H44</f>
        <v>6500000</v>
      </c>
      <c r="G13" s="3278">
        <f>+'Tab. 6G - Roln i ochrona środ.'!I44</f>
        <v>6000000</v>
      </c>
      <c r="H13" s="3278">
        <f>+'Tab. 6G - Roln i ochrona środ.'!J44</f>
        <v>1883242</v>
      </c>
      <c r="I13" s="3278">
        <f>+'Tab. 6G - Roln i ochrona środ.'!K44</f>
        <v>1607578</v>
      </c>
      <c r="J13" s="3278">
        <f>+'Tab. 6G - Roln i ochrona środ.'!L44</f>
        <v>1547513</v>
      </c>
      <c r="K13" s="3278">
        <f>C13+D13+E13+F13+G13+H13+I13+J13</f>
        <v>32711308</v>
      </c>
      <c r="L13" s="3279">
        <f>+D13+E13+F13+G13+H13+I13+J13</f>
        <v>26751026</v>
      </c>
      <c r="M13" s="3279">
        <f>+E13+F13+G13+H13+I13+J13</f>
        <v>23038333</v>
      </c>
      <c r="N13" s="3280">
        <f>E13/$E$45%</f>
        <v>0.93862322107668683</v>
      </c>
      <c r="O13" s="3280">
        <f>E13/$O$48%</f>
        <v>0.45967969416944959</v>
      </c>
      <c r="P13" s="3281">
        <f>K13-'[4]projekty UE'!$K$13</f>
        <v>0</v>
      </c>
      <c r="Q13" s="3282"/>
      <c r="R13" s="3282"/>
    </row>
    <row r="14" spans="1:19" s="3283" customFormat="1" ht="24.75" customHeight="1" thickBot="1">
      <c r="A14" s="4532" t="s">
        <v>185</v>
      </c>
      <c r="B14" s="4533"/>
      <c r="C14" s="3284">
        <f>+'Tab. 6G - Roln i ochrona środ.'!E50</f>
        <v>5960282</v>
      </c>
      <c r="D14" s="3284">
        <f>+'Tab. 6G - Roln i ochrona środ.'!F50</f>
        <v>3712693</v>
      </c>
      <c r="E14" s="3284">
        <f>+'Tab. 6G - Roln i ochrona środ.'!G50</f>
        <v>5500000</v>
      </c>
      <c r="F14" s="3284">
        <f>+'Tab. 6G - Roln i ochrona środ.'!H50</f>
        <v>6500000</v>
      </c>
      <c r="G14" s="3284">
        <f>+'Tab. 6G - Roln i ochrona środ.'!I50</f>
        <v>6000000</v>
      </c>
      <c r="H14" s="3284">
        <f>+'Tab. 6G - Roln i ochrona środ.'!J50</f>
        <v>1883242</v>
      </c>
      <c r="I14" s="3284">
        <f>+'Tab. 6G - Roln i ochrona środ.'!K50</f>
        <v>1607578</v>
      </c>
      <c r="J14" s="3284">
        <f>+'Tab. 6G - Roln i ochrona środ.'!L50</f>
        <v>1547513</v>
      </c>
      <c r="K14" s="3284">
        <f>+C14+D14+E14+F14+G14+H14+I14+J14</f>
        <v>32711308</v>
      </c>
      <c r="L14" s="3285" t="s">
        <v>61</v>
      </c>
      <c r="M14" s="3285" t="s">
        <v>61</v>
      </c>
      <c r="N14" s="3286"/>
      <c r="O14" s="3286"/>
      <c r="P14" s="3281">
        <f>K14-'[4]projekty UE'!$K$14</f>
        <v>0</v>
      </c>
      <c r="Q14" s="3282"/>
      <c r="R14" s="3282"/>
    </row>
    <row r="15" spans="1:19" s="3283" customFormat="1" ht="24.75" customHeight="1" thickBot="1">
      <c r="A15" s="3287" t="s">
        <v>186</v>
      </c>
      <c r="B15" s="3288"/>
      <c r="C15" s="3278">
        <f>'Tab. 6G - Roln i ochrona środ.'!E58</f>
        <v>1484321</v>
      </c>
      <c r="D15" s="3278">
        <f>'Tab. 6G - Roln i ochrona środ.'!F58</f>
        <v>1170222</v>
      </c>
      <c r="E15" s="3278">
        <f>'Tab. 6G - Roln i ochrona środ.'!G58</f>
        <v>1400000</v>
      </c>
      <c r="F15" s="3278">
        <f>'Tab. 6G - Roln i ochrona środ.'!H58</f>
        <v>1200000</v>
      </c>
      <c r="G15" s="3278">
        <f>'Tab. 6G - Roln i ochrona środ.'!I58</f>
        <v>600000</v>
      </c>
      <c r="H15" s="3278">
        <f>'Tab. 6G - Roln i ochrona środ.'!J58</f>
        <v>50000</v>
      </c>
      <c r="I15" s="3278">
        <f>'Tab. 6G - Roln i ochrona środ.'!K58</f>
        <v>50000</v>
      </c>
      <c r="J15" s="3278">
        <f>'Tab. 6G - Roln i ochrona środ.'!L58</f>
        <v>21779</v>
      </c>
      <c r="K15" s="3278">
        <f>C15+D15+E15+F15+G15+H15+I15+J15</f>
        <v>5976322</v>
      </c>
      <c r="L15" s="3279">
        <f>+D15+E15+F15+G15+H15+I15+J15</f>
        <v>4492001</v>
      </c>
      <c r="M15" s="3279">
        <f>+E15+F15+G15+H15+I15+J15</f>
        <v>3321779</v>
      </c>
      <c r="N15" s="3289"/>
      <c r="O15" s="3289"/>
      <c r="P15" s="3281">
        <f>K15-'[4]projekty UE'!$K$15</f>
        <v>0</v>
      </c>
      <c r="Q15" s="3282"/>
      <c r="R15" s="3282"/>
    </row>
    <row r="16" spans="1:19" s="3283" customFormat="1" ht="24.75" customHeight="1" thickBot="1">
      <c r="A16" s="4532" t="s">
        <v>187</v>
      </c>
      <c r="B16" s="4533"/>
      <c r="C16" s="3284">
        <f>'Tab. 6G - Roln i ochrona środ.'!E63</f>
        <v>1484321</v>
      </c>
      <c r="D16" s="3284">
        <f>'Tab. 6G - Roln i ochrona środ.'!F63</f>
        <v>1170222</v>
      </c>
      <c r="E16" s="3284">
        <f>'Tab. 6G - Roln i ochrona środ.'!G63</f>
        <v>1400000</v>
      </c>
      <c r="F16" s="3284">
        <f>'Tab. 6G - Roln i ochrona środ.'!H63</f>
        <v>1200000</v>
      </c>
      <c r="G16" s="3284">
        <f>'Tab. 6G - Roln i ochrona środ.'!I63</f>
        <v>600000</v>
      </c>
      <c r="H16" s="3284">
        <f>'Tab. 6G - Roln i ochrona środ.'!J63</f>
        <v>50000</v>
      </c>
      <c r="I16" s="3284">
        <f>'Tab. 6G - Roln i ochrona środ.'!K63</f>
        <v>50000</v>
      </c>
      <c r="J16" s="3284">
        <f>'Tab. 6G - Roln i ochrona środ.'!L63</f>
        <v>21779</v>
      </c>
      <c r="K16" s="3284">
        <f>+C16+D16+E16+F16+G16+H16+I16+J16</f>
        <v>5976322</v>
      </c>
      <c r="L16" s="3285" t="s">
        <v>61</v>
      </c>
      <c r="M16" s="3285" t="s">
        <v>61</v>
      </c>
      <c r="N16" s="3286"/>
      <c r="O16" s="3286"/>
      <c r="P16" s="3281">
        <f>K16-'[4]projekty UE'!$K$16</f>
        <v>0</v>
      </c>
      <c r="Q16" s="3282"/>
      <c r="R16" s="3282"/>
    </row>
    <row r="17" spans="1:19" s="3283" customFormat="1" ht="24.75" hidden="1" customHeight="1" thickBot="1">
      <c r="A17" s="4540" t="s">
        <v>188</v>
      </c>
      <c r="B17" s="4541"/>
      <c r="C17" s="3278">
        <f>+'Tab. 6G - Roln i ochrona środ.'!E33</f>
        <v>0</v>
      </c>
      <c r="D17" s="3278">
        <f>+'Tab. 6G - Roln i ochrona środ.'!F33</f>
        <v>0</v>
      </c>
      <c r="E17" s="3278">
        <f>+'Tab. 6G - Roln i ochrona środ.'!G33</f>
        <v>0</v>
      </c>
      <c r="F17" s="3278">
        <f>+'Tab. 6G - Roln i ochrona środ.'!H33</f>
        <v>0</v>
      </c>
      <c r="G17" s="3278">
        <f>+'Tab. 6G - Roln i ochrona środ.'!I33</f>
        <v>0</v>
      </c>
      <c r="H17" s="3278">
        <f>+'Tab. 6G - Roln i ochrona środ.'!J33</f>
        <v>0</v>
      </c>
      <c r="I17" s="3278">
        <f>+'Tab. 6G - Roln i ochrona środ.'!K33</f>
        <v>0</v>
      </c>
      <c r="J17" s="3278">
        <f>+'Tab. 6G - Roln i ochrona środ.'!L33</f>
        <v>0</v>
      </c>
      <c r="K17" s="3278">
        <f>C17+D17+E17+F17+G17+H17+I17+J17</f>
        <v>0</v>
      </c>
      <c r="L17" s="3279">
        <f>+D17+E17+F17+G17+H17+I17+J17</f>
        <v>0</v>
      </c>
      <c r="M17" s="3279">
        <f>+E17+F17+G17+H17+I17+J17</f>
        <v>0</v>
      </c>
      <c r="N17" s="3280">
        <f>E17/$E$45%</f>
        <v>0</v>
      </c>
      <c r="O17" s="3280">
        <f>E17/$O$48%</f>
        <v>0</v>
      </c>
      <c r="P17" s="3281"/>
      <c r="Q17" s="3282"/>
      <c r="R17" s="3282"/>
    </row>
    <row r="18" spans="1:19" s="3283" customFormat="1" ht="24.75" hidden="1" customHeight="1" thickBot="1">
      <c r="A18" s="4532" t="s">
        <v>189</v>
      </c>
      <c r="B18" s="4533"/>
      <c r="C18" s="3284">
        <f>+'Tab. 6G - Roln i ochrona środ.'!E38</f>
        <v>0</v>
      </c>
      <c r="D18" s="3284">
        <f>+'Tab. 6G - Roln i ochrona środ.'!F38</f>
        <v>0</v>
      </c>
      <c r="E18" s="3284">
        <f>+'Tab. 6G - Roln i ochrona środ.'!G38</f>
        <v>0</v>
      </c>
      <c r="F18" s="3284">
        <f>+'Tab. 6G - Roln i ochrona środ.'!H38</f>
        <v>0</v>
      </c>
      <c r="G18" s="3284">
        <f>+'Tab. 6G - Roln i ochrona środ.'!I38</f>
        <v>0</v>
      </c>
      <c r="H18" s="3284">
        <f>+'Tab. 6G - Roln i ochrona środ.'!J38</f>
        <v>0</v>
      </c>
      <c r="I18" s="3284">
        <f>+'Tab. 6G - Roln i ochrona środ.'!K38</f>
        <v>0</v>
      </c>
      <c r="J18" s="3284">
        <f>+'Tab. 6G - Roln i ochrona środ.'!L38</f>
        <v>0</v>
      </c>
      <c r="K18" s="3284">
        <f>+C18+D18+E18+F18+G18+H18+I18+J18</f>
        <v>0</v>
      </c>
      <c r="L18" s="3285" t="s">
        <v>61</v>
      </c>
      <c r="M18" s="3285" t="s">
        <v>61</v>
      </c>
      <c r="N18" s="3286"/>
      <c r="O18" s="3286"/>
      <c r="P18" s="3281"/>
      <c r="Q18" s="3282"/>
      <c r="R18" s="3282"/>
    </row>
    <row r="19" spans="1:19" s="3283" customFormat="1" ht="24.75" customHeight="1" thickBot="1">
      <c r="A19" s="4530" t="s">
        <v>190</v>
      </c>
      <c r="B19" s="4531"/>
      <c r="C19" s="3278">
        <f>+'Tab. 6E - Administracja'!E72+'Tab. 6E - Administracja'!E83+'Tab. 6E - Administracja'!E215+'Tab. 6E - Administracja'!E216+'Tab. 6E - Administracja'!E219+'Tab. 6E - Administracja'!E226</f>
        <v>2763981</v>
      </c>
      <c r="D19" s="3278">
        <f>+'Tab. 6E - Administracja'!F72+'Tab. 6E - Administracja'!F83+'Tab. 6E - Administracja'!F215+'Tab. 6E - Administracja'!F216+'Tab. 6E - Administracja'!F219+'Tab. 6E - Administracja'!F226</f>
        <v>2489362</v>
      </c>
      <c r="E19" s="3278">
        <f>+'Tab. 6E - Administracja'!G72+'Tab. 6E - Administracja'!G83+'Tab. 6E - Administracja'!G215+'Tab. 6E - Administracja'!G216+'Tab. 6E - Administracja'!G219+'Tab. 6E - Administracja'!G226</f>
        <v>6139204</v>
      </c>
      <c r="F19" s="3278">
        <f>+'Tab. 6E - Administracja'!H72+'Tab. 6E - Administracja'!H83+'Tab. 6E - Administracja'!H215+'Tab. 6E - Administracja'!H216+'Tab. 6E - Administracja'!H219+'Tab. 6E - Administracja'!H226</f>
        <v>1500000</v>
      </c>
      <c r="G19" s="3278">
        <f>+'Tab. 6E - Administracja'!I72+'Tab. 6E - Administracja'!I83+'Tab. 6E - Administracja'!I215+'Tab. 6E - Administracja'!I216+'Tab. 6E - Administracja'!I219+'Tab. 6E - Administracja'!I226</f>
        <v>1400000</v>
      </c>
      <c r="H19" s="3278">
        <f>+'Tab. 6E - Administracja'!J72+'Tab. 6E - Administracja'!J83+'Tab. 6E - Administracja'!J215+'Tab. 6E - Administracja'!J216+'Tab. 6E - Administracja'!J219+'Tab. 6E - Administracja'!J226</f>
        <v>0</v>
      </c>
      <c r="I19" s="3278">
        <f>+'Tab. 6E - Administracja'!K72+'Tab. 6E - Administracja'!K83+'Tab. 6E - Administracja'!K215+'Tab. 6E - Administracja'!K216+'Tab. 6E - Administracja'!K219+'Tab. 6E - Administracja'!K226</f>
        <v>0</v>
      </c>
      <c r="J19" s="3278">
        <f>+'Tab. 6E - Administracja'!L72+'Tab. 6E - Administracja'!L83+'Tab. 6E - Administracja'!L215+'Tab. 6E - Administracja'!L216+'Tab. 6E - Administracja'!L219+'Tab. 6E - Administracja'!L226</f>
        <v>0</v>
      </c>
      <c r="K19" s="3278">
        <f>C19+D19+E19+F19+G19+H19+I19+J19</f>
        <v>14292547</v>
      </c>
      <c r="L19" s="3279">
        <f>+D19+E19+F19+G19+H19+I19+J19</f>
        <v>11528566</v>
      </c>
      <c r="M19" s="3279">
        <f>+E19+F19+G19+H19+I19+J19</f>
        <v>9039204</v>
      </c>
      <c r="N19" s="3280">
        <f>E19/$E$45%</f>
        <v>1.0477089878776145</v>
      </c>
      <c r="O19" s="3280">
        <f>E19/$O$48%</f>
        <v>0.51310316675706569</v>
      </c>
      <c r="P19" s="3281">
        <f>K19-'[4]projekty UE'!$K$19</f>
        <v>0</v>
      </c>
      <c r="Q19" s="3282"/>
      <c r="R19" s="3282"/>
    </row>
    <row r="20" spans="1:19" s="3283" customFormat="1" ht="24.75" customHeight="1" thickBot="1">
      <c r="A20" s="4532" t="s">
        <v>191</v>
      </c>
      <c r="B20" s="4533"/>
      <c r="C20" s="3284">
        <f>+'Tab. 6E - Administracja'!E77+'Tab. 6E - Administracja'!E88+'Tab. 6E - Administracja'!E220+'Tab. 6E - Administracja'!E231</f>
        <v>2753370</v>
      </c>
      <c r="D20" s="3284">
        <f>+'Tab. 6E - Administracja'!F77+'Tab. 6E - Administracja'!F88+'Tab. 6E - Administracja'!F220+'Tab. 6E - Administracja'!F231</f>
        <v>2463831</v>
      </c>
      <c r="E20" s="3284">
        <f>+'Tab. 6E - Administracja'!G77+'Tab. 6E - Administracja'!G88+'Tab. 6E - Administracja'!G220+'Tab. 6E - Administracja'!G231</f>
        <v>6075346</v>
      </c>
      <c r="F20" s="3284">
        <f>+'Tab. 6E - Administracja'!H77+'Tab. 6E - Administracja'!H88+'Tab. 6E - Administracja'!H220+'Tab. 6E - Administracja'!H231</f>
        <v>1500000</v>
      </c>
      <c r="G20" s="3284">
        <f>+'Tab. 6E - Administracja'!I77+'Tab. 6E - Administracja'!I88+'Tab. 6E - Administracja'!I220+'Tab. 6E - Administracja'!I231</f>
        <v>1400000</v>
      </c>
      <c r="H20" s="3284">
        <f>+'Tab. 6E - Administracja'!J77+'Tab. 6E - Administracja'!J88+'Tab. 6E - Administracja'!J220+'Tab. 6E - Administracja'!J231</f>
        <v>0</v>
      </c>
      <c r="I20" s="3284">
        <f>+'Tab. 6E - Administracja'!K77+'Tab. 6E - Administracja'!K88+'Tab. 6E - Administracja'!K220+'Tab. 6E - Administracja'!K231</f>
        <v>0</v>
      </c>
      <c r="J20" s="3284">
        <f>+'Tab. 6E - Administracja'!L77+'Tab. 6E - Administracja'!L88+'Tab. 6E - Administracja'!L220+'Tab. 6E - Administracja'!L231</f>
        <v>0</v>
      </c>
      <c r="K20" s="3284">
        <f>+C20+D20+E20+F20+G20+H20+I20+J20</f>
        <v>14192547</v>
      </c>
      <c r="L20" s="3285" t="s">
        <v>61</v>
      </c>
      <c r="M20" s="3285" t="s">
        <v>61</v>
      </c>
      <c r="N20" s="3286"/>
      <c r="O20" s="3286"/>
      <c r="P20" s="3281">
        <f>K20-'[4]projekty UE'!$K$20</f>
        <v>0</v>
      </c>
      <c r="Q20" s="3282"/>
      <c r="R20" s="3282"/>
    </row>
    <row r="21" spans="1:19" s="3283" customFormat="1" ht="24.75" hidden="1" customHeight="1" thickBot="1">
      <c r="A21" s="4530" t="s">
        <v>192</v>
      </c>
      <c r="B21" s="4531"/>
      <c r="C21" s="3278"/>
      <c r="D21" s="3278"/>
      <c r="E21" s="3278"/>
      <c r="F21" s="3278"/>
      <c r="G21" s="3278"/>
      <c r="H21" s="3278"/>
      <c r="I21" s="3278"/>
      <c r="J21" s="3278"/>
      <c r="K21" s="3278">
        <f>C21+D21+E21+F21+G21+H21+I21+J21</f>
        <v>0</v>
      </c>
      <c r="L21" s="3279">
        <f>+D21+E21+F21+G21+H21+I21+J21</f>
        <v>0</v>
      </c>
      <c r="M21" s="3279">
        <f>+E21+F21+G21+H21+I21+J21</f>
        <v>0</v>
      </c>
      <c r="N21" s="3280">
        <f>E21/$E$45%</f>
        <v>0</v>
      </c>
      <c r="O21" s="3280">
        <f>E21/$O$48%</f>
        <v>0</v>
      </c>
      <c r="P21" s="3281"/>
      <c r="Q21" s="3282"/>
      <c r="R21" s="3282"/>
    </row>
    <row r="22" spans="1:19" s="3283" customFormat="1" ht="22.5" hidden="1" customHeight="1" thickBot="1">
      <c r="A22" s="4514" t="s">
        <v>193</v>
      </c>
      <c r="B22" s="4515"/>
      <c r="C22" s="3284"/>
      <c r="D22" s="3284"/>
      <c r="E22" s="3284"/>
      <c r="F22" s="3284"/>
      <c r="G22" s="3284"/>
      <c r="H22" s="3284"/>
      <c r="I22" s="3284"/>
      <c r="J22" s="3284"/>
      <c r="K22" s="3284"/>
      <c r="L22" s="3285" t="s">
        <v>61</v>
      </c>
      <c r="M22" s="3285" t="s">
        <v>61</v>
      </c>
      <c r="N22" s="3286"/>
      <c r="O22" s="3286"/>
      <c r="P22" s="3281"/>
      <c r="Q22" s="3282"/>
      <c r="R22" s="3282"/>
    </row>
    <row r="23" spans="1:19" s="3283" customFormat="1" ht="23.25" customHeight="1" thickBot="1">
      <c r="A23" s="4530" t="s">
        <v>631</v>
      </c>
      <c r="B23" s="4531"/>
      <c r="C23" s="3278">
        <f>'Tab. 6B Polit społ i rozwój prz'!E62+'Tab. 6B Polit społ i rozwój prz'!E74+'Tab. 6B Polit społ i rozwój prz'!E206+'Tab. 6B Polit społ i rozwój prz'!E265+'Tab. 6D - Oświata'!E77</f>
        <v>1759846</v>
      </c>
      <c r="D23" s="3278">
        <f>'Tab. 6B Polit społ i rozwój prz'!F62+'Tab. 6B Polit społ i rozwój prz'!F74+'Tab. 6B Polit społ i rozwój prz'!F206+'Tab. 6B Polit społ i rozwój prz'!F265+'Tab. 6D - Oświata'!F77</f>
        <v>1284123</v>
      </c>
      <c r="E23" s="3278">
        <f>'Tab. 6B Polit społ i rozwój prz'!G62+'Tab. 6B Polit społ i rozwój prz'!G74+'Tab. 6B Polit społ i rozwój prz'!G206+'Tab. 6B Polit społ i rozwój prz'!G265+'Tab. 6D - Oświata'!G77</f>
        <v>3098651</v>
      </c>
      <c r="F23" s="3278">
        <f>'Tab. 6B Polit społ i rozwój prz'!H62+'Tab. 6B Polit społ i rozwój prz'!H74+'Tab. 6B Polit społ i rozwój prz'!H206+'Tab. 6B Polit społ i rozwój prz'!H265+'Tab. 6D - Oświata'!H77</f>
        <v>6425551</v>
      </c>
      <c r="G23" s="3278">
        <f>'Tab. 6B Polit społ i rozwój prz'!I62+'Tab. 6B Polit społ i rozwój prz'!I74+'Tab. 6B Polit społ i rozwój prz'!I206+'Tab. 6B Polit społ i rozwój prz'!I265+'Tab. 6D - Oświata'!I77</f>
        <v>4976540</v>
      </c>
      <c r="H23" s="3278">
        <f>'Tab. 6B Polit społ i rozwój prz'!J62+'Tab. 6B Polit społ i rozwój prz'!J74+'Tab. 6B Polit społ i rozwój prz'!J206+'Tab. 6B Polit społ i rozwój prz'!J265+'Tab. 6D - Oświata'!J77</f>
        <v>4257485</v>
      </c>
      <c r="I23" s="3278">
        <f>'Tab. 6B Polit społ i rozwój prz'!K62+'Tab. 6B Polit społ i rozwój prz'!K74+'Tab. 6B Polit społ i rozwój prz'!K206+'Tab. 6B Polit społ i rozwój prz'!K265+'Tab. 6D - Oświata'!K77</f>
        <v>1323384</v>
      </c>
      <c r="J23" s="3278">
        <f>'Tab. 6B Polit społ i rozwój prz'!L62+'Tab. 6B Polit społ i rozwój prz'!L74+'Tab. 6B Polit społ i rozwój prz'!L206+'Tab. 6B Polit społ i rozwój prz'!L265+'Tab. 6D - Oświata'!L77</f>
        <v>886135</v>
      </c>
      <c r="K23" s="3278">
        <f>C23+D23+E23+F23+G23+H23+I23+J23</f>
        <v>24011715</v>
      </c>
      <c r="L23" s="3279">
        <f>+D23+E23+F23+G23+H23+I23+J23</f>
        <v>22251869</v>
      </c>
      <c r="M23" s="3279">
        <f>+E23+F23+G23+H23+I23+J23</f>
        <v>20967746</v>
      </c>
      <c r="N23" s="3280">
        <f>E23/$E$45%</f>
        <v>0.52881196047499934</v>
      </c>
      <c r="O23" s="3280">
        <f>E23/$O$48%</f>
        <v>0.25897944436688347</v>
      </c>
      <c r="P23" s="3281">
        <f>K23-'[4]projekty UE'!$K$23</f>
        <v>0</v>
      </c>
      <c r="Q23" s="3282"/>
      <c r="R23" s="3282"/>
    </row>
    <row r="24" spans="1:19" s="3283" customFormat="1" ht="25.5" customHeight="1" thickBot="1">
      <c r="A24" s="4532" t="s">
        <v>630</v>
      </c>
      <c r="B24" s="4533"/>
      <c r="C24" s="3284">
        <f>'Tab. 6B Polit społ i rozwój prz'!E68+'Tab. 6B Polit społ i rozwój prz'!E80+'Tab. 6B Polit społ i rozwój prz'!E215+'Tab. 6B Polit społ i rozwój prz'!E277+'Tab. 6D - Oświata'!E82</f>
        <v>1483198</v>
      </c>
      <c r="D24" s="3284">
        <f>'Tab. 6B Polit społ i rozwój prz'!F68+'Tab. 6B Polit społ i rozwój prz'!F80+'Tab. 6B Polit społ i rozwój prz'!F215+'Tab. 6B Polit społ i rozwój prz'!F277+'Tab. 6D - Oświata'!F82</f>
        <v>1082259</v>
      </c>
      <c r="E24" s="3284">
        <f>'Tab. 6B Polit społ i rozwój prz'!G68+'Tab. 6B Polit społ i rozwój prz'!G80+'Tab. 6B Polit społ i rozwój prz'!G215+'Tab. 6B Polit społ i rozwój prz'!G277+'Tab. 6D - Oświata'!G82</f>
        <v>2779532</v>
      </c>
      <c r="F24" s="3284">
        <f>'Tab. 6B Polit społ i rozwój prz'!H68+'Tab. 6B Polit społ i rozwój prz'!H80+'Tab. 6B Polit społ i rozwój prz'!H215+'Tab. 6B Polit społ i rozwój prz'!H277+'Tab. 6D - Oświata'!H82</f>
        <v>6129169</v>
      </c>
      <c r="G24" s="3284">
        <f>'Tab. 6B Polit społ i rozwój prz'!I68+'Tab. 6B Polit społ i rozwój prz'!I80+'Tab. 6B Polit społ i rozwój prz'!I215+'Tab. 6B Polit społ i rozwój prz'!I277+'Tab. 6D - Oświata'!I82</f>
        <v>4680158</v>
      </c>
      <c r="H24" s="3284">
        <f>'Tab. 6B Polit społ i rozwój prz'!J68+'Tab. 6B Polit społ i rozwój prz'!J80+'Tab. 6B Polit społ i rozwój prz'!J215+'Tab. 6B Polit społ i rozwój prz'!J277+'Tab. 6D - Oświata'!J82</f>
        <v>3965766</v>
      </c>
      <c r="I24" s="3284">
        <f>'Tab. 6B Polit społ i rozwój prz'!K68+'Tab. 6B Polit społ i rozwój prz'!K80+'Tab. 6B Polit społ i rozwój prz'!K215+'Tab. 6B Polit społ i rozwój prz'!K277+'Tab. 6D - Oświata'!K82</f>
        <v>1184084</v>
      </c>
      <c r="J24" s="3284">
        <f>'Tab. 6B Polit społ i rozwój prz'!L68+'Tab. 6B Polit społ i rozwój prz'!L80+'Tab. 6B Polit społ i rozwój prz'!L215+'Tab. 6B Polit społ i rozwój prz'!L277+'Tab. 6D - Oświata'!L82</f>
        <v>746835</v>
      </c>
      <c r="K24" s="3284">
        <f>+C24+D24+E24+F24+G24+H24+I24+J24</f>
        <v>22051001</v>
      </c>
      <c r="L24" s="3285" t="s">
        <v>61</v>
      </c>
      <c r="M24" s="3285" t="s">
        <v>61</v>
      </c>
      <c r="N24" s="3286"/>
      <c r="O24" s="3286"/>
      <c r="P24" s="3281">
        <f>K24-'[4]projekty UE'!$K$24</f>
        <v>0</v>
      </c>
      <c r="Q24" s="3282"/>
      <c r="R24" s="3282"/>
    </row>
    <row r="25" spans="1:19" s="3292" customFormat="1" ht="24" customHeight="1" thickBot="1">
      <c r="A25" s="4530" t="s">
        <v>194</v>
      </c>
      <c r="B25" s="4531"/>
      <c r="C25" s="3278">
        <f>C28+C30+C32+C34+C36+C38</f>
        <v>1708118</v>
      </c>
      <c r="D25" s="3278">
        <f t="shared" ref="D25:J25" si="0">D28+D30+D32+D34+D36+D38</f>
        <v>9115116</v>
      </c>
      <c r="E25" s="3278">
        <f t="shared" si="0"/>
        <v>14154638</v>
      </c>
      <c r="F25" s="3278">
        <f t="shared" si="0"/>
        <v>29975283</v>
      </c>
      <c r="G25" s="3278">
        <f t="shared" si="0"/>
        <v>14091374</v>
      </c>
      <c r="H25" s="3278">
        <f t="shared" si="0"/>
        <v>280970</v>
      </c>
      <c r="I25" s="3278">
        <f t="shared" si="0"/>
        <v>430035</v>
      </c>
      <c r="J25" s="3278">
        <f t="shared" si="0"/>
        <v>0</v>
      </c>
      <c r="K25" s="3278">
        <f>C25+D25+E25+F25+G25+H25+I25+J25</f>
        <v>69755534</v>
      </c>
      <c r="L25" s="3279">
        <f>+D25+E25+F25+G25+H25+I25+J25</f>
        <v>68047416</v>
      </c>
      <c r="M25" s="3279">
        <f>+E25+F25+G25+H25+I25+J25</f>
        <v>58932300</v>
      </c>
      <c r="N25" s="3280">
        <f>E25/$E$45%</f>
        <v>2.4156130750426312</v>
      </c>
      <c r="O25" s="3280">
        <f>E25/$O$48%</f>
        <v>1.1830181212580491</v>
      </c>
      <c r="P25" s="3290">
        <f>K25-'[4]projekty UE'!$K$25</f>
        <v>-46352</v>
      </c>
      <c r="Q25" s="3291"/>
      <c r="R25" s="3291"/>
    </row>
    <row r="26" spans="1:19" s="3292" customFormat="1" ht="24" customHeight="1" thickBot="1">
      <c r="A26" s="4514" t="s">
        <v>195</v>
      </c>
      <c r="B26" s="4515"/>
      <c r="C26" s="3284">
        <f>C29+C31+C33+C35+C37+C39</f>
        <v>177003</v>
      </c>
      <c r="D26" s="3284">
        <f t="shared" ref="D26:J26" si="1">D29+D31+D33+D35+D37+D39</f>
        <v>643155</v>
      </c>
      <c r="E26" s="3284">
        <f t="shared" si="1"/>
        <v>8944618</v>
      </c>
      <c r="F26" s="3284">
        <f t="shared" si="1"/>
        <v>12661710</v>
      </c>
      <c r="G26" s="3284">
        <f t="shared" si="1"/>
        <v>16227303</v>
      </c>
      <c r="H26" s="3284">
        <f t="shared" si="1"/>
        <v>5738613</v>
      </c>
      <c r="I26" s="3284">
        <f t="shared" si="1"/>
        <v>280770</v>
      </c>
      <c r="J26" s="3284">
        <f t="shared" si="1"/>
        <v>361035</v>
      </c>
      <c r="K26" s="3284">
        <f>+C26+D26+E26+F26+G26+H26+I26+J26</f>
        <v>45034207</v>
      </c>
      <c r="L26" s="3285" t="s">
        <v>61</v>
      </c>
      <c r="M26" s="3285" t="s">
        <v>61</v>
      </c>
      <c r="N26" s="3286"/>
      <c r="O26" s="3286"/>
      <c r="P26" s="3290">
        <f>K26-'[4]projekty UE'!$K$26</f>
        <v>-8872056</v>
      </c>
      <c r="Q26" s="3291"/>
      <c r="R26" s="3291"/>
      <c r="S26" s="3290"/>
    </row>
    <row r="27" spans="1:19" s="3292" customFormat="1" ht="15">
      <c r="A27" s="4534" t="s">
        <v>150</v>
      </c>
      <c r="B27" s="4535"/>
      <c r="C27" s="3293"/>
      <c r="D27" s="3293"/>
      <c r="E27" s="3293"/>
      <c r="F27" s="3293"/>
      <c r="G27" s="3293"/>
      <c r="H27" s="3293"/>
      <c r="I27" s="3293"/>
      <c r="J27" s="3293"/>
      <c r="K27" s="3293"/>
      <c r="L27" s="3294"/>
      <c r="M27" s="3294"/>
      <c r="N27" s="3295"/>
      <c r="O27" s="3295"/>
      <c r="P27" s="3281"/>
      <c r="Q27" s="3291"/>
      <c r="R27" s="3291"/>
    </row>
    <row r="28" spans="1:19" s="3292" customFormat="1" ht="17.25" customHeight="1">
      <c r="A28" s="4516" t="s">
        <v>438</v>
      </c>
      <c r="B28" s="4517"/>
      <c r="C28" s="3296">
        <f>'Tab. 6A -Drogi'!E339-'Tab. 6A -Drogi'!E420-'Tab. 6A -Drogi'!E435</f>
        <v>415916</v>
      </c>
      <c r="D28" s="3296">
        <f>'Tab. 6A -Drogi'!F339-'Tab. 6A -Drogi'!F420-'Tab. 6A -Drogi'!F435</f>
        <v>7431430</v>
      </c>
      <c r="E28" s="3296">
        <f>'Tab. 6A -Drogi'!G339-'Tab. 6A -Drogi'!G420-'Tab. 6A -Drogi'!G435</f>
        <v>8548314</v>
      </c>
      <c r="F28" s="3296">
        <f>'Tab. 6A -Drogi'!H339-'Tab. 6A -Drogi'!H420-'Tab. 6A -Drogi'!H435</f>
        <v>21129284</v>
      </c>
      <c r="G28" s="3296">
        <f>'Tab. 6A -Drogi'!I339-'Tab. 6A -Drogi'!I420-'Tab. 6A -Drogi'!I435</f>
        <v>8074384</v>
      </c>
      <c r="H28" s="3296">
        <f>'Tab. 6A -Drogi'!J339-'Tab. 6A -Drogi'!J420</f>
        <v>0</v>
      </c>
      <c r="I28" s="3296">
        <f>'Tab. 6A -Drogi'!K339-'Tab. 6A -Drogi'!K420</f>
        <v>0</v>
      </c>
      <c r="J28" s="3296">
        <f>'Tab. 6A -Drogi'!L339-'Tab. 6A -Drogi'!L420</f>
        <v>0</v>
      </c>
      <c r="K28" s="3296">
        <f>C28+D28+E28+F28+G28+H28+I28+J28</f>
        <v>45599328</v>
      </c>
      <c r="L28" s="3297">
        <f>+D28+E28+F28+G28+H28+I28</f>
        <v>45183412</v>
      </c>
      <c r="M28" s="3297">
        <f>+E28+F28+G28+H28+I28+J28</f>
        <v>37751982</v>
      </c>
      <c r="N28" s="3298"/>
      <c r="O28" s="3298"/>
      <c r="P28" s="3281"/>
      <c r="Q28" s="3291"/>
      <c r="R28" s="3291"/>
    </row>
    <row r="29" spans="1:19" s="3292" customFormat="1" ht="17.25" customHeight="1">
      <c r="A29" s="4518" t="s">
        <v>439</v>
      </c>
      <c r="B29" s="4519"/>
      <c r="C29" s="3299">
        <f>'Tab. 6A -Drogi'!E346-'Tab. 6A -Drogi'!E431-'Tab. 6A -Drogi'!E446</f>
        <v>57003</v>
      </c>
      <c r="D29" s="3299">
        <f>'Tab. 6A -Drogi'!F346-'Tab. 6A -Drogi'!F431-'Tab. 6A -Drogi'!F446</f>
        <v>0</v>
      </c>
      <c r="E29" s="3299">
        <f>'Tab. 6A -Drogi'!G346-'Tab. 6A -Drogi'!G431-'Tab. 6A -Drogi'!G446</f>
        <v>6007058</v>
      </c>
      <c r="F29" s="3299">
        <f>'Tab. 6A -Drogi'!H346-'Tab. 6A -Drogi'!H431-'Tab. 6A -Drogi'!H446</f>
        <v>7651532</v>
      </c>
      <c r="G29" s="3299">
        <f>'Tab. 6A -Drogi'!I346-'Tab. 6A -Drogi'!I431-'Tab. 6A -Drogi'!I446</f>
        <v>8479587</v>
      </c>
      <c r="H29" s="3299">
        <f>'Tab. 6A -Drogi'!J346-'Tab. 6A -Drogi'!J431-'Tab. 6A -Drogi'!J446</f>
        <v>1917368</v>
      </c>
      <c r="I29" s="3299">
        <f>'Tab. 6A -Drogi'!K346-'Tab. 6A -Drogi'!K431-'Tab. 6A -Drogi'!K446</f>
        <v>0</v>
      </c>
      <c r="J29" s="3299">
        <f>'Tab. 6A -Drogi'!L346-'Tab. 6A -Drogi'!L431-'Tab. 6A -Drogi'!L446</f>
        <v>0</v>
      </c>
      <c r="K29" s="3299">
        <f>+C29+D29+E29+F29+G29+H29+I29+J29</f>
        <v>24112548</v>
      </c>
      <c r="L29" s="3300" t="s">
        <v>61</v>
      </c>
      <c r="M29" s="3300" t="s">
        <v>61</v>
      </c>
      <c r="N29" s="3301"/>
      <c r="O29" s="3301"/>
      <c r="P29" s="3281"/>
      <c r="Q29" s="3291"/>
      <c r="R29" s="3291"/>
    </row>
    <row r="30" spans="1:19" s="3292" customFormat="1" ht="24" customHeight="1">
      <c r="A30" s="4520" t="s">
        <v>502</v>
      </c>
      <c r="B30" s="4521"/>
      <c r="C30" s="3302">
        <f>'Tab. 6E - Administracja'!E27+'Tab.6I - Planow. przestrz.'!E54+'Tab.6I - Planow. przestrz.'!E72+'Tab. 6E - Administracja'!E39+'Tab. 6E - Administracja'!E60</f>
        <v>364328</v>
      </c>
      <c r="D30" s="3302">
        <f>'Tab. 6E - Administracja'!F27+'Tab.6I - Planow. przestrz.'!F54+'Tab.6I - Planow. przestrz.'!F72+'Tab. 6E - Administracja'!F39+'Tab. 6E - Administracja'!F60</f>
        <v>510124</v>
      </c>
      <c r="E30" s="3302">
        <f>'Tab. 6E - Administracja'!G27+'Tab.6I - Planow. przestrz.'!G54+'Tab.6I - Planow. przestrz.'!G72+'Tab. 6E - Administracja'!G39+'Tab. 6E - Administracja'!G60</f>
        <v>879624</v>
      </c>
      <c r="F30" s="3302">
        <f>'Tab. 6E - Administracja'!H27+'Tab.6I - Planow. przestrz.'!H54+'Tab.6I - Planow. przestrz.'!H72+'Tab. 6E - Administracja'!H39+'Tab. 6E - Administracja'!H60</f>
        <v>622992</v>
      </c>
      <c r="G30" s="3302">
        <f>'Tab. 6E - Administracja'!I27+'Tab.6I - Planow. przestrz.'!I54+'Tab.6I - Planow. przestrz.'!I72+'Tab. 6E - Administracja'!I39+'Tab. 6E - Administracja'!I60</f>
        <v>622879</v>
      </c>
      <c r="H30" s="3302">
        <f>'Tab. 6E - Administracja'!J27+'Tab.6I - Planow. przestrz.'!J54+'Tab.6I - Planow. przestrz.'!J72+'Tab. 6E - Administracja'!J39+'Tab. 6E - Administracja'!J60</f>
        <v>280970</v>
      </c>
      <c r="I30" s="3302">
        <f>'Tab. 6E - Administracja'!K27+'Tab.6I - Planow. przestrz.'!K54+'Tab.6I - Planow. przestrz.'!K72+'Tab. 6E - Administracja'!K39+'Tab. 6E - Administracja'!K60</f>
        <v>430035</v>
      </c>
      <c r="J30" s="3302">
        <f>'Tab. 6E - Administracja'!L27+'Tab.6I - Planow. przestrz.'!L54+'Tab.6I - Planow. przestrz.'!L72+'Tab. 6E - Administracja'!L39+'Tab. 6E - Administracja'!L60</f>
        <v>0</v>
      </c>
      <c r="K30" s="3296">
        <f>C30+D30+E30+F30+G30+H30+I30+J30</f>
        <v>3710952</v>
      </c>
      <c r="L30" s="3297">
        <f>+D30+E30+F30+G30+H30+I30</f>
        <v>3346624</v>
      </c>
      <c r="M30" s="3297">
        <f>+E30+F30+G30+H30+I30+J30</f>
        <v>2836500</v>
      </c>
      <c r="N30" s="3298"/>
      <c r="O30" s="3298"/>
      <c r="P30" s="3281"/>
      <c r="Q30" s="3291"/>
      <c r="R30" s="3291"/>
    </row>
    <row r="31" spans="1:19" s="3292" customFormat="1" ht="24" customHeight="1">
      <c r="A31" s="4522" t="s">
        <v>503</v>
      </c>
      <c r="B31" s="4523"/>
      <c r="C31" s="3299">
        <f>'Tab. 6E - Administracja'!E35+'Tab.6I - Planow. przestrz.'!E66+'Tab.6I - Planow. przestrz.'!E77+'Tab. 6E - Administracja'!E54+'Tab. 6E - Administracja'!E66</f>
        <v>0</v>
      </c>
      <c r="D31" s="3299">
        <f>'Tab. 6E - Administracja'!F35+'Tab.6I - Planow. przestrz.'!F66+'Tab.6I - Planow. przestrz.'!F77+'Tab. 6E - Administracja'!F54+'Tab. 6E - Administracja'!F66</f>
        <v>92447</v>
      </c>
      <c r="E31" s="3299">
        <f>'Tab. 6E - Administracja'!G35+'Tab.6I - Planow. przestrz.'!G66+'Tab.6I - Planow. przestrz.'!G77+'Tab. 6E - Administracja'!G54+'Tab. 6E - Administracja'!G66</f>
        <v>1101249</v>
      </c>
      <c r="F31" s="3299">
        <f>'Tab. 6E - Administracja'!H35+'Tab.6I - Planow. przestrz.'!H66+'Tab.6I - Planow. przestrz.'!H77+'Tab. 6E - Administracja'!H54+'Tab. 6E - Administracja'!H66</f>
        <v>731514</v>
      </c>
      <c r="G31" s="3299">
        <f>'Tab. 6E - Administracja'!I35+'Tab.6I - Planow. przestrz.'!I66+'Tab.6I - Planow. przestrz.'!I77+'Tab. 6E - Administracja'!I54+'Tab. 6E - Administracja'!I66</f>
        <v>608678</v>
      </c>
      <c r="H31" s="3299">
        <f>'Tab. 6E - Administracja'!J35+'Tab.6I - Planow. przestrz.'!J66+'Tab.6I - Planow. przestrz.'!J77+'Tab. 6E - Administracja'!J54+'Tab. 6E - Administracja'!J66</f>
        <v>463457</v>
      </c>
      <c r="I31" s="3299">
        <f>'Tab. 6E - Administracja'!K35+'Tab.6I - Planow. przestrz.'!K66+'Tab.6I - Planow. przestrz.'!K77+'Tab. 6E - Administracja'!K54+'Tab. 6E - Administracja'!K66</f>
        <v>280770</v>
      </c>
      <c r="J31" s="3299">
        <f>'Tab. 6E - Administracja'!L35+'Tab.6I - Planow. przestrz.'!L66+'Tab.6I - Planow. przestrz.'!L77+'Tab. 6E - Administracja'!L54+'Tab. 6E - Administracja'!L66</f>
        <v>361035</v>
      </c>
      <c r="K31" s="3299">
        <f>+C31+D31+E31+F31+G31+H31+I31+J31</f>
        <v>3639150</v>
      </c>
      <c r="L31" s="3300" t="s">
        <v>61</v>
      </c>
      <c r="M31" s="3300" t="s">
        <v>61</v>
      </c>
      <c r="N31" s="3301"/>
      <c r="O31" s="3301"/>
      <c r="P31" s="3281"/>
      <c r="Q31" s="3291"/>
      <c r="R31" s="3291"/>
    </row>
    <row r="32" spans="1:19" s="3292" customFormat="1" ht="24" customHeight="1">
      <c r="A32" s="4520" t="s">
        <v>499</v>
      </c>
      <c r="B32" s="4521"/>
      <c r="C32" s="3302">
        <f>'Tab. 6A -Drogi'!E420+'Tab. 6A -Drogi'!E435</f>
        <v>48374</v>
      </c>
      <c r="D32" s="3302">
        <f>'Tab. 6A -Drogi'!F420+'Tab. 6A -Drogi'!F435</f>
        <v>150710</v>
      </c>
      <c r="E32" s="3302">
        <f>'Tab. 6A -Drogi'!G420+'Tab. 6A -Drogi'!G435</f>
        <v>467096</v>
      </c>
      <c r="F32" s="3302">
        <f>'Tab. 6A -Drogi'!H420+'Tab. 6A -Drogi'!H435</f>
        <v>196235</v>
      </c>
      <c r="G32" s="3302">
        <f>'Tab. 6A -Drogi'!I420+'Tab. 6A -Drogi'!I435</f>
        <v>82172</v>
      </c>
      <c r="H32" s="3302">
        <f>'Tab. 6A -Drogi'!J420+'Tab. 6A -Drogi'!J435</f>
        <v>0</v>
      </c>
      <c r="I32" s="3302">
        <f>'Tab. 6A -Drogi'!K420+'Tab. 6A -Drogi'!K435</f>
        <v>0</v>
      </c>
      <c r="J32" s="3302">
        <f>'Tab. 6A -Drogi'!L420</f>
        <v>0</v>
      </c>
      <c r="K32" s="3296">
        <f>C32+D32+E32+F32+G32+H32+I32+J32</f>
        <v>944587</v>
      </c>
      <c r="L32" s="3297">
        <f>+D32+E32+F32+G32+H32+I32</f>
        <v>896213</v>
      </c>
      <c r="M32" s="3297">
        <f>+E32+F32+G32+H32+I32+J32</f>
        <v>745503</v>
      </c>
      <c r="N32" s="3298"/>
      <c r="O32" s="3298"/>
      <c r="P32" s="3290"/>
      <c r="Q32" s="3291"/>
      <c r="R32" s="3291"/>
      <c r="S32" s="3291"/>
    </row>
    <row r="33" spans="1:18" s="3292" customFormat="1" ht="28.5" customHeight="1">
      <c r="A33" s="4522" t="s">
        <v>500</v>
      </c>
      <c r="B33" s="4523"/>
      <c r="C33" s="3299">
        <f>'Tab. 6A -Drogi'!E431+'Tab. 6A -Drogi'!E446</f>
        <v>0</v>
      </c>
      <c r="D33" s="3299">
        <f>'Tab. 6A -Drogi'!F431+'Tab. 6A -Drogi'!F446</f>
        <v>45734</v>
      </c>
      <c r="E33" s="3299">
        <f>'Tab. 6A -Drogi'!G431+'Tab. 6A -Drogi'!G446</f>
        <v>259104</v>
      </c>
      <c r="F33" s="3299">
        <f>'Tab. 6A -Drogi'!H431+'Tab. 6A -Drogi'!H446</f>
        <v>341780</v>
      </c>
      <c r="G33" s="3299">
        <f>'Tab. 6A -Drogi'!I431+'Tab. 6A -Drogi'!I446</f>
        <v>152504</v>
      </c>
      <c r="H33" s="3299">
        <f>'Tab. 6A -Drogi'!J431+'Tab. 6A -Drogi'!J446</f>
        <v>0</v>
      </c>
      <c r="I33" s="3299">
        <f>'Tab. 6A -Drogi'!K431+'Tab. 6A -Drogi'!K446</f>
        <v>0</v>
      </c>
      <c r="J33" s="3299">
        <f>'Tab. 6A -Drogi'!L431</f>
        <v>0</v>
      </c>
      <c r="K33" s="3299">
        <f>+C33+D33+E33+F33+G33+H33+I33+J33</f>
        <v>799122</v>
      </c>
      <c r="L33" s="3300" t="s">
        <v>61</v>
      </c>
      <c r="M33" s="3300" t="s">
        <v>61</v>
      </c>
      <c r="N33" s="3301"/>
      <c r="O33" s="3301"/>
      <c r="P33" s="3290"/>
      <c r="Q33" s="3291"/>
      <c r="R33" s="3291"/>
    </row>
    <row r="34" spans="1:18" s="3292" customFormat="1" ht="17.25" customHeight="1">
      <c r="A34" s="4524" t="s">
        <v>440</v>
      </c>
      <c r="B34" s="4525"/>
      <c r="C34" s="3302">
        <f>'Tab. 6B Polit społ i rozwój prz'!E25</f>
        <v>53431</v>
      </c>
      <c r="D34" s="3302">
        <f>'Tab. 6B Polit społ i rozwój prz'!F25</f>
        <v>203738</v>
      </c>
      <c r="E34" s="3302">
        <f>'Tab. 6B Polit społ i rozwój prz'!G25</f>
        <v>171857</v>
      </c>
      <c r="F34" s="3302">
        <f>'Tab. 6B Polit społ i rozwój prz'!H25</f>
        <v>53703</v>
      </c>
      <c r="G34" s="3302">
        <f>'Tab. 6B Polit społ i rozwój prz'!I25</f>
        <v>16350</v>
      </c>
      <c r="H34" s="3302">
        <f>'Tab. 6B Polit społ i rozwój prz'!J25</f>
        <v>0</v>
      </c>
      <c r="I34" s="3302">
        <f>'Tab. 6B Polit społ i rozwój prz'!K25</f>
        <v>0</v>
      </c>
      <c r="J34" s="3302">
        <f>'Tab. 6B Polit społ i rozwój prz'!L25</f>
        <v>0</v>
      </c>
      <c r="K34" s="3296">
        <f>C34+D34+E34+F34+G34+H34+I34+J34</f>
        <v>499079</v>
      </c>
      <c r="L34" s="3297">
        <f>+D34+E34+F34+G34+H34+I34</f>
        <v>445648</v>
      </c>
      <c r="M34" s="3297">
        <f>+E34+F34+G34+H34+I34+J34</f>
        <v>241910</v>
      </c>
      <c r="N34" s="3298"/>
      <c r="O34" s="3298"/>
      <c r="P34" s="3290"/>
      <c r="Q34" s="3291"/>
      <c r="R34" s="3291"/>
    </row>
    <row r="35" spans="1:18" s="3292" customFormat="1" ht="17.25" customHeight="1">
      <c r="A35" s="4526" t="s">
        <v>441</v>
      </c>
      <c r="B35" s="4527"/>
      <c r="C35" s="3299">
        <f>'Tab. 6B Polit społ i rozwój prz'!E38</f>
        <v>0</v>
      </c>
      <c r="D35" s="3299">
        <f>'Tab. 6B Polit społ i rozwój prz'!F38</f>
        <v>84212</v>
      </c>
      <c r="E35" s="3299">
        <f>'Tab. 6B Polit społ i rozwój prz'!G38</f>
        <v>168662</v>
      </c>
      <c r="F35" s="3299">
        <f>'Tab. 6B Polit społ i rozwój prz'!H38</f>
        <v>119784</v>
      </c>
      <c r="G35" s="3299">
        <f>'Tab. 6B Polit społ i rozwój prz'!I38</f>
        <v>48159</v>
      </c>
      <c r="H35" s="3299">
        <f>'Tab. 6B Polit społ i rozwój prz'!J38</f>
        <v>0</v>
      </c>
      <c r="I35" s="3299">
        <f>'Tab. 6B Polit społ i rozwój prz'!K38</f>
        <v>0</v>
      </c>
      <c r="J35" s="3299">
        <f>'Tab. 6B Polit społ i rozwój prz'!L38</f>
        <v>0</v>
      </c>
      <c r="K35" s="3299">
        <f>+C35+D35+E35+F35+G35+H35+I35+J35</f>
        <v>420817</v>
      </c>
      <c r="L35" s="3300" t="s">
        <v>61</v>
      </c>
      <c r="M35" s="3300" t="s">
        <v>61</v>
      </c>
      <c r="N35" s="3301"/>
      <c r="O35" s="3301"/>
      <c r="P35" s="3290"/>
      <c r="Q35" s="3291"/>
      <c r="R35" s="3291"/>
    </row>
    <row r="36" spans="1:18" s="3305" customFormat="1" ht="23.25" customHeight="1">
      <c r="A36" s="4520" t="s">
        <v>501</v>
      </c>
      <c r="B36" s="4521"/>
      <c r="C36" s="3302">
        <f>'Tab. 6H - Kultura fiz. i turyst'!E101+'Tab. 6H - Kultura fiz. i turyst'!E114+'Tab. 6H - Kultura fiz. i turyst'!E123+'Tab.6I - Planow. przestrz.'!E25+'Tab.6I - Planow. przestrz.'!E34+'Tab. 6H - Kultura fiz. i turyst'!E154+'Tab. 6H - Kultura fiz. i turyst'!E167+'Tab. 6H - Kultura fiz. i turyst'!E176</f>
        <v>349775</v>
      </c>
      <c r="D36" s="3302">
        <f>'Tab. 6H - Kultura fiz. i turyst'!F101+'Tab. 6H - Kultura fiz. i turyst'!F114+'Tab. 6H - Kultura fiz. i turyst'!F123+'Tab.6I - Planow. przestrz.'!F25+'Tab.6I - Planow. przestrz.'!F34+'Tab. 6H - Kultura fiz. i turyst'!F154+'Tab. 6H - Kultura fiz. i turyst'!F167+'Tab. 6H - Kultura fiz. i turyst'!F176</f>
        <v>789114</v>
      </c>
      <c r="E36" s="3302">
        <f>'Tab. 6H - Kultura fiz. i turyst'!G101+'Tab. 6H - Kultura fiz. i turyst'!G114+'Tab. 6H - Kultura fiz. i turyst'!G123+'Tab.6I - Planow. przestrz.'!G25+'Tab.6I - Planow. przestrz.'!G34+'Tab. 6H - Kultura fiz. i turyst'!G154+'Tab. 6H - Kultura fiz. i turyst'!G167+'Tab. 6H - Kultura fiz. i turyst'!G176</f>
        <v>2281905</v>
      </c>
      <c r="F36" s="3302">
        <f>'Tab. 6H - Kultura fiz. i turyst'!H101+'Tab. 6H - Kultura fiz. i turyst'!H114+'Tab. 6H - Kultura fiz. i turyst'!H123+'Tab.6I - Planow. przestrz.'!H25+'Tab.6I - Planow. przestrz.'!H34+'Tab. 6H - Kultura fiz. i turyst'!H154+'Tab. 6H - Kultura fiz. i turyst'!H167+'Tab. 6H - Kultura fiz. i turyst'!H176</f>
        <v>1573390</v>
      </c>
      <c r="G36" s="3302">
        <f>'Tab. 6H - Kultura fiz. i turyst'!I101+'Tab. 6H - Kultura fiz. i turyst'!I114+'Tab. 6H - Kultura fiz. i turyst'!I123+'Tab.6I - Planow. przestrz.'!I25+'Tab.6I - Planow. przestrz.'!I34+'Tab. 6H - Kultura fiz. i turyst'!I154+'Tab. 6H - Kultura fiz. i turyst'!I167+'Tab. 6H - Kultura fiz. i turyst'!I176</f>
        <v>156028</v>
      </c>
      <c r="H36" s="3302">
        <f>'Tab. 6H - Kultura fiz. i turyst'!J101+'Tab. 6H - Kultura fiz. i turyst'!J114+'Tab. 6H - Kultura fiz. i turyst'!J123+'Tab.6I - Planow. przestrz.'!J25+'Tab.6I - Planow. przestrz.'!J34+'Tab. 6H - Kultura fiz. i turyst'!J154+'Tab. 6H - Kultura fiz. i turyst'!J167+'Tab. 6H - Kultura fiz. i turyst'!J176</f>
        <v>0</v>
      </c>
      <c r="I36" s="3302">
        <f>'Tab. 6H - Kultura fiz. i turyst'!K101+'Tab. 6H - Kultura fiz. i turyst'!K114+'Tab. 6H - Kultura fiz. i turyst'!K123+'Tab.6I - Planow. przestrz.'!K25+'Tab.6I - Planow. przestrz.'!K34+'Tab. 6H - Kultura fiz. i turyst'!K154+'Tab. 6H - Kultura fiz. i turyst'!K167+'Tab. 6H - Kultura fiz. i turyst'!K176</f>
        <v>0</v>
      </c>
      <c r="J36" s="3302">
        <f>'Tab. 6H - Kultura fiz. i turyst'!L101+'Tab. 6H - Kultura fiz. i turyst'!L114+'Tab. 6H - Kultura fiz. i turyst'!L123+'Tab.6I - Planow. przestrz.'!L25+'Tab.6I - Planow. przestrz.'!L34+'Tab. 6H - Kultura fiz. i turyst'!L154+'Tab. 6H - Kultura fiz. i turyst'!L167+'Tab. 6H - Kultura fiz. i turyst'!L176</f>
        <v>0</v>
      </c>
      <c r="K36" s="3296">
        <f>C36+D36+E36+F36+G36+H36+I36+J36</f>
        <v>5150212</v>
      </c>
      <c r="L36" s="3297">
        <f>+D36+E36+F36+G36+H36+I36</f>
        <v>4800437</v>
      </c>
      <c r="M36" s="3297">
        <f>+E36+F36+G36+H36+I36+J36</f>
        <v>4011323</v>
      </c>
      <c r="N36" s="3298"/>
      <c r="O36" s="3298"/>
      <c r="P36" s="3303"/>
      <c r="Q36" s="3304"/>
      <c r="R36" s="3304"/>
    </row>
    <row r="37" spans="1:18" s="3305" customFormat="1" ht="26.25" customHeight="1">
      <c r="A37" s="4522" t="s">
        <v>504</v>
      </c>
      <c r="B37" s="4523"/>
      <c r="C37" s="3299">
        <f>'Tab. 6H - Kultura fiz. i turyst'!E110+'Tab. 6H - Kultura fiz. i turyst'!E119+'Tab. 6H - Kultura fiz. i turyst'!E132+'Tab.6I - Planow. przestrz.'!E30+'Tab.6I - Planow. przestrz.'!E39+'Tab. 6H - Kultura fiz. i turyst'!E163+'Tab. 6H - Kultura fiz. i turyst'!E172+'Tab. 6H - Kultura fiz. i turyst'!E185</f>
        <v>0</v>
      </c>
      <c r="D37" s="3299">
        <f>'Tab. 6H - Kultura fiz. i turyst'!F110+'Tab. 6H - Kultura fiz. i turyst'!F119+'Tab. 6H - Kultura fiz. i turyst'!F132+'Tab.6I - Planow. przestrz.'!F30+'Tab.6I - Planow. przestrz.'!F39+'Tab. 6H - Kultura fiz. i turyst'!F163+'Tab. 6H - Kultura fiz. i turyst'!F172+'Tab. 6H - Kultura fiz. i turyst'!F185</f>
        <v>390762</v>
      </c>
      <c r="E37" s="3299">
        <f>'Tab. 6H - Kultura fiz. i turyst'!G110+'Tab. 6H - Kultura fiz. i turyst'!G119+'Tab. 6H - Kultura fiz. i turyst'!G132+'Tab.6I - Planow. przestrz.'!G30+'Tab.6I - Planow. przestrz.'!G39+'Tab. 6H - Kultura fiz. i turyst'!G163+'Tab. 6H - Kultura fiz. i turyst'!G172+'Tab. 6H - Kultura fiz. i turyst'!G185</f>
        <v>1189142</v>
      </c>
      <c r="F37" s="3299">
        <f>'Tab. 6H - Kultura fiz. i turyst'!H110+'Tab. 6H - Kultura fiz. i turyst'!H119+'Tab. 6H - Kultura fiz. i turyst'!H132+'Tab.6I - Planow. przestrz.'!H30+'Tab.6I - Planow. przestrz.'!H39+'Tab. 6H - Kultura fiz. i turyst'!H163+'Tab. 6H - Kultura fiz. i turyst'!H172+'Tab. 6H - Kultura fiz. i turyst'!H185</f>
        <v>2018092</v>
      </c>
      <c r="G37" s="3299">
        <f>'Tab. 6H - Kultura fiz. i turyst'!I110+'Tab. 6H - Kultura fiz. i turyst'!I119+'Tab. 6H - Kultura fiz. i turyst'!I132+'Tab.6I - Planow. przestrz.'!I30+'Tab.6I - Planow. przestrz.'!I39+'Tab. 6H - Kultura fiz. i turyst'!I163+'Tab. 6H - Kultura fiz. i turyst'!I172+'Tab. 6H - Kultura fiz. i turyst'!I185</f>
        <v>753889</v>
      </c>
      <c r="H37" s="3299">
        <f>'Tab. 6H - Kultura fiz. i turyst'!J110+'Tab. 6H - Kultura fiz. i turyst'!J119+'Tab. 6H - Kultura fiz. i turyst'!J132+'Tab.6I - Planow. przestrz.'!J30+'Tab.6I - Planow. przestrz.'!J39+'Tab. 6H - Kultura fiz. i turyst'!J163+'Tab. 6H - Kultura fiz. i turyst'!J172+'Tab. 6H - Kultura fiz. i turyst'!J185</f>
        <v>10000</v>
      </c>
      <c r="I37" s="3299">
        <f>'Tab. 6H - Kultura fiz. i turyst'!K110+'Tab. 6H - Kultura fiz. i turyst'!K119+'Tab. 6H - Kultura fiz. i turyst'!K132+'Tab.6I - Planow. przestrz.'!K30+'Tab.6I - Planow. przestrz.'!K39+'Tab. 6H - Kultura fiz. i turyst'!K163+'Tab. 6H - Kultura fiz. i turyst'!K172+'Tab. 6H - Kultura fiz. i turyst'!K185</f>
        <v>0</v>
      </c>
      <c r="J37" s="3299">
        <f>'Tab. 6H - Kultura fiz. i turyst'!L110+'Tab. 6H - Kultura fiz. i turyst'!L119+'Tab. 6H - Kultura fiz. i turyst'!L132+'Tab.6I - Planow. przestrz.'!L30+'Tab.6I - Planow. przestrz.'!L39+'Tab. 6H - Kultura fiz. i turyst'!L163+'Tab. 6H - Kultura fiz. i turyst'!L172+'Tab. 6H - Kultura fiz. i turyst'!L185</f>
        <v>0</v>
      </c>
      <c r="K37" s="3299">
        <f>+C37+D37+E37+F37+G37+H37+I37+J37</f>
        <v>4361885</v>
      </c>
      <c r="L37" s="3306" t="s">
        <v>61</v>
      </c>
      <c r="M37" s="3306" t="s">
        <v>61</v>
      </c>
      <c r="N37" s="3307"/>
      <c r="O37" s="3307"/>
      <c r="P37" s="3303"/>
      <c r="Q37" s="3304"/>
      <c r="R37" s="3304"/>
    </row>
    <row r="38" spans="1:18" s="3305" customFormat="1" ht="26.25" customHeight="1">
      <c r="A38" s="4536" t="s">
        <v>590</v>
      </c>
      <c r="B38" s="4537"/>
      <c r="C38" s="3308">
        <f>'Tab. 6H - Kultura fiz. i turyst'!E189+'Tab. 6H - Kultura fiz. i turyst'!E198+'Tab. 6H - Kultura fiz. i turyst'!E210+'Tab. 6H - Kultura fiz. i turyst'!E219</f>
        <v>476294</v>
      </c>
      <c r="D38" s="3308">
        <f>'Tab. 6H - Kultura fiz. i turyst'!F189+'Tab. 6H - Kultura fiz. i turyst'!F198+'Tab. 6H - Kultura fiz. i turyst'!F210+'Tab. 6H - Kultura fiz. i turyst'!F219</f>
        <v>30000</v>
      </c>
      <c r="E38" s="3308">
        <f>'Tab. 6H - Kultura fiz. i turyst'!G189+'Tab. 6H - Kultura fiz. i turyst'!G198+'Tab. 6H - Kultura fiz. i turyst'!G210+'Tab. 6H - Kultura fiz. i turyst'!G219</f>
        <v>1805842</v>
      </c>
      <c r="F38" s="3308">
        <f>'Tab. 6H - Kultura fiz. i turyst'!H189+'Tab. 6H - Kultura fiz. i turyst'!H198+'Tab. 6H - Kultura fiz. i turyst'!H210+'Tab. 6H - Kultura fiz. i turyst'!H219</f>
        <v>6399679</v>
      </c>
      <c r="G38" s="3308">
        <f>'Tab. 6H - Kultura fiz. i turyst'!I189+'Tab. 6H - Kultura fiz. i turyst'!I198+'Tab. 6H - Kultura fiz. i turyst'!I210+'Tab. 6H - Kultura fiz. i turyst'!I219</f>
        <v>5139561</v>
      </c>
      <c r="H38" s="3308">
        <f>'Tab. 6H - Kultura fiz. i turyst'!J189+'Tab. 6H - Kultura fiz. i turyst'!J198+'Tab. 6H - Kultura fiz. i turyst'!J210+'Tab. 6H - Kultura fiz. i turyst'!J219</f>
        <v>0</v>
      </c>
      <c r="I38" s="3308">
        <f>'Tab. 6H - Kultura fiz. i turyst'!K189+'Tab. 6H - Kultura fiz. i turyst'!K198+'Tab. 6H - Kultura fiz. i turyst'!K210+'Tab. 6H - Kultura fiz. i turyst'!K219</f>
        <v>0</v>
      </c>
      <c r="J38" s="3308">
        <f>'Tab. 6H - Kultura fiz. i turyst'!L189+'Tab. 6H - Kultura fiz. i turyst'!L198+'Tab. 6H - Kultura fiz. i turyst'!L210+'Tab. 6H - Kultura fiz. i turyst'!L219</f>
        <v>0</v>
      </c>
      <c r="K38" s="3309">
        <f>C38+D38+E38+F38+G38+H38+I38+J38</f>
        <v>13851376</v>
      </c>
      <c r="L38" s="3310">
        <f>+D38+E38+F38+G38+H38+I38</f>
        <v>13375082</v>
      </c>
      <c r="M38" s="3310">
        <f>+E38+F38+G38+H38+I38+J38</f>
        <v>13345082</v>
      </c>
      <c r="N38" s="3311"/>
      <c r="O38" s="3311"/>
      <c r="P38" s="3303"/>
      <c r="Q38" s="3304"/>
      <c r="R38" s="3304"/>
    </row>
    <row r="39" spans="1:18" s="3305" customFormat="1" ht="26.25" customHeight="1" thickBot="1">
      <c r="A39" s="4538" t="s">
        <v>591</v>
      </c>
      <c r="B39" s="4539"/>
      <c r="C39" s="3312">
        <f>'Tab. 6H - Kultura fiz. i turyst'!E194+'Tab. 6H - Kultura fiz. i turyst'!E204+'Tab. 6H - Kultura fiz. i turyst'!E215+'Tab. 6H - Kultura fiz. i turyst'!E225</f>
        <v>120000</v>
      </c>
      <c r="D39" s="3312">
        <f>'Tab. 6H - Kultura fiz. i turyst'!F194+'Tab. 6H - Kultura fiz. i turyst'!F204+'Tab. 6H - Kultura fiz. i turyst'!F215+'Tab. 6H - Kultura fiz. i turyst'!F225</f>
        <v>30000</v>
      </c>
      <c r="E39" s="3312">
        <f>'Tab. 6H - Kultura fiz. i turyst'!G194+'Tab. 6H - Kultura fiz. i turyst'!G204+'Tab. 6H - Kultura fiz. i turyst'!G215+'Tab. 6H - Kultura fiz. i turyst'!G225</f>
        <v>219403</v>
      </c>
      <c r="F39" s="3312">
        <f>'Tab. 6H - Kultura fiz. i turyst'!H194+'Tab. 6H - Kultura fiz. i turyst'!H204+'Tab. 6H - Kultura fiz. i turyst'!H215+'Tab. 6H - Kultura fiz. i turyst'!H225</f>
        <v>1799008</v>
      </c>
      <c r="G39" s="3312">
        <f>'Tab. 6H - Kultura fiz. i turyst'!I194+'Tab. 6H - Kultura fiz. i turyst'!I204+'Tab. 6H - Kultura fiz. i turyst'!I215+'Tab. 6H - Kultura fiz. i turyst'!I225</f>
        <v>6184486</v>
      </c>
      <c r="H39" s="3312">
        <f>'Tab. 6H - Kultura fiz. i turyst'!J194+'Tab. 6H - Kultura fiz. i turyst'!J204+'Tab. 6H - Kultura fiz. i turyst'!J215+'Tab. 6H - Kultura fiz. i turyst'!J225</f>
        <v>3347788</v>
      </c>
      <c r="I39" s="3312">
        <f>'Tab. 6H - Kultura fiz. i turyst'!K194+'Tab. 6H - Kultura fiz. i turyst'!K204+'Tab. 6H - Kultura fiz. i turyst'!K215+'Tab. 6H - Kultura fiz. i turyst'!K225</f>
        <v>0</v>
      </c>
      <c r="J39" s="3312">
        <f>'Tab. 6H - Kultura fiz. i turyst'!L194+'Tab. 6H - Kultura fiz. i turyst'!L204+'Tab. 6H - Kultura fiz. i turyst'!L215+'Tab. 6H - Kultura fiz. i turyst'!L225</f>
        <v>0</v>
      </c>
      <c r="K39" s="3312">
        <f>+C39+D39+E39+F39+G39+H39+I39+J39</f>
        <v>11700685</v>
      </c>
      <c r="L39" s="3313" t="s">
        <v>61</v>
      </c>
      <c r="M39" s="3313" t="s">
        <v>61</v>
      </c>
      <c r="N39" s="3314"/>
      <c r="O39" s="3314"/>
      <c r="P39" s="3303"/>
      <c r="Q39" s="3304"/>
      <c r="R39" s="3304"/>
    </row>
    <row r="40" spans="1:18" s="3283" customFormat="1" ht="48" customHeight="1" thickBot="1">
      <c r="A40" s="4528" t="s">
        <v>491</v>
      </c>
      <c r="B40" s="4529"/>
      <c r="C40" s="3315">
        <f>+'Tab. 6D - Oświata'!E27+'Tab. 6D - Oświata'!E38+'Tab. 6D - Oświata'!E49</f>
        <v>593887</v>
      </c>
      <c r="D40" s="3315">
        <f>+'Tab. 6D - Oświata'!F27+'Tab. 6D - Oświata'!F38+'Tab. 6D - Oświata'!F49</f>
        <v>144526</v>
      </c>
      <c r="E40" s="3315">
        <f>+'Tab. 6D - Oświata'!G27+'Tab. 6D - Oświata'!G38+'Tab. 6D - Oświata'!G49</f>
        <v>199080</v>
      </c>
      <c r="F40" s="3315">
        <f>+'Tab. 6D - Oświata'!H27+'Tab. 6D - Oświata'!H38+'Tab. 6D - Oświata'!H49</f>
        <v>199084</v>
      </c>
      <c r="G40" s="3315">
        <f>+'Tab. 6D - Oświata'!I27+'Tab. 6D - Oświata'!I38+'Tab. 6D - Oświata'!I49</f>
        <v>199080</v>
      </c>
      <c r="H40" s="3315">
        <f>+'Tab. 6D - Oświata'!J27+'Tab. 6D - Oświata'!J38+'Tab. 6D - Oświata'!J49</f>
        <v>0</v>
      </c>
      <c r="I40" s="3315">
        <f>+'Tab. 6D - Oświata'!K27+'Tab. 6D - Oświata'!K38+'Tab. 6D - Oświata'!K49</f>
        <v>0</v>
      </c>
      <c r="J40" s="3315">
        <f>+'Tab. 6D - Oświata'!L27+'Tab. 6D - Oświata'!L38+'Tab. 6D - Oświata'!L49</f>
        <v>0</v>
      </c>
      <c r="K40" s="3278">
        <f>C40+D40+E40+F40+G40+H40+I40+J40</f>
        <v>1335657</v>
      </c>
      <c r="L40" s="3279">
        <f>+D40+E40+F40+G40+H40+I40+J40</f>
        <v>741770</v>
      </c>
      <c r="M40" s="3279">
        <f>+E40+F40+G40+H40+I40+J40</f>
        <v>597244</v>
      </c>
      <c r="N40" s="3280">
        <f>E40/$E$45%</f>
        <v>3.3974747427626691E-2</v>
      </c>
      <c r="O40" s="3280">
        <f>E40/$O$48%</f>
        <v>1.6638733366409822E-2</v>
      </c>
      <c r="P40" s="3281">
        <f>K40-'[4]projekty UE'!$K$40</f>
        <v>0</v>
      </c>
      <c r="Q40" s="3282"/>
      <c r="R40" s="3282"/>
    </row>
    <row r="41" spans="1:18" s="3283" customFormat="1" ht="48" customHeight="1" thickBot="1">
      <c r="A41" s="4514" t="s">
        <v>492</v>
      </c>
      <c r="B41" s="4515"/>
      <c r="C41" s="3284">
        <f>+'Tab. 6D - Oświata'!E32+'Tab. 6D - Oświata'!E43+'Tab. 6D - Oświata'!E52</f>
        <v>291312</v>
      </c>
      <c r="D41" s="3284">
        <f>+'Tab. 6D - Oświata'!F32+'Tab. 6D - Oświata'!F43+'Tab. 6D - Oświata'!F52</f>
        <v>79154</v>
      </c>
      <c r="E41" s="3284">
        <f>+'Tab. 6D - Oświata'!G32+'Tab. 6D - Oświata'!G43+'Tab. 6D - Oświata'!G52</f>
        <v>95897</v>
      </c>
      <c r="F41" s="3284">
        <f>+'Tab. 6D - Oświata'!H32+'Tab. 6D - Oświata'!H43+'Tab. 6D - Oświata'!H52</f>
        <v>99540</v>
      </c>
      <c r="G41" s="3284">
        <f>+'Tab. 6D - Oświata'!I32+'Tab. 6D - Oświata'!I43+'Tab. 6D - Oświata'!I52</f>
        <v>99540</v>
      </c>
      <c r="H41" s="3284">
        <f>+'Tab. 6D - Oświata'!J32+'Tab. 6D - Oświata'!J43+'Tab. 6D - Oświata'!J52</f>
        <v>29862</v>
      </c>
      <c r="I41" s="3284">
        <f>+'Tab. 6D - Oświata'!K32+'Tab. 6D - Oświata'!K43+'Tab. 6D - Oświata'!K52</f>
        <v>0</v>
      </c>
      <c r="J41" s="3284">
        <f>+'Tab. 6D - Oświata'!L32+'Tab. 6D - Oświata'!L43+'Tab. 6D - Oświata'!L52</f>
        <v>0</v>
      </c>
      <c r="K41" s="3284">
        <f>+C41+D41+E41+F41+G41+H41+I41+J41</f>
        <v>695305</v>
      </c>
      <c r="L41" s="3285" t="s">
        <v>61</v>
      </c>
      <c r="M41" s="3285" t="s">
        <v>61</v>
      </c>
      <c r="N41" s="3286"/>
      <c r="O41" s="3286"/>
      <c r="P41" s="3281"/>
      <c r="Q41" s="3282"/>
      <c r="R41" s="3282"/>
    </row>
    <row r="42" spans="1:18" s="3283" customFormat="1" ht="35.25" customHeight="1" thickBot="1">
      <c r="A42" s="4528" t="s">
        <v>227</v>
      </c>
      <c r="B42" s="4529"/>
      <c r="C42" s="3315">
        <f>'Tab. 6D - Oświata'!E56+'Tab. 6A -Drogi'!E493+'Tab. 6D - Oświata'!E70+'Tab. 6D - Oświata'!E65</f>
        <v>803</v>
      </c>
      <c r="D42" s="3315">
        <f>'Tab. 6D - Oświata'!F56+'Tab. 6A -Drogi'!F493+'Tab. 6D - Oświata'!F70+'Tab. 6D - Oświata'!F65</f>
        <v>20291</v>
      </c>
      <c r="E42" s="3315">
        <f>'Tab. 6D - Oświata'!G56+'Tab. 6A -Drogi'!G493+'Tab. 6D - Oświata'!G70+'Tab. 6D - Oświata'!G65</f>
        <v>29639</v>
      </c>
      <c r="F42" s="3315">
        <f>'Tab. 6D - Oświata'!H56+'Tab. 6A -Drogi'!H493+'Tab. 6D - Oświata'!H70+'Tab. 6D - Oświata'!H65</f>
        <v>0</v>
      </c>
      <c r="G42" s="3315">
        <f>'Tab. 6D - Oświata'!I56+'Tab. 6A -Drogi'!I493+'Tab. 6D - Oświata'!I70+'Tab. 6D - Oświata'!I65</f>
        <v>0</v>
      </c>
      <c r="H42" s="3315">
        <f>'Tab. 6D - Oświata'!J56+'Tab. 6A -Drogi'!J493+'Tab. 6D - Oświata'!J70+'Tab. 6D - Oświata'!J65</f>
        <v>0</v>
      </c>
      <c r="I42" s="3315">
        <f>'Tab. 6D - Oświata'!K56+'Tab. 6A -Drogi'!K493+'Tab. 6D - Oświata'!K70+'Tab. 6D - Oświata'!K65</f>
        <v>0</v>
      </c>
      <c r="J42" s="3315">
        <f>'Tab. 6D - Oświata'!L56+'Tab. 6A -Drogi'!L493+'Tab. 6D - Oświata'!L70+'Tab. 6D - Oświata'!L65</f>
        <v>0</v>
      </c>
      <c r="K42" s="3278">
        <f>C42+D42+E42+F42+G42+H42+I42+J42</f>
        <v>50733</v>
      </c>
      <c r="L42" s="3279">
        <f>+D42+E42+F42+G42+H42+I42+J42</f>
        <v>49930</v>
      </c>
      <c r="M42" s="3279">
        <f>+E42+F42+G42+H42+I42+J42</f>
        <v>29639</v>
      </c>
      <c r="N42" s="3280">
        <f>E42/$E$45%</f>
        <v>5.0581552089985311E-3</v>
      </c>
      <c r="O42" s="3280">
        <f>E42/$O$48%</f>
        <v>2.4771720828160575E-3</v>
      </c>
      <c r="P42" s="3281"/>
      <c r="Q42" s="3282"/>
      <c r="R42" s="3282"/>
    </row>
    <row r="43" spans="1:18" s="3283" customFormat="1" ht="35.25" customHeight="1" thickBot="1">
      <c r="A43" s="4514" t="s">
        <v>228</v>
      </c>
      <c r="B43" s="4515"/>
      <c r="C43" s="3284">
        <f>'Tab. 6D - Oświata'!E59+'Tab. 6A -Drogi'!E498+'Tab. 6D - Oświata'!E73+'Tab. 6D - Oświata'!E66</f>
        <v>803</v>
      </c>
      <c r="D43" s="3284">
        <f>'Tab. 6D - Oświata'!F59+'Tab. 6A -Drogi'!F498+'Tab. 6D - Oświata'!F73+'Tab. 6D - Oświata'!F66</f>
        <v>28048</v>
      </c>
      <c r="E43" s="3284">
        <f>'Tab. 6D - Oświata'!G59+'Tab. 6A -Drogi'!G498+'Tab. 6D - Oświata'!G73+'Tab. 6D - Oświata'!G66</f>
        <v>21882</v>
      </c>
      <c r="F43" s="3284">
        <f>'Tab. 6D - Oświata'!H59+'Tab. 6A -Drogi'!H498+'Tab. 6D - Oświata'!H73+'Tab. 6D - Oświata'!H66</f>
        <v>0</v>
      </c>
      <c r="G43" s="3284">
        <f>'Tab. 6D - Oświata'!I59+'Tab. 6A -Drogi'!I498+'Tab. 6D - Oświata'!I73+'Tab. 6D - Oświata'!I66</f>
        <v>0</v>
      </c>
      <c r="H43" s="3284">
        <f>'Tab. 6D - Oświata'!J59+'Tab. 6A -Drogi'!J498+'Tab. 6D - Oświata'!J73+'Tab. 6D - Oświata'!J66</f>
        <v>0</v>
      </c>
      <c r="I43" s="3284">
        <f>'Tab. 6D - Oświata'!K59+'Tab. 6A -Drogi'!K498+'Tab. 6D - Oświata'!K73+'Tab. 6D - Oświata'!K66</f>
        <v>0</v>
      </c>
      <c r="J43" s="3284">
        <f>'Tab. 6D - Oświata'!L59+'Tab. 6A -Drogi'!L498+'Tab. 6D - Oświata'!L73+'Tab. 6D - Oświata'!L66</f>
        <v>0</v>
      </c>
      <c r="K43" s="3284">
        <f>+C43+D43+E43+F43+G43+H43+I43+J43</f>
        <v>50733</v>
      </c>
      <c r="L43" s="3285" t="s">
        <v>61</v>
      </c>
      <c r="M43" s="3285" t="s">
        <v>61</v>
      </c>
      <c r="N43" s="3286"/>
      <c r="O43" s="3286"/>
      <c r="P43" s="3281"/>
      <c r="Q43" s="3282"/>
      <c r="R43" s="3282"/>
    </row>
    <row r="44" spans="1:18" ht="13.5" thickBot="1"/>
    <row r="45" spans="1:18" s="3283" customFormat="1" ht="21.75" customHeight="1" thickBot="1">
      <c r="A45" s="4530" t="s">
        <v>196</v>
      </c>
      <c r="B45" s="4531"/>
      <c r="C45" s="3278">
        <f t="shared" ref="C45:J45" si="2">C7+C9+C11+C13+C15+C17+C19+C21+C25+C40+C23+C42</f>
        <v>93115314</v>
      </c>
      <c r="D45" s="3278">
        <f t="shared" si="2"/>
        <v>270710944</v>
      </c>
      <c r="E45" s="3278">
        <f t="shared" si="2"/>
        <v>585964621</v>
      </c>
      <c r="F45" s="3278">
        <f t="shared" si="2"/>
        <v>243838535</v>
      </c>
      <c r="G45" s="3278">
        <f t="shared" si="2"/>
        <v>114773517</v>
      </c>
      <c r="H45" s="3278">
        <f t="shared" si="2"/>
        <v>43542043</v>
      </c>
      <c r="I45" s="3278">
        <f t="shared" si="2"/>
        <v>38876530</v>
      </c>
      <c r="J45" s="3278">
        <f t="shared" si="2"/>
        <v>36217179</v>
      </c>
      <c r="K45" s="3278">
        <f>K7+K9+K11+K13+K15+K17+K19+K21+K25+K40+K23+K42</f>
        <v>1427038683</v>
      </c>
      <c r="L45" s="3279">
        <f>+D45+E45+F45+G45+H45+I45+J45</f>
        <v>1333923369</v>
      </c>
      <c r="M45" s="3279">
        <f>+E45+F45+G45+H45+I45+J45</f>
        <v>1063212425</v>
      </c>
      <c r="N45" s="3280">
        <f>E45/$E$45%</f>
        <v>100</v>
      </c>
      <c r="O45" s="3280"/>
      <c r="P45" s="3282"/>
      <c r="Q45" s="3282"/>
      <c r="R45" s="3282"/>
    </row>
    <row r="46" spans="1:18" s="3283" customFormat="1" ht="21.75" customHeight="1" thickBot="1">
      <c r="A46" s="4514" t="s">
        <v>197</v>
      </c>
      <c r="B46" s="4515"/>
      <c r="C46" s="3284">
        <f t="shared" ref="C46:I46" si="3">C8+C10+C12+C14+C16+C18+C20+C22+C26+C41+C24+C43</f>
        <v>69363530</v>
      </c>
      <c r="D46" s="3284">
        <f t="shared" si="3"/>
        <v>221065960</v>
      </c>
      <c r="E46" s="3284">
        <f>E8+E10+E12+E14+E16+E18+E20+E22+E26+E41+E24+E43</f>
        <v>502416037</v>
      </c>
      <c r="F46" s="3284">
        <f t="shared" si="3"/>
        <v>195317790</v>
      </c>
      <c r="G46" s="3284">
        <f t="shared" si="3"/>
        <v>96350025</v>
      </c>
      <c r="H46" s="3284">
        <f t="shared" si="3"/>
        <v>42764544</v>
      </c>
      <c r="I46" s="3284">
        <f t="shared" si="3"/>
        <v>34126130</v>
      </c>
      <c r="J46" s="3284">
        <f>J8+J10+J12+J14+J16+J18+J20+J22+J26+J41+J24+J43</f>
        <v>32142634</v>
      </c>
      <c r="K46" s="3284">
        <f>K8+K10+K12+K14+K16+K18+K20+K22+K26+K41+K24+K43</f>
        <v>1200941281</v>
      </c>
      <c r="L46" s="3285" t="s">
        <v>61</v>
      </c>
      <c r="M46" s="3285" t="s">
        <v>61</v>
      </c>
      <c r="N46" s="3286"/>
      <c r="O46" s="3286"/>
      <c r="P46" s="3282"/>
      <c r="Q46" s="3282"/>
      <c r="R46" s="3282"/>
    </row>
    <row r="48" spans="1:18">
      <c r="A48" s="3269" t="s">
        <v>198</v>
      </c>
      <c r="C48" s="3318">
        <f>+'Tabela nr 6'!B48</f>
        <v>93115314.299999997</v>
      </c>
      <c r="D48" s="3319">
        <f>+'Tabela nr 6'!C48</f>
        <v>270710944</v>
      </c>
      <c r="E48" s="3319">
        <f>+'Tabela nr 6'!D48</f>
        <v>585964621</v>
      </c>
      <c r="F48" s="3319">
        <f>+'Tabela nr 6'!E48</f>
        <v>243838535</v>
      </c>
      <c r="G48" s="3319">
        <f>+'Tabela nr 6'!F48</f>
        <v>114773517</v>
      </c>
      <c r="H48" s="3319">
        <f>+'Tabela nr 6'!G48</f>
        <v>43542043</v>
      </c>
      <c r="I48" s="3319">
        <f>+'Tabela nr 6'!H48</f>
        <v>38876530</v>
      </c>
      <c r="J48" s="3319">
        <f>+'Tabela nr 6'!I48</f>
        <v>36217179</v>
      </c>
      <c r="K48" s="3319">
        <f>+'Tabela nr 6'!J48</f>
        <v>1427038683.3</v>
      </c>
      <c r="L48" s="3319">
        <f>'Tabela nr 6'!K12</f>
        <v>1333923369</v>
      </c>
      <c r="M48" s="3319">
        <f>'Tabela nr 6'!L48</f>
        <v>1063212425</v>
      </c>
      <c r="N48" s="3320">
        <f>E45/O48%</f>
        <v>48.973825050072257</v>
      </c>
      <c r="O48" s="3319">
        <v>1196485307</v>
      </c>
    </row>
    <row r="49" spans="1:18">
      <c r="A49" s="3269" t="s">
        <v>199</v>
      </c>
      <c r="C49" s="3318">
        <f>+'Tabela nr 6'!B49</f>
        <v>69363530</v>
      </c>
      <c r="D49" s="3319">
        <f>+'Tabela nr 6'!C49</f>
        <v>221065960</v>
      </c>
      <c r="E49" s="3319">
        <f>+'Tabela nr 6'!D49</f>
        <v>502416037</v>
      </c>
      <c r="F49" s="3319">
        <f>+'Tabela nr 6'!E49</f>
        <v>195317790</v>
      </c>
      <c r="G49" s="3319">
        <f>+'Tabela nr 6'!F49</f>
        <v>96350025</v>
      </c>
      <c r="H49" s="3319">
        <f>+'Tabela nr 6'!G49</f>
        <v>42764544</v>
      </c>
      <c r="I49" s="3319">
        <f>+'Tabela nr 6'!H49</f>
        <v>34126130</v>
      </c>
      <c r="J49" s="3319">
        <f>+'Tabela nr 6'!I49</f>
        <v>32142634</v>
      </c>
      <c r="K49" s="3319">
        <f>+'Tabela nr 6'!J49</f>
        <v>1200941281</v>
      </c>
      <c r="L49" s="3319"/>
      <c r="M49" s="3319"/>
      <c r="N49" s="3319"/>
      <c r="O49" s="3319"/>
    </row>
    <row r="50" spans="1:18">
      <c r="B50" s="3321" t="s">
        <v>200</v>
      </c>
    </row>
    <row r="51" spans="1:18">
      <c r="B51" s="3322" t="s">
        <v>535</v>
      </c>
      <c r="C51" s="3318">
        <f>+C45-C48</f>
        <v>-0.29999999701976776</v>
      </c>
      <c r="D51" s="3319">
        <f t="shared" ref="D51:M51" si="4">+D45-D48</f>
        <v>0</v>
      </c>
      <c r="E51" s="3319">
        <f t="shared" si="4"/>
        <v>0</v>
      </c>
      <c r="F51" s="3319">
        <f t="shared" si="4"/>
        <v>0</v>
      </c>
      <c r="G51" s="3319">
        <f t="shared" si="4"/>
        <v>0</v>
      </c>
      <c r="H51" s="3319">
        <f t="shared" si="4"/>
        <v>0</v>
      </c>
      <c r="I51" s="3319">
        <f t="shared" si="4"/>
        <v>0</v>
      </c>
      <c r="J51" s="3319">
        <f t="shared" si="4"/>
        <v>0</v>
      </c>
      <c r="K51" s="3319">
        <f>+K45-K48</f>
        <v>-0.29999995231628418</v>
      </c>
      <c r="L51" s="3319">
        <f>+L45-L48</f>
        <v>0</v>
      </c>
      <c r="M51" s="3319">
        <f t="shared" si="4"/>
        <v>0</v>
      </c>
      <c r="N51" s="3319"/>
      <c r="O51" s="3319"/>
    </row>
    <row r="52" spans="1:18">
      <c r="B52" s="3322" t="s">
        <v>536</v>
      </c>
      <c r="C52" s="3318">
        <f>+C46-C49</f>
        <v>0</v>
      </c>
      <c r="D52" s="3319">
        <f t="shared" ref="D52:J52" si="5">+D46-D49</f>
        <v>0</v>
      </c>
      <c r="E52" s="3319">
        <f>+E46-E49</f>
        <v>0</v>
      </c>
      <c r="F52" s="3319">
        <f t="shared" si="5"/>
        <v>0</v>
      </c>
      <c r="G52" s="3319">
        <f t="shared" si="5"/>
        <v>0</v>
      </c>
      <c r="H52" s="3319">
        <f t="shared" si="5"/>
        <v>0</v>
      </c>
      <c r="I52" s="3319">
        <f t="shared" si="5"/>
        <v>0</v>
      </c>
      <c r="J52" s="3319">
        <f t="shared" si="5"/>
        <v>0</v>
      </c>
      <c r="K52" s="3319">
        <f>+K46-K49</f>
        <v>0</v>
      </c>
      <c r="L52" s="3319">
        <v>0</v>
      </c>
      <c r="M52" s="3319">
        <v>0</v>
      </c>
      <c r="N52" s="3319"/>
      <c r="O52" s="3319"/>
    </row>
    <row r="53" spans="1:18">
      <c r="C53" s="3318"/>
      <c r="P53" s="3269"/>
      <c r="Q53" s="3269"/>
      <c r="R53" s="3269"/>
    </row>
    <row r="54" spans="1:18">
      <c r="C54" s="3318"/>
      <c r="P54" s="3269"/>
      <c r="Q54" s="3269"/>
      <c r="R54" s="3269"/>
    </row>
    <row r="55" spans="1:18">
      <c r="A55" s="3323"/>
      <c r="C55" s="3318"/>
      <c r="F55" s="3319"/>
      <c r="P55" s="3269"/>
      <c r="Q55" s="3269"/>
      <c r="R55" s="3269"/>
    </row>
    <row r="56" spans="1:18" ht="23.25" customHeight="1">
      <c r="B56" s="3324"/>
      <c r="C56" s="3318"/>
      <c r="E56" s="3319"/>
      <c r="P56" s="3269"/>
      <c r="Q56" s="3269"/>
      <c r="R56" s="3269"/>
    </row>
    <row r="57" spans="1:18">
      <c r="C57" s="3318"/>
      <c r="P57" s="3269"/>
      <c r="Q57" s="3269"/>
      <c r="R57" s="3269"/>
    </row>
    <row r="58" spans="1:18">
      <c r="A58" s="3325"/>
      <c r="C58" s="3318"/>
      <c r="P58" s="3269"/>
      <c r="Q58" s="3269"/>
      <c r="R58" s="3269"/>
    </row>
    <row r="59" spans="1:18">
      <c r="C59" s="3318"/>
      <c r="P59" s="3269"/>
      <c r="Q59" s="3269"/>
      <c r="R59" s="3269"/>
    </row>
    <row r="60" spans="1:18">
      <c r="P60" s="3269"/>
      <c r="Q60" s="3269"/>
      <c r="R60" s="3269"/>
    </row>
    <row r="61" spans="1:18">
      <c r="P61" s="3269"/>
      <c r="Q61" s="3269"/>
      <c r="R61" s="3269"/>
    </row>
    <row r="62" spans="1:18">
      <c r="P62" s="3269"/>
      <c r="Q62" s="3269"/>
      <c r="R62" s="3269"/>
    </row>
    <row r="63" spans="1:18">
      <c r="A63" s="3325"/>
      <c r="P63" s="3269"/>
      <c r="Q63" s="3269"/>
      <c r="R63" s="3269"/>
    </row>
    <row r="64" spans="1:18">
      <c r="B64" s="3324"/>
      <c r="P64" s="3269"/>
      <c r="Q64" s="3269"/>
      <c r="R64" s="3269"/>
    </row>
    <row r="65" spans="1:18">
      <c r="P65" s="3269"/>
      <c r="Q65" s="3269"/>
      <c r="R65" s="3269"/>
    </row>
    <row r="66" spans="1:18">
      <c r="P66" s="3269"/>
      <c r="Q66" s="3269"/>
      <c r="R66" s="3269"/>
    </row>
    <row r="67" spans="1:18">
      <c r="A67" s="3269"/>
      <c r="P67" s="3269"/>
      <c r="Q67" s="3269"/>
      <c r="R67" s="3269"/>
    </row>
    <row r="68" spans="1:18">
      <c r="A68" s="3269"/>
      <c r="P68" s="3269"/>
      <c r="Q68" s="3269"/>
      <c r="R68" s="3269"/>
    </row>
    <row r="69" spans="1:18">
      <c r="A69" s="3269"/>
      <c r="P69" s="3269"/>
      <c r="Q69" s="3269"/>
      <c r="R69" s="3269"/>
    </row>
    <row r="70" spans="1:18">
      <c r="A70" s="3269"/>
      <c r="P70" s="3269"/>
      <c r="Q70" s="3269"/>
      <c r="R70" s="3269"/>
    </row>
    <row r="71" spans="1:18">
      <c r="A71" s="3269"/>
      <c r="P71" s="3269"/>
      <c r="Q71" s="3269"/>
      <c r="R71" s="3269"/>
    </row>
    <row r="72" spans="1:18">
      <c r="A72" s="3269"/>
      <c r="P72" s="3269"/>
      <c r="Q72" s="3269"/>
      <c r="R72" s="3269"/>
    </row>
    <row r="73" spans="1:18">
      <c r="A73" s="3269"/>
      <c r="P73" s="3269"/>
      <c r="Q73" s="3269"/>
      <c r="R73" s="3269"/>
    </row>
    <row r="74" spans="1:18">
      <c r="A74" s="3269"/>
      <c r="P74" s="3269"/>
      <c r="Q74" s="3269"/>
      <c r="R74" s="3269"/>
    </row>
    <row r="75" spans="1:18">
      <c r="A75" s="3269"/>
      <c r="P75" s="3269"/>
      <c r="Q75" s="3269"/>
      <c r="R75" s="3269"/>
    </row>
    <row r="76" spans="1:18">
      <c r="A76" s="3269"/>
      <c r="P76" s="3269"/>
      <c r="Q76" s="3269"/>
      <c r="R76" s="3269"/>
    </row>
    <row r="77" spans="1:18" ht="13.5" customHeight="1">
      <c r="A77" s="3269"/>
      <c r="P77" s="3269"/>
      <c r="Q77" s="3269"/>
      <c r="R77" s="3269"/>
    </row>
    <row r="78" spans="1:18">
      <c r="A78" s="3269"/>
      <c r="P78" s="3269"/>
      <c r="Q78" s="3269"/>
      <c r="R78" s="3269"/>
    </row>
    <row r="79" spans="1:18">
      <c r="A79" s="3269"/>
      <c r="P79" s="3269"/>
      <c r="Q79" s="3269"/>
      <c r="R79" s="3269"/>
    </row>
    <row r="80" spans="1:18">
      <c r="A80" s="3269"/>
      <c r="P80" s="3269"/>
      <c r="Q80" s="3269"/>
      <c r="R80" s="3269"/>
    </row>
    <row r="81" spans="1:18">
      <c r="A81" s="3269"/>
      <c r="P81" s="3269"/>
      <c r="Q81" s="3269"/>
      <c r="R81" s="3269"/>
    </row>
    <row r="82" spans="1:18">
      <c r="A82" s="3269"/>
      <c r="P82" s="3269"/>
      <c r="Q82" s="3269"/>
      <c r="R82" s="3269"/>
    </row>
    <row r="83" spans="1:18">
      <c r="A83" s="3269"/>
      <c r="P83" s="3269"/>
      <c r="Q83" s="3269"/>
      <c r="R83" s="3269"/>
    </row>
    <row r="84" spans="1:18">
      <c r="A84" s="3269"/>
      <c r="P84" s="3269"/>
      <c r="Q84" s="3269"/>
      <c r="R84" s="3269"/>
    </row>
    <row r="85" spans="1:18">
      <c r="A85" s="3269"/>
      <c r="P85" s="3269"/>
      <c r="Q85" s="3269"/>
      <c r="R85" s="3269"/>
    </row>
    <row r="86" spans="1:18">
      <c r="A86" s="3269"/>
      <c r="P86" s="3269"/>
      <c r="Q86" s="3269"/>
      <c r="R86" s="3269"/>
    </row>
    <row r="87" spans="1:18">
      <c r="A87" s="3269"/>
      <c r="P87" s="3269"/>
      <c r="Q87" s="3269"/>
      <c r="R87" s="3269"/>
    </row>
    <row r="88" spans="1:18">
      <c r="A88" s="3269"/>
      <c r="P88" s="3269"/>
      <c r="Q88" s="3269"/>
      <c r="R88" s="3269"/>
    </row>
    <row r="89" spans="1:18">
      <c r="A89" s="3269"/>
      <c r="P89" s="3269"/>
      <c r="Q89" s="3269"/>
      <c r="R89" s="3269"/>
    </row>
    <row r="90" spans="1:18">
      <c r="A90" s="3269"/>
      <c r="P90" s="3269"/>
      <c r="Q90" s="3269"/>
      <c r="R90" s="3269"/>
    </row>
    <row r="91" spans="1:18">
      <c r="A91" s="3269"/>
      <c r="P91" s="3269"/>
      <c r="Q91" s="3269"/>
      <c r="R91" s="3269"/>
    </row>
    <row r="92" spans="1:18">
      <c r="A92" s="3269"/>
      <c r="P92" s="3269"/>
      <c r="Q92" s="3269"/>
      <c r="R92" s="3269"/>
    </row>
    <row r="93" spans="1:18">
      <c r="A93" s="3269"/>
      <c r="P93" s="3269"/>
      <c r="Q93" s="3269"/>
      <c r="R93" s="3269"/>
    </row>
    <row r="94" spans="1:18">
      <c r="A94" s="3269"/>
      <c r="P94" s="3269"/>
      <c r="Q94" s="3269"/>
      <c r="R94" s="3269"/>
    </row>
    <row r="95" spans="1:18">
      <c r="A95" s="3269"/>
      <c r="P95" s="3269"/>
      <c r="Q95" s="3269"/>
      <c r="R95" s="3269"/>
    </row>
    <row r="96" spans="1:18">
      <c r="A96" s="3269"/>
      <c r="P96" s="3269"/>
      <c r="Q96" s="3269"/>
      <c r="R96" s="3269"/>
    </row>
    <row r="97" spans="1:18">
      <c r="A97" s="3269"/>
      <c r="P97" s="3269"/>
      <c r="Q97" s="3269"/>
      <c r="R97" s="3269"/>
    </row>
    <row r="98" spans="1:18">
      <c r="A98" s="3269"/>
      <c r="P98" s="3269"/>
      <c r="Q98" s="3269"/>
      <c r="R98" s="3269"/>
    </row>
    <row r="99" spans="1:18">
      <c r="A99" s="3269"/>
      <c r="P99" s="3269"/>
      <c r="Q99" s="3269"/>
      <c r="R99" s="3269"/>
    </row>
    <row r="100" spans="1:18">
      <c r="A100" s="3269"/>
      <c r="P100" s="3269"/>
      <c r="Q100" s="3269"/>
      <c r="R100" s="3269"/>
    </row>
    <row r="101" spans="1:18">
      <c r="A101" s="3269"/>
      <c r="P101" s="3269"/>
      <c r="Q101" s="3269"/>
      <c r="R101" s="3269"/>
    </row>
    <row r="102" spans="1:18">
      <c r="A102" s="3269"/>
      <c r="P102" s="3269"/>
      <c r="Q102" s="3269"/>
      <c r="R102" s="3269"/>
    </row>
    <row r="103" spans="1:18">
      <c r="A103" s="3269"/>
      <c r="P103" s="3269"/>
      <c r="Q103" s="3269"/>
      <c r="R103" s="3269"/>
    </row>
    <row r="104" spans="1:18">
      <c r="A104" s="3269"/>
      <c r="P104" s="3269"/>
      <c r="Q104" s="3269"/>
      <c r="R104" s="3269"/>
    </row>
    <row r="105" spans="1:18">
      <c r="A105" s="3269"/>
      <c r="P105" s="3269"/>
      <c r="Q105" s="3269"/>
      <c r="R105" s="3269"/>
    </row>
    <row r="106" spans="1:18">
      <c r="A106" s="3269"/>
      <c r="P106" s="3269"/>
      <c r="Q106" s="3269"/>
      <c r="R106" s="3269"/>
    </row>
    <row r="107" spans="1:18">
      <c r="A107" s="3269"/>
      <c r="P107" s="3269"/>
      <c r="Q107" s="3269"/>
      <c r="R107" s="3269"/>
    </row>
    <row r="108" spans="1:18">
      <c r="A108" s="3269"/>
      <c r="P108" s="3269"/>
      <c r="Q108" s="3269"/>
      <c r="R108" s="3269"/>
    </row>
    <row r="109" spans="1:18">
      <c r="A109" s="3269"/>
      <c r="P109" s="3269"/>
      <c r="Q109" s="3269"/>
      <c r="R109" s="3269"/>
    </row>
    <row r="110" spans="1:18">
      <c r="A110" s="3269"/>
      <c r="P110" s="3269"/>
      <c r="Q110" s="3269"/>
      <c r="R110" s="3269"/>
    </row>
    <row r="111" spans="1:18">
      <c r="A111" s="3269"/>
      <c r="P111" s="3269"/>
      <c r="Q111" s="3269"/>
      <c r="R111" s="3269"/>
    </row>
    <row r="112" spans="1:18">
      <c r="A112" s="3269"/>
      <c r="P112" s="3269"/>
      <c r="Q112" s="3269"/>
      <c r="R112" s="3269"/>
    </row>
    <row r="113" spans="1:18">
      <c r="A113" s="3269"/>
      <c r="P113" s="3269"/>
      <c r="Q113" s="3269"/>
      <c r="R113" s="3269"/>
    </row>
    <row r="114" spans="1:18">
      <c r="A114" s="3269"/>
      <c r="P114" s="3269"/>
      <c r="Q114" s="3269"/>
      <c r="R114" s="3269"/>
    </row>
    <row r="115" spans="1:18">
      <c r="A115" s="3269"/>
      <c r="P115" s="3269"/>
      <c r="Q115" s="3269"/>
      <c r="R115" s="3269"/>
    </row>
    <row r="116" spans="1:18">
      <c r="A116" s="3269"/>
      <c r="P116" s="3269"/>
      <c r="Q116" s="3269"/>
      <c r="R116" s="3269"/>
    </row>
    <row r="117" spans="1:18">
      <c r="A117" s="3269"/>
      <c r="P117" s="3269"/>
      <c r="Q117" s="3269"/>
      <c r="R117" s="3269"/>
    </row>
    <row r="118" spans="1:18">
      <c r="A118" s="3269"/>
      <c r="P118" s="3269"/>
      <c r="Q118" s="3269"/>
      <c r="R118" s="3269"/>
    </row>
    <row r="119" spans="1:18">
      <c r="A119" s="3269"/>
      <c r="P119" s="3269"/>
      <c r="Q119" s="3269"/>
      <c r="R119" s="3269"/>
    </row>
    <row r="120" spans="1:18">
      <c r="A120" s="3269"/>
      <c r="P120" s="3269"/>
      <c r="Q120" s="3269"/>
      <c r="R120" s="3269"/>
    </row>
    <row r="121" spans="1:18">
      <c r="A121" s="3269"/>
      <c r="P121" s="3269"/>
      <c r="Q121" s="3269"/>
      <c r="R121" s="3269"/>
    </row>
    <row r="122" spans="1:18">
      <c r="A122" s="3269"/>
      <c r="P122" s="3269"/>
      <c r="Q122" s="3269"/>
      <c r="R122" s="3269"/>
    </row>
    <row r="123" spans="1:18">
      <c r="A123" s="3269"/>
      <c r="P123" s="3269"/>
      <c r="Q123" s="3269"/>
      <c r="R123" s="3269"/>
    </row>
    <row r="124" spans="1:18">
      <c r="A124" s="3269"/>
      <c r="P124" s="3269"/>
      <c r="Q124" s="3269"/>
      <c r="R124" s="3269"/>
    </row>
    <row r="125" spans="1:18">
      <c r="A125" s="3269"/>
      <c r="P125" s="3269"/>
      <c r="Q125" s="3269"/>
      <c r="R125" s="3269"/>
    </row>
    <row r="126" spans="1:18">
      <c r="A126" s="3269"/>
      <c r="P126" s="3269"/>
      <c r="Q126" s="3269"/>
      <c r="R126" s="3269"/>
    </row>
    <row r="127" spans="1:18">
      <c r="A127" s="3269"/>
      <c r="P127" s="3269"/>
      <c r="Q127" s="3269"/>
      <c r="R127" s="3269"/>
    </row>
    <row r="128" spans="1:18">
      <c r="A128" s="3269"/>
      <c r="P128" s="3269"/>
      <c r="Q128" s="3269"/>
      <c r="R128" s="3269"/>
    </row>
    <row r="129" spans="1:18">
      <c r="A129" s="3269"/>
      <c r="P129" s="3269"/>
      <c r="Q129" s="3269"/>
      <c r="R129" s="3269"/>
    </row>
    <row r="130" spans="1:18">
      <c r="A130" s="3269"/>
      <c r="P130" s="3269"/>
      <c r="Q130" s="3269"/>
      <c r="R130" s="3269"/>
    </row>
    <row r="131" spans="1:18">
      <c r="A131" s="3269"/>
      <c r="P131" s="3269"/>
      <c r="Q131" s="3269"/>
      <c r="R131" s="3269"/>
    </row>
    <row r="132" spans="1:18">
      <c r="A132" s="3269"/>
      <c r="P132" s="3269"/>
      <c r="Q132" s="3269"/>
      <c r="R132" s="3269"/>
    </row>
    <row r="133" spans="1:18">
      <c r="A133" s="3269"/>
      <c r="P133" s="3269"/>
      <c r="Q133" s="3269"/>
      <c r="R133" s="3269"/>
    </row>
    <row r="134" spans="1:18">
      <c r="A134" s="3269"/>
      <c r="P134" s="3269"/>
      <c r="Q134" s="3269"/>
      <c r="R134" s="3269"/>
    </row>
    <row r="135" spans="1:18">
      <c r="A135" s="3269"/>
      <c r="P135" s="3269"/>
      <c r="Q135" s="3269"/>
      <c r="R135" s="3269"/>
    </row>
    <row r="136" spans="1:18">
      <c r="A136" s="3269"/>
      <c r="P136" s="3269"/>
      <c r="Q136" s="3269"/>
      <c r="R136" s="3269"/>
    </row>
    <row r="137" spans="1:18">
      <c r="A137" s="3269"/>
      <c r="P137" s="3269"/>
      <c r="Q137" s="3269"/>
      <c r="R137" s="3269"/>
    </row>
    <row r="138" spans="1:18">
      <c r="A138" s="3269"/>
      <c r="P138" s="3269"/>
      <c r="Q138" s="3269"/>
      <c r="R138" s="3269"/>
    </row>
    <row r="139" spans="1:18">
      <c r="A139" s="3269"/>
      <c r="P139" s="3269"/>
      <c r="Q139" s="3269"/>
      <c r="R139" s="3269"/>
    </row>
    <row r="140" spans="1:18">
      <c r="A140" s="3269"/>
      <c r="P140" s="3269"/>
      <c r="Q140" s="3269"/>
      <c r="R140" s="3269"/>
    </row>
    <row r="141" spans="1:18">
      <c r="A141" s="3269"/>
      <c r="P141" s="3269"/>
      <c r="Q141" s="3269"/>
      <c r="R141" s="3269"/>
    </row>
    <row r="142" spans="1:18">
      <c r="A142" s="3269"/>
      <c r="P142" s="3269"/>
      <c r="Q142" s="3269"/>
      <c r="R142" s="3269"/>
    </row>
    <row r="143" spans="1:18">
      <c r="A143" s="3269"/>
      <c r="P143" s="3269"/>
      <c r="Q143" s="3269"/>
      <c r="R143" s="3269"/>
    </row>
    <row r="144" spans="1:18">
      <c r="A144" s="3269"/>
      <c r="P144" s="3269"/>
      <c r="Q144" s="3269"/>
      <c r="R144" s="3269"/>
    </row>
    <row r="145" spans="1:18">
      <c r="A145" s="3269"/>
      <c r="P145" s="3269"/>
      <c r="Q145" s="3269"/>
      <c r="R145" s="3269"/>
    </row>
    <row r="146" spans="1:18">
      <c r="A146" s="3269"/>
      <c r="P146" s="3269"/>
      <c r="Q146" s="3269"/>
      <c r="R146" s="3269"/>
    </row>
    <row r="147" spans="1:18">
      <c r="A147" s="3269"/>
      <c r="P147" s="3269"/>
      <c r="Q147" s="3269"/>
      <c r="R147" s="3269"/>
    </row>
    <row r="148" spans="1:18">
      <c r="A148" s="3269"/>
      <c r="P148" s="3269"/>
      <c r="Q148" s="3269"/>
      <c r="R148" s="3269"/>
    </row>
    <row r="149" spans="1:18">
      <c r="A149" s="3269"/>
      <c r="P149" s="3269"/>
      <c r="Q149" s="3269"/>
      <c r="R149" s="3269"/>
    </row>
    <row r="150" spans="1:18">
      <c r="A150" s="3269"/>
      <c r="P150" s="3269"/>
      <c r="Q150" s="3269"/>
      <c r="R150" s="3269"/>
    </row>
    <row r="151" spans="1:18">
      <c r="A151" s="3269"/>
      <c r="P151" s="3269"/>
      <c r="Q151" s="3269"/>
      <c r="R151" s="3269"/>
    </row>
    <row r="152" spans="1:18">
      <c r="A152" s="3269"/>
      <c r="P152" s="3269"/>
      <c r="Q152" s="3269"/>
      <c r="R152" s="3269"/>
    </row>
    <row r="153" spans="1:18">
      <c r="A153" s="3269"/>
      <c r="P153" s="3269"/>
      <c r="Q153" s="3269"/>
      <c r="R153" s="3269"/>
    </row>
    <row r="154" spans="1:18">
      <c r="A154" s="3269"/>
      <c r="P154" s="3269"/>
      <c r="Q154" s="3269"/>
      <c r="R154" s="3269"/>
    </row>
    <row r="155" spans="1:18">
      <c r="A155" s="3269"/>
      <c r="P155" s="3269"/>
      <c r="Q155" s="3269"/>
      <c r="R155" s="3269"/>
    </row>
    <row r="156" spans="1:18">
      <c r="A156" s="3269"/>
      <c r="P156" s="3269"/>
      <c r="Q156" s="3269"/>
      <c r="R156" s="3269"/>
    </row>
    <row r="157" spans="1:18">
      <c r="A157" s="3269"/>
      <c r="P157" s="3269"/>
      <c r="Q157" s="3269"/>
      <c r="R157" s="3269"/>
    </row>
    <row r="158" spans="1:18">
      <c r="A158" s="3269"/>
      <c r="P158" s="3269"/>
      <c r="Q158" s="3269"/>
      <c r="R158" s="3269"/>
    </row>
    <row r="159" spans="1:18">
      <c r="A159" s="3269"/>
      <c r="P159" s="3269"/>
      <c r="Q159" s="3269"/>
      <c r="R159" s="3269"/>
    </row>
    <row r="160" spans="1:18">
      <c r="A160" s="3269"/>
      <c r="P160" s="3269"/>
      <c r="Q160" s="3269"/>
      <c r="R160" s="3269"/>
    </row>
    <row r="161" spans="1:18">
      <c r="A161" s="3269"/>
      <c r="P161" s="3269"/>
      <c r="Q161" s="3269"/>
      <c r="R161" s="3269"/>
    </row>
    <row r="162" spans="1:18">
      <c r="A162" s="3269"/>
      <c r="P162" s="3269"/>
      <c r="Q162" s="3269"/>
      <c r="R162" s="3269"/>
    </row>
    <row r="163" spans="1:18">
      <c r="A163" s="3269"/>
      <c r="P163" s="3269"/>
      <c r="Q163" s="3269"/>
      <c r="R163" s="3269"/>
    </row>
    <row r="164" spans="1:18">
      <c r="A164" s="3269"/>
      <c r="P164" s="3269"/>
      <c r="Q164" s="3269"/>
      <c r="R164" s="3269"/>
    </row>
    <row r="165" spans="1:18">
      <c r="A165" s="3269"/>
      <c r="P165" s="3269"/>
      <c r="Q165" s="3269"/>
      <c r="R165" s="3269"/>
    </row>
    <row r="166" spans="1:18">
      <c r="A166" s="3269"/>
      <c r="P166" s="3269"/>
      <c r="Q166" s="3269"/>
      <c r="R166" s="3269"/>
    </row>
    <row r="167" spans="1:18">
      <c r="A167" s="3269"/>
      <c r="P167" s="3269"/>
      <c r="Q167" s="3269"/>
      <c r="R167" s="3269"/>
    </row>
    <row r="168" spans="1:18">
      <c r="A168" s="3269"/>
      <c r="P168" s="3269"/>
      <c r="Q168" s="3269"/>
      <c r="R168" s="3269"/>
    </row>
    <row r="169" spans="1:18">
      <c r="A169" s="3269"/>
      <c r="P169" s="3269"/>
      <c r="Q169" s="3269"/>
      <c r="R169" s="3269"/>
    </row>
    <row r="170" spans="1:18">
      <c r="A170" s="3269"/>
      <c r="P170" s="3269"/>
      <c r="Q170" s="3269"/>
      <c r="R170" s="3269"/>
    </row>
    <row r="171" spans="1:18">
      <c r="A171" s="3269"/>
      <c r="P171" s="3269"/>
      <c r="Q171" s="3269"/>
      <c r="R171" s="3269"/>
    </row>
    <row r="172" spans="1:18">
      <c r="A172" s="3269"/>
      <c r="P172" s="3269"/>
      <c r="Q172" s="3269"/>
      <c r="R172" s="3269"/>
    </row>
    <row r="173" spans="1:18">
      <c r="A173" s="3269"/>
      <c r="P173" s="3269"/>
      <c r="Q173" s="3269"/>
      <c r="R173" s="3269"/>
    </row>
    <row r="174" spans="1:18">
      <c r="A174" s="3269"/>
      <c r="P174" s="3269"/>
      <c r="Q174" s="3269"/>
      <c r="R174" s="3269"/>
    </row>
    <row r="175" spans="1:18">
      <c r="A175" s="3269"/>
      <c r="P175" s="3269"/>
      <c r="Q175" s="3269"/>
      <c r="R175" s="3269"/>
    </row>
    <row r="176" spans="1:18">
      <c r="A176" s="3269"/>
      <c r="P176" s="3269"/>
      <c r="Q176" s="3269"/>
      <c r="R176" s="3269"/>
    </row>
    <row r="177" spans="1:18">
      <c r="A177" s="3269"/>
      <c r="P177" s="3269"/>
      <c r="Q177" s="3269"/>
      <c r="R177" s="3269"/>
    </row>
    <row r="178" spans="1:18">
      <c r="A178" s="3269"/>
      <c r="P178" s="3269"/>
      <c r="Q178" s="3269"/>
      <c r="R178" s="3269"/>
    </row>
    <row r="179" spans="1:18">
      <c r="A179" s="3269"/>
      <c r="P179" s="3269"/>
      <c r="Q179" s="3269"/>
      <c r="R179" s="3269"/>
    </row>
    <row r="180" spans="1:18">
      <c r="A180" s="3269"/>
      <c r="P180" s="3269"/>
      <c r="Q180" s="3269"/>
      <c r="R180" s="3269"/>
    </row>
    <row r="181" spans="1:18">
      <c r="A181" s="3269"/>
      <c r="P181" s="3269"/>
      <c r="Q181" s="3269"/>
      <c r="R181" s="3269"/>
    </row>
    <row r="182" spans="1:18">
      <c r="A182" s="3269"/>
      <c r="P182" s="3269"/>
      <c r="Q182" s="3269"/>
      <c r="R182" s="3269"/>
    </row>
    <row r="183" spans="1:18">
      <c r="A183" s="3269"/>
      <c r="P183" s="3269"/>
      <c r="Q183" s="3269"/>
      <c r="R183" s="3269"/>
    </row>
    <row r="184" spans="1:18">
      <c r="A184" s="3269"/>
      <c r="P184" s="3269"/>
      <c r="Q184" s="3269"/>
      <c r="R184" s="3269"/>
    </row>
    <row r="185" spans="1:18">
      <c r="A185" s="3269"/>
      <c r="P185" s="3269"/>
      <c r="Q185" s="3269"/>
      <c r="R185" s="3269"/>
    </row>
    <row r="186" spans="1:18">
      <c r="A186" s="3269"/>
      <c r="P186" s="3269"/>
      <c r="Q186" s="3269"/>
      <c r="R186" s="3269"/>
    </row>
    <row r="187" spans="1:18">
      <c r="A187" s="3269"/>
      <c r="P187" s="3269"/>
      <c r="Q187" s="3269"/>
      <c r="R187" s="3269"/>
    </row>
    <row r="188" spans="1:18">
      <c r="A188" s="3269"/>
      <c r="P188" s="3269"/>
      <c r="Q188" s="3269"/>
      <c r="R188" s="3269"/>
    </row>
    <row r="189" spans="1:18">
      <c r="A189" s="3269"/>
      <c r="P189" s="3269"/>
      <c r="Q189" s="3269"/>
      <c r="R189" s="3269"/>
    </row>
    <row r="190" spans="1:18">
      <c r="A190" s="3269"/>
      <c r="P190" s="3269"/>
      <c r="Q190" s="3269"/>
      <c r="R190" s="3269"/>
    </row>
    <row r="191" spans="1:18">
      <c r="A191" s="3269"/>
      <c r="P191" s="3269"/>
      <c r="Q191" s="3269"/>
      <c r="R191" s="3269"/>
    </row>
    <row r="192" spans="1:18">
      <c r="A192" s="3269"/>
      <c r="P192" s="3269"/>
      <c r="Q192" s="3269"/>
      <c r="R192" s="3269"/>
    </row>
    <row r="193" spans="1:18">
      <c r="A193" s="3269"/>
      <c r="P193" s="3269"/>
      <c r="Q193" s="3269"/>
      <c r="R193" s="3269"/>
    </row>
    <row r="194" spans="1:18">
      <c r="A194" s="3269"/>
      <c r="P194" s="3269"/>
      <c r="Q194" s="3269"/>
      <c r="R194" s="3269"/>
    </row>
    <row r="195" spans="1:18">
      <c r="A195" s="3269"/>
      <c r="P195" s="3269"/>
      <c r="Q195" s="3269"/>
      <c r="R195" s="3269"/>
    </row>
    <row r="196" spans="1:18">
      <c r="A196" s="3269"/>
      <c r="P196" s="3269"/>
      <c r="Q196" s="3269"/>
      <c r="R196" s="3269"/>
    </row>
    <row r="197" spans="1:18">
      <c r="A197" s="3269"/>
      <c r="P197" s="3269"/>
      <c r="Q197" s="3269"/>
      <c r="R197" s="3269"/>
    </row>
    <row r="198" spans="1:18">
      <c r="A198" s="3269"/>
      <c r="P198" s="3269"/>
      <c r="Q198" s="3269"/>
      <c r="R198" s="3269"/>
    </row>
    <row r="199" spans="1:18">
      <c r="A199" s="3269"/>
      <c r="P199" s="3269"/>
      <c r="Q199" s="3269"/>
      <c r="R199" s="3269"/>
    </row>
    <row r="200" spans="1:18">
      <c r="A200" s="3269"/>
      <c r="P200" s="3269"/>
      <c r="Q200" s="3269"/>
      <c r="R200" s="3269"/>
    </row>
    <row r="201" spans="1:18">
      <c r="A201" s="3269"/>
      <c r="P201" s="3269"/>
      <c r="Q201" s="3269"/>
      <c r="R201" s="3269"/>
    </row>
    <row r="202" spans="1:18">
      <c r="A202" s="3269"/>
      <c r="P202" s="3269"/>
      <c r="Q202" s="3269"/>
      <c r="R202" s="3269"/>
    </row>
    <row r="203" spans="1:18">
      <c r="A203" s="3269"/>
      <c r="P203" s="3269"/>
      <c r="Q203" s="3269"/>
      <c r="R203" s="3269"/>
    </row>
    <row r="204" spans="1:18">
      <c r="A204" s="3269"/>
      <c r="P204" s="3269"/>
      <c r="Q204" s="3269"/>
      <c r="R204" s="3269"/>
    </row>
    <row r="205" spans="1:18">
      <c r="A205" s="3269"/>
      <c r="P205" s="3269"/>
      <c r="Q205" s="3269"/>
      <c r="R205" s="3269"/>
    </row>
    <row r="206" spans="1:18">
      <c r="A206" s="3269"/>
      <c r="P206" s="3269"/>
      <c r="Q206" s="3269"/>
      <c r="R206" s="3269"/>
    </row>
    <row r="207" spans="1:18">
      <c r="A207" s="3269"/>
      <c r="P207" s="3269"/>
      <c r="Q207" s="3269"/>
      <c r="R207" s="3269"/>
    </row>
    <row r="208" spans="1:18">
      <c r="A208" s="3269"/>
      <c r="P208" s="3269"/>
      <c r="Q208" s="3269"/>
      <c r="R208" s="3269"/>
    </row>
    <row r="209" spans="1:18">
      <c r="A209" s="3269"/>
      <c r="P209" s="3269"/>
      <c r="Q209" s="3269"/>
      <c r="R209" s="3269"/>
    </row>
    <row r="210" spans="1:18">
      <c r="A210" s="3269"/>
      <c r="P210" s="3269"/>
      <c r="Q210" s="3269"/>
      <c r="R210" s="3269"/>
    </row>
    <row r="211" spans="1:18">
      <c r="A211" s="3269"/>
      <c r="P211" s="3269"/>
      <c r="Q211" s="3269"/>
      <c r="R211" s="3269"/>
    </row>
    <row r="212" spans="1:18">
      <c r="A212" s="3269"/>
      <c r="P212" s="3269"/>
      <c r="Q212" s="3269"/>
      <c r="R212" s="3269"/>
    </row>
    <row r="213" spans="1:18">
      <c r="A213" s="3269"/>
      <c r="P213" s="3269"/>
      <c r="Q213" s="3269"/>
      <c r="R213" s="3269"/>
    </row>
    <row r="214" spans="1:18">
      <c r="A214" s="3269"/>
      <c r="P214" s="3269"/>
      <c r="Q214" s="3269"/>
      <c r="R214" s="3269"/>
    </row>
    <row r="215" spans="1:18">
      <c r="A215" s="3269"/>
      <c r="P215" s="3269"/>
      <c r="Q215" s="3269"/>
      <c r="R215" s="3269"/>
    </row>
    <row r="216" spans="1:18">
      <c r="A216" s="3269"/>
      <c r="P216" s="3269"/>
      <c r="Q216" s="3269"/>
      <c r="R216" s="3269"/>
    </row>
    <row r="217" spans="1:18">
      <c r="A217" s="3269"/>
      <c r="P217" s="3269"/>
      <c r="Q217" s="3269"/>
      <c r="R217" s="3269"/>
    </row>
    <row r="218" spans="1:18">
      <c r="A218" s="3269"/>
      <c r="P218" s="3269"/>
      <c r="Q218" s="3269"/>
      <c r="R218" s="3269"/>
    </row>
    <row r="219" spans="1:18">
      <c r="A219" s="3269"/>
      <c r="P219" s="3269"/>
      <c r="Q219" s="3269"/>
      <c r="R219" s="3269"/>
    </row>
    <row r="220" spans="1:18">
      <c r="A220" s="3269"/>
      <c r="P220" s="3269"/>
      <c r="Q220" s="3269"/>
      <c r="R220" s="3269"/>
    </row>
    <row r="221" spans="1:18">
      <c r="A221" s="3269"/>
      <c r="P221" s="3269"/>
      <c r="Q221" s="3269"/>
      <c r="R221" s="3269"/>
    </row>
    <row r="222" spans="1:18">
      <c r="A222" s="3269"/>
      <c r="P222" s="3269"/>
      <c r="Q222" s="3269"/>
      <c r="R222" s="3269"/>
    </row>
    <row r="223" spans="1:18">
      <c r="A223" s="3269"/>
      <c r="P223" s="3269"/>
      <c r="Q223" s="3269"/>
      <c r="R223" s="3269"/>
    </row>
    <row r="224" spans="1:18">
      <c r="A224" s="3269"/>
      <c r="P224" s="3269"/>
      <c r="Q224" s="3269"/>
      <c r="R224" s="3269"/>
    </row>
    <row r="225" spans="1:18">
      <c r="A225" s="3269"/>
      <c r="P225" s="3269"/>
      <c r="Q225" s="3269"/>
      <c r="R225" s="3269"/>
    </row>
    <row r="226" spans="1:18">
      <c r="A226" s="3269"/>
      <c r="P226" s="3269"/>
      <c r="Q226" s="3269"/>
      <c r="R226" s="3269"/>
    </row>
    <row r="227" spans="1:18">
      <c r="A227" s="3269"/>
      <c r="P227" s="3269"/>
      <c r="Q227" s="3269"/>
      <c r="R227" s="3269"/>
    </row>
    <row r="228" spans="1:18">
      <c r="A228" s="3269"/>
      <c r="P228" s="3269"/>
      <c r="Q228" s="3269"/>
      <c r="R228" s="3269"/>
    </row>
    <row r="229" spans="1:18">
      <c r="A229" s="3269"/>
      <c r="P229" s="3269"/>
      <c r="Q229" s="3269"/>
      <c r="R229" s="3269"/>
    </row>
    <row r="230" spans="1:18">
      <c r="A230" s="3269"/>
      <c r="P230" s="3269"/>
      <c r="Q230" s="3269"/>
      <c r="R230" s="3269"/>
    </row>
    <row r="231" spans="1:18">
      <c r="A231" s="3269"/>
      <c r="P231" s="3269"/>
      <c r="Q231" s="3269"/>
      <c r="R231" s="3269"/>
    </row>
    <row r="232" spans="1:18">
      <c r="A232" s="3269"/>
      <c r="P232" s="3269"/>
      <c r="Q232" s="3269"/>
      <c r="R232" s="3269"/>
    </row>
    <row r="233" spans="1:18">
      <c r="A233" s="3269"/>
      <c r="P233" s="3269"/>
      <c r="Q233" s="3269"/>
      <c r="R233" s="3269"/>
    </row>
    <row r="234" spans="1:18">
      <c r="A234" s="3269"/>
      <c r="P234" s="3269"/>
      <c r="Q234" s="3269"/>
      <c r="R234" s="3269"/>
    </row>
    <row r="235" spans="1:18">
      <c r="A235" s="3269"/>
      <c r="P235" s="3269"/>
      <c r="Q235" s="3269"/>
      <c r="R235" s="3269"/>
    </row>
    <row r="236" spans="1:18">
      <c r="A236" s="3269"/>
      <c r="P236" s="3269"/>
      <c r="Q236" s="3269"/>
      <c r="R236" s="3269"/>
    </row>
    <row r="237" spans="1:18">
      <c r="A237" s="3269"/>
      <c r="P237" s="3269"/>
      <c r="Q237" s="3269"/>
      <c r="R237" s="3269"/>
    </row>
    <row r="238" spans="1:18">
      <c r="A238" s="3269"/>
      <c r="P238" s="3269"/>
      <c r="Q238" s="3269"/>
      <c r="R238" s="3269"/>
    </row>
    <row r="239" spans="1:18">
      <c r="A239" s="3269"/>
      <c r="P239" s="3269"/>
      <c r="Q239" s="3269"/>
      <c r="R239" s="3269"/>
    </row>
    <row r="240" spans="1:18">
      <c r="A240" s="3269"/>
      <c r="P240" s="3269"/>
      <c r="Q240" s="3269"/>
      <c r="R240" s="3269"/>
    </row>
    <row r="241" spans="1:18">
      <c r="A241" s="3269"/>
      <c r="P241" s="3269"/>
      <c r="Q241" s="3269"/>
      <c r="R241" s="3269"/>
    </row>
    <row r="242" spans="1:18">
      <c r="A242" s="3269"/>
      <c r="P242" s="3269"/>
      <c r="Q242" s="3269"/>
      <c r="R242" s="3269"/>
    </row>
    <row r="243" spans="1:18">
      <c r="A243" s="3269"/>
      <c r="P243" s="3269"/>
      <c r="Q243" s="3269"/>
      <c r="R243" s="3269"/>
    </row>
    <row r="244" spans="1:18">
      <c r="A244" s="3269"/>
      <c r="P244" s="3269"/>
      <c r="Q244" s="3269"/>
      <c r="R244" s="3269"/>
    </row>
    <row r="245" spans="1:18">
      <c r="A245" s="3269"/>
      <c r="P245" s="3269"/>
      <c r="Q245" s="3269"/>
      <c r="R245" s="3269"/>
    </row>
    <row r="246" spans="1:18">
      <c r="A246" s="3269"/>
      <c r="P246" s="3269"/>
      <c r="Q246" s="3269"/>
      <c r="R246" s="3269"/>
    </row>
    <row r="247" spans="1:18">
      <c r="A247" s="3269"/>
      <c r="P247" s="3269"/>
      <c r="Q247" s="3269"/>
      <c r="R247" s="3269"/>
    </row>
    <row r="248" spans="1:18">
      <c r="A248" s="3269"/>
      <c r="P248" s="3269"/>
      <c r="Q248" s="3269"/>
      <c r="R248" s="3269"/>
    </row>
    <row r="249" spans="1:18">
      <c r="A249" s="3269"/>
      <c r="P249" s="3269"/>
      <c r="Q249" s="3269"/>
      <c r="R249" s="3269"/>
    </row>
    <row r="250" spans="1:18">
      <c r="A250" s="3269"/>
      <c r="P250" s="3269"/>
      <c r="Q250" s="3269"/>
      <c r="R250" s="3269"/>
    </row>
    <row r="251" spans="1:18">
      <c r="A251" s="3269"/>
      <c r="P251" s="3269"/>
      <c r="Q251" s="3269"/>
      <c r="R251" s="3269"/>
    </row>
    <row r="252" spans="1:18">
      <c r="A252" s="3269"/>
      <c r="P252" s="3269"/>
      <c r="Q252" s="3269"/>
      <c r="R252" s="3269"/>
    </row>
    <row r="253" spans="1:18">
      <c r="A253" s="3269"/>
      <c r="P253" s="3269"/>
      <c r="Q253" s="3269"/>
      <c r="R253" s="3269"/>
    </row>
    <row r="254" spans="1:18">
      <c r="A254" s="3269"/>
      <c r="P254" s="3269"/>
      <c r="Q254" s="3269"/>
      <c r="R254" s="3269"/>
    </row>
    <row r="255" spans="1:18">
      <c r="A255" s="3269"/>
      <c r="P255" s="3269"/>
      <c r="Q255" s="3269"/>
      <c r="R255" s="3269"/>
    </row>
    <row r="256" spans="1:18">
      <c r="A256" s="3269"/>
      <c r="P256" s="3269"/>
      <c r="Q256" s="3269"/>
      <c r="R256" s="3269"/>
    </row>
    <row r="257" spans="1:18">
      <c r="A257" s="3269"/>
      <c r="P257" s="3269"/>
      <c r="Q257" s="3269"/>
      <c r="R257" s="3269"/>
    </row>
    <row r="258" spans="1:18">
      <c r="A258" s="3269"/>
      <c r="P258" s="3269"/>
      <c r="Q258" s="3269"/>
      <c r="R258" s="3269"/>
    </row>
    <row r="259" spans="1:18">
      <c r="A259" s="3269"/>
      <c r="P259" s="3269"/>
      <c r="Q259" s="3269"/>
      <c r="R259" s="3269"/>
    </row>
    <row r="260" spans="1:18">
      <c r="A260" s="3269"/>
      <c r="P260" s="3269"/>
      <c r="Q260" s="3269"/>
      <c r="R260" s="3269"/>
    </row>
    <row r="261" spans="1:18">
      <c r="A261" s="3269"/>
      <c r="P261" s="3269"/>
      <c r="Q261" s="3269"/>
      <c r="R261" s="3269"/>
    </row>
    <row r="262" spans="1:18">
      <c r="A262" s="3269"/>
      <c r="P262" s="3269"/>
      <c r="Q262" s="3269"/>
      <c r="R262" s="3269"/>
    </row>
    <row r="263" spans="1:18">
      <c r="A263" s="3269"/>
      <c r="P263" s="3269"/>
      <c r="Q263" s="3269"/>
      <c r="R263" s="3269"/>
    </row>
    <row r="264" spans="1:18">
      <c r="A264" s="3269"/>
      <c r="P264" s="3269"/>
      <c r="Q264" s="3269"/>
      <c r="R264" s="3269"/>
    </row>
    <row r="265" spans="1:18">
      <c r="A265" s="3269"/>
      <c r="P265" s="3269"/>
      <c r="Q265" s="3269"/>
      <c r="R265" s="3269"/>
    </row>
    <row r="266" spans="1:18">
      <c r="A266" s="3269"/>
      <c r="P266" s="3269"/>
      <c r="Q266" s="3269"/>
      <c r="R266" s="3269"/>
    </row>
    <row r="267" spans="1:18">
      <c r="A267" s="3269"/>
      <c r="P267" s="3269"/>
      <c r="Q267" s="3269"/>
      <c r="R267" s="3269"/>
    </row>
    <row r="268" spans="1:18">
      <c r="A268" s="3269"/>
      <c r="P268" s="3269"/>
      <c r="Q268" s="3269"/>
      <c r="R268" s="3269"/>
    </row>
    <row r="269" spans="1:18">
      <c r="A269" s="3269"/>
      <c r="P269" s="3269"/>
      <c r="Q269" s="3269"/>
      <c r="R269" s="3269"/>
    </row>
    <row r="270" spans="1:18">
      <c r="A270" s="3269"/>
      <c r="P270" s="3269"/>
      <c r="Q270" s="3269"/>
      <c r="R270" s="3269"/>
    </row>
    <row r="271" spans="1:18">
      <c r="A271" s="3269"/>
      <c r="P271" s="3269"/>
      <c r="Q271" s="3269"/>
      <c r="R271" s="3269"/>
    </row>
    <row r="272" spans="1:18">
      <c r="A272" s="3269"/>
      <c r="P272" s="3269"/>
      <c r="Q272" s="3269"/>
      <c r="R272" s="3269"/>
    </row>
    <row r="273" spans="1:18">
      <c r="A273" s="3269"/>
      <c r="P273" s="3269"/>
      <c r="Q273" s="3269"/>
      <c r="R273" s="3269"/>
    </row>
    <row r="274" spans="1:18">
      <c r="A274" s="3269"/>
      <c r="P274" s="3269"/>
      <c r="Q274" s="3269"/>
      <c r="R274" s="3269"/>
    </row>
    <row r="275" spans="1:18">
      <c r="A275" s="3269"/>
      <c r="P275" s="3269"/>
      <c r="Q275" s="3269"/>
      <c r="R275" s="3269"/>
    </row>
    <row r="276" spans="1:18">
      <c r="A276" s="3269"/>
      <c r="P276" s="3269"/>
      <c r="Q276" s="3269"/>
      <c r="R276" s="3269"/>
    </row>
    <row r="277" spans="1:18">
      <c r="A277" s="3269"/>
      <c r="P277" s="3269"/>
      <c r="Q277" s="3269"/>
      <c r="R277" s="3269"/>
    </row>
    <row r="278" spans="1:18">
      <c r="A278" s="3269"/>
      <c r="P278" s="3269"/>
      <c r="Q278" s="3269"/>
      <c r="R278" s="3269"/>
    </row>
    <row r="279" spans="1:18">
      <c r="A279" s="3269"/>
      <c r="P279" s="3269"/>
      <c r="Q279" s="3269"/>
      <c r="R279" s="3269"/>
    </row>
    <row r="280" spans="1:18">
      <c r="A280" s="3269"/>
      <c r="P280" s="3269"/>
      <c r="Q280" s="3269"/>
      <c r="R280" s="3269"/>
    </row>
    <row r="281" spans="1:18">
      <c r="A281" s="3269"/>
      <c r="P281" s="3269"/>
      <c r="Q281" s="3269"/>
      <c r="R281" s="3269"/>
    </row>
    <row r="282" spans="1:18">
      <c r="A282" s="3269"/>
      <c r="P282" s="3269"/>
      <c r="Q282" s="3269"/>
      <c r="R282" s="3269"/>
    </row>
    <row r="283" spans="1:18">
      <c r="A283" s="3269"/>
      <c r="P283" s="3269"/>
      <c r="Q283" s="3269"/>
      <c r="R283" s="3269"/>
    </row>
    <row r="284" spans="1:18">
      <c r="A284" s="3269"/>
      <c r="P284" s="3269"/>
      <c r="Q284" s="3269"/>
      <c r="R284" s="3269"/>
    </row>
    <row r="285" spans="1:18">
      <c r="A285" s="3269"/>
      <c r="P285" s="3269"/>
      <c r="Q285" s="3269"/>
      <c r="R285" s="3269"/>
    </row>
    <row r="286" spans="1:18">
      <c r="A286" s="3269"/>
      <c r="P286" s="3269"/>
      <c r="Q286" s="3269"/>
      <c r="R286" s="3269"/>
    </row>
    <row r="287" spans="1:18">
      <c r="A287" s="3269"/>
      <c r="P287" s="3269"/>
      <c r="Q287" s="3269"/>
      <c r="R287" s="3269"/>
    </row>
    <row r="288" spans="1:18">
      <c r="A288" s="3269"/>
      <c r="P288" s="3269"/>
      <c r="Q288" s="3269"/>
      <c r="R288" s="3269"/>
    </row>
    <row r="289" spans="1:18">
      <c r="A289" s="3269"/>
      <c r="P289" s="3269"/>
      <c r="Q289" s="3269"/>
      <c r="R289" s="3269"/>
    </row>
    <row r="290" spans="1:18">
      <c r="A290" s="3269"/>
      <c r="P290" s="3269"/>
      <c r="Q290" s="3269"/>
      <c r="R290" s="3269"/>
    </row>
    <row r="291" spans="1:18">
      <c r="A291" s="3269"/>
      <c r="P291" s="3269"/>
      <c r="Q291" s="3269"/>
      <c r="R291" s="3269"/>
    </row>
    <row r="292" spans="1:18">
      <c r="A292" s="3269"/>
      <c r="P292" s="3269"/>
      <c r="Q292" s="3269"/>
      <c r="R292" s="3269"/>
    </row>
    <row r="293" spans="1:18">
      <c r="A293" s="3269"/>
      <c r="P293" s="3269"/>
      <c r="Q293" s="3269"/>
      <c r="R293" s="3269"/>
    </row>
    <row r="294" spans="1:18">
      <c r="A294" s="3269"/>
      <c r="P294" s="3269"/>
      <c r="Q294" s="3269"/>
      <c r="R294" s="3269"/>
    </row>
    <row r="295" spans="1:18">
      <c r="A295" s="3269"/>
      <c r="P295" s="3269"/>
      <c r="Q295" s="3269"/>
      <c r="R295" s="3269"/>
    </row>
    <row r="296" spans="1:18">
      <c r="A296" s="3269"/>
      <c r="P296" s="3269"/>
      <c r="Q296" s="3269"/>
      <c r="R296" s="3269"/>
    </row>
    <row r="297" spans="1:18">
      <c r="A297" s="3269"/>
      <c r="P297" s="3269"/>
      <c r="Q297" s="3269"/>
      <c r="R297" s="3269"/>
    </row>
    <row r="298" spans="1:18">
      <c r="A298" s="3269"/>
      <c r="P298" s="3269"/>
      <c r="Q298" s="3269"/>
      <c r="R298" s="3269"/>
    </row>
    <row r="299" spans="1:18">
      <c r="A299" s="3269"/>
      <c r="P299" s="3269"/>
      <c r="Q299" s="3269"/>
      <c r="R299" s="3269"/>
    </row>
    <row r="300" spans="1:18">
      <c r="A300" s="3269"/>
      <c r="P300" s="3269"/>
      <c r="Q300" s="3269"/>
      <c r="R300" s="3269"/>
    </row>
    <row r="301" spans="1:18">
      <c r="A301" s="3269"/>
      <c r="P301" s="3269"/>
      <c r="Q301" s="3269"/>
      <c r="R301" s="3269"/>
    </row>
    <row r="302" spans="1:18">
      <c r="A302" s="3269"/>
      <c r="P302" s="3269"/>
      <c r="Q302" s="3269"/>
      <c r="R302" s="3269"/>
    </row>
    <row r="303" spans="1:18">
      <c r="A303" s="3269"/>
      <c r="P303" s="3269"/>
      <c r="Q303" s="3269"/>
      <c r="R303" s="3269"/>
    </row>
    <row r="304" spans="1:18">
      <c r="A304" s="3269"/>
      <c r="P304" s="3269"/>
      <c r="Q304" s="3269"/>
      <c r="R304" s="3269"/>
    </row>
    <row r="305" spans="1:18">
      <c r="A305" s="3269"/>
      <c r="P305" s="3269"/>
      <c r="Q305" s="3269"/>
      <c r="R305" s="3269"/>
    </row>
    <row r="306" spans="1:18">
      <c r="A306" s="3269"/>
      <c r="P306" s="3269"/>
      <c r="Q306" s="3269"/>
      <c r="R306" s="3269"/>
    </row>
    <row r="307" spans="1:18">
      <c r="A307" s="3269"/>
      <c r="P307" s="3269"/>
      <c r="Q307" s="3269"/>
      <c r="R307" s="3269"/>
    </row>
    <row r="308" spans="1:18">
      <c r="A308" s="3269"/>
      <c r="P308" s="3269"/>
      <c r="Q308" s="3269"/>
      <c r="R308" s="3269"/>
    </row>
    <row r="309" spans="1:18">
      <c r="A309" s="3269"/>
      <c r="P309" s="3269"/>
      <c r="Q309" s="3269"/>
      <c r="R309" s="3269"/>
    </row>
    <row r="310" spans="1:18">
      <c r="A310" s="3269"/>
      <c r="P310" s="3269"/>
      <c r="Q310" s="3269"/>
      <c r="R310" s="3269"/>
    </row>
    <row r="311" spans="1:18">
      <c r="A311" s="3269"/>
      <c r="P311" s="3269"/>
      <c r="Q311" s="3269"/>
      <c r="R311" s="3269"/>
    </row>
    <row r="312" spans="1:18">
      <c r="A312" s="3269"/>
      <c r="P312" s="3269"/>
      <c r="Q312" s="3269"/>
      <c r="R312" s="3269"/>
    </row>
    <row r="313" spans="1:18">
      <c r="A313" s="3269"/>
      <c r="P313" s="3269"/>
      <c r="Q313" s="3269"/>
      <c r="R313" s="3269"/>
    </row>
    <row r="314" spans="1:18">
      <c r="A314" s="3269"/>
      <c r="P314" s="3269"/>
      <c r="Q314" s="3269"/>
      <c r="R314" s="3269"/>
    </row>
    <row r="315" spans="1:18">
      <c r="A315" s="3269"/>
      <c r="P315" s="3269"/>
      <c r="Q315" s="3269"/>
      <c r="R315" s="3269"/>
    </row>
    <row r="316" spans="1:18">
      <c r="A316" s="3269"/>
      <c r="P316" s="3269"/>
      <c r="Q316" s="3269"/>
      <c r="R316" s="3269"/>
    </row>
    <row r="317" spans="1:18">
      <c r="A317" s="3269"/>
      <c r="P317" s="3269"/>
      <c r="Q317" s="3269"/>
      <c r="R317" s="3269"/>
    </row>
    <row r="318" spans="1:18">
      <c r="A318" s="3269"/>
      <c r="P318" s="3269"/>
      <c r="Q318" s="3269"/>
      <c r="R318" s="3269"/>
    </row>
    <row r="319" spans="1:18">
      <c r="A319" s="3269"/>
      <c r="P319" s="3269"/>
      <c r="Q319" s="3269"/>
      <c r="R319" s="3269"/>
    </row>
    <row r="320" spans="1:18">
      <c r="A320" s="3269"/>
      <c r="P320" s="3269"/>
      <c r="Q320" s="3269"/>
      <c r="R320" s="3269"/>
    </row>
    <row r="321" spans="1:18">
      <c r="A321" s="3269"/>
      <c r="P321" s="3269"/>
      <c r="Q321" s="3269"/>
      <c r="R321" s="3269"/>
    </row>
    <row r="322" spans="1:18">
      <c r="A322" s="3269"/>
      <c r="P322" s="3269"/>
      <c r="Q322" s="3269"/>
      <c r="R322" s="3269"/>
    </row>
    <row r="323" spans="1:18">
      <c r="A323" s="3269"/>
      <c r="P323" s="3269"/>
      <c r="Q323" s="3269"/>
      <c r="R323" s="3269"/>
    </row>
    <row r="324" spans="1:18">
      <c r="A324" s="3269"/>
      <c r="P324" s="3269"/>
      <c r="Q324" s="3269"/>
      <c r="R324" s="3269"/>
    </row>
    <row r="325" spans="1:18">
      <c r="A325" s="3269"/>
      <c r="P325" s="3269"/>
      <c r="Q325" s="3269"/>
      <c r="R325" s="3269"/>
    </row>
    <row r="326" spans="1:18">
      <c r="A326" s="3269"/>
      <c r="P326" s="3269"/>
      <c r="Q326" s="3269"/>
      <c r="R326" s="3269"/>
    </row>
    <row r="327" spans="1:18">
      <c r="A327" s="3269"/>
      <c r="P327" s="3269"/>
      <c r="Q327" s="3269"/>
      <c r="R327" s="3269"/>
    </row>
    <row r="328" spans="1:18">
      <c r="A328" s="3269"/>
      <c r="P328" s="3269"/>
      <c r="Q328" s="3269"/>
      <c r="R328" s="3269"/>
    </row>
    <row r="329" spans="1:18">
      <c r="A329" s="3269"/>
      <c r="P329" s="3269"/>
      <c r="Q329" s="3269"/>
      <c r="R329" s="3269"/>
    </row>
    <row r="330" spans="1:18">
      <c r="A330" s="3269"/>
      <c r="P330" s="3269"/>
      <c r="Q330" s="3269"/>
      <c r="R330" s="3269"/>
    </row>
    <row r="331" spans="1:18">
      <c r="A331" s="3269"/>
      <c r="P331" s="3269"/>
      <c r="Q331" s="3269"/>
      <c r="R331" s="3269"/>
    </row>
    <row r="332" spans="1:18">
      <c r="A332" s="3269"/>
      <c r="P332" s="3269"/>
      <c r="Q332" s="3269"/>
      <c r="R332" s="3269"/>
    </row>
    <row r="333" spans="1:18">
      <c r="A333" s="3269"/>
      <c r="P333" s="3269"/>
      <c r="Q333" s="3269"/>
      <c r="R333" s="3269"/>
    </row>
    <row r="334" spans="1:18">
      <c r="A334" s="3269"/>
      <c r="P334" s="3269"/>
      <c r="Q334" s="3269"/>
      <c r="R334" s="3269"/>
    </row>
    <row r="335" spans="1:18">
      <c r="A335" s="3269"/>
      <c r="P335" s="3269"/>
      <c r="Q335" s="3269"/>
      <c r="R335" s="3269"/>
    </row>
    <row r="336" spans="1:18">
      <c r="A336" s="3269"/>
      <c r="P336" s="3269"/>
      <c r="Q336" s="3269"/>
      <c r="R336" s="3269"/>
    </row>
    <row r="337" spans="1:18">
      <c r="A337" s="3269"/>
      <c r="P337" s="3269"/>
      <c r="Q337" s="3269"/>
      <c r="R337" s="3269"/>
    </row>
    <row r="338" spans="1:18">
      <c r="A338" s="3269"/>
      <c r="P338" s="3269"/>
      <c r="Q338" s="3269"/>
      <c r="R338" s="3269"/>
    </row>
    <row r="339" spans="1:18">
      <c r="A339" s="3269"/>
      <c r="P339" s="3269"/>
      <c r="Q339" s="3269"/>
      <c r="R339" s="3269"/>
    </row>
    <row r="340" spans="1:18">
      <c r="A340" s="3269"/>
      <c r="P340" s="3269"/>
      <c r="Q340" s="3269"/>
      <c r="R340" s="3269"/>
    </row>
    <row r="341" spans="1:18">
      <c r="A341" s="3269"/>
      <c r="P341" s="3269"/>
      <c r="Q341" s="3269"/>
      <c r="R341" s="3269"/>
    </row>
    <row r="342" spans="1:18">
      <c r="A342" s="3269"/>
      <c r="P342" s="3269"/>
      <c r="Q342" s="3269"/>
      <c r="R342" s="3269"/>
    </row>
    <row r="343" spans="1:18">
      <c r="A343" s="3269"/>
      <c r="P343" s="3269"/>
      <c r="Q343" s="3269"/>
      <c r="R343" s="3269"/>
    </row>
    <row r="344" spans="1:18">
      <c r="A344" s="3269"/>
      <c r="P344" s="3269"/>
      <c r="Q344" s="3269"/>
      <c r="R344" s="3269"/>
    </row>
    <row r="345" spans="1:18">
      <c r="A345" s="3269"/>
      <c r="P345" s="3269"/>
      <c r="Q345" s="3269"/>
      <c r="R345" s="3269"/>
    </row>
    <row r="346" spans="1:18">
      <c r="A346" s="3269"/>
      <c r="P346" s="3269"/>
      <c r="Q346" s="3269"/>
      <c r="R346" s="3269"/>
    </row>
    <row r="347" spans="1:18">
      <c r="A347" s="3269"/>
      <c r="P347" s="3269"/>
      <c r="Q347" s="3269"/>
      <c r="R347" s="3269"/>
    </row>
    <row r="348" spans="1:18">
      <c r="A348" s="3269"/>
      <c r="P348" s="3269"/>
      <c r="Q348" s="3269"/>
      <c r="R348" s="3269"/>
    </row>
    <row r="349" spans="1:18">
      <c r="A349" s="3269"/>
      <c r="P349" s="3269"/>
      <c r="Q349" s="3269"/>
      <c r="R349" s="3269"/>
    </row>
    <row r="350" spans="1:18">
      <c r="A350" s="3269"/>
      <c r="P350" s="3269"/>
      <c r="Q350" s="3269"/>
      <c r="R350" s="3269"/>
    </row>
    <row r="351" spans="1:18">
      <c r="A351" s="3269"/>
      <c r="P351" s="3269"/>
      <c r="Q351" s="3269"/>
      <c r="R351" s="3269"/>
    </row>
    <row r="352" spans="1:18">
      <c r="A352" s="3269"/>
      <c r="P352" s="3269"/>
      <c r="Q352" s="3269"/>
      <c r="R352" s="3269"/>
    </row>
    <row r="353" spans="1:18">
      <c r="A353" s="3269"/>
      <c r="P353" s="3269"/>
      <c r="Q353" s="3269"/>
      <c r="R353" s="3269"/>
    </row>
    <row r="354" spans="1:18">
      <c r="A354" s="3269"/>
      <c r="P354" s="3269"/>
      <c r="Q354" s="3269"/>
      <c r="R354" s="3269"/>
    </row>
    <row r="356" spans="1:18" ht="13.5" thickBot="1"/>
    <row r="357" spans="1:18">
      <c r="A357" s="3326"/>
      <c r="B357" s="3327"/>
      <c r="C357" s="3328"/>
      <c r="D357" s="3329"/>
      <c r="E357" s="3329"/>
      <c r="F357" s="3329"/>
      <c r="G357" s="3329"/>
      <c r="H357" s="3329"/>
      <c r="I357" s="3329"/>
      <c r="J357" s="3329"/>
      <c r="K357" s="3329"/>
      <c r="L357" s="3329"/>
      <c r="M357" s="3329"/>
      <c r="N357" s="3329"/>
      <c r="O357" s="3329"/>
      <c r="P357" s="3330"/>
      <c r="Q357" s="3331"/>
      <c r="R357" s="3331"/>
    </row>
    <row r="358" spans="1:18">
      <c r="A358" s="3332"/>
    </row>
    <row r="359" spans="1:18">
      <c r="A359" s="3332"/>
    </row>
    <row r="360" spans="1:18">
      <c r="A360" s="3332"/>
    </row>
    <row r="361" spans="1:18">
      <c r="A361" s="3332"/>
    </row>
    <row r="362" spans="1:18">
      <c r="A362" s="3332"/>
    </row>
    <row r="363" spans="1:18">
      <c r="A363" s="3332"/>
    </row>
    <row r="364" spans="1:18">
      <c r="A364" s="3332"/>
    </row>
    <row r="365" spans="1:18">
      <c r="A365" s="3332"/>
    </row>
    <row r="366" spans="1:18">
      <c r="A366" s="3332"/>
    </row>
    <row r="367" spans="1:18">
      <c r="A367" s="3332"/>
    </row>
    <row r="368" spans="1:18" ht="13.5" thickBot="1">
      <c r="A368" s="3333"/>
      <c r="B368" s="3334"/>
      <c r="C368" s="3335"/>
      <c r="D368" s="3334"/>
      <c r="E368" s="3334"/>
      <c r="F368" s="3334"/>
      <c r="G368" s="3334"/>
      <c r="H368" s="3334"/>
      <c r="I368" s="3334"/>
      <c r="J368" s="3334"/>
      <c r="K368" s="3334"/>
      <c r="L368" s="3334"/>
      <c r="M368" s="3334"/>
      <c r="N368" s="3334"/>
      <c r="O368" s="3334"/>
      <c r="P368" s="3336"/>
      <c r="Q368" s="3337"/>
      <c r="R368" s="3337"/>
    </row>
    <row r="371" spans="1:18">
      <c r="A371" s="3269"/>
      <c r="P371" s="3269"/>
      <c r="Q371" s="3269"/>
      <c r="R371" s="3269"/>
    </row>
    <row r="372" spans="1:18">
      <c r="A372" s="3269"/>
      <c r="P372" s="3269"/>
      <c r="Q372" s="3269"/>
      <c r="R372" s="3269"/>
    </row>
    <row r="373" spans="1:18">
      <c r="A373" s="3269"/>
      <c r="P373" s="3269"/>
      <c r="Q373" s="3269"/>
      <c r="R373" s="3269"/>
    </row>
    <row r="374" spans="1:18">
      <c r="A374" s="3269"/>
      <c r="P374" s="3269"/>
      <c r="Q374" s="3269"/>
      <c r="R374" s="3269"/>
    </row>
    <row r="375" spans="1:18">
      <c r="A375" s="3269"/>
      <c r="P375" s="3269"/>
      <c r="Q375" s="3269"/>
      <c r="R375" s="3269"/>
    </row>
    <row r="376" spans="1:18">
      <c r="A376" s="3269"/>
      <c r="P376" s="3269"/>
      <c r="Q376" s="3269"/>
      <c r="R376" s="3269"/>
    </row>
    <row r="377" spans="1:18">
      <c r="A377" s="3269"/>
      <c r="P377" s="3269"/>
      <c r="Q377" s="3269"/>
      <c r="R377" s="3269"/>
    </row>
    <row r="378" spans="1:18">
      <c r="A378" s="3269"/>
      <c r="P378" s="3269"/>
      <c r="Q378" s="3269"/>
      <c r="R378" s="3269"/>
    </row>
    <row r="379" spans="1:18">
      <c r="A379" s="3269"/>
      <c r="P379" s="3269"/>
      <c r="Q379" s="3269"/>
      <c r="R379" s="3269"/>
    </row>
    <row r="380" spans="1:18">
      <c r="A380" s="3269"/>
      <c r="P380" s="3269"/>
      <c r="Q380" s="3269"/>
      <c r="R380" s="3269"/>
    </row>
    <row r="381" spans="1:18">
      <c r="A381" s="3269"/>
      <c r="P381" s="3269"/>
      <c r="Q381" s="3269"/>
      <c r="R381" s="3269"/>
    </row>
    <row r="382" spans="1:18">
      <c r="A382" s="3269"/>
      <c r="P382" s="3269"/>
      <c r="Q382" s="3269"/>
      <c r="R382" s="3269"/>
    </row>
    <row r="383" spans="1:18">
      <c r="A383" s="3269"/>
      <c r="P383" s="3269"/>
      <c r="Q383" s="3269"/>
      <c r="R383" s="3269"/>
    </row>
    <row r="384" spans="1:18">
      <c r="A384" s="3269"/>
      <c r="P384" s="3269"/>
      <c r="Q384" s="3269"/>
      <c r="R384" s="3269"/>
    </row>
    <row r="385" spans="1:18">
      <c r="A385" s="3269"/>
      <c r="P385" s="3269"/>
      <c r="Q385" s="3269"/>
      <c r="R385" s="3269"/>
    </row>
    <row r="386" spans="1:18">
      <c r="A386" s="3269"/>
      <c r="P386" s="3269"/>
      <c r="Q386" s="3269"/>
      <c r="R386" s="3269"/>
    </row>
    <row r="387" spans="1:18">
      <c r="A387" s="3269"/>
      <c r="P387" s="3269"/>
      <c r="Q387" s="3269"/>
      <c r="R387" s="3269"/>
    </row>
    <row r="388" spans="1:18">
      <c r="A388" s="3269"/>
      <c r="P388" s="3269"/>
      <c r="Q388" s="3269"/>
      <c r="R388" s="3269"/>
    </row>
    <row r="389" spans="1:18">
      <c r="A389" s="3269"/>
      <c r="P389" s="3269"/>
      <c r="Q389" s="3269"/>
      <c r="R389" s="3269"/>
    </row>
    <row r="390" spans="1:18">
      <c r="A390" s="3269"/>
      <c r="P390" s="3269"/>
      <c r="Q390" s="3269"/>
      <c r="R390" s="3269"/>
    </row>
    <row r="391" spans="1:18">
      <c r="A391" s="3269"/>
      <c r="P391" s="3269"/>
      <c r="Q391" s="3269"/>
      <c r="R391" s="3269"/>
    </row>
    <row r="392" spans="1:18">
      <c r="A392" s="3269"/>
      <c r="P392" s="3269"/>
      <c r="Q392" s="3269"/>
      <c r="R392" s="3269"/>
    </row>
    <row r="393" spans="1:18">
      <c r="A393" s="3269"/>
      <c r="P393" s="3269"/>
      <c r="Q393" s="3269"/>
      <c r="R393" s="3269"/>
    </row>
    <row r="394" spans="1:18">
      <c r="A394" s="3269"/>
      <c r="P394" s="3269"/>
      <c r="Q394" s="3269"/>
      <c r="R394" s="3269"/>
    </row>
    <row r="395" spans="1:18">
      <c r="A395" s="3269"/>
      <c r="P395" s="3269"/>
      <c r="Q395" s="3269"/>
      <c r="R395" s="3269"/>
    </row>
    <row r="396" spans="1:18">
      <c r="A396" s="3269"/>
      <c r="P396" s="3269"/>
      <c r="Q396" s="3269"/>
      <c r="R396" s="3269"/>
    </row>
    <row r="397" spans="1:18">
      <c r="A397" s="3269"/>
      <c r="P397" s="3269"/>
      <c r="Q397" s="3269"/>
      <c r="R397" s="3269"/>
    </row>
    <row r="398" spans="1:18">
      <c r="A398" s="3269"/>
      <c r="P398" s="3269"/>
      <c r="Q398" s="3269"/>
      <c r="R398" s="3269"/>
    </row>
    <row r="399" spans="1:18">
      <c r="A399" s="3269"/>
      <c r="P399" s="3269"/>
      <c r="Q399" s="3269"/>
      <c r="R399" s="3269"/>
    </row>
    <row r="400" spans="1:18">
      <c r="A400" s="3269"/>
      <c r="P400" s="3269"/>
      <c r="Q400" s="3269"/>
      <c r="R400" s="3269"/>
    </row>
    <row r="401" spans="1:18">
      <c r="A401" s="3269"/>
      <c r="P401" s="3269"/>
      <c r="Q401" s="3269"/>
      <c r="R401" s="3269"/>
    </row>
    <row r="402" spans="1:18">
      <c r="A402" s="3269"/>
      <c r="P402" s="3269"/>
      <c r="Q402" s="3269"/>
      <c r="R402" s="3269"/>
    </row>
    <row r="403" spans="1:18">
      <c r="A403" s="3269"/>
      <c r="P403" s="3269"/>
      <c r="Q403" s="3269"/>
      <c r="R403" s="3269"/>
    </row>
    <row r="404" spans="1:18">
      <c r="A404" s="3269"/>
      <c r="P404" s="3269"/>
      <c r="Q404" s="3269"/>
      <c r="R404" s="3269"/>
    </row>
    <row r="405" spans="1:18">
      <c r="A405" s="3269"/>
      <c r="P405" s="3269"/>
      <c r="Q405" s="3269"/>
      <c r="R405" s="3269"/>
    </row>
    <row r="406" spans="1:18">
      <c r="A406" s="3269"/>
      <c r="P406" s="3269"/>
      <c r="Q406" s="3269"/>
      <c r="R406" s="3269"/>
    </row>
    <row r="407" spans="1:18">
      <c r="A407" s="3269"/>
      <c r="P407" s="3269"/>
      <c r="Q407" s="3269"/>
      <c r="R407" s="3269"/>
    </row>
    <row r="408" spans="1:18">
      <c r="A408" s="3269"/>
      <c r="P408" s="3269"/>
      <c r="Q408" s="3269"/>
      <c r="R408" s="3269"/>
    </row>
    <row r="409" spans="1:18">
      <c r="A409" s="3269"/>
      <c r="P409" s="3269"/>
      <c r="Q409" s="3269"/>
      <c r="R409" s="3269"/>
    </row>
    <row r="410" spans="1:18">
      <c r="A410" s="3269"/>
      <c r="P410" s="3269"/>
      <c r="Q410" s="3269"/>
      <c r="R410" s="3269"/>
    </row>
    <row r="411" spans="1:18">
      <c r="A411" s="3269"/>
      <c r="P411" s="3269"/>
      <c r="Q411" s="3269"/>
      <c r="R411" s="3269"/>
    </row>
    <row r="412" spans="1:18">
      <c r="A412" s="3269"/>
      <c r="P412" s="3269"/>
      <c r="Q412" s="3269"/>
      <c r="R412" s="3269"/>
    </row>
    <row r="413" spans="1:18">
      <c r="A413" s="3269"/>
      <c r="P413" s="3269"/>
      <c r="Q413" s="3269"/>
      <c r="R413" s="3269"/>
    </row>
    <row r="414" spans="1:18">
      <c r="A414" s="3269"/>
      <c r="P414" s="3269"/>
      <c r="Q414" s="3269"/>
      <c r="R414" s="3269"/>
    </row>
    <row r="415" spans="1:18">
      <c r="A415" s="3269"/>
      <c r="P415" s="3269"/>
      <c r="Q415" s="3269"/>
      <c r="R415" s="3269"/>
    </row>
    <row r="416" spans="1:18">
      <c r="A416" s="3269"/>
      <c r="P416" s="3269"/>
      <c r="Q416" s="3269"/>
      <c r="R416" s="3269"/>
    </row>
    <row r="417" spans="1:18">
      <c r="A417" s="3269"/>
      <c r="P417" s="3269"/>
      <c r="Q417" s="3269"/>
      <c r="R417" s="3269"/>
    </row>
    <row r="418" spans="1:18">
      <c r="A418" s="3269"/>
      <c r="P418" s="3269"/>
      <c r="Q418" s="3269"/>
      <c r="R418" s="3269"/>
    </row>
    <row r="419" spans="1:18">
      <c r="A419" s="3269"/>
      <c r="P419" s="3269"/>
      <c r="Q419" s="3269"/>
      <c r="R419" s="3269"/>
    </row>
    <row r="420" spans="1:18">
      <c r="A420" s="3269"/>
      <c r="P420" s="3269"/>
      <c r="Q420" s="3269"/>
      <c r="R420" s="3269"/>
    </row>
    <row r="421" spans="1:18">
      <c r="A421" s="3269"/>
      <c r="P421" s="3269"/>
      <c r="Q421" s="3269"/>
      <c r="R421" s="3269"/>
    </row>
    <row r="422" spans="1:18">
      <c r="A422" s="3269"/>
      <c r="P422" s="3269"/>
      <c r="Q422" s="3269"/>
      <c r="R422" s="3269"/>
    </row>
    <row r="423" spans="1:18">
      <c r="A423" s="3269"/>
      <c r="P423" s="3269"/>
      <c r="Q423" s="3269"/>
      <c r="R423" s="3269"/>
    </row>
    <row r="424" spans="1:18">
      <c r="A424" s="3269"/>
      <c r="P424" s="3269"/>
      <c r="Q424" s="3269"/>
      <c r="R424" s="3269"/>
    </row>
    <row r="425" spans="1:18">
      <c r="A425" s="3269"/>
      <c r="P425" s="3269"/>
      <c r="Q425" s="3269"/>
      <c r="R425" s="3269"/>
    </row>
    <row r="426" spans="1:18">
      <c r="A426" s="3269"/>
      <c r="P426" s="3269"/>
      <c r="Q426" s="3269"/>
      <c r="R426" s="3269"/>
    </row>
    <row r="427" spans="1:18">
      <c r="A427" s="3269"/>
      <c r="P427" s="3269"/>
      <c r="Q427" s="3269"/>
      <c r="R427" s="3269"/>
    </row>
    <row r="428" spans="1:18">
      <c r="A428" s="3269"/>
      <c r="P428" s="3269"/>
      <c r="Q428" s="3269"/>
      <c r="R428" s="3269"/>
    </row>
    <row r="429" spans="1:18">
      <c r="A429" s="3269"/>
      <c r="P429" s="3269"/>
      <c r="Q429" s="3269"/>
      <c r="R429" s="3269"/>
    </row>
    <row r="430" spans="1:18">
      <c r="A430" s="3269"/>
      <c r="P430" s="3269"/>
      <c r="Q430" s="3269"/>
      <c r="R430" s="3269"/>
    </row>
    <row r="431" spans="1:18">
      <c r="A431" s="3269"/>
      <c r="P431" s="3269"/>
      <c r="Q431" s="3269"/>
      <c r="R431" s="3269"/>
    </row>
    <row r="432" spans="1:18">
      <c r="A432" s="3269"/>
      <c r="P432" s="3269"/>
      <c r="Q432" s="3269"/>
      <c r="R432" s="3269"/>
    </row>
    <row r="433" spans="1:18">
      <c r="A433" s="3269"/>
      <c r="P433" s="3269"/>
      <c r="Q433" s="3269"/>
      <c r="R433" s="3269"/>
    </row>
    <row r="434" spans="1:18">
      <c r="A434" s="3269"/>
      <c r="P434" s="3269"/>
      <c r="Q434" s="3269"/>
      <c r="R434" s="3269"/>
    </row>
    <row r="435" spans="1:18">
      <c r="A435" s="3269"/>
      <c r="P435" s="3269"/>
      <c r="Q435" s="3269"/>
      <c r="R435" s="3269"/>
    </row>
    <row r="436" spans="1:18">
      <c r="A436" s="3269"/>
      <c r="P436" s="3269"/>
      <c r="Q436" s="3269"/>
      <c r="R436" s="3269"/>
    </row>
    <row r="437" spans="1:18">
      <c r="A437" s="3269"/>
      <c r="P437" s="3269"/>
      <c r="Q437" s="3269"/>
      <c r="R437" s="3269"/>
    </row>
    <row r="438" spans="1:18">
      <c r="A438" s="3269"/>
      <c r="P438" s="3269"/>
      <c r="Q438" s="3269"/>
      <c r="R438" s="3269"/>
    </row>
    <row r="439" spans="1:18">
      <c r="A439" s="3269"/>
      <c r="P439" s="3269"/>
      <c r="Q439" s="3269"/>
      <c r="R439" s="3269"/>
    </row>
    <row r="440" spans="1:18">
      <c r="A440" s="3269"/>
      <c r="P440" s="3269"/>
      <c r="Q440" s="3269"/>
      <c r="R440" s="3269"/>
    </row>
    <row r="441" spans="1:18">
      <c r="A441" s="3269"/>
      <c r="P441" s="3269"/>
      <c r="Q441" s="3269"/>
      <c r="R441" s="3269"/>
    </row>
    <row r="442" spans="1:18">
      <c r="A442" s="3269"/>
      <c r="P442" s="3269"/>
      <c r="Q442" s="3269"/>
      <c r="R442" s="3269"/>
    </row>
    <row r="443" spans="1:18">
      <c r="A443" s="3269"/>
      <c r="P443" s="3269"/>
      <c r="Q443" s="3269"/>
      <c r="R443" s="3269"/>
    </row>
    <row r="444" spans="1:18">
      <c r="A444" s="3269"/>
      <c r="P444" s="3269"/>
      <c r="Q444" s="3269"/>
      <c r="R444" s="3269"/>
    </row>
    <row r="445" spans="1:18">
      <c r="A445" s="3269"/>
      <c r="P445" s="3269"/>
      <c r="Q445" s="3269"/>
      <c r="R445" s="3269"/>
    </row>
    <row r="446" spans="1:18">
      <c r="A446" s="3269"/>
      <c r="P446" s="3269"/>
      <c r="Q446" s="3269"/>
      <c r="R446" s="3269"/>
    </row>
    <row r="447" spans="1:18">
      <c r="A447" s="3269"/>
      <c r="P447" s="3269"/>
      <c r="Q447" s="3269"/>
      <c r="R447" s="3269"/>
    </row>
    <row r="448" spans="1:18">
      <c r="A448" s="3269"/>
      <c r="P448" s="3269"/>
      <c r="Q448" s="3269"/>
      <c r="R448" s="3269"/>
    </row>
    <row r="449" spans="1:18">
      <c r="A449" s="3269"/>
      <c r="P449" s="3269"/>
      <c r="Q449" s="3269"/>
      <c r="R449" s="3269"/>
    </row>
    <row r="450" spans="1:18">
      <c r="A450" s="3269"/>
      <c r="P450" s="3269"/>
      <c r="Q450" s="3269"/>
      <c r="R450" s="3269"/>
    </row>
    <row r="451" spans="1:18">
      <c r="A451" s="3269"/>
      <c r="P451" s="3269"/>
      <c r="Q451" s="3269"/>
      <c r="R451" s="3269"/>
    </row>
    <row r="452" spans="1:18">
      <c r="A452" s="3269"/>
      <c r="P452" s="3269"/>
      <c r="Q452" s="3269"/>
      <c r="R452" s="3269"/>
    </row>
    <row r="453" spans="1:18">
      <c r="A453" s="3269"/>
      <c r="P453" s="3269"/>
      <c r="Q453" s="3269"/>
      <c r="R453" s="3269"/>
    </row>
    <row r="454" spans="1:18">
      <c r="A454" s="3269"/>
      <c r="P454" s="3269"/>
      <c r="Q454" s="3269"/>
      <c r="R454" s="3269"/>
    </row>
    <row r="455" spans="1:18">
      <c r="A455" s="3269"/>
      <c r="P455" s="3269"/>
      <c r="Q455" s="3269"/>
      <c r="R455" s="3269"/>
    </row>
    <row r="456" spans="1:18">
      <c r="A456" s="3269"/>
      <c r="P456" s="3269"/>
      <c r="Q456" s="3269"/>
      <c r="R456" s="3269"/>
    </row>
    <row r="457" spans="1:18">
      <c r="A457" s="3269"/>
      <c r="P457" s="3269"/>
      <c r="Q457" s="3269"/>
      <c r="R457" s="3269"/>
    </row>
    <row r="458" spans="1:18">
      <c r="A458" s="3269"/>
      <c r="P458" s="3269"/>
      <c r="Q458" s="3269"/>
      <c r="R458" s="3269"/>
    </row>
    <row r="459" spans="1:18">
      <c r="A459" s="3269"/>
      <c r="P459" s="3269"/>
      <c r="Q459" s="3269"/>
      <c r="R459" s="3269"/>
    </row>
    <row r="460" spans="1:18">
      <c r="A460" s="3269"/>
      <c r="P460" s="3269"/>
      <c r="Q460" s="3269"/>
      <c r="R460" s="3269"/>
    </row>
    <row r="461" spans="1:18">
      <c r="A461" s="3269"/>
      <c r="P461" s="3269"/>
      <c r="Q461" s="3269"/>
      <c r="R461" s="3269"/>
    </row>
    <row r="462" spans="1:18">
      <c r="A462" s="3269"/>
      <c r="P462" s="3269"/>
      <c r="Q462" s="3269"/>
      <c r="R462" s="3269"/>
    </row>
    <row r="463" spans="1:18">
      <c r="A463" s="3269"/>
      <c r="P463" s="3269"/>
      <c r="Q463" s="3269"/>
      <c r="R463" s="3269"/>
    </row>
    <row r="464" spans="1:18">
      <c r="A464" s="3269"/>
      <c r="P464" s="3269"/>
      <c r="Q464" s="3269"/>
      <c r="R464" s="3269"/>
    </row>
    <row r="465" spans="1:18">
      <c r="A465" s="3269"/>
      <c r="P465" s="3269"/>
      <c r="Q465" s="3269"/>
      <c r="R465" s="3269"/>
    </row>
    <row r="466" spans="1:18">
      <c r="A466" s="3269"/>
      <c r="P466" s="3269"/>
      <c r="Q466" s="3269"/>
      <c r="R466" s="3269"/>
    </row>
    <row r="467" spans="1:18">
      <c r="A467" s="3269"/>
      <c r="P467" s="3269"/>
      <c r="Q467" s="3269"/>
      <c r="R467" s="3269"/>
    </row>
    <row r="468" spans="1:18">
      <c r="A468" s="3269"/>
      <c r="P468" s="3269"/>
      <c r="Q468" s="3269"/>
      <c r="R468" s="3269"/>
    </row>
    <row r="469" spans="1:18">
      <c r="A469" s="3269"/>
      <c r="P469" s="3269"/>
      <c r="Q469" s="3269"/>
      <c r="R469" s="3269"/>
    </row>
    <row r="470" spans="1:18">
      <c r="A470" s="3269"/>
      <c r="P470" s="3269"/>
      <c r="Q470" s="3269"/>
      <c r="R470" s="3269"/>
    </row>
    <row r="471" spans="1:18">
      <c r="A471" s="3269"/>
      <c r="P471" s="3269"/>
      <c r="Q471" s="3269"/>
      <c r="R471" s="3269"/>
    </row>
    <row r="472" spans="1:18">
      <c r="A472" s="3269"/>
      <c r="P472" s="3269"/>
      <c r="Q472" s="3269"/>
      <c r="R472" s="3269"/>
    </row>
    <row r="473" spans="1:18">
      <c r="A473" s="3269"/>
      <c r="P473" s="3269"/>
      <c r="Q473" s="3269"/>
      <c r="R473" s="3269"/>
    </row>
    <row r="474" spans="1:18">
      <c r="A474" s="3269"/>
      <c r="P474" s="3269"/>
      <c r="Q474" s="3269"/>
      <c r="R474" s="3269"/>
    </row>
    <row r="475" spans="1:18">
      <c r="A475" s="3269"/>
      <c r="P475" s="3269"/>
      <c r="Q475" s="3269"/>
      <c r="R475" s="3269"/>
    </row>
    <row r="476" spans="1:18">
      <c r="A476" s="3269"/>
      <c r="P476" s="3269"/>
      <c r="Q476" s="3269"/>
      <c r="R476" s="3269"/>
    </row>
    <row r="477" spans="1:18">
      <c r="A477" s="3269"/>
      <c r="P477" s="3269"/>
      <c r="Q477" s="3269"/>
      <c r="R477" s="3269"/>
    </row>
    <row r="478" spans="1:18">
      <c r="A478" s="3269"/>
      <c r="P478" s="3269"/>
      <c r="Q478" s="3269"/>
      <c r="R478" s="3269"/>
    </row>
    <row r="479" spans="1:18">
      <c r="A479" s="3269"/>
      <c r="P479" s="3269"/>
      <c r="Q479" s="3269"/>
      <c r="R479" s="3269"/>
    </row>
    <row r="480" spans="1:18">
      <c r="A480" s="3269"/>
      <c r="P480" s="3269"/>
      <c r="Q480" s="3269"/>
      <c r="R480" s="3269"/>
    </row>
    <row r="481" spans="1:18">
      <c r="A481" s="3269"/>
      <c r="P481" s="3269"/>
      <c r="Q481" s="3269"/>
      <c r="R481" s="3269"/>
    </row>
    <row r="482" spans="1:18">
      <c r="A482" s="3269"/>
      <c r="P482" s="3269"/>
      <c r="Q482" s="3269"/>
      <c r="R482" s="3269"/>
    </row>
    <row r="483" spans="1:18">
      <c r="A483" s="3269"/>
      <c r="P483" s="3269"/>
      <c r="Q483" s="3269"/>
      <c r="R483" s="3269"/>
    </row>
    <row r="484" spans="1:18">
      <c r="A484" s="3269"/>
      <c r="P484" s="3269"/>
      <c r="Q484" s="3269"/>
      <c r="R484" s="3269"/>
    </row>
    <row r="485" spans="1:18">
      <c r="A485" s="3269"/>
      <c r="P485" s="3269"/>
      <c r="Q485" s="3269"/>
      <c r="R485" s="3269"/>
    </row>
    <row r="486" spans="1:18">
      <c r="A486" s="3269"/>
      <c r="P486" s="3269"/>
      <c r="Q486" s="3269"/>
      <c r="R486" s="3269"/>
    </row>
    <row r="487" spans="1:18">
      <c r="A487" s="3269"/>
      <c r="P487" s="3269"/>
      <c r="Q487" s="3269"/>
      <c r="R487" s="3269"/>
    </row>
    <row r="488" spans="1:18">
      <c r="A488" s="3269"/>
      <c r="P488" s="3269"/>
      <c r="Q488" s="3269"/>
      <c r="R488" s="3269"/>
    </row>
    <row r="489" spans="1:18">
      <c r="A489" s="3269"/>
      <c r="P489" s="3269"/>
      <c r="Q489" s="3269"/>
      <c r="R489" s="3269"/>
    </row>
    <row r="490" spans="1:18">
      <c r="A490" s="3269"/>
      <c r="P490" s="3269"/>
      <c r="Q490" s="3269"/>
      <c r="R490" s="3269"/>
    </row>
    <row r="491" spans="1:18">
      <c r="A491" s="3269"/>
      <c r="P491" s="3269"/>
      <c r="Q491" s="3269"/>
      <c r="R491" s="3269"/>
    </row>
    <row r="492" spans="1:18">
      <c r="A492" s="3269"/>
      <c r="P492" s="3269"/>
      <c r="Q492" s="3269"/>
      <c r="R492" s="3269"/>
    </row>
    <row r="493" spans="1:18">
      <c r="A493" s="3269"/>
      <c r="P493" s="3269"/>
      <c r="Q493" s="3269"/>
      <c r="R493" s="3269"/>
    </row>
    <row r="494" spans="1:18">
      <c r="A494" s="3269"/>
      <c r="P494" s="3269"/>
      <c r="Q494" s="3269"/>
      <c r="R494" s="3269"/>
    </row>
    <row r="495" spans="1:18">
      <c r="A495" s="3269"/>
      <c r="P495" s="3269"/>
      <c r="Q495" s="3269"/>
      <c r="R495" s="3269"/>
    </row>
    <row r="496" spans="1:18">
      <c r="A496" s="3269"/>
      <c r="P496" s="3269"/>
      <c r="Q496" s="3269"/>
      <c r="R496" s="3269"/>
    </row>
    <row r="497" spans="1:18">
      <c r="A497" s="3269"/>
      <c r="P497" s="3269"/>
      <c r="Q497" s="3269"/>
      <c r="R497" s="3269"/>
    </row>
    <row r="498" spans="1:18">
      <c r="A498" s="3269"/>
      <c r="P498" s="3269"/>
      <c r="Q498" s="3269"/>
      <c r="R498" s="3269"/>
    </row>
    <row r="499" spans="1:18">
      <c r="A499" s="3269"/>
      <c r="P499" s="3269"/>
      <c r="Q499" s="3269"/>
      <c r="R499" s="3269"/>
    </row>
    <row r="500" spans="1:18">
      <c r="A500" s="3269"/>
      <c r="P500" s="3269"/>
      <c r="Q500" s="3269"/>
      <c r="R500" s="3269"/>
    </row>
    <row r="501" spans="1:18">
      <c r="A501" s="3269"/>
      <c r="P501" s="3269"/>
      <c r="Q501" s="3269"/>
      <c r="R501" s="3269"/>
    </row>
    <row r="502" spans="1:18">
      <c r="A502" s="3269"/>
      <c r="P502" s="3269"/>
      <c r="Q502" s="3269"/>
      <c r="R502" s="3269"/>
    </row>
    <row r="503" spans="1:18">
      <c r="A503" s="3269"/>
      <c r="P503" s="3269"/>
      <c r="Q503" s="3269"/>
      <c r="R503" s="3269"/>
    </row>
    <row r="504" spans="1:18">
      <c r="A504" s="3269"/>
      <c r="P504" s="3269"/>
      <c r="Q504" s="3269"/>
      <c r="R504" s="3269"/>
    </row>
    <row r="505" spans="1:18">
      <c r="A505" s="3269"/>
      <c r="P505" s="3269"/>
      <c r="Q505" s="3269"/>
      <c r="R505" s="3269"/>
    </row>
    <row r="506" spans="1:18">
      <c r="A506" s="3269"/>
      <c r="P506" s="3269"/>
      <c r="Q506" s="3269"/>
      <c r="R506" s="3269"/>
    </row>
    <row r="507" spans="1:18">
      <c r="A507" s="3269"/>
      <c r="P507" s="3269"/>
      <c r="Q507" s="3269"/>
      <c r="R507" s="3269"/>
    </row>
    <row r="508" spans="1:18">
      <c r="A508" s="3269"/>
      <c r="P508" s="3269"/>
      <c r="Q508" s="3269"/>
      <c r="R508" s="3269"/>
    </row>
    <row r="509" spans="1:18">
      <c r="A509" s="3269"/>
      <c r="P509" s="3269"/>
      <c r="Q509" s="3269"/>
      <c r="R509" s="3269"/>
    </row>
    <row r="510" spans="1:18">
      <c r="A510" s="3269"/>
      <c r="P510" s="3269"/>
      <c r="Q510" s="3269"/>
      <c r="R510" s="3269"/>
    </row>
    <row r="511" spans="1:18">
      <c r="A511" s="3269"/>
      <c r="P511" s="3269"/>
      <c r="Q511" s="3269"/>
      <c r="R511" s="3269"/>
    </row>
    <row r="512" spans="1:18">
      <c r="A512" s="3269"/>
      <c r="P512" s="3269"/>
      <c r="Q512" s="3269"/>
      <c r="R512" s="3269"/>
    </row>
    <row r="513" spans="1:18">
      <c r="A513" s="3269"/>
      <c r="P513" s="3269"/>
      <c r="Q513" s="3269"/>
      <c r="R513" s="3269"/>
    </row>
    <row r="514" spans="1:18">
      <c r="A514" s="3269"/>
      <c r="P514" s="3269"/>
      <c r="Q514" s="3269"/>
      <c r="R514" s="3269"/>
    </row>
    <row r="515" spans="1:18">
      <c r="A515" s="3269"/>
      <c r="P515" s="3269"/>
      <c r="Q515" s="3269"/>
      <c r="R515" s="3269"/>
    </row>
    <row r="516" spans="1:18">
      <c r="A516" s="3269"/>
      <c r="P516" s="3269"/>
      <c r="Q516" s="3269"/>
      <c r="R516" s="3269"/>
    </row>
    <row r="517" spans="1:18">
      <c r="A517" s="3269"/>
      <c r="P517" s="3269"/>
      <c r="Q517" s="3269"/>
      <c r="R517" s="3269"/>
    </row>
    <row r="518" spans="1:18">
      <c r="A518" s="3269"/>
      <c r="P518" s="3269"/>
      <c r="Q518" s="3269"/>
      <c r="R518" s="3269"/>
    </row>
    <row r="519" spans="1:18">
      <c r="A519" s="3269"/>
      <c r="P519" s="3269"/>
      <c r="Q519" s="3269"/>
      <c r="R519" s="3269"/>
    </row>
    <row r="520" spans="1:18">
      <c r="A520" s="3269"/>
      <c r="P520" s="3269"/>
      <c r="Q520" s="3269"/>
      <c r="R520" s="3269"/>
    </row>
    <row r="521" spans="1:18">
      <c r="A521" s="3269"/>
      <c r="P521" s="3269"/>
      <c r="Q521" s="3269"/>
      <c r="R521" s="3269"/>
    </row>
    <row r="522" spans="1:18">
      <c r="A522" s="3269"/>
      <c r="P522" s="3269"/>
      <c r="Q522" s="3269"/>
      <c r="R522" s="3269"/>
    </row>
    <row r="523" spans="1:18">
      <c r="A523" s="3269"/>
      <c r="P523" s="3269"/>
      <c r="Q523" s="3269"/>
      <c r="R523" s="3269"/>
    </row>
    <row r="524" spans="1:18">
      <c r="A524" s="3269"/>
      <c r="P524" s="3269"/>
      <c r="Q524" s="3269"/>
      <c r="R524" s="3269"/>
    </row>
    <row r="525" spans="1:18">
      <c r="A525" s="3269"/>
      <c r="P525" s="3269"/>
      <c r="Q525" s="3269"/>
      <c r="R525" s="3269"/>
    </row>
    <row r="526" spans="1:18">
      <c r="A526" s="3269"/>
      <c r="P526" s="3269"/>
      <c r="Q526" s="3269"/>
      <c r="R526" s="3269"/>
    </row>
    <row r="527" spans="1:18">
      <c r="A527" s="3269"/>
      <c r="P527" s="3269"/>
      <c r="Q527" s="3269"/>
      <c r="R527" s="3269"/>
    </row>
    <row r="528" spans="1:18">
      <c r="A528" s="3269"/>
      <c r="P528" s="3269"/>
      <c r="Q528" s="3269"/>
      <c r="R528" s="3269"/>
    </row>
    <row r="529" spans="1:18">
      <c r="A529" s="3269"/>
      <c r="P529" s="3269"/>
      <c r="Q529" s="3269"/>
      <c r="R529" s="3269"/>
    </row>
    <row r="530" spans="1:18">
      <c r="A530" s="3269"/>
      <c r="P530" s="3269"/>
      <c r="Q530" s="3269"/>
      <c r="R530" s="3269"/>
    </row>
    <row r="531" spans="1:18">
      <c r="A531" s="3269"/>
      <c r="P531" s="3269"/>
      <c r="Q531" s="3269"/>
      <c r="R531" s="3269"/>
    </row>
    <row r="532" spans="1:18">
      <c r="A532" s="3269"/>
      <c r="P532" s="3269"/>
      <c r="Q532" s="3269"/>
      <c r="R532" s="3269"/>
    </row>
    <row r="533" spans="1:18">
      <c r="A533" s="3269"/>
      <c r="P533" s="3269"/>
      <c r="Q533" s="3269"/>
      <c r="R533" s="3269"/>
    </row>
    <row r="534" spans="1:18">
      <c r="A534" s="3269"/>
      <c r="P534" s="3269"/>
      <c r="Q534" s="3269"/>
      <c r="R534" s="3269"/>
    </row>
    <row r="535" spans="1:18">
      <c r="A535" s="3269"/>
      <c r="P535" s="3269"/>
      <c r="Q535" s="3269"/>
      <c r="R535" s="3269"/>
    </row>
    <row r="536" spans="1:18">
      <c r="A536" s="3269"/>
      <c r="P536" s="3269"/>
      <c r="Q536" s="3269"/>
      <c r="R536" s="3269"/>
    </row>
    <row r="537" spans="1:18">
      <c r="A537" s="3269"/>
      <c r="P537" s="3269"/>
      <c r="Q537" s="3269"/>
      <c r="R537" s="3269"/>
    </row>
    <row r="538" spans="1:18">
      <c r="A538" s="3269"/>
      <c r="P538" s="3269"/>
      <c r="Q538" s="3269"/>
      <c r="R538" s="3269"/>
    </row>
    <row r="539" spans="1:18">
      <c r="A539" s="3269"/>
      <c r="P539" s="3269"/>
      <c r="Q539" s="3269"/>
      <c r="R539" s="3269"/>
    </row>
    <row r="540" spans="1:18">
      <c r="A540" s="3269"/>
      <c r="P540" s="3269"/>
      <c r="Q540" s="3269"/>
      <c r="R540" s="3269"/>
    </row>
    <row r="541" spans="1:18">
      <c r="A541" s="3269"/>
      <c r="P541" s="3269"/>
      <c r="Q541" s="3269"/>
      <c r="R541" s="3269"/>
    </row>
    <row r="542" spans="1:18">
      <c r="A542" s="3269"/>
      <c r="P542" s="3269"/>
      <c r="Q542" s="3269"/>
      <c r="R542" s="3269"/>
    </row>
    <row r="543" spans="1:18">
      <c r="A543" s="3269"/>
      <c r="P543" s="3269"/>
      <c r="Q543" s="3269"/>
      <c r="R543" s="3269"/>
    </row>
    <row r="544" spans="1:18">
      <c r="A544" s="3269"/>
      <c r="P544" s="3269"/>
      <c r="Q544" s="3269"/>
      <c r="R544" s="3269"/>
    </row>
    <row r="545" spans="1:18">
      <c r="A545" s="3269"/>
      <c r="P545" s="3269"/>
      <c r="Q545" s="3269"/>
      <c r="R545" s="3269"/>
    </row>
    <row r="546" spans="1:18">
      <c r="A546" s="3269"/>
      <c r="P546" s="3269"/>
      <c r="Q546" s="3269"/>
      <c r="R546" s="3269"/>
    </row>
    <row r="547" spans="1:18">
      <c r="A547" s="3269"/>
      <c r="P547" s="3269"/>
      <c r="Q547" s="3269"/>
      <c r="R547" s="3269"/>
    </row>
    <row r="548" spans="1:18">
      <c r="A548" s="3269"/>
      <c r="P548" s="3269"/>
      <c r="Q548" s="3269"/>
      <c r="R548" s="3269"/>
    </row>
    <row r="549" spans="1:18">
      <c r="A549" s="3269"/>
      <c r="P549" s="3269"/>
      <c r="Q549" s="3269"/>
      <c r="R549" s="3269"/>
    </row>
    <row r="550" spans="1:18">
      <c r="A550" s="3269"/>
      <c r="P550" s="3269"/>
      <c r="Q550" s="3269"/>
      <c r="R550" s="3269"/>
    </row>
    <row r="551" spans="1:18">
      <c r="A551" s="3269"/>
      <c r="P551" s="3269"/>
      <c r="Q551" s="3269"/>
      <c r="R551" s="3269"/>
    </row>
    <row r="552" spans="1:18">
      <c r="A552" s="3269"/>
      <c r="P552" s="3269"/>
      <c r="Q552" s="3269"/>
      <c r="R552" s="3269"/>
    </row>
    <row r="553" spans="1:18">
      <c r="A553" s="3269"/>
      <c r="P553" s="3269"/>
      <c r="Q553" s="3269"/>
      <c r="R553" s="3269"/>
    </row>
    <row r="554" spans="1:18">
      <c r="A554" s="3269"/>
      <c r="P554" s="3269"/>
      <c r="Q554" s="3269"/>
      <c r="R554" s="3269"/>
    </row>
    <row r="555" spans="1:18">
      <c r="A555" s="3269"/>
      <c r="P555" s="3269"/>
      <c r="Q555" s="3269"/>
      <c r="R555" s="3269"/>
    </row>
    <row r="556" spans="1:18">
      <c r="A556" s="3269"/>
      <c r="P556" s="3269"/>
      <c r="Q556" s="3269"/>
      <c r="R556" s="3269"/>
    </row>
    <row r="557" spans="1:18">
      <c r="A557" s="3269"/>
      <c r="P557" s="3269"/>
      <c r="Q557" s="3269"/>
      <c r="R557" s="3269"/>
    </row>
    <row r="558" spans="1:18">
      <c r="A558" s="3269"/>
      <c r="P558" s="3269"/>
      <c r="Q558" s="3269"/>
      <c r="R558" s="3269"/>
    </row>
    <row r="559" spans="1:18">
      <c r="A559" s="3269"/>
      <c r="P559" s="3269"/>
      <c r="Q559" s="3269"/>
      <c r="R559" s="3269"/>
    </row>
    <row r="560" spans="1:18">
      <c r="A560" s="3269"/>
      <c r="P560" s="3269"/>
      <c r="Q560" s="3269"/>
      <c r="R560" s="3269"/>
    </row>
    <row r="561" spans="1:18">
      <c r="A561" s="3269"/>
      <c r="P561" s="3269"/>
      <c r="Q561" s="3269"/>
      <c r="R561" s="3269"/>
    </row>
    <row r="562" spans="1:18">
      <c r="A562" s="3269"/>
      <c r="P562" s="3269"/>
      <c r="Q562" s="3269"/>
      <c r="R562" s="3269"/>
    </row>
    <row r="563" spans="1:18">
      <c r="A563" s="3269"/>
      <c r="P563" s="3269"/>
      <c r="Q563" s="3269"/>
      <c r="R563" s="3269"/>
    </row>
    <row r="564" spans="1:18">
      <c r="A564" s="3269"/>
      <c r="P564" s="3269"/>
      <c r="Q564" s="3269"/>
      <c r="R564" s="3269"/>
    </row>
    <row r="565" spans="1:18">
      <c r="A565" s="3269"/>
      <c r="P565" s="3269"/>
      <c r="Q565" s="3269"/>
      <c r="R565" s="3269"/>
    </row>
    <row r="566" spans="1:18">
      <c r="A566" s="3269"/>
      <c r="P566" s="3269"/>
      <c r="Q566" s="3269"/>
      <c r="R566" s="3269"/>
    </row>
    <row r="567" spans="1:18">
      <c r="A567" s="3269"/>
      <c r="P567" s="3269"/>
      <c r="Q567" s="3269"/>
      <c r="R567" s="3269"/>
    </row>
    <row r="568" spans="1:18">
      <c r="A568" s="3269"/>
      <c r="P568" s="3269"/>
      <c r="Q568" s="3269"/>
      <c r="R568" s="3269"/>
    </row>
    <row r="569" spans="1:18">
      <c r="A569" s="3269"/>
      <c r="P569" s="3269"/>
      <c r="Q569" s="3269"/>
      <c r="R569" s="3269"/>
    </row>
    <row r="570" spans="1:18">
      <c r="A570" s="3269"/>
      <c r="P570" s="3269"/>
      <c r="Q570" s="3269"/>
      <c r="R570" s="3269"/>
    </row>
    <row r="571" spans="1:18">
      <c r="A571" s="3269"/>
      <c r="P571" s="3269"/>
      <c r="Q571" s="3269"/>
      <c r="R571" s="3269"/>
    </row>
    <row r="572" spans="1:18">
      <c r="A572" s="3269"/>
      <c r="P572" s="3269"/>
      <c r="Q572" s="3269"/>
      <c r="R572" s="3269"/>
    </row>
    <row r="573" spans="1:18">
      <c r="A573" s="3269"/>
      <c r="P573" s="3269"/>
      <c r="Q573" s="3269"/>
      <c r="R573" s="3269"/>
    </row>
    <row r="574" spans="1:18">
      <c r="A574" s="3269"/>
      <c r="P574" s="3269"/>
      <c r="Q574" s="3269"/>
      <c r="R574" s="3269"/>
    </row>
    <row r="575" spans="1:18">
      <c r="A575" s="3269"/>
      <c r="P575" s="3269"/>
      <c r="Q575" s="3269"/>
      <c r="R575" s="3269"/>
    </row>
    <row r="576" spans="1:18">
      <c r="A576" s="3269"/>
      <c r="P576" s="3269"/>
      <c r="Q576" s="3269"/>
      <c r="R576" s="3269"/>
    </row>
    <row r="577" spans="1:18">
      <c r="A577" s="3269"/>
      <c r="P577" s="3269"/>
      <c r="Q577" s="3269"/>
      <c r="R577" s="3269"/>
    </row>
    <row r="578" spans="1:18">
      <c r="A578" s="3269"/>
      <c r="P578" s="3269"/>
      <c r="Q578" s="3269"/>
      <c r="R578" s="3269"/>
    </row>
    <row r="579" spans="1:18">
      <c r="A579" s="3269"/>
      <c r="P579" s="3269"/>
      <c r="Q579" s="3269"/>
      <c r="R579" s="3269"/>
    </row>
    <row r="580" spans="1:18">
      <c r="A580" s="3269"/>
      <c r="P580" s="3269"/>
      <c r="Q580" s="3269"/>
      <c r="R580" s="3269"/>
    </row>
    <row r="581" spans="1:18">
      <c r="A581" s="3269"/>
      <c r="P581" s="3269"/>
      <c r="Q581" s="3269"/>
      <c r="R581" s="3269"/>
    </row>
    <row r="582" spans="1:18">
      <c r="A582" s="3269"/>
      <c r="P582" s="3269"/>
      <c r="Q582" s="3269"/>
      <c r="R582" s="3269"/>
    </row>
    <row r="583" spans="1:18">
      <c r="A583" s="3269"/>
      <c r="P583" s="3269"/>
      <c r="Q583" s="3269"/>
      <c r="R583" s="3269"/>
    </row>
    <row r="584" spans="1:18">
      <c r="A584" s="3269"/>
      <c r="P584" s="3269"/>
      <c r="Q584" s="3269"/>
      <c r="R584" s="3269"/>
    </row>
    <row r="585" spans="1:18">
      <c r="A585" s="3269"/>
      <c r="P585" s="3269"/>
      <c r="Q585" s="3269"/>
      <c r="R585" s="3269"/>
    </row>
    <row r="586" spans="1:18">
      <c r="A586" s="3269"/>
      <c r="P586" s="3269"/>
      <c r="Q586" s="3269"/>
      <c r="R586" s="3269"/>
    </row>
    <row r="587" spans="1:18">
      <c r="A587" s="3269"/>
      <c r="P587" s="3269"/>
      <c r="Q587" s="3269"/>
      <c r="R587" s="3269"/>
    </row>
    <row r="588" spans="1:18">
      <c r="A588" s="3269"/>
      <c r="P588" s="3269"/>
      <c r="Q588" s="3269"/>
      <c r="R588" s="3269"/>
    </row>
    <row r="589" spans="1:18">
      <c r="A589" s="3269"/>
      <c r="P589" s="3269"/>
      <c r="Q589" s="3269"/>
      <c r="R589" s="3269"/>
    </row>
    <row r="590" spans="1:18">
      <c r="A590" s="3269"/>
      <c r="P590" s="3269"/>
      <c r="Q590" s="3269"/>
      <c r="R590" s="3269"/>
    </row>
    <row r="591" spans="1:18">
      <c r="A591" s="3269"/>
      <c r="P591" s="3269"/>
      <c r="Q591" s="3269"/>
      <c r="R591" s="3269"/>
    </row>
    <row r="592" spans="1:18">
      <c r="A592" s="3269"/>
      <c r="P592" s="3269"/>
      <c r="Q592" s="3269"/>
      <c r="R592" s="3269"/>
    </row>
    <row r="593" spans="1:18">
      <c r="A593" s="3269"/>
      <c r="P593" s="3269"/>
      <c r="Q593" s="3269"/>
      <c r="R593" s="3269"/>
    </row>
    <row r="594" spans="1:18">
      <c r="A594" s="3269"/>
      <c r="P594" s="3269"/>
      <c r="Q594" s="3269"/>
      <c r="R594" s="3269"/>
    </row>
    <row r="595" spans="1:18">
      <c r="A595" s="3269"/>
      <c r="P595" s="3269"/>
      <c r="Q595" s="3269"/>
      <c r="R595" s="3269"/>
    </row>
    <row r="596" spans="1:18">
      <c r="A596" s="3269"/>
      <c r="P596" s="3269"/>
      <c r="Q596" s="3269"/>
      <c r="R596" s="3269"/>
    </row>
    <row r="597" spans="1:18">
      <c r="A597" s="3269"/>
      <c r="P597" s="3269"/>
      <c r="Q597" s="3269"/>
      <c r="R597" s="3269"/>
    </row>
    <row r="598" spans="1:18">
      <c r="A598" s="3269"/>
      <c r="P598" s="3269"/>
      <c r="Q598" s="3269"/>
      <c r="R598" s="3269"/>
    </row>
    <row r="599" spans="1:18">
      <c r="A599" s="3269"/>
      <c r="P599" s="3269"/>
      <c r="Q599" s="3269"/>
      <c r="R599" s="3269"/>
    </row>
    <row r="600" spans="1:18">
      <c r="A600" s="3269"/>
      <c r="P600" s="3269"/>
      <c r="Q600" s="3269"/>
      <c r="R600" s="3269"/>
    </row>
    <row r="601" spans="1:18">
      <c r="A601" s="3269"/>
      <c r="P601" s="3269"/>
      <c r="Q601" s="3269"/>
      <c r="R601" s="3269"/>
    </row>
    <row r="602" spans="1:18">
      <c r="A602" s="3269"/>
      <c r="P602" s="3269"/>
      <c r="Q602" s="3269"/>
      <c r="R602" s="3269"/>
    </row>
    <row r="603" spans="1:18">
      <c r="A603" s="3269"/>
      <c r="P603" s="3269"/>
      <c r="Q603" s="3269"/>
      <c r="R603" s="3269"/>
    </row>
    <row r="604" spans="1:18">
      <c r="A604" s="3269"/>
      <c r="P604" s="3269"/>
      <c r="Q604" s="3269"/>
      <c r="R604" s="3269"/>
    </row>
    <row r="605" spans="1:18">
      <c r="A605" s="3269"/>
      <c r="P605" s="3269"/>
      <c r="Q605" s="3269"/>
      <c r="R605" s="3269"/>
    </row>
    <row r="606" spans="1:18">
      <c r="A606" s="3269"/>
      <c r="P606" s="3269"/>
      <c r="Q606" s="3269"/>
      <c r="R606" s="3269"/>
    </row>
    <row r="607" spans="1:18">
      <c r="A607" s="3269"/>
      <c r="P607" s="3269"/>
      <c r="Q607" s="3269"/>
      <c r="R607" s="3269"/>
    </row>
    <row r="608" spans="1:18">
      <c r="A608" s="3269"/>
      <c r="P608" s="3269"/>
      <c r="Q608" s="3269"/>
      <c r="R608" s="3269"/>
    </row>
    <row r="609" spans="1:18">
      <c r="A609" s="3269"/>
      <c r="P609" s="3269"/>
      <c r="Q609" s="3269"/>
      <c r="R609" s="3269"/>
    </row>
    <row r="610" spans="1:18">
      <c r="A610" s="3269"/>
      <c r="P610" s="3269"/>
      <c r="Q610" s="3269"/>
      <c r="R610" s="3269"/>
    </row>
    <row r="611" spans="1:18">
      <c r="A611" s="3269"/>
      <c r="P611" s="3269"/>
      <c r="Q611" s="3269"/>
      <c r="R611" s="3269"/>
    </row>
    <row r="612" spans="1:18">
      <c r="A612" s="3269"/>
      <c r="P612" s="3269"/>
      <c r="Q612" s="3269"/>
      <c r="R612" s="3269"/>
    </row>
    <row r="613" spans="1:18">
      <c r="A613" s="3269"/>
      <c r="P613" s="3269"/>
      <c r="Q613" s="3269"/>
      <c r="R613" s="3269"/>
    </row>
    <row r="614" spans="1:18">
      <c r="A614" s="3269"/>
      <c r="P614" s="3269"/>
      <c r="Q614" s="3269"/>
      <c r="R614" s="3269"/>
    </row>
    <row r="615" spans="1:18">
      <c r="A615" s="3269"/>
      <c r="P615" s="3269"/>
      <c r="Q615" s="3269"/>
      <c r="R615" s="3269"/>
    </row>
    <row r="616" spans="1:18">
      <c r="A616" s="3269"/>
      <c r="P616" s="3269"/>
      <c r="Q616" s="3269"/>
      <c r="R616" s="3269"/>
    </row>
    <row r="617" spans="1:18">
      <c r="A617" s="3269"/>
      <c r="P617" s="3269"/>
      <c r="Q617" s="3269"/>
      <c r="R617" s="3269"/>
    </row>
    <row r="618" spans="1:18">
      <c r="A618" s="3269"/>
      <c r="P618" s="3269"/>
      <c r="Q618" s="3269"/>
      <c r="R618" s="3269"/>
    </row>
    <row r="619" spans="1:18">
      <c r="A619" s="3269"/>
      <c r="P619" s="3269"/>
      <c r="Q619" s="3269"/>
      <c r="R619" s="3269"/>
    </row>
    <row r="620" spans="1:18">
      <c r="A620" s="3269"/>
      <c r="P620" s="3269"/>
      <c r="Q620" s="3269"/>
      <c r="R620" s="3269"/>
    </row>
    <row r="621" spans="1:18">
      <c r="A621" s="3269"/>
      <c r="P621" s="3269"/>
      <c r="Q621" s="3269"/>
      <c r="R621" s="3269"/>
    </row>
    <row r="622" spans="1:18">
      <c r="A622" s="3269"/>
      <c r="P622" s="3269"/>
      <c r="Q622" s="3269"/>
      <c r="R622" s="3269"/>
    </row>
    <row r="623" spans="1:18">
      <c r="A623" s="3269"/>
      <c r="P623" s="3269"/>
      <c r="Q623" s="3269"/>
      <c r="R623" s="3269"/>
    </row>
    <row r="624" spans="1:18">
      <c r="A624" s="3269"/>
      <c r="P624" s="3269"/>
      <c r="Q624" s="3269"/>
      <c r="R624" s="3269"/>
    </row>
    <row r="625" spans="1:18">
      <c r="A625" s="3269"/>
      <c r="P625" s="3269"/>
      <c r="Q625" s="3269"/>
      <c r="R625" s="3269"/>
    </row>
    <row r="626" spans="1:18">
      <c r="A626" s="3269"/>
      <c r="P626" s="3269"/>
      <c r="Q626" s="3269"/>
      <c r="R626" s="3269"/>
    </row>
    <row r="627" spans="1:18">
      <c r="A627" s="3269"/>
      <c r="P627" s="3269"/>
      <c r="Q627" s="3269"/>
      <c r="R627" s="3269"/>
    </row>
    <row r="628" spans="1:18">
      <c r="A628" s="3269"/>
      <c r="P628" s="3269"/>
      <c r="Q628" s="3269"/>
      <c r="R628" s="3269"/>
    </row>
    <row r="629" spans="1:18">
      <c r="A629" s="3269"/>
      <c r="P629" s="3269"/>
      <c r="Q629" s="3269"/>
      <c r="R629" s="3269"/>
    </row>
    <row r="630" spans="1:18">
      <c r="A630" s="3269"/>
      <c r="P630" s="3269"/>
      <c r="Q630" s="3269"/>
      <c r="R630" s="3269"/>
    </row>
    <row r="631" spans="1:18">
      <c r="A631" s="3269"/>
      <c r="P631" s="3269"/>
      <c r="Q631" s="3269"/>
      <c r="R631" s="3269"/>
    </row>
    <row r="632" spans="1:18">
      <c r="A632" s="3269"/>
      <c r="P632" s="3269"/>
      <c r="Q632" s="3269"/>
      <c r="R632" s="3269"/>
    </row>
    <row r="633" spans="1:18">
      <c r="A633" s="3269"/>
      <c r="P633" s="3269"/>
      <c r="Q633" s="3269"/>
      <c r="R633" s="3269"/>
    </row>
    <row r="634" spans="1:18">
      <c r="A634" s="3269"/>
      <c r="P634" s="3269"/>
      <c r="Q634" s="3269"/>
      <c r="R634" s="3269"/>
    </row>
    <row r="635" spans="1:18">
      <c r="A635" s="3269"/>
      <c r="P635" s="3269"/>
      <c r="Q635" s="3269"/>
      <c r="R635" s="3269"/>
    </row>
    <row r="636" spans="1:18">
      <c r="A636" s="3269"/>
      <c r="P636" s="3269"/>
      <c r="Q636" s="3269"/>
      <c r="R636" s="3269"/>
    </row>
    <row r="637" spans="1:18">
      <c r="A637" s="3269"/>
      <c r="P637" s="3269"/>
      <c r="Q637" s="3269"/>
      <c r="R637" s="3269"/>
    </row>
    <row r="638" spans="1:18">
      <c r="A638" s="3269"/>
      <c r="P638" s="3269"/>
      <c r="Q638" s="3269"/>
      <c r="R638" s="3269"/>
    </row>
    <row r="639" spans="1:18">
      <c r="A639" s="3269"/>
      <c r="P639" s="3269"/>
      <c r="Q639" s="3269"/>
      <c r="R639" s="3269"/>
    </row>
    <row r="640" spans="1:18">
      <c r="A640" s="3269"/>
      <c r="P640" s="3269"/>
      <c r="Q640" s="3269"/>
      <c r="R640" s="3269"/>
    </row>
    <row r="641" spans="1:18">
      <c r="A641" s="3269"/>
      <c r="P641" s="3269"/>
      <c r="Q641" s="3269"/>
      <c r="R641" s="3269"/>
    </row>
    <row r="642" spans="1:18">
      <c r="A642" s="3269"/>
      <c r="P642" s="3269"/>
      <c r="Q642" s="3269"/>
      <c r="R642" s="3269"/>
    </row>
    <row r="643" spans="1:18">
      <c r="A643" s="3269"/>
      <c r="P643" s="3269"/>
      <c r="Q643" s="3269"/>
      <c r="R643" s="3269"/>
    </row>
    <row r="644" spans="1:18">
      <c r="A644" s="3269"/>
      <c r="P644" s="3269"/>
      <c r="Q644" s="3269"/>
      <c r="R644" s="3269"/>
    </row>
    <row r="645" spans="1:18">
      <c r="A645" s="3269"/>
      <c r="P645" s="3269"/>
      <c r="Q645" s="3269"/>
      <c r="R645" s="3269"/>
    </row>
    <row r="646" spans="1:18">
      <c r="A646" s="3269"/>
      <c r="P646" s="3269"/>
      <c r="Q646" s="3269"/>
      <c r="R646" s="3269"/>
    </row>
    <row r="647" spans="1:18">
      <c r="A647" s="3269"/>
      <c r="P647" s="3269"/>
      <c r="Q647" s="3269"/>
      <c r="R647" s="3269"/>
    </row>
    <row r="648" spans="1:18">
      <c r="A648" s="3269"/>
      <c r="P648" s="3269"/>
      <c r="Q648" s="3269"/>
      <c r="R648" s="3269"/>
    </row>
    <row r="649" spans="1:18">
      <c r="A649" s="3269"/>
      <c r="P649" s="3269"/>
      <c r="Q649" s="3269"/>
      <c r="R649" s="3269"/>
    </row>
    <row r="650" spans="1:18">
      <c r="A650" s="3269"/>
      <c r="P650" s="3269"/>
      <c r="Q650" s="3269"/>
      <c r="R650" s="3269"/>
    </row>
    <row r="651" spans="1:18">
      <c r="A651" s="3269"/>
      <c r="P651" s="3269"/>
      <c r="Q651" s="3269"/>
      <c r="R651" s="3269"/>
    </row>
    <row r="652" spans="1:18">
      <c r="A652" s="3269"/>
      <c r="P652" s="3269"/>
      <c r="Q652" s="3269"/>
      <c r="R652" s="3269"/>
    </row>
    <row r="653" spans="1:18">
      <c r="A653" s="3269"/>
      <c r="P653" s="3269"/>
      <c r="Q653" s="3269"/>
      <c r="R653" s="3269"/>
    </row>
    <row r="654" spans="1:18">
      <c r="A654" s="3269"/>
      <c r="P654" s="3269"/>
      <c r="Q654" s="3269"/>
      <c r="R654" s="3269"/>
    </row>
    <row r="655" spans="1:18">
      <c r="A655" s="3269"/>
      <c r="P655" s="3269"/>
      <c r="Q655" s="3269"/>
      <c r="R655" s="3269"/>
    </row>
    <row r="656" spans="1:18">
      <c r="A656" s="3269"/>
      <c r="P656" s="3269"/>
      <c r="Q656" s="3269"/>
      <c r="R656" s="3269"/>
    </row>
    <row r="657" spans="1:18">
      <c r="A657" s="3269"/>
      <c r="P657" s="3269"/>
      <c r="Q657" s="3269"/>
      <c r="R657" s="3269"/>
    </row>
    <row r="658" spans="1:18">
      <c r="A658" s="3269"/>
      <c r="P658" s="3269"/>
      <c r="Q658" s="3269"/>
      <c r="R658" s="3269"/>
    </row>
    <row r="659" spans="1:18">
      <c r="A659" s="3269"/>
      <c r="P659" s="3269"/>
      <c r="Q659" s="3269"/>
      <c r="R659" s="3269"/>
    </row>
    <row r="660" spans="1:18">
      <c r="A660" s="3269"/>
      <c r="P660" s="3269"/>
      <c r="Q660" s="3269"/>
      <c r="R660" s="3269"/>
    </row>
    <row r="661" spans="1:18">
      <c r="A661" s="3269"/>
      <c r="P661" s="3269"/>
      <c r="Q661" s="3269"/>
      <c r="R661" s="3269"/>
    </row>
    <row r="662" spans="1:18">
      <c r="A662" s="3269"/>
      <c r="P662" s="3269"/>
      <c r="Q662" s="3269"/>
      <c r="R662" s="3269"/>
    </row>
    <row r="663" spans="1:18">
      <c r="A663" s="3269"/>
      <c r="P663" s="3269"/>
      <c r="Q663" s="3269"/>
      <c r="R663" s="3269"/>
    </row>
    <row r="664" spans="1:18">
      <c r="A664" s="3269"/>
      <c r="P664" s="3269"/>
      <c r="Q664" s="3269"/>
      <c r="R664" s="3269"/>
    </row>
    <row r="665" spans="1:18">
      <c r="A665" s="3269"/>
      <c r="P665" s="3269"/>
      <c r="Q665" s="3269"/>
      <c r="R665" s="3269"/>
    </row>
    <row r="666" spans="1:18">
      <c r="A666" s="3269"/>
      <c r="P666" s="3269"/>
      <c r="Q666" s="3269"/>
      <c r="R666" s="3269"/>
    </row>
    <row r="667" spans="1:18">
      <c r="A667" s="3269"/>
      <c r="P667" s="3269"/>
      <c r="Q667" s="3269"/>
      <c r="R667" s="3269"/>
    </row>
    <row r="668" spans="1:18">
      <c r="A668" s="3269"/>
      <c r="P668" s="3269"/>
      <c r="Q668" s="3269"/>
      <c r="R668" s="3269"/>
    </row>
    <row r="669" spans="1:18">
      <c r="A669" s="3269"/>
      <c r="P669" s="3269"/>
      <c r="Q669" s="3269"/>
      <c r="R669" s="3269"/>
    </row>
    <row r="670" spans="1:18">
      <c r="A670" s="3269"/>
      <c r="P670" s="3269"/>
      <c r="Q670" s="3269"/>
      <c r="R670" s="3269"/>
    </row>
    <row r="671" spans="1:18">
      <c r="A671" s="3269"/>
      <c r="P671" s="3269"/>
      <c r="Q671" s="3269"/>
      <c r="R671" s="3269"/>
    </row>
    <row r="672" spans="1:18">
      <c r="A672" s="3269"/>
      <c r="P672" s="3269"/>
      <c r="Q672" s="3269"/>
      <c r="R672" s="3269"/>
    </row>
    <row r="673" spans="1:18">
      <c r="A673" s="3269"/>
      <c r="P673" s="3269"/>
      <c r="Q673" s="3269"/>
      <c r="R673" s="3269"/>
    </row>
    <row r="674" spans="1:18">
      <c r="A674" s="3269"/>
      <c r="P674" s="3269"/>
      <c r="Q674" s="3269"/>
      <c r="R674" s="3269"/>
    </row>
    <row r="675" spans="1:18">
      <c r="A675" s="3269"/>
      <c r="P675" s="3269"/>
      <c r="Q675" s="3269"/>
      <c r="R675" s="3269"/>
    </row>
    <row r="676" spans="1:18">
      <c r="A676" s="3269"/>
      <c r="P676" s="3269"/>
      <c r="Q676" s="3269"/>
      <c r="R676" s="3269"/>
    </row>
    <row r="677" spans="1:18">
      <c r="A677" s="3269"/>
      <c r="P677" s="3269"/>
      <c r="Q677" s="3269"/>
      <c r="R677" s="3269"/>
    </row>
    <row r="678" spans="1:18">
      <c r="A678" s="3269"/>
      <c r="P678" s="3269"/>
      <c r="Q678" s="3269"/>
      <c r="R678" s="3269"/>
    </row>
    <row r="679" spans="1:18">
      <c r="A679" s="3269"/>
      <c r="P679" s="3269"/>
      <c r="Q679" s="3269"/>
      <c r="R679" s="3269"/>
    </row>
    <row r="680" spans="1:18">
      <c r="A680" s="3269"/>
      <c r="P680" s="3269"/>
      <c r="Q680" s="3269"/>
      <c r="R680" s="3269"/>
    </row>
    <row r="681" spans="1:18">
      <c r="A681" s="3269"/>
      <c r="P681" s="3269"/>
      <c r="Q681" s="3269"/>
      <c r="R681" s="3269"/>
    </row>
    <row r="682" spans="1:18">
      <c r="A682" s="3269"/>
      <c r="P682" s="3269"/>
      <c r="Q682" s="3269"/>
      <c r="R682" s="3269"/>
    </row>
    <row r="683" spans="1:18">
      <c r="A683" s="3269"/>
      <c r="P683" s="3269"/>
      <c r="Q683" s="3269"/>
      <c r="R683" s="3269"/>
    </row>
    <row r="684" spans="1:18">
      <c r="A684" s="3269"/>
      <c r="P684" s="3269"/>
      <c r="Q684" s="3269"/>
      <c r="R684" s="3269"/>
    </row>
    <row r="685" spans="1:18">
      <c r="A685" s="3269"/>
      <c r="P685" s="3269"/>
      <c r="Q685" s="3269"/>
      <c r="R685" s="3269"/>
    </row>
    <row r="686" spans="1:18">
      <c r="A686" s="3269"/>
      <c r="P686" s="3269"/>
      <c r="Q686" s="3269"/>
      <c r="R686" s="3269"/>
    </row>
    <row r="687" spans="1:18">
      <c r="A687" s="3269"/>
      <c r="P687" s="3269"/>
      <c r="Q687" s="3269"/>
      <c r="R687" s="3269"/>
    </row>
    <row r="688" spans="1:18">
      <c r="A688" s="3269"/>
      <c r="P688" s="3269"/>
      <c r="Q688" s="3269"/>
      <c r="R688" s="3269"/>
    </row>
    <row r="689" spans="1:18">
      <c r="A689" s="3269"/>
      <c r="P689" s="3269"/>
      <c r="Q689" s="3269"/>
      <c r="R689" s="3269"/>
    </row>
    <row r="690" spans="1:18">
      <c r="A690" s="3269"/>
      <c r="P690" s="3269"/>
      <c r="Q690" s="3269"/>
      <c r="R690" s="3269"/>
    </row>
    <row r="691" spans="1:18">
      <c r="A691" s="3269"/>
      <c r="P691" s="3269"/>
      <c r="Q691" s="3269"/>
      <c r="R691" s="3269"/>
    </row>
    <row r="692" spans="1:18">
      <c r="A692" s="3269"/>
      <c r="P692" s="3269"/>
      <c r="Q692" s="3269"/>
      <c r="R692" s="3269"/>
    </row>
    <row r="693" spans="1:18">
      <c r="A693" s="3269"/>
      <c r="P693" s="3269"/>
      <c r="Q693" s="3269"/>
      <c r="R693" s="3269"/>
    </row>
    <row r="694" spans="1:18">
      <c r="A694" s="3269"/>
      <c r="P694" s="3269"/>
      <c r="Q694" s="3269"/>
      <c r="R694" s="3269"/>
    </row>
    <row r="695" spans="1:18">
      <c r="A695" s="3269"/>
      <c r="P695" s="3269"/>
      <c r="Q695" s="3269"/>
      <c r="R695" s="3269"/>
    </row>
    <row r="696" spans="1:18">
      <c r="A696" s="3269"/>
      <c r="P696" s="3269"/>
      <c r="Q696" s="3269"/>
      <c r="R696" s="3269"/>
    </row>
    <row r="697" spans="1:18">
      <c r="A697" s="3269"/>
      <c r="P697" s="3269"/>
      <c r="Q697" s="3269"/>
      <c r="R697" s="3269"/>
    </row>
    <row r="698" spans="1:18">
      <c r="A698" s="3269"/>
      <c r="P698" s="3269"/>
      <c r="Q698" s="3269"/>
      <c r="R698" s="3269"/>
    </row>
    <row r="699" spans="1:18">
      <c r="A699" s="3269"/>
      <c r="P699" s="3269"/>
      <c r="Q699" s="3269"/>
      <c r="R699" s="3269"/>
    </row>
    <row r="700" spans="1:18">
      <c r="A700" s="3269"/>
      <c r="P700" s="3269"/>
      <c r="Q700" s="3269"/>
      <c r="R700" s="3269"/>
    </row>
    <row r="701" spans="1:18">
      <c r="A701" s="3269"/>
      <c r="P701" s="3269"/>
      <c r="Q701" s="3269"/>
      <c r="R701" s="3269"/>
    </row>
    <row r="702" spans="1:18">
      <c r="A702" s="3269"/>
      <c r="P702" s="3269"/>
      <c r="Q702" s="3269"/>
      <c r="R702" s="3269"/>
    </row>
    <row r="703" spans="1:18">
      <c r="A703" s="3269"/>
      <c r="P703" s="3269"/>
      <c r="Q703" s="3269"/>
      <c r="R703" s="3269"/>
    </row>
    <row r="704" spans="1:18">
      <c r="A704" s="3269"/>
      <c r="P704" s="3269"/>
      <c r="Q704" s="3269"/>
      <c r="R704" s="3269"/>
    </row>
    <row r="705" spans="1:18">
      <c r="A705" s="3269"/>
      <c r="P705" s="3269"/>
      <c r="Q705" s="3269"/>
      <c r="R705" s="3269"/>
    </row>
    <row r="706" spans="1:18">
      <c r="A706" s="3269"/>
      <c r="P706" s="3269"/>
      <c r="Q706" s="3269"/>
      <c r="R706" s="3269"/>
    </row>
    <row r="707" spans="1:18">
      <c r="A707" s="3269"/>
      <c r="P707" s="3269"/>
      <c r="Q707" s="3269"/>
      <c r="R707" s="3269"/>
    </row>
    <row r="708" spans="1:18">
      <c r="A708" s="3269"/>
      <c r="P708" s="3269"/>
      <c r="Q708" s="3269"/>
      <c r="R708" s="3269"/>
    </row>
    <row r="709" spans="1:18">
      <c r="A709" s="3269"/>
      <c r="P709" s="3269"/>
      <c r="Q709" s="3269"/>
      <c r="R709" s="3269"/>
    </row>
    <row r="710" spans="1:18">
      <c r="A710" s="3269"/>
      <c r="P710" s="3269"/>
      <c r="Q710" s="3269"/>
      <c r="R710" s="3269"/>
    </row>
    <row r="711" spans="1:18">
      <c r="A711" s="3269"/>
      <c r="P711" s="3269"/>
      <c r="Q711" s="3269"/>
      <c r="R711" s="3269"/>
    </row>
    <row r="712" spans="1:18">
      <c r="A712" s="3269"/>
      <c r="P712" s="3269"/>
      <c r="Q712" s="3269"/>
      <c r="R712" s="3269"/>
    </row>
    <row r="713" spans="1:18">
      <c r="A713" s="3269"/>
      <c r="P713" s="3269"/>
      <c r="Q713" s="3269"/>
      <c r="R713" s="3269"/>
    </row>
    <row r="714" spans="1:18">
      <c r="A714" s="3269"/>
      <c r="P714" s="3269"/>
      <c r="Q714" s="3269"/>
      <c r="R714" s="3269"/>
    </row>
    <row r="715" spans="1:18">
      <c r="A715" s="3269"/>
      <c r="P715" s="3269"/>
      <c r="Q715" s="3269"/>
      <c r="R715" s="3269"/>
    </row>
    <row r="716" spans="1:18">
      <c r="A716" s="3269"/>
      <c r="P716" s="3269"/>
      <c r="Q716" s="3269"/>
      <c r="R716" s="3269"/>
    </row>
    <row r="717" spans="1:18">
      <c r="A717" s="3269"/>
      <c r="P717" s="3269"/>
      <c r="Q717" s="3269"/>
      <c r="R717" s="3269"/>
    </row>
    <row r="718" spans="1:18">
      <c r="A718" s="3269"/>
      <c r="P718" s="3269"/>
      <c r="Q718" s="3269"/>
      <c r="R718" s="3269"/>
    </row>
    <row r="719" spans="1:18">
      <c r="A719" s="3269"/>
      <c r="P719" s="3269"/>
      <c r="Q719" s="3269"/>
      <c r="R719" s="3269"/>
    </row>
    <row r="720" spans="1:18">
      <c r="A720" s="3269"/>
      <c r="P720" s="3269"/>
      <c r="Q720" s="3269"/>
      <c r="R720" s="3269"/>
    </row>
    <row r="721" spans="1:18">
      <c r="A721" s="3269"/>
      <c r="P721" s="3269"/>
      <c r="Q721" s="3269"/>
      <c r="R721" s="3269"/>
    </row>
    <row r="722" spans="1:18">
      <c r="A722" s="3269"/>
      <c r="P722" s="3269"/>
      <c r="Q722" s="3269"/>
      <c r="R722" s="3269"/>
    </row>
    <row r="723" spans="1:18">
      <c r="A723" s="3269"/>
      <c r="P723" s="3269"/>
      <c r="Q723" s="3269"/>
      <c r="R723" s="3269"/>
    </row>
    <row r="724" spans="1:18">
      <c r="A724" s="3269"/>
      <c r="P724" s="3269"/>
      <c r="Q724" s="3269"/>
      <c r="R724" s="3269"/>
    </row>
    <row r="725" spans="1:18">
      <c r="A725" s="3269"/>
      <c r="P725" s="3269"/>
      <c r="Q725" s="3269"/>
      <c r="R725" s="3269"/>
    </row>
    <row r="726" spans="1:18">
      <c r="A726" s="3269"/>
      <c r="P726" s="3269"/>
      <c r="Q726" s="3269"/>
      <c r="R726" s="3269"/>
    </row>
    <row r="727" spans="1:18">
      <c r="A727" s="3269"/>
      <c r="P727" s="3269"/>
      <c r="Q727" s="3269"/>
      <c r="R727" s="3269"/>
    </row>
    <row r="728" spans="1:18">
      <c r="A728" s="3269"/>
      <c r="P728" s="3269"/>
      <c r="Q728" s="3269"/>
      <c r="R728" s="3269"/>
    </row>
    <row r="729" spans="1:18">
      <c r="A729" s="3269"/>
      <c r="P729" s="3269"/>
      <c r="Q729" s="3269"/>
      <c r="R729" s="3269"/>
    </row>
    <row r="730" spans="1:18">
      <c r="A730" s="3269"/>
      <c r="P730" s="3269"/>
      <c r="Q730" s="3269"/>
      <c r="R730" s="3269"/>
    </row>
    <row r="731" spans="1:18">
      <c r="A731" s="3269"/>
      <c r="P731" s="3269"/>
      <c r="Q731" s="3269"/>
      <c r="R731" s="3269"/>
    </row>
    <row r="732" spans="1:18">
      <c r="A732" s="3269"/>
      <c r="P732" s="3269"/>
      <c r="Q732" s="3269"/>
      <c r="R732" s="3269"/>
    </row>
    <row r="733" spans="1:18">
      <c r="A733" s="3269"/>
      <c r="P733" s="3269"/>
      <c r="Q733" s="3269"/>
      <c r="R733" s="3269"/>
    </row>
    <row r="734" spans="1:18">
      <c r="A734" s="3269"/>
      <c r="P734" s="3269"/>
      <c r="Q734" s="3269"/>
      <c r="R734" s="3269"/>
    </row>
    <row r="735" spans="1:18">
      <c r="A735" s="3269"/>
      <c r="P735" s="3269"/>
      <c r="Q735" s="3269"/>
      <c r="R735" s="3269"/>
    </row>
    <row r="736" spans="1:18">
      <c r="A736" s="3269"/>
      <c r="P736" s="3269"/>
      <c r="Q736" s="3269"/>
      <c r="R736" s="3269"/>
    </row>
    <row r="737" spans="1:18">
      <c r="A737" s="3269"/>
      <c r="P737" s="3269"/>
      <c r="Q737" s="3269"/>
      <c r="R737" s="3269"/>
    </row>
    <row r="738" spans="1:18">
      <c r="A738" s="3269"/>
      <c r="P738" s="3269"/>
      <c r="Q738" s="3269"/>
      <c r="R738" s="3269"/>
    </row>
    <row r="739" spans="1:18">
      <c r="A739" s="3269"/>
      <c r="P739" s="3269"/>
      <c r="Q739" s="3269"/>
      <c r="R739" s="3269"/>
    </row>
    <row r="740" spans="1:18">
      <c r="A740" s="3269"/>
      <c r="P740" s="3269"/>
      <c r="Q740" s="3269"/>
      <c r="R740" s="3269"/>
    </row>
    <row r="741" spans="1:18">
      <c r="A741" s="3269"/>
      <c r="P741" s="3269"/>
      <c r="Q741" s="3269"/>
      <c r="R741" s="3269"/>
    </row>
    <row r="742" spans="1:18">
      <c r="A742" s="3269"/>
      <c r="P742" s="3269"/>
      <c r="Q742" s="3269"/>
      <c r="R742" s="3269"/>
    </row>
    <row r="743" spans="1:18">
      <c r="A743" s="3269"/>
      <c r="P743" s="3269"/>
      <c r="Q743" s="3269"/>
      <c r="R743" s="3269"/>
    </row>
    <row r="744" spans="1:18">
      <c r="A744" s="3269"/>
      <c r="P744" s="3269"/>
      <c r="Q744" s="3269"/>
      <c r="R744" s="3269"/>
    </row>
    <row r="745" spans="1:18">
      <c r="A745" s="3269"/>
      <c r="P745" s="3269"/>
      <c r="Q745" s="3269"/>
      <c r="R745" s="3269"/>
    </row>
    <row r="746" spans="1:18">
      <c r="A746" s="3269"/>
      <c r="P746" s="3269"/>
      <c r="Q746" s="3269"/>
      <c r="R746" s="3269"/>
    </row>
    <row r="747" spans="1:18">
      <c r="A747" s="3269"/>
      <c r="P747" s="3269"/>
      <c r="Q747" s="3269"/>
      <c r="R747" s="3269"/>
    </row>
    <row r="748" spans="1:18">
      <c r="A748" s="3269"/>
      <c r="P748" s="3269"/>
      <c r="Q748" s="3269"/>
      <c r="R748" s="3269"/>
    </row>
    <row r="749" spans="1:18">
      <c r="A749" s="3269"/>
      <c r="P749" s="3269"/>
      <c r="Q749" s="3269"/>
      <c r="R749" s="3269"/>
    </row>
    <row r="750" spans="1:18">
      <c r="A750" s="3269"/>
      <c r="P750" s="3269"/>
      <c r="Q750" s="3269"/>
      <c r="R750" s="3269"/>
    </row>
    <row r="751" spans="1:18">
      <c r="A751" s="3269"/>
      <c r="P751" s="3269"/>
      <c r="Q751" s="3269"/>
      <c r="R751" s="3269"/>
    </row>
    <row r="752" spans="1:18">
      <c r="A752" s="3269"/>
      <c r="P752" s="3269"/>
      <c r="Q752" s="3269"/>
      <c r="R752" s="3269"/>
    </row>
    <row r="753" spans="1:18">
      <c r="A753" s="3269"/>
      <c r="P753" s="3269"/>
      <c r="Q753" s="3269"/>
      <c r="R753" s="3269"/>
    </row>
    <row r="754" spans="1:18">
      <c r="A754" s="3269"/>
      <c r="P754" s="3269"/>
      <c r="Q754" s="3269"/>
      <c r="R754" s="3269"/>
    </row>
    <row r="755" spans="1:18">
      <c r="A755" s="3269"/>
      <c r="P755" s="3269"/>
      <c r="Q755" s="3269"/>
      <c r="R755" s="3269"/>
    </row>
    <row r="756" spans="1:18">
      <c r="A756" s="3269"/>
      <c r="P756" s="3269"/>
      <c r="Q756" s="3269"/>
      <c r="R756" s="3269"/>
    </row>
    <row r="757" spans="1:18">
      <c r="A757" s="3269"/>
      <c r="P757" s="3269"/>
      <c r="Q757" s="3269"/>
      <c r="R757" s="3269"/>
    </row>
    <row r="758" spans="1:18">
      <c r="A758" s="3269"/>
      <c r="P758" s="3269"/>
      <c r="Q758" s="3269"/>
      <c r="R758" s="3269"/>
    </row>
    <row r="759" spans="1:18">
      <c r="A759" s="3269"/>
      <c r="P759" s="3269"/>
      <c r="Q759" s="3269"/>
      <c r="R759" s="3269"/>
    </row>
    <row r="760" spans="1:18">
      <c r="A760" s="3269"/>
      <c r="P760" s="3269"/>
      <c r="Q760" s="3269"/>
      <c r="R760" s="3269"/>
    </row>
    <row r="761" spans="1:18">
      <c r="A761" s="3269"/>
      <c r="P761" s="3269"/>
      <c r="Q761" s="3269"/>
      <c r="R761" s="3269"/>
    </row>
    <row r="762" spans="1:18">
      <c r="A762" s="3269"/>
      <c r="P762" s="3269"/>
      <c r="Q762" s="3269"/>
      <c r="R762" s="3269"/>
    </row>
    <row r="763" spans="1:18">
      <c r="A763" s="3269"/>
      <c r="P763" s="3269"/>
      <c r="Q763" s="3269"/>
      <c r="R763" s="3269"/>
    </row>
    <row r="764" spans="1:18">
      <c r="A764" s="3269"/>
      <c r="P764" s="3269"/>
      <c r="Q764" s="3269"/>
      <c r="R764" s="3269"/>
    </row>
    <row r="765" spans="1:18">
      <c r="A765" s="3269"/>
      <c r="P765" s="3269"/>
      <c r="Q765" s="3269"/>
      <c r="R765" s="3269"/>
    </row>
    <row r="766" spans="1:18">
      <c r="A766" s="3269"/>
      <c r="P766" s="3269"/>
      <c r="Q766" s="3269"/>
      <c r="R766" s="3269"/>
    </row>
    <row r="767" spans="1:18">
      <c r="A767" s="3269"/>
      <c r="P767" s="3269"/>
      <c r="Q767" s="3269"/>
      <c r="R767" s="3269"/>
    </row>
    <row r="768" spans="1:18">
      <c r="A768" s="3269"/>
      <c r="P768" s="3269"/>
      <c r="Q768" s="3269"/>
      <c r="R768" s="3269"/>
    </row>
    <row r="769" spans="1:18">
      <c r="A769" s="3269"/>
      <c r="P769" s="3269"/>
      <c r="Q769" s="3269"/>
      <c r="R769" s="3269"/>
    </row>
    <row r="770" spans="1:18">
      <c r="A770" s="3269"/>
      <c r="P770" s="3269"/>
      <c r="Q770" s="3269"/>
      <c r="R770" s="3269"/>
    </row>
    <row r="771" spans="1:18">
      <c r="A771" s="3269"/>
      <c r="P771" s="3269"/>
      <c r="Q771" s="3269"/>
      <c r="R771" s="3269"/>
    </row>
    <row r="772" spans="1:18">
      <c r="A772" s="3269"/>
      <c r="P772" s="3269"/>
      <c r="Q772" s="3269"/>
      <c r="R772" s="3269"/>
    </row>
    <row r="773" spans="1:18">
      <c r="A773" s="3269"/>
      <c r="P773" s="3269"/>
      <c r="Q773" s="3269"/>
      <c r="R773" s="3269"/>
    </row>
    <row r="774" spans="1:18">
      <c r="A774" s="3269"/>
      <c r="P774" s="3269"/>
      <c r="Q774" s="3269"/>
      <c r="R774" s="3269"/>
    </row>
    <row r="775" spans="1:18">
      <c r="A775" s="3269"/>
      <c r="P775" s="3269"/>
      <c r="Q775" s="3269"/>
      <c r="R775" s="3269"/>
    </row>
    <row r="776" spans="1:18">
      <c r="A776" s="3269"/>
      <c r="P776" s="3269"/>
      <c r="Q776" s="3269"/>
      <c r="R776" s="3269"/>
    </row>
    <row r="777" spans="1:18">
      <c r="A777" s="3269"/>
      <c r="P777" s="3269"/>
      <c r="Q777" s="3269"/>
      <c r="R777" s="3269"/>
    </row>
    <row r="778" spans="1:18">
      <c r="A778" s="3269"/>
      <c r="P778" s="3269"/>
      <c r="Q778" s="3269"/>
      <c r="R778" s="3269"/>
    </row>
    <row r="779" spans="1:18">
      <c r="A779" s="3269"/>
      <c r="P779" s="3269"/>
      <c r="Q779" s="3269"/>
      <c r="R779" s="3269"/>
    </row>
    <row r="780" spans="1:18">
      <c r="A780" s="3269"/>
      <c r="P780" s="3269"/>
      <c r="Q780" s="3269"/>
      <c r="R780" s="3269"/>
    </row>
    <row r="781" spans="1:18">
      <c r="A781" s="3269"/>
      <c r="P781" s="3269"/>
      <c r="Q781" s="3269"/>
      <c r="R781" s="3269"/>
    </row>
    <row r="782" spans="1:18">
      <c r="A782" s="3269"/>
      <c r="P782" s="3269"/>
      <c r="Q782" s="3269"/>
      <c r="R782" s="3269"/>
    </row>
    <row r="783" spans="1:18">
      <c r="A783" s="3269"/>
      <c r="P783" s="3269"/>
      <c r="Q783" s="3269"/>
      <c r="R783" s="3269"/>
    </row>
    <row r="784" spans="1:18">
      <c r="A784" s="3269"/>
      <c r="P784" s="3269"/>
      <c r="Q784" s="3269"/>
      <c r="R784" s="3269"/>
    </row>
    <row r="785" spans="1:18">
      <c r="A785" s="3269"/>
      <c r="P785" s="3269"/>
      <c r="Q785" s="3269"/>
      <c r="R785" s="3269"/>
    </row>
    <row r="786" spans="1:18">
      <c r="A786" s="3269"/>
      <c r="P786" s="3269"/>
      <c r="Q786" s="3269"/>
      <c r="R786" s="3269"/>
    </row>
    <row r="787" spans="1:18">
      <c r="A787" s="3269"/>
      <c r="P787" s="3269"/>
      <c r="Q787" s="3269"/>
      <c r="R787" s="3269"/>
    </row>
    <row r="788" spans="1:18">
      <c r="A788" s="3269"/>
      <c r="P788" s="3269"/>
      <c r="Q788" s="3269"/>
      <c r="R788" s="3269"/>
    </row>
    <row r="789" spans="1:18">
      <c r="A789" s="3269"/>
      <c r="P789" s="3269"/>
      <c r="Q789" s="3269"/>
      <c r="R789" s="3269"/>
    </row>
    <row r="790" spans="1:18">
      <c r="A790" s="3269"/>
      <c r="P790" s="3269"/>
      <c r="Q790" s="3269"/>
      <c r="R790" s="3269"/>
    </row>
    <row r="791" spans="1:18">
      <c r="A791" s="3269"/>
      <c r="P791" s="3269"/>
      <c r="Q791" s="3269"/>
      <c r="R791" s="3269"/>
    </row>
    <row r="792" spans="1:18">
      <c r="A792" s="3269"/>
      <c r="P792" s="3269"/>
      <c r="Q792" s="3269"/>
      <c r="R792" s="3269"/>
    </row>
    <row r="793" spans="1:18">
      <c r="A793" s="3269"/>
      <c r="P793" s="3269"/>
      <c r="Q793" s="3269"/>
      <c r="R793" s="3269"/>
    </row>
    <row r="794" spans="1:18">
      <c r="A794" s="3269"/>
      <c r="P794" s="3269"/>
      <c r="Q794" s="3269"/>
      <c r="R794" s="3269"/>
    </row>
    <row r="795" spans="1:18">
      <c r="A795" s="3269"/>
      <c r="P795" s="3269"/>
      <c r="Q795" s="3269"/>
      <c r="R795" s="3269"/>
    </row>
    <row r="796" spans="1:18">
      <c r="A796" s="3269"/>
      <c r="P796" s="3269"/>
      <c r="Q796" s="3269"/>
      <c r="R796" s="3269"/>
    </row>
    <row r="797" spans="1:18">
      <c r="A797" s="3269"/>
      <c r="P797" s="3269"/>
      <c r="Q797" s="3269"/>
      <c r="R797" s="3269"/>
    </row>
    <row r="798" spans="1:18">
      <c r="A798" s="3269"/>
      <c r="P798" s="3269"/>
      <c r="Q798" s="3269"/>
      <c r="R798" s="3269"/>
    </row>
    <row r="799" spans="1:18">
      <c r="A799" s="3269"/>
      <c r="P799" s="3269"/>
      <c r="Q799" s="3269"/>
      <c r="R799" s="3269"/>
    </row>
    <row r="800" spans="1:18">
      <c r="A800" s="3269"/>
      <c r="P800" s="3269"/>
      <c r="Q800" s="3269"/>
      <c r="R800" s="3269"/>
    </row>
    <row r="801" spans="1:18">
      <c r="A801" s="3269"/>
      <c r="P801" s="3269"/>
      <c r="Q801" s="3269"/>
      <c r="R801" s="3269"/>
    </row>
    <row r="802" spans="1:18">
      <c r="A802" s="3269"/>
      <c r="P802" s="3269"/>
      <c r="Q802" s="3269"/>
      <c r="R802" s="3269"/>
    </row>
    <row r="803" spans="1:18">
      <c r="A803" s="3269"/>
      <c r="P803" s="3269"/>
      <c r="Q803" s="3269"/>
      <c r="R803" s="3269"/>
    </row>
    <row r="804" spans="1:18">
      <c r="A804" s="3269"/>
      <c r="P804" s="3269"/>
      <c r="Q804" s="3269"/>
      <c r="R804" s="3269"/>
    </row>
    <row r="805" spans="1:18">
      <c r="A805" s="3269"/>
      <c r="P805" s="3269"/>
      <c r="Q805" s="3269"/>
      <c r="R805" s="3269"/>
    </row>
    <row r="806" spans="1:18">
      <c r="A806" s="3269"/>
      <c r="P806" s="3269"/>
      <c r="Q806" s="3269"/>
      <c r="R806" s="3269"/>
    </row>
    <row r="807" spans="1:18">
      <c r="A807" s="3269"/>
      <c r="P807" s="3269"/>
      <c r="Q807" s="3269"/>
      <c r="R807" s="3269"/>
    </row>
    <row r="808" spans="1:18">
      <c r="A808" s="3269"/>
      <c r="P808" s="3269"/>
      <c r="Q808" s="3269"/>
      <c r="R808" s="3269"/>
    </row>
    <row r="809" spans="1:18">
      <c r="A809" s="3269"/>
      <c r="P809" s="3269"/>
      <c r="Q809" s="3269"/>
      <c r="R809" s="3269"/>
    </row>
    <row r="810" spans="1:18">
      <c r="A810" s="3269"/>
      <c r="P810" s="3269"/>
      <c r="Q810" s="3269"/>
      <c r="R810" s="3269"/>
    </row>
    <row r="811" spans="1:18">
      <c r="A811" s="3269"/>
      <c r="P811" s="3269"/>
      <c r="Q811" s="3269"/>
      <c r="R811" s="3269"/>
    </row>
    <row r="812" spans="1:18">
      <c r="A812" s="3269"/>
      <c r="P812" s="3269"/>
      <c r="Q812" s="3269"/>
      <c r="R812" s="3269"/>
    </row>
    <row r="813" spans="1:18">
      <c r="A813" s="3269"/>
      <c r="P813" s="3269"/>
      <c r="Q813" s="3269"/>
      <c r="R813" s="3269"/>
    </row>
    <row r="814" spans="1:18">
      <c r="A814" s="3269"/>
      <c r="P814" s="3269"/>
      <c r="Q814" s="3269"/>
      <c r="R814" s="3269"/>
    </row>
    <row r="815" spans="1:18">
      <c r="A815" s="3269"/>
      <c r="P815" s="3269"/>
      <c r="Q815" s="3269"/>
      <c r="R815" s="3269"/>
    </row>
    <row r="816" spans="1:18">
      <c r="A816" s="3269"/>
      <c r="P816" s="3269"/>
      <c r="Q816" s="3269"/>
      <c r="R816" s="3269"/>
    </row>
    <row r="817" spans="1:18">
      <c r="A817" s="3269"/>
      <c r="P817" s="3269"/>
      <c r="Q817" s="3269"/>
      <c r="R817" s="3269"/>
    </row>
    <row r="818" spans="1:18">
      <c r="A818" s="3269"/>
      <c r="P818" s="3269"/>
      <c r="Q818" s="3269"/>
      <c r="R818" s="3269"/>
    </row>
    <row r="819" spans="1:18">
      <c r="A819" s="3269"/>
      <c r="P819" s="3269"/>
      <c r="Q819" s="3269"/>
      <c r="R819" s="3269"/>
    </row>
    <row r="820" spans="1:18">
      <c r="A820" s="3269"/>
      <c r="P820" s="3269"/>
      <c r="Q820" s="3269"/>
      <c r="R820" s="3269"/>
    </row>
    <row r="821" spans="1:18">
      <c r="A821" s="3269"/>
      <c r="P821" s="3269"/>
      <c r="Q821" s="3269"/>
      <c r="R821" s="3269"/>
    </row>
    <row r="822" spans="1:18">
      <c r="A822" s="3269"/>
      <c r="P822" s="3269"/>
      <c r="Q822" s="3269"/>
      <c r="R822" s="3269"/>
    </row>
    <row r="823" spans="1:18">
      <c r="A823" s="3269"/>
      <c r="P823" s="3269"/>
      <c r="Q823" s="3269"/>
      <c r="R823" s="3269"/>
    </row>
    <row r="824" spans="1:18">
      <c r="A824" s="3269"/>
      <c r="P824" s="3269"/>
      <c r="Q824" s="3269"/>
      <c r="R824" s="3269"/>
    </row>
    <row r="825" spans="1:18">
      <c r="A825" s="3269"/>
      <c r="P825" s="3269"/>
      <c r="Q825" s="3269"/>
      <c r="R825" s="3269"/>
    </row>
    <row r="826" spans="1:18">
      <c r="A826" s="3269"/>
      <c r="P826" s="3269"/>
      <c r="Q826" s="3269"/>
      <c r="R826" s="3269"/>
    </row>
    <row r="827" spans="1:18">
      <c r="A827" s="3269"/>
      <c r="P827" s="3269"/>
      <c r="Q827" s="3269"/>
      <c r="R827" s="3269"/>
    </row>
    <row r="828" spans="1:18">
      <c r="A828" s="3269"/>
      <c r="P828" s="3269"/>
      <c r="Q828" s="3269"/>
      <c r="R828" s="3269"/>
    </row>
    <row r="829" spans="1:18">
      <c r="A829" s="3269"/>
      <c r="P829" s="3269"/>
      <c r="Q829" s="3269"/>
      <c r="R829" s="3269"/>
    </row>
    <row r="830" spans="1:18">
      <c r="A830" s="3269"/>
      <c r="P830" s="3269"/>
      <c r="Q830" s="3269"/>
      <c r="R830" s="3269"/>
    </row>
    <row r="831" spans="1:18">
      <c r="A831" s="3269"/>
      <c r="P831" s="3269"/>
      <c r="Q831" s="3269"/>
      <c r="R831" s="3269"/>
    </row>
    <row r="832" spans="1:18">
      <c r="A832" s="3269"/>
      <c r="P832" s="3269"/>
      <c r="Q832" s="3269"/>
      <c r="R832" s="3269"/>
    </row>
    <row r="833" spans="1:18">
      <c r="A833" s="3269"/>
      <c r="P833" s="3269"/>
      <c r="Q833" s="3269"/>
      <c r="R833" s="3269"/>
    </row>
    <row r="834" spans="1:18">
      <c r="A834" s="3269"/>
      <c r="P834" s="3269"/>
      <c r="Q834" s="3269"/>
      <c r="R834" s="3269"/>
    </row>
    <row r="835" spans="1:18">
      <c r="A835" s="3269"/>
      <c r="P835" s="3269"/>
      <c r="Q835" s="3269"/>
      <c r="R835" s="3269"/>
    </row>
    <row r="836" spans="1:18">
      <c r="A836" s="3269"/>
      <c r="P836" s="3269"/>
      <c r="Q836" s="3269"/>
      <c r="R836" s="3269"/>
    </row>
    <row r="837" spans="1:18">
      <c r="A837" s="3269"/>
      <c r="P837" s="3269"/>
      <c r="Q837" s="3269"/>
      <c r="R837" s="3269"/>
    </row>
    <row r="838" spans="1:18">
      <c r="A838" s="3269"/>
      <c r="P838" s="3269"/>
      <c r="Q838" s="3269"/>
      <c r="R838" s="3269"/>
    </row>
    <row r="839" spans="1:18">
      <c r="A839" s="3269"/>
      <c r="P839" s="3269"/>
      <c r="Q839" s="3269"/>
      <c r="R839" s="3269"/>
    </row>
    <row r="840" spans="1:18">
      <c r="A840" s="3269"/>
      <c r="P840" s="3269"/>
      <c r="Q840" s="3269"/>
      <c r="R840" s="3269"/>
    </row>
    <row r="841" spans="1:18">
      <c r="A841" s="3269"/>
      <c r="P841" s="3269"/>
      <c r="Q841" s="3269"/>
      <c r="R841" s="3269"/>
    </row>
    <row r="842" spans="1:18">
      <c r="A842" s="3269"/>
      <c r="P842" s="3269"/>
      <c r="Q842" s="3269"/>
      <c r="R842" s="3269"/>
    </row>
    <row r="843" spans="1:18">
      <c r="A843" s="3269"/>
      <c r="P843" s="3269"/>
      <c r="Q843" s="3269"/>
      <c r="R843" s="3269"/>
    </row>
    <row r="844" spans="1:18">
      <c r="A844" s="3269"/>
      <c r="P844" s="3269"/>
      <c r="Q844" s="3269"/>
      <c r="R844" s="3269"/>
    </row>
    <row r="845" spans="1:18">
      <c r="A845" s="3269"/>
      <c r="P845" s="3269"/>
      <c r="Q845" s="3269"/>
      <c r="R845" s="3269"/>
    </row>
    <row r="846" spans="1:18">
      <c r="A846" s="3269"/>
      <c r="P846" s="3269"/>
      <c r="Q846" s="3269"/>
      <c r="R846" s="3269"/>
    </row>
    <row r="847" spans="1:18">
      <c r="A847" s="3269"/>
      <c r="P847" s="3269"/>
      <c r="Q847" s="3269"/>
      <c r="R847" s="3269"/>
    </row>
    <row r="848" spans="1:18">
      <c r="A848" s="3269"/>
      <c r="P848" s="3269"/>
      <c r="Q848" s="3269"/>
      <c r="R848" s="3269"/>
    </row>
    <row r="849" spans="1:18">
      <c r="A849" s="3269"/>
      <c r="P849" s="3269"/>
      <c r="Q849" s="3269"/>
      <c r="R849" s="3269"/>
    </row>
    <row r="850" spans="1:18">
      <c r="A850" s="3269"/>
      <c r="P850" s="3269"/>
      <c r="Q850" s="3269"/>
      <c r="R850" s="3269"/>
    </row>
    <row r="851" spans="1:18">
      <c r="A851" s="3269"/>
      <c r="P851" s="3269"/>
      <c r="Q851" s="3269"/>
      <c r="R851" s="3269"/>
    </row>
    <row r="852" spans="1:18">
      <c r="A852" s="3269"/>
      <c r="P852" s="3269"/>
      <c r="Q852" s="3269"/>
      <c r="R852" s="3269"/>
    </row>
    <row r="853" spans="1:18">
      <c r="A853" s="3269"/>
      <c r="P853" s="3269"/>
      <c r="Q853" s="3269"/>
      <c r="R853" s="3269"/>
    </row>
    <row r="854" spans="1:18">
      <c r="A854" s="3269"/>
      <c r="P854" s="3269"/>
      <c r="Q854" s="3269"/>
      <c r="R854" s="3269"/>
    </row>
    <row r="855" spans="1:18">
      <c r="A855" s="3269"/>
      <c r="P855" s="3269"/>
      <c r="Q855" s="3269"/>
      <c r="R855" s="3269"/>
    </row>
    <row r="856" spans="1:18">
      <c r="A856" s="3269"/>
      <c r="P856" s="3269"/>
      <c r="Q856" s="3269"/>
      <c r="R856" s="3269"/>
    </row>
    <row r="857" spans="1:18">
      <c r="A857" s="3269"/>
      <c r="P857" s="3269"/>
      <c r="Q857" s="3269"/>
      <c r="R857" s="3269"/>
    </row>
    <row r="858" spans="1:18">
      <c r="A858" s="3269"/>
      <c r="P858" s="3269"/>
      <c r="Q858" s="3269"/>
      <c r="R858" s="3269"/>
    </row>
    <row r="859" spans="1:18">
      <c r="A859" s="3269"/>
      <c r="P859" s="3269"/>
      <c r="Q859" s="3269"/>
      <c r="R859" s="3269"/>
    </row>
    <row r="860" spans="1:18">
      <c r="A860" s="3269"/>
      <c r="P860" s="3269"/>
      <c r="Q860" s="3269"/>
      <c r="R860" s="3269"/>
    </row>
    <row r="861" spans="1:18">
      <c r="A861" s="3269"/>
      <c r="P861" s="3269"/>
      <c r="Q861" s="3269"/>
      <c r="R861" s="3269"/>
    </row>
    <row r="862" spans="1:18">
      <c r="A862" s="3269"/>
      <c r="P862" s="3269"/>
      <c r="Q862" s="3269"/>
      <c r="R862" s="3269"/>
    </row>
    <row r="863" spans="1:18">
      <c r="A863" s="3269"/>
      <c r="P863" s="3269"/>
      <c r="Q863" s="3269"/>
      <c r="R863" s="3269"/>
    </row>
    <row r="864" spans="1:18">
      <c r="A864" s="3269"/>
      <c r="P864" s="3269"/>
      <c r="Q864" s="3269"/>
      <c r="R864" s="3269"/>
    </row>
    <row r="865" spans="1:18">
      <c r="A865" s="3269"/>
      <c r="P865" s="3269"/>
      <c r="Q865" s="3269"/>
      <c r="R865" s="3269"/>
    </row>
    <row r="866" spans="1:18">
      <c r="A866" s="3269"/>
      <c r="P866" s="3269"/>
      <c r="Q866" s="3269"/>
      <c r="R866" s="3269"/>
    </row>
    <row r="867" spans="1:18">
      <c r="A867" s="3269"/>
      <c r="P867" s="3269"/>
      <c r="Q867" s="3269"/>
      <c r="R867" s="3269"/>
    </row>
    <row r="868" spans="1:18">
      <c r="A868" s="3269"/>
      <c r="P868" s="3269"/>
      <c r="Q868" s="3269"/>
      <c r="R868" s="3269"/>
    </row>
    <row r="869" spans="1:18">
      <c r="A869" s="3269"/>
      <c r="P869" s="3269"/>
      <c r="Q869" s="3269"/>
      <c r="R869" s="3269"/>
    </row>
    <row r="870" spans="1:18">
      <c r="A870" s="3269"/>
      <c r="P870" s="3269"/>
      <c r="Q870" s="3269"/>
      <c r="R870" s="3269"/>
    </row>
    <row r="871" spans="1:18">
      <c r="A871" s="3269"/>
      <c r="P871" s="3269"/>
      <c r="Q871" s="3269"/>
      <c r="R871" s="3269"/>
    </row>
    <row r="872" spans="1:18">
      <c r="A872" s="3269"/>
      <c r="P872" s="3269"/>
      <c r="Q872" s="3269"/>
      <c r="R872" s="3269"/>
    </row>
    <row r="873" spans="1:18">
      <c r="A873" s="3269"/>
      <c r="P873" s="3269"/>
      <c r="Q873" s="3269"/>
      <c r="R873" s="3269"/>
    </row>
    <row r="874" spans="1:18">
      <c r="A874" s="3269"/>
      <c r="P874" s="3269"/>
      <c r="Q874" s="3269"/>
      <c r="R874" s="3269"/>
    </row>
    <row r="875" spans="1:18">
      <c r="A875" s="3269"/>
      <c r="P875" s="3269"/>
      <c r="Q875" s="3269"/>
      <c r="R875" s="3269"/>
    </row>
    <row r="876" spans="1:18">
      <c r="A876" s="3269"/>
      <c r="P876" s="3269"/>
      <c r="Q876" s="3269"/>
      <c r="R876" s="3269"/>
    </row>
    <row r="877" spans="1:18">
      <c r="A877" s="3269"/>
      <c r="P877" s="3269"/>
      <c r="Q877" s="3269"/>
      <c r="R877" s="3269"/>
    </row>
    <row r="878" spans="1:18">
      <c r="A878" s="3269"/>
      <c r="P878" s="3269"/>
      <c r="Q878" s="3269"/>
      <c r="R878" s="3269"/>
    </row>
    <row r="879" spans="1:18">
      <c r="A879" s="3269"/>
      <c r="P879" s="3269"/>
      <c r="Q879" s="3269"/>
      <c r="R879" s="3269"/>
    </row>
    <row r="880" spans="1:18">
      <c r="A880" s="3269"/>
      <c r="P880" s="3269"/>
      <c r="Q880" s="3269"/>
      <c r="R880" s="3269"/>
    </row>
    <row r="881" spans="1:18">
      <c r="A881" s="3269"/>
      <c r="P881" s="3269"/>
      <c r="Q881" s="3269"/>
      <c r="R881" s="3269"/>
    </row>
    <row r="882" spans="1:18">
      <c r="A882" s="3269"/>
      <c r="P882" s="3269"/>
      <c r="Q882" s="3269"/>
      <c r="R882" s="3269"/>
    </row>
    <row r="883" spans="1:18">
      <c r="A883" s="3269"/>
      <c r="P883" s="3269"/>
      <c r="Q883" s="3269"/>
      <c r="R883" s="3269"/>
    </row>
    <row r="884" spans="1:18">
      <c r="A884" s="3269"/>
      <c r="P884" s="3269"/>
      <c r="Q884" s="3269"/>
      <c r="R884" s="3269"/>
    </row>
    <row r="885" spans="1:18">
      <c r="A885" s="3269"/>
      <c r="P885" s="3269"/>
      <c r="Q885" s="3269"/>
      <c r="R885" s="3269"/>
    </row>
    <row r="886" spans="1:18">
      <c r="A886" s="3269"/>
      <c r="P886" s="3269"/>
      <c r="Q886" s="3269"/>
      <c r="R886" s="3269"/>
    </row>
    <row r="887" spans="1:18">
      <c r="A887" s="3269"/>
      <c r="P887" s="3269"/>
      <c r="Q887" s="3269"/>
      <c r="R887" s="3269"/>
    </row>
    <row r="888" spans="1:18">
      <c r="A888" s="3269"/>
      <c r="P888" s="3269"/>
      <c r="Q888" s="3269"/>
      <c r="R888" s="3269"/>
    </row>
    <row r="889" spans="1:18">
      <c r="A889" s="3269"/>
      <c r="P889" s="3269"/>
      <c r="Q889" s="3269"/>
      <c r="R889" s="3269"/>
    </row>
    <row r="890" spans="1:18">
      <c r="A890" s="3269"/>
      <c r="P890" s="3269"/>
      <c r="Q890" s="3269"/>
      <c r="R890" s="3269"/>
    </row>
    <row r="891" spans="1:18">
      <c r="A891" s="3269"/>
      <c r="P891" s="3269"/>
      <c r="Q891" s="3269"/>
      <c r="R891" s="3269"/>
    </row>
    <row r="892" spans="1:18">
      <c r="A892" s="3269"/>
      <c r="P892" s="3269"/>
      <c r="Q892" s="3269"/>
      <c r="R892" s="3269"/>
    </row>
    <row r="893" spans="1:18">
      <c r="A893" s="3269"/>
      <c r="P893" s="3269"/>
      <c r="Q893" s="3269"/>
      <c r="R893" s="3269"/>
    </row>
    <row r="894" spans="1:18">
      <c r="A894" s="3269"/>
      <c r="P894" s="3269"/>
      <c r="Q894" s="3269"/>
      <c r="R894" s="3269"/>
    </row>
    <row r="895" spans="1:18">
      <c r="A895" s="3269"/>
      <c r="P895" s="3269"/>
      <c r="Q895" s="3269"/>
      <c r="R895" s="3269"/>
    </row>
    <row r="896" spans="1:18">
      <c r="A896" s="3269"/>
      <c r="P896" s="3269"/>
      <c r="Q896" s="3269"/>
      <c r="R896" s="3269"/>
    </row>
    <row r="897" spans="1:18">
      <c r="A897" s="3269"/>
      <c r="P897" s="3269"/>
      <c r="Q897" s="3269"/>
      <c r="R897" s="3269"/>
    </row>
    <row r="898" spans="1:18">
      <c r="A898" s="3269"/>
      <c r="P898" s="3269"/>
      <c r="Q898" s="3269"/>
      <c r="R898" s="3269"/>
    </row>
    <row r="899" spans="1:18">
      <c r="A899" s="3269"/>
      <c r="P899" s="3269"/>
      <c r="Q899" s="3269"/>
      <c r="R899" s="3269"/>
    </row>
    <row r="900" spans="1:18">
      <c r="A900" s="3269"/>
      <c r="P900" s="3269"/>
      <c r="Q900" s="3269"/>
      <c r="R900" s="3269"/>
    </row>
    <row r="901" spans="1:18">
      <c r="A901" s="3269"/>
      <c r="P901" s="3269"/>
      <c r="Q901" s="3269"/>
      <c r="R901" s="3269"/>
    </row>
    <row r="902" spans="1:18">
      <c r="A902" s="3269"/>
      <c r="P902" s="3269"/>
      <c r="Q902" s="3269"/>
      <c r="R902" s="3269"/>
    </row>
    <row r="903" spans="1:18">
      <c r="A903" s="3269"/>
      <c r="P903" s="3269"/>
      <c r="Q903" s="3269"/>
      <c r="R903" s="3269"/>
    </row>
    <row r="904" spans="1:18">
      <c r="A904" s="3269"/>
      <c r="P904" s="3269"/>
      <c r="Q904" s="3269"/>
      <c r="R904" s="3269"/>
    </row>
    <row r="905" spans="1:18">
      <c r="A905" s="3269"/>
      <c r="P905" s="3269"/>
      <c r="Q905" s="3269"/>
      <c r="R905" s="3269"/>
    </row>
    <row r="906" spans="1:18">
      <c r="A906" s="3269"/>
      <c r="P906" s="3269"/>
      <c r="Q906" s="3269"/>
      <c r="R906" s="3269"/>
    </row>
    <row r="907" spans="1:18">
      <c r="A907" s="3269"/>
      <c r="P907" s="3269"/>
      <c r="Q907" s="3269"/>
      <c r="R907" s="3269"/>
    </row>
    <row r="908" spans="1:18">
      <c r="A908" s="3269"/>
      <c r="P908" s="3269"/>
      <c r="Q908" s="3269"/>
      <c r="R908" s="3269"/>
    </row>
    <row r="909" spans="1:18">
      <c r="A909" s="3269"/>
      <c r="P909" s="3269"/>
      <c r="Q909" s="3269"/>
      <c r="R909" s="3269"/>
    </row>
    <row r="910" spans="1:18">
      <c r="A910" s="3269"/>
      <c r="P910" s="3269"/>
      <c r="Q910" s="3269"/>
      <c r="R910" s="3269"/>
    </row>
    <row r="911" spans="1:18">
      <c r="A911" s="3269"/>
      <c r="P911" s="3269"/>
      <c r="Q911" s="3269"/>
      <c r="R911" s="3269"/>
    </row>
    <row r="912" spans="1:18">
      <c r="A912" s="3269"/>
      <c r="P912" s="3269"/>
      <c r="Q912" s="3269"/>
      <c r="R912" s="3269"/>
    </row>
    <row r="913" spans="1:18">
      <c r="A913" s="3269"/>
      <c r="P913" s="3269"/>
      <c r="Q913" s="3269"/>
      <c r="R913" s="3269"/>
    </row>
    <row r="914" spans="1:18">
      <c r="A914" s="3269"/>
      <c r="P914" s="3269"/>
      <c r="Q914" s="3269"/>
      <c r="R914" s="3269"/>
    </row>
    <row r="915" spans="1:18">
      <c r="A915" s="3269"/>
      <c r="P915" s="3269"/>
      <c r="Q915" s="3269"/>
      <c r="R915" s="3269"/>
    </row>
    <row r="916" spans="1:18">
      <c r="A916" s="3269"/>
      <c r="P916" s="3269"/>
      <c r="Q916" s="3269"/>
      <c r="R916" s="3269"/>
    </row>
    <row r="917" spans="1:18">
      <c r="A917" s="3269"/>
      <c r="P917" s="3269"/>
      <c r="Q917" s="3269"/>
      <c r="R917" s="3269"/>
    </row>
    <row r="918" spans="1:18">
      <c r="A918" s="3269"/>
      <c r="P918" s="3269"/>
      <c r="Q918" s="3269"/>
      <c r="R918" s="3269"/>
    </row>
    <row r="919" spans="1:18">
      <c r="A919" s="3269"/>
      <c r="P919" s="3269"/>
      <c r="Q919" s="3269"/>
      <c r="R919" s="3269"/>
    </row>
    <row r="920" spans="1:18">
      <c r="A920" s="3269"/>
      <c r="P920" s="3269"/>
      <c r="Q920" s="3269"/>
      <c r="R920" s="3269"/>
    </row>
    <row r="921" spans="1:18">
      <c r="A921" s="3269"/>
      <c r="P921" s="3269"/>
      <c r="Q921" s="3269"/>
      <c r="R921" s="3269"/>
    </row>
    <row r="922" spans="1:18">
      <c r="A922" s="3269"/>
      <c r="P922" s="3269"/>
      <c r="Q922" s="3269"/>
      <c r="R922" s="3269"/>
    </row>
    <row r="923" spans="1:18">
      <c r="A923" s="3269"/>
      <c r="P923" s="3269"/>
      <c r="Q923" s="3269"/>
      <c r="R923" s="3269"/>
    </row>
    <row r="924" spans="1:18">
      <c r="A924" s="3269"/>
      <c r="P924" s="3269"/>
      <c r="Q924" s="3269"/>
      <c r="R924" s="3269"/>
    </row>
    <row r="925" spans="1:18">
      <c r="A925" s="3269"/>
      <c r="P925" s="3269"/>
      <c r="Q925" s="3269"/>
      <c r="R925" s="3269"/>
    </row>
    <row r="926" spans="1:18">
      <c r="A926" s="3269"/>
      <c r="P926" s="3269"/>
      <c r="Q926" s="3269"/>
      <c r="R926" s="3269"/>
    </row>
    <row r="927" spans="1:18">
      <c r="A927" s="3269"/>
      <c r="P927" s="3269"/>
      <c r="Q927" s="3269"/>
      <c r="R927" s="3269"/>
    </row>
    <row r="928" spans="1:18">
      <c r="A928" s="3269"/>
      <c r="P928" s="3269"/>
      <c r="Q928" s="3269"/>
      <c r="R928" s="3269"/>
    </row>
    <row r="929" spans="1:18">
      <c r="A929" s="3269"/>
      <c r="P929" s="3269"/>
      <c r="Q929" s="3269"/>
      <c r="R929" s="3269"/>
    </row>
    <row r="930" spans="1:18">
      <c r="A930" s="3269"/>
      <c r="P930" s="3269"/>
      <c r="Q930" s="3269"/>
      <c r="R930" s="3269"/>
    </row>
    <row r="931" spans="1:18">
      <c r="A931" s="3269"/>
      <c r="P931" s="3269"/>
      <c r="Q931" s="3269"/>
      <c r="R931" s="3269"/>
    </row>
    <row r="932" spans="1:18">
      <c r="A932" s="3269"/>
      <c r="P932" s="3269"/>
      <c r="Q932" s="3269"/>
      <c r="R932" s="3269"/>
    </row>
    <row r="933" spans="1:18">
      <c r="A933" s="3269"/>
      <c r="P933" s="3269"/>
      <c r="Q933" s="3269"/>
      <c r="R933" s="3269"/>
    </row>
    <row r="934" spans="1:18">
      <c r="A934" s="3269"/>
      <c r="P934" s="3269"/>
      <c r="Q934" s="3269"/>
      <c r="R934" s="3269"/>
    </row>
    <row r="935" spans="1:18">
      <c r="A935" s="3269"/>
      <c r="P935" s="3269"/>
      <c r="Q935" s="3269"/>
      <c r="R935" s="3269"/>
    </row>
    <row r="936" spans="1:18">
      <c r="A936" s="3269"/>
      <c r="P936" s="3269"/>
      <c r="Q936" s="3269"/>
      <c r="R936" s="3269"/>
    </row>
    <row r="937" spans="1:18">
      <c r="A937" s="3269"/>
      <c r="P937" s="3269"/>
      <c r="Q937" s="3269"/>
      <c r="R937" s="3269"/>
    </row>
    <row r="938" spans="1:18">
      <c r="A938" s="3269"/>
      <c r="P938" s="3269"/>
      <c r="Q938" s="3269"/>
      <c r="R938" s="3269"/>
    </row>
    <row r="939" spans="1:18">
      <c r="A939" s="3269"/>
      <c r="P939" s="3269"/>
      <c r="Q939" s="3269"/>
      <c r="R939" s="3269"/>
    </row>
    <row r="940" spans="1:18">
      <c r="A940" s="3269"/>
      <c r="P940" s="3269"/>
      <c r="Q940" s="3269"/>
      <c r="R940" s="3269"/>
    </row>
    <row r="941" spans="1:18">
      <c r="A941" s="3269"/>
      <c r="P941" s="3269"/>
      <c r="Q941" s="3269"/>
      <c r="R941" s="3269"/>
    </row>
    <row r="942" spans="1:18">
      <c r="A942" s="3269"/>
      <c r="P942" s="3269"/>
      <c r="Q942" s="3269"/>
      <c r="R942" s="3269"/>
    </row>
    <row r="943" spans="1:18">
      <c r="A943" s="3269"/>
      <c r="P943" s="3269"/>
      <c r="Q943" s="3269"/>
      <c r="R943" s="3269"/>
    </row>
    <row r="944" spans="1:18">
      <c r="A944" s="3269"/>
      <c r="P944" s="3269"/>
      <c r="Q944" s="3269"/>
      <c r="R944" s="3269"/>
    </row>
    <row r="945" spans="1:18">
      <c r="A945" s="3269"/>
      <c r="P945" s="3269"/>
      <c r="Q945" s="3269"/>
      <c r="R945" s="3269"/>
    </row>
    <row r="946" spans="1:18">
      <c r="A946" s="3269"/>
      <c r="P946" s="3269"/>
      <c r="Q946" s="3269"/>
      <c r="R946" s="3269"/>
    </row>
    <row r="947" spans="1:18">
      <c r="A947" s="3269"/>
      <c r="P947" s="3269"/>
      <c r="Q947" s="3269"/>
      <c r="R947" s="3269"/>
    </row>
    <row r="948" spans="1:18">
      <c r="A948" s="3269"/>
      <c r="P948" s="3269"/>
      <c r="Q948" s="3269"/>
      <c r="R948" s="3269"/>
    </row>
    <row r="949" spans="1:18">
      <c r="A949" s="3269"/>
      <c r="P949" s="3269"/>
      <c r="Q949" s="3269"/>
      <c r="R949" s="3269"/>
    </row>
    <row r="950" spans="1:18">
      <c r="A950" s="3269"/>
      <c r="P950" s="3269"/>
      <c r="Q950" s="3269"/>
      <c r="R950" s="3269"/>
    </row>
    <row r="951" spans="1:18">
      <c r="A951" s="3269"/>
      <c r="P951" s="3269"/>
      <c r="Q951" s="3269"/>
      <c r="R951" s="3269"/>
    </row>
    <row r="952" spans="1:18">
      <c r="A952" s="3269"/>
      <c r="P952" s="3269"/>
      <c r="Q952" s="3269"/>
      <c r="R952" s="3269"/>
    </row>
    <row r="953" spans="1:18">
      <c r="A953" s="3269"/>
      <c r="P953" s="3269"/>
      <c r="Q953" s="3269"/>
      <c r="R953" s="3269"/>
    </row>
    <row r="954" spans="1:18">
      <c r="A954" s="3269"/>
      <c r="P954" s="3269"/>
      <c r="Q954" s="3269"/>
      <c r="R954" s="3269"/>
    </row>
    <row r="955" spans="1:18">
      <c r="A955" s="3269"/>
      <c r="P955" s="3269"/>
      <c r="Q955" s="3269"/>
      <c r="R955" s="3269"/>
    </row>
    <row r="956" spans="1:18">
      <c r="A956" s="3269"/>
      <c r="P956" s="3269"/>
      <c r="Q956" s="3269"/>
      <c r="R956" s="3269"/>
    </row>
    <row r="957" spans="1:18">
      <c r="A957" s="3269"/>
      <c r="P957" s="3269"/>
      <c r="Q957" s="3269"/>
      <c r="R957" s="3269"/>
    </row>
    <row r="958" spans="1:18">
      <c r="A958" s="3269"/>
      <c r="P958" s="3269"/>
      <c r="Q958" s="3269"/>
      <c r="R958" s="3269"/>
    </row>
    <row r="959" spans="1:18">
      <c r="A959" s="3269"/>
      <c r="P959" s="3269"/>
      <c r="Q959" s="3269"/>
      <c r="R959" s="3269"/>
    </row>
    <row r="960" spans="1:18">
      <c r="A960" s="3269"/>
      <c r="P960" s="3269"/>
      <c r="Q960" s="3269"/>
      <c r="R960" s="3269"/>
    </row>
    <row r="961" spans="1:18">
      <c r="A961" s="3269"/>
      <c r="P961" s="3269"/>
      <c r="Q961" s="3269"/>
      <c r="R961" s="3269"/>
    </row>
    <row r="962" spans="1:18">
      <c r="A962" s="3269"/>
      <c r="P962" s="3269"/>
      <c r="Q962" s="3269"/>
      <c r="R962" s="3269"/>
    </row>
    <row r="963" spans="1:18">
      <c r="A963" s="3269"/>
      <c r="P963" s="3269"/>
      <c r="Q963" s="3269"/>
      <c r="R963" s="3269"/>
    </row>
    <row r="964" spans="1:18">
      <c r="A964" s="3269"/>
      <c r="P964" s="3269"/>
      <c r="Q964" s="3269"/>
      <c r="R964" s="3269"/>
    </row>
    <row r="965" spans="1:18">
      <c r="A965" s="3269"/>
      <c r="P965" s="3269"/>
      <c r="Q965" s="3269"/>
      <c r="R965" s="3269"/>
    </row>
    <row r="966" spans="1:18">
      <c r="A966" s="3269"/>
      <c r="P966" s="3269"/>
      <c r="Q966" s="3269"/>
      <c r="R966" s="3269"/>
    </row>
    <row r="967" spans="1:18">
      <c r="A967" s="3269"/>
      <c r="P967" s="3269"/>
      <c r="Q967" s="3269"/>
      <c r="R967" s="3269"/>
    </row>
    <row r="968" spans="1:18">
      <c r="A968" s="3269"/>
      <c r="P968" s="3269"/>
      <c r="Q968" s="3269"/>
      <c r="R968" s="3269"/>
    </row>
    <row r="969" spans="1:18">
      <c r="A969" s="3269"/>
      <c r="P969" s="3269"/>
      <c r="Q969" s="3269"/>
      <c r="R969" s="3269"/>
    </row>
    <row r="970" spans="1:18">
      <c r="A970" s="3269"/>
      <c r="P970" s="3269"/>
      <c r="Q970" s="3269"/>
      <c r="R970" s="3269"/>
    </row>
    <row r="971" spans="1:18">
      <c r="A971" s="3269"/>
      <c r="P971" s="3269"/>
      <c r="Q971" s="3269"/>
      <c r="R971" s="3269"/>
    </row>
    <row r="972" spans="1:18">
      <c r="A972" s="3269"/>
      <c r="P972" s="3269"/>
      <c r="Q972" s="3269"/>
      <c r="R972" s="3269"/>
    </row>
    <row r="973" spans="1:18">
      <c r="A973" s="3269"/>
      <c r="P973" s="3269"/>
      <c r="Q973" s="3269"/>
      <c r="R973" s="3269"/>
    </row>
    <row r="974" spans="1:18">
      <c r="A974" s="3269"/>
      <c r="P974" s="3269"/>
      <c r="Q974" s="3269"/>
      <c r="R974" s="3269"/>
    </row>
    <row r="975" spans="1:18">
      <c r="A975" s="3269"/>
      <c r="P975" s="3269"/>
      <c r="Q975" s="3269"/>
      <c r="R975" s="3269"/>
    </row>
    <row r="976" spans="1:18">
      <c r="A976" s="3269"/>
      <c r="P976" s="3269"/>
      <c r="Q976" s="3269"/>
      <c r="R976" s="3269"/>
    </row>
    <row r="977" spans="1:18">
      <c r="A977" s="3269"/>
      <c r="P977" s="3269"/>
      <c r="Q977" s="3269"/>
      <c r="R977" s="3269"/>
    </row>
    <row r="978" spans="1:18">
      <c r="A978" s="3269"/>
      <c r="P978" s="3269"/>
      <c r="Q978" s="3269"/>
      <c r="R978" s="3269"/>
    </row>
    <row r="979" spans="1:18">
      <c r="A979" s="3269"/>
      <c r="P979" s="3269"/>
      <c r="Q979" s="3269"/>
      <c r="R979" s="3269"/>
    </row>
    <row r="980" spans="1:18">
      <c r="A980" s="3269"/>
      <c r="P980" s="3269"/>
      <c r="Q980" s="3269"/>
      <c r="R980" s="3269"/>
    </row>
    <row r="981" spans="1:18">
      <c r="A981" s="3269"/>
      <c r="P981" s="3269"/>
      <c r="Q981" s="3269"/>
      <c r="R981" s="3269"/>
    </row>
    <row r="982" spans="1:18">
      <c r="A982" s="3269"/>
      <c r="P982" s="3269"/>
      <c r="Q982" s="3269"/>
      <c r="R982" s="3269"/>
    </row>
    <row r="983" spans="1:18">
      <c r="A983" s="3269"/>
      <c r="P983" s="3269"/>
      <c r="Q983" s="3269"/>
      <c r="R983" s="3269"/>
    </row>
    <row r="984" spans="1:18">
      <c r="A984" s="3269"/>
      <c r="P984" s="3269"/>
      <c r="Q984" s="3269"/>
      <c r="R984" s="3269"/>
    </row>
    <row r="985" spans="1:18">
      <c r="A985" s="3269"/>
      <c r="P985" s="3269"/>
      <c r="Q985" s="3269"/>
      <c r="R985" s="3269"/>
    </row>
    <row r="986" spans="1:18">
      <c r="A986" s="3269"/>
      <c r="P986" s="3269"/>
      <c r="Q986" s="3269"/>
      <c r="R986" s="3269"/>
    </row>
    <row r="987" spans="1:18">
      <c r="A987" s="3269"/>
      <c r="P987" s="3269"/>
      <c r="Q987" s="3269"/>
      <c r="R987" s="3269"/>
    </row>
    <row r="988" spans="1:18">
      <c r="A988" s="3269"/>
      <c r="P988" s="3269"/>
      <c r="Q988" s="3269"/>
      <c r="R988" s="3269"/>
    </row>
    <row r="989" spans="1:18">
      <c r="A989" s="3269"/>
      <c r="P989" s="3269"/>
      <c r="Q989" s="3269"/>
      <c r="R989" s="3269"/>
    </row>
    <row r="990" spans="1:18">
      <c r="A990" s="3269"/>
      <c r="P990" s="3269"/>
      <c r="Q990" s="3269"/>
      <c r="R990" s="3269"/>
    </row>
    <row r="991" spans="1:18">
      <c r="A991" s="3269"/>
      <c r="P991" s="3269"/>
      <c r="Q991" s="3269"/>
      <c r="R991" s="3269"/>
    </row>
    <row r="992" spans="1:18">
      <c r="A992" s="3269"/>
      <c r="P992" s="3269"/>
      <c r="Q992" s="3269"/>
      <c r="R992" s="3269"/>
    </row>
    <row r="993" spans="1:18">
      <c r="A993" s="3269"/>
      <c r="P993" s="3269"/>
      <c r="Q993" s="3269"/>
      <c r="R993" s="3269"/>
    </row>
    <row r="994" spans="1:18">
      <c r="A994" s="3269"/>
      <c r="P994" s="3269"/>
      <c r="Q994" s="3269"/>
      <c r="R994" s="3269"/>
    </row>
    <row r="995" spans="1:18">
      <c r="A995" s="3269"/>
      <c r="P995" s="3269"/>
      <c r="Q995" s="3269"/>
      <c r="R995" s="3269"/>
    </row>
    <row r="996" spans="1:18">
      <c r="A996" s="3269"/>
      <c r="P996" s="3269"/>
      <c r="Q996" s="3269"/>
      <c r="R996" s="3269"/>
    </row>
    <row r="997" spans="1:18">
      <c r="A997" s="3269"/>
      <c r="P997" s="3269"/>
      <c r="Q997" s="3269"/>
      <c r="R997" s="3269"/>
    </row>
    <row r="998" spans="1:18">
      <c r="A998" s="3269"/>
      <c r="P998" s="3269"/>
      <c r="Q998" s="3269"/>
      <c r="R998" s="3269"/>
    </row>
    <row r="999" spans="1:18">
      <c r="A999" s="3269"/>
      <c r="P999" s="3269"/>
      <c r="Q999" s="3269"/>
      <c r="R999" s="3269"/>
    </row>
    <row r="1000" spans="1:18">
      <c r="A1000" s="3269"/>
      <c r="P1000" s="3269"/>
      <c r="Q1000" s="3269"/>
      <c r="R1000" s="3269"/>
    </row>
    <row r="1001" spans="1:18">
      <c r="A1001" s="3269"/>
      <c r="P1001" s="3269"/>
      <c r="Q1001" s="3269"/>
      <c r="R1001" s="3269"/>
    </row>
    <row r="1002" spans="1:18">
      <c r="A1002" s="3269"/>
      <c r="P1002" s="3269"/>
      <c r="Q1002" s="3269"/>
      <c r="R1002" s="3269"/>
    </row>
    <row r="1003" spans="1:18">
      <c r="A1003" s="3269"/>
      <c r="P1003" s="3269"/>
      <c r="Q1003" s="3269"/>
      <c r="R1003" s="3269"/>
    </row>
    <row r="1004" spans="1:18">
      <c r="A1004" s="3269"/>
      <c r="P1004" s="3269"/>
      <c r="Q1004" s="3269"/>
      <c r="R1004" s="3269"/>
    </row>
    <row r="1005" spans="1:18">
      <c r="A1005" s="3269"/>
      <c r="P1005" s="3269"/>
      <c r="Q1005" s="3269"/>
      <c r="R1005" s="3269"/>
    </row>
    <row r="1006" spans="1:18">
      <c r="A1006" s="3269"/>
      <c r="P1006" s="3269"/>
      <c r="Q1006" s="3269"/>
      <c r="R1006" s="3269"/>
    </row>
    <row r="1007" spans="1:18">
      <c r="A1007" s="3269"/>
      <c r="P1007" s="3269"/>
      <c r="Q1007" s="3269"/>
      <c r="R1007" s="3269"/>
    </row>
    <row r="1008" spans="1:18">
      <c r="A1008" s="3269"/>
      <c r="P1008" s="3269"/>
      <c r="Q1008" s="3269"/>
      <c r="R1008" s="3269"/>
    </row>
    <row r="1009" spans="1:18">
      <c r="A1009" s="3269"/>
      <c r="P1009" s="3269"/>
      <c r="Q1009" s="3269"/>
      <c r="R1009" s="3269"/>
    </row>
    <row r="1010" spans="1:18">
      <c r="A1010" s="3269"/>
      <c r="P1010" s="3269"/>
      <c r="Q1010" s="3269"/>
      <c r="R1010" s="3269"/>
    </row>
    <row r="1011" spans="1:18">
      <c r="A1011" s="3269"/>
      <c r="P1011" s="3269"/>
      <c r="Q1011" s="3269"/>
      <c r="R1011" s="3269"/>
    </row>
    <row r="1012" spans="1:18">
      <c r="A1012" s="3269"/>
      <c r="P1012" s="3269"/>
      <c r="Q1012" s="3269"/>
      <c r="R1012" s="3269"/>
    </row>
  </sheetData>
  <mergeCells count="52">
    <mergeCell ref="A13:B13"/>
    <mergeCell ref="A14:B14"/>
    <mergeCell ref="A12:B12"/>
    <mergeCell ref="A7:B7"/>
    <mergeCell ref="A8:B8"/>
    <mergeCell ref="A10:B10"/>
    <mergeCell ref="A11:B11"/>
    <mergeCell ref="A21:B21"/>
    <mergeCell ref="A22:B22"/>
    <mergeCell ref="A25:B25"/>
    <mergeCell ref="A16:B16"/>
    <mergeCell ref="A17:B17"/>
    <mergeCell ref="A18:B18"/>
    <mergeCell ref="A19:B19"/>
    <mergeCell ref="A20:B20"/>
    <mergeCell ref="A26:B26"/>
    <mergeCell ref="A23:B23"/>
    <mergeCell ref="A24:B24"/>
    <mergeCell ref="A42:B42"/>
    <mergeCell ref="A43:B43"/>
    <mergeCell ref="A27:B27"/>
    <mergeCell ref="A38:B38"/>
    <mergeCell ref="A39:B39"/>
    <mergeCell ref="A46:B46"/>
    <mergeCell ref="A28:B28"/>
    <mergeCell ref="A29:B29"/>
    <mergeCell ref="A30:B30"/>
    <mergeCell ref="A31:B31"/>
    <mergeCell ref="A32:B32"/>
    <mergeCell ref="A33:B33"/>
    <mergeCell ref="A34:B34"/>
    <mergeCell ref="A35:B35"/>
    <mergeCell ref="A40:B40"/>
    <mergeCell ref="A41:B41"/>
    <mergeCell ref="A45:B45"/>
    <mergeCell ref="A36:B36"/>
    <mergeCell ref="A37:B37"/>
    <mergeCell ref="A1:M1"/>
    <mergeCell ref="A3:B5"/>
    <mergeCell ref="K3:K5"/>
    <mergeCell ref="M3:M5"/>
    <mergeCell ref="A6:B6"/>
    <mergeCell ref="C3:C4"/>
    <mergeCell ref="E3:J3"/>
    <mergeCell ref="I4:I5"/>
    <mergeCell ref="J4:J5"/>
    <mergeCell ref="D3:D5"/>
    <mergeCell ref="E4:E5"/>
    <mergeCell ref="F4:F5"/>
    <mergeCell ref="G4:G5"/>
    <mergeCell ref="H4:H5"/>
    <mergeCell ref="L3:L5"/>
  </mergeCells>
  <pageMargins left="0.35433070866141736" right="0.15748031496062992" top="0.23622047244094491" bottom="0.39370078740157483" header="0.15748031496062992" footer="0.15748031496062992"/>
  <pageSetup paperSize="9" scale="60" orientation="landscape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6600"/>
  </sheetPr>
  <dimension ref="A1:V624"/>
  <sheetViews>
    <sheetView view="pageBreakPreview" topLeftCell="A4" zoomScale="110" zoomScaleSheetLayoutView="110" workbookViewId="0">
      <pane xSplit="2" ySplit="5" topLeftCell="C334" activePane="bottomRight" state="frozen"/>
      <selection activeCell="A4" sqref="A4"/>
      <selection pane="topRight" activeCell="C4" sqref="C4"/>
      <selection pane="bottomLeft" activeCell="A9" sqref="A9"/>
      <selection pane="bottomRight" activeCell="A4" sqref="A1:XFD1048576"/>
    </sheetView>
  </sheetViews>
  <sheetFormatPr defaultColWidth="9.140625" defaultRowHeight="12.75"/>
  <cols>
    <col min="1" max="1" width="8.140625" style="3339" customWidth="1"/>
    <col min="2" max="2" width="59" style="3194" customWidth="1"/>
    <col min="3" max="3" width="34" style="3194" customWidth="1"/>
    <col min="4" max="4" width="10.140625" style="3194" customWidth="1"/>
    <col min="5" max="5" width="14.85546875" style="3194" hidden="1" customWidth="1"/>
    <col min="6" max="6" width="14.42578125" style="3194" hidden="1" customWidth="1"/>
    <col min="7" max="7" width="14.140625" style="3194" hidden="1" customWidth="1"/>
    <col min="8" max="8" width="14" style="3194" customWidth="1"/>
    <col min="9" max="9" width="13.7109375" style="3194" customWidth="1"/>
    <col min="10" max="10" width="12.42578125" style="3194" customWidth="1"/>
    <col min="11" max="11" width="12.140625" style="3194" customWidth="1"/>
    <col min="12" max="13" width="12.42578125" style="3194" customWidth="1"/>
    <col min="14" max="21" width="11.5703125" style="3194" customWidth="1"/>
    <col min="22" max="22" width="12.5703125" style="3194" customWidth="1"/>
    <col min="23" max="24" width="1.42578125" style="3194" customWidth="1"/>
    <col min="25" max="25" width="9.7109375" style="3194" bestFit="1" customWidth="1"/>
    <col min="26" max="16384" width="9.140625" style="3194"/>
  </cols>
  <sheetData>
    <row r="1" spans="1:22" s="3338" customFormat="1" ht="47.25" customHeight="1">
      <c r="A1" s="4556" t="s">
        <v>347</v>
      </c>
      <c r="B1" s="4557"/>
      <c r="C1" s="4557"/>
      <c r="D1" s="4557"/>
      <c r="E1" s="4557"/>
      <c r="F1" s="4557"/>
      <c r="G1" s="4557"/>
      <c r="H1" s="4557"/>
      <c r="I1" s="4557"/>
      <c r="J1" s="4557"/>
      <c r="K1" s="4557"/>
      <c r="L1" s="4557"/>
      <c r="M1" s="4557"/>
      <c r="N1" s="4557"/>
      <c r="O1" s="4557"/>
      <c r="P1" s="4557"/>
      <c r="Q1" s="4557"/>
      <c r="R1" s="4557"/>
      <c r="S1" s="4557"/>
      <c r="T1" s="4557"/>
      <c r="U1" s="4557"/>
      <c r="V1" s="4557"/>
    </row>
    <row r="2" spans="1:22" ht="7.5" customHeight="1"/>
    <row r="3" spans="1:22" ht="27" customHeight="1" thickBot="1">
      <c r="A3" s="3340" t="s">
        <v>201</v>
      </c>
      <c r="B3" s="3341"/>
      <c r="C3" s="3341"/>
      <c r="D3" s="3341"/>
      <c r="E3" s="3341"/>
      <c r="F3" s="3341"/>
      <c r="G3" s="3341"/>
      <c r="H3" s="3341"/>
      <c r="I3" s="3341"/>
      <c r="J3" s="3341"/>
      <c r="K3" s="3341"/>
      <c r="L3" s="3341"/>
      <c r="M3" s="3341"/>
      <c r="N3" s="3341"/>
      <c r="O3" s="3341"/>
      <c r="P3" s="3341"/>
      <c r="Q3" s="3341"/>
      <c r="R3" s="3341"/>
      <c r="S3" s="3341"/>
      <c r="T3" s="3341"/>
      <c r="U3" s="3341"/>
      <c r="V3" s="3341"/>
    </row>
    <row r="4" spans="1:22" ht="17.25" customHeight="1">
      <c r="A4" s="4558" t="s">
        <v>341</v>
      </c>
      <c r="B4" s="4561" t="s">
        <v>75</v>
      </c>
      <c r="C4" s="4564" t="s">
        <v>203</v>
      </c>
      <c r="D4" s="4371" t="s">
        <v>202</v>
      </c>
      <c r="E4" s="4443" t="s">
        <v>204</v>
      </c>
      <c r="F4" s="4569" t="s">
        <v>541</v>
      </c>
      <c r="G4" s="4572" t="s">
        <v>463</v>
      </c>
      <c r="H4" s="4573"/>
      <c r="I4" s="4573"/>
      <c r="J4" s="4573"/>
      <c r="K4" s="4573"/>
      <c r="L4" s="4573"/>
      <c r="M4" s="4573"/>
      <c r="N4" s="4573"/>
      <c r="O4" s="4573"/>
      <c r="P4" s="4573"/>
      <c r="Q4" s="4573"/>
      <c r="R4" s="4573"/>
      <c r="S4" s="4573"/>
      <c r="T4" s="4573"/>
      <c r="U4" s="4573"/>
      <c r="V4" s="4574"/>
    </row>
    <row r="5" spans="1:22" ht="28.5" customHeight="1">
      <c r="A5" s="4559"/>
      <c r="B5" s="4562"/>
      <c r="C5" s="4565"/>
      <c r="D5" s="4513"/>
      <c r="E5" s="4567"/>
      <c r="F5" s="4570"/>
      <c r="G5" s="4575"/>
      <c r="H5" s="4576"/>
      <c r="I5" s="4576"/>
      <c r="J5" s="4576"/>
      <c r="K5" s="4576"/>
      <c r="L5" s="4576"/>
      <c r="M5" s="4576"/>
      <c r="N5" s="4576"/>
      <c r="O5" s="4576"/>
      <c r="P5" s="4576"/>
      <c r="Q5" s="4576"/>
      <c r="R5" s="4576"/>
      <c r="S5" s="4576"/>
      <c r="T5" s="4576"/>
      <c r="U5" s="4576"/>
      <c r="V5" s="4577"/>
    </row>
    <row r="6" spans="1:22" ht="13.5" thickBot="1">
      <c r="A6" s="4559"/>
      <c r="B6" s="4562"/>
      <c r="C6" s="4565"/>
      <c r="D6" s="4513"/>
      <c r="E6" s="4567"/>
      <c r="F6" s="4570"/>
      <c r="G6" s="4578"/>
      <c r="H6" s="4579"/>
      <c r="I6" s="4579"/>
      <c r="J6" s="4579"/>
      <c r="K6" s="4579"/>
      <c r="L6" s="4579"/>
      <c r="M6" s="4579"/>
      <c r="N6" s="4579"/>
      <c r="O6" s="4579"/>
      <c r="P6" s="4579"/>
      <c r="Q6" s="4579"/>
      <c r="R6" s="4579"/>
      <c r="S6" s="4579"/>
      <c r="T6" s="4579"/>
      <c r="U6" s="4579"/>
      <c r="V6" s="4580"/>
    </row>
    <row r="7" spans="1:22" ht="22.5" customHeight="1" thickBot="1">
      <c r="A7" s="4560"/>
      <c r="B7" s="4563"/>
      <c r="C7" s="4566"/>
      <c r="D7" s="4447"/>
      <c r="E7" s="4568"/>
      <c r="F7" s="4571"/>
      <c r="G7" s="3342" t="s">
        <v>604</v>
      </c>
      <c r="H7" s="3343">
        <v>2018</v>
      </c>
      <c r="I7" s="3344">
        <v>2019</v>
      </c>
      <c r="J7" s="3345">
        <v>2020</v>
      </c>
      <c r="K7" s="3345">
        <v>2021</v>
      </c>
      <c r="L7" s="3345">
        <v>2022</v>
      </c>
      <c r="M7" s="3344">
        <v>2023</v>
      </c>
      <c r="N7" s="3345">
        <v>2024</v>
      </c>
      <c r="O7" s="3345">
        <v>2025</v>
      </c>
      <c r="P7" s="3345">
        <v>2026</v>
      </c>
      <c r="Q7" s="3345">
        <v>2027</v>
      </c>
      <c r="R7" s="3346">
        <v>2028</v>
      </c>
      <c r="S7" s="3346">
        <v>2029</v>
      </c>
      <c r="T7" s="3346">
        <v>2030</v>
      </c>
      <c r="U7" s="3346">
        <v>2031</v>
      </c>
      <c r="V7" s="3346">
        <v>2032</v>
      </c>
    </row>
    <row r="8" spans="1:22" ht="13.5" customHeight="1" thickBot="1">
      <c r="A8" s="3347">
        <v>1</v>
      </c>
      <c r="B8" s="3348">
        <v>2</v>
      </c>
      <c r="C8" s="3349">
        <v>3</v>
      </c>
      <c r="D8" s="3350">
        <v>7</v>
      </c>
      <c r="E8" s="3350">
        <v>8</v>
      </c>
      <c r="F8" s="3350">
        <v>10</v>
      </c>
      <c r="G8" s="3351">
        <v>12</v>
      </c>
      <c r="H8" s="3351">
        <v>13</v>
      </c>
      <c r="I8" s="3351">
        <v>14</v>
      </c>
      <c r="J8" s="3350">
        <v>15</v>
      </c>
      <c r="K8" s="3350">
        <v>16</v>
      </c>
      <c r="L8" s="3350">
        <v>17</v>
      </c>
      <c r="M8" s="3350">
        <v>18</v>
      </c>
      <c r="N8" s="3351">
        <v>19</v>
      </c>
      <c r="O8" s="3351">
        <v>20</v>
      </c>
      <c r="P8" s="3351">
        <v>21</v>
      </c>
      <c r="Q8" s="3351">
        <v>22</v>
      </c>
      <c r="R8" s="3352">
        <v>23</v>
      </c>
      <c r="S8" s="3353"/>
      <c r="T8" s="3353"/>
      <c r="U8" s="3353"/>
      <c r="V8" s="3353"/>
    </row>
    <row r="9" spans="1:22" ht="52.5" customHeight="1" thickBot="1">
      <c r="A9" s="3354" t="s">
        <v>81</v>
      </c>
      <c r="B9" s="3355" t="s">
        <v>416</v>
      </c>
      <c r="C9" s="3356">
        <v>0</v>
      </c>
      <c r="D9" s="3357">
        <v>0</v>
      </c>
      <c r="E9" s="3358">
        <f t="shared" ref="E9:M9" si="0">E12+E193</f>
        <v>1123806209</v>
      </c>
      <c r="F9" s="3358">
        <f t="shared" si="0"/>
        <v>90943873</v>
      </c>
      <c r="G9" s="3358">
        <f t="shared" si="0"/>
        <v>254107095</v>
      </c>
      <c r="H9" s="3358">
        <f t="shared" si="0"/>
        <v>452085278</v>
      </c>
      <c r="I9" s="3358">
        <f t="shared" si="0"/>
        <v>135009081</v>
      </c>
      <c r="J9" s="3358">
        <f t="shared" si="0"/>
        <v>83866517</v>
      </c>
      <c r="K9" s="3358">
        <f t="shared" si="0"/>
        <v>42806515</v>
      </c>
      <c r="L9" s="3358">
        <f t="shared" si="0"/>
        <v>37931641</v>
      </c>
      <c r="M9" s="3358">
        <f t="shared" si="0"/>
        <v>36073915</v>
      </c>
      <c r="N9" s="3358"/>
      <c r="O9" s="3358"/>
      <c r="P9" s="3358"/>
      <c r="Q9" s="3358"/>
      <c r="R9" s="3359"/>
      <c r="S9" s="3359"/>
      <c r="T9" s="3359"/>
      <c r="U9" s="3359"/>
      <c r="V9" s="3359"/>
    </row>
    <row r="10" spans="1:22" s="3367" customFormat="1" ht="21.75" customHeight="1" thickBot="1">
      <c r="A10" s="3360"/>
      <c r="B10" s="3361" t="s">
        <v>518</v>
      </c>
      <c r="C10" s="3362"/>
      <c r="D10" s="3363"/>
      <c r="E10" s="3364"/>
      <c r="F10" s="3364"/>
      <c r="G10" s="3365"/>
      <c r="H10" s="3365"/>
      <c r="I10" s="3365"/>
      <c r="J10" s="3364"/>
      <c r="K10" s="3364"/>
      <c r="L10" s="3364"/>
      <c r="M10" s="3364"/>
      <c r="N10" s="3365"/>
      <c r="O10" s="3365"/>
      <c r="P10" s="3365"/>
      <c r="Q10" s="3365"/>
      <c r="R10" s="3366"/>
      <c r="S10" s="3366"/>
      <c r="T10" s="3366"/>
      <c r="U10" s="3366"/>
      <c r="V10" s="3366"/>
    </row>
    <row r="11" spans="1:22" ht="18.75" customHeight="1" thickBot="1">
      <c r="A11" s="3368" t="s">
        <v>410</v>
      </c>
      <c r="B11" s="3369" t="s">
        <v>412</v>
      </c>
      <c r="C11" s="3370" t="s">
        <v>406</v>
      </c>
      <c r="D11" s="3371"/>
      <c r="E11" s="3372">
        <f>E100+E20+E25+E30+E105+E35+E40+E45+E110+E115+E50+E55+E60+E65+E75+E80+E85+E90+E172+E177+E183+E95+E120+E125+E130+E135+E140+E145+E70+E150+E155+E160+E165</f>
        <v>574143282</v>
      </c>
      <c r="F11" s="3372">
        <f t="shared" ref="F11:M11" si="1">F100+F20+F25+F30+F105+F35+F40+F45+F110+F115+F50+F55+F60+F65+F75+F80+F85+F90+F172+F177+F183+F95+F120+F125+F130+F135+F140+F145+F70+F150+F155+F160+F165</f>
        <v>13552525</v>
      </c>
      <c r="G11" s="3372">
        <f t="shared" si="1"/>
        <v>178490609</v>
      </c>
      <c r="H11" s="3372">
        <f t="shared" si="1"/>
        <v>306326219</v>
      </c>
      <c r="I11" s="3372">
        <f t="shared" si="1"/>
        <v>53288728</v>
      </c>
      <c r="J11" s="3372">
        <f t="shared" si="1"/>
        <v>21740630</v>
      </c>
      <c r="K11" s="3372">
        <f t="shared" si="1"/>
        <v>144500</v>
      </c>
      <c r="L11" s="3372">
        <f t="shared" si="1"/>
        <v>144500</v>
      </c>
      <c r="M11" s="3372">
        <f t="shared" si="1"/>
        <v>144500</v>
      </c>
      <c r="N11" s="3372"/>
      <c r="O11" s="3372"/>
      <c r="P11" s="3372"/>
      <c r="Q11" s="3372"/>
      <c r="R11" s="3373"/>
      <c r="S11" s="3374"/>
      <c r="T11" s="3374"/>
      <c r="U11" s="3374"/>
      <c r="V11" s="3374"/>
    </row>
    <row r="12" spans="1:22" ht="18.75" customHeight="1" thickBot="1">
      <c r="A12" s="3375" t="s">
        <v>409</v>
      </c>
      <c r="B12" s="3376" t="s">
        <v>383</v>
      </c>
      <c r="C12" s="3377"/>
      <c r="D12" s="3378"/>
      <c r="E12" s="3379">
        <f>E92+E67+E127+E147+E97+E22+E27+E102+E32+E37+E169+E174+E107+E180+E187+E17+E42+E112+E47+E52+E57+E62+E72+E77+E82+E87+E117+E122+E132+E137+E142+E152+E157+E162</f>
        <v>717053985</v>
      </c>
      <c r="F12" s="3379">
        <f t="shared" ref="F12:M12" si="2">F92+F67+F127+F147+F97+F22+F27+F102+F32+F37+F169+F174+F107+F180+F187+F17+F42+F112+F47+F52+F57+F62+F72+F77+F82+F87+F117+F122+F132+F137+F142+F152+F157+F162</f>
        <v>44975559</v>
      </c>
      <c r="G12" s="3379">
        <f t="shared" si="2"/>
        <v>207084918</v>
      </c>
      <c r="H12" s="3379">
        <f t="shared" si="2"/>
        <v>375965261</v>
      </c>
      <c r="I12" s="3379">
        <f t="shared" si="2"/>
        <v>67695968</v>
      </c>
      <c r="J12" s="3379">
        <f t="shared" si="2"/>
        <v>29916485</v>
      </c>
      <c r="K12" s="3379">
        <f t="shared" si="2"/>
        <v>144500</v>
      </c>
      <c r="L12" s="3379">
        <f t="shared" si="2"/>
        <v>144500</v>
      </c>
      <c r="M12" s="3379">
        <f t="shared" si="2"/>
        <v>144500</v>
      </c>
      <c r="N12" s="3379"/>
      <c r="O12" s="3379"/>
      <c r="P12" s="3379"/>
      <c r="Q12" s="3379"/>
      <c r="R12" s="3380"/>
      <c r="S12" s="3381"/>
      <c r="T12" s="3381"/>
      <c r="U12" s="3381"/>
      <c r="V12" s="3381"/>
    </row>
    <row r="13" spans="1:22" s="3389" customFormat="1" ht="11.25" customHeight="1">
      <c r="A13" s="3382"/>
      <c r="B13" s="3383" t="s">
        <v>405</v>
      </c>
      <c r="C13" s="3384">
        <f>E11-E14</f>
        <v>0</v>
      </c>
      <c r="D13" s="3385"/>
      <c r="E13" s="3386"/>
      <c r="F13" s="3386"/>
      <c r="G13" s="3386"/>
      <c r="H13" s="3386"/>
      <c r="I13" s="3386"/>
      <c r="J13" s="3386"/>
      <c r="K13" s="3386"/>
      <c r="L13" s="3386"/>
      <c r="M13" s="3386"/>
      <c r="N13" s="3386"/>
      <c r="O13" s="3386"/>
      <c r="P13" s="3386"/>
      <c r="Q13" s="3386"/>
      <c r="R13" s="3387"/>
      <c r="S13" s="3388"/>
      <c r="T13" s="3388"/>
      <c r="U13" s="3388"/>
      <c r="V13" s="3388"/>
    </row>
    <row r="14" spans="1:22" s="3389" customFormat="1" ht="18.75" customHeight="1">
      <c r="A14" s="3390" t="s">
        <v>411</v>
      </c>
      <c r="B14" s="3391" t="s">
        <v>458</v>
      </c>
      <c r="C14" s="3392" t="s">
        <v>406</v>
      </c>
      <c r="D14" s="3393"/>
      <c r="E14" s="3394">
        <f>E94+E69+E129+E149+E99+E19+E24+E29+E104+E34+E39+E44+E114+E49+E54+E59+E64+E74+E79+E84+E89+E171+E176+E109+E119+E124+E134+E139+E144+E182+E154+E159+E164</f>
        <v>574143282</v>
      </c>
      <c r="F14" s="3394">
        <f t="shared" ref="F14:M14" si="3">F94+F69+F129+F149+F99+F19+F24+F29+F104+F34+F39+F44+F114+F49+F54+F59+F64+F74+F79+F84+F89+F171+F176+F109+F119+F124+F134+F139+F144+F182+F154+F159+F164</f>
        <v>18984047</v>
      </c>
      <c r="G14" s="3394">
        <f t="shared" si="3"/>
        <v>175884214</v>
      </c>
      <c r="H14" s="3394">
        <f t="shared" si="3"/>
        <v>313336365</v>
      </c>
      <c r="I14" s="3394">
        <f t="shared" si="3"/>
        <v>46660036</v>
      </c>
      <c r="J14" s="3394">
        <f t="shared" si="3"/>
        <v>18845120</v>
      </c>
      <c r="K14" s="3394">
        <f t="shared" si="3"/>
        <v>144500</v>
      </c>
      <c r="L14" s="3394">
        <f t="shared" si="3"/>
        <v>144500</v>
      </c>
      <c r="M14" s="3394">
        <f t="shared" si="3"/>
        <v>144500</v>
      </c>
      <c r="N14" s="3394"/>
      <c r="O14" s="3394"/>
      <c r="P14" s="3394"/>
      <c r="Q14" s="3394"/>
      <c r="R14" s="3394"/>
      <c r="S14" s="3395"/>
      <c r="T14" s="3395"/>
      <c r="U14" s="3395"/>
      <c r="V14" s="3395"/>
    </row>
    <row r="15" spans="1:22" s="3389" customFormat="1" ht="12" customHeight="1" thickBot="1">
      <c r="A15" s="3382"/>
      <c r="B15" s="3382"/>
      <c r="C15" s="3396"/>
      <c r="D15" s="3385"/>
      <c r="E15" s="3386"/>
      <c r="F15" s="3386"/>
      <c r="G15" s="3397"/>
      <c r="H15" s="3386"/>
      <c r="I15" s="3386"/>
      <c r="J15" s="3386"/>
      <c r="K15" s="3386"/>
      <c r="L15" s="3386"/>
      <c r="M15" s="3386"/>
      <c r="N15" s="3386"/>
      <c r="O15" s="3386"/>
      <c r="P15" s="3386"/>
      <c r="Q15" s="3386"/>
      <c r="R15" s="3387"/>
      <c r="S15" s="3388"/>
      <c r="T15" s="3388"/>
      <c r="U15" s="3388"/>
      <c r="V15" s="3388"/>
    </row>
    <row r="16" spans="1:22" ht="40.5" customHeight="1">
      <c r="A16" s="4549" t="s">
        <v>63</v>
      </c>
      <c r="B16" s="3398" t="str">
        <f>'Tab. 6E - Administracja'!B225</f>
        <v xml:space="preserve">Zakupy inwestycyjne w ramach wsparcia gmin w opracowaniu albo aktualizacji programów rewitalizacji w ramach PO Pomoc Techniczna (2016 - 2018) </v>
      </c>
      <c r="C16" s="3399" t="s">
        <v>349</v>
      </c>
      <c r="D16" s="3400">
        <f>E19/E17%</f>
        <v>84.99306037473977</v>
      </c>
      <c r="E16" s="3401"/>
      <c r="F16" s="3402"/>
      <c r="G16" s="3403"/>
      <c r="H16" s="3402"/>
      <c r="I16" s="3402"/>
      <c r="J16" s="3402"/>
      <c r="K16" s="3402"/>
      <c r="L16" s="3402"/>
      <c r="M16" s="3402"/>
      <c r="N16" s="3402"/>
      <c r="O16" s="3402"/>
      <c r="P16" s="3402"/>
      <c r="Q16" s="3402"/>
      <c r="R16" s="3404"/>
      <c r="S16" s="3405"/>
      <c r="T16" s="3405"/>
      <c r="U16" s="3405"/>
      <c r="V16" s="3405"/>
    </row>
    <row r="17" spans="1:22" ht="14.25" customHeight="1">
      <c r="A17" s="4544"/>
      <c r="B17" s="3406" t="s">
        <v>205</v>
      </c>
      <c r="C17" s="3407"/>
      <c r="D17" s="3408"/>
      <c r="E17" s="3409">
        <f>+F17+G17+H17+I17+J17+K17+L17+M17</f>
        <v>5764</v>
      </c>
      <c r="F17" s="3410">
        <f>'Tab. 6E - Administracja'!E226</f>
        <v>5764</v>
      </c>
      <c r="G17" s="3410">
        <f>'Tab. 6E - Administracja'!F226</f>
        <v>0</v>
      </c>
      <c r="H17" s="3410"/>
      <c r="I17" s="3410"/>
      <c r="J17" s="3410"/>
      <c r="K17" s="3410"/>
      <c r="L17" s="3410"/>
      <c r="M17" s="3410"/>
      <c r="N17" s="3410"/>
      <c r="O17" s="3410"/>
      <c r="P17" s="3410"/>
      <c r="Q17" s="3410"/>
      <c r="R17" s="3411"/>
      <c r="S17" s="3412"/>
      <c r="T17" s="3412"/>
      <c r="U17" s="3412"/>
      <c r="V17" s="3412"/>
    </row>
    <row r="18" spans="1:22">
      <c r="A18" s="4544"/>
      <c r="B18" s="3413" t="s">
        <v>391</v>
      </c>
      <c r="C18" s="2794"/>
      <c r="D18" s="3414"/>
      <c r="E18" s="3175">
        <f>+F18+G18+H18+I18+J18+K18+L18+M18</f>
        <v>865</v>
      </c>
      <c r="F18" s="3415">
        <f>'Tab. 6E - Administracja'!E227</f>
        <v>865</v>
      </c>
      <c r="G18" s="3415">
        <f>'Tab. 6E - Administracja'!F227</f>
        <v>0</v>
      </c>
      <c r="H18" s="3415"/>
      <c r="I18" s="3415"/>
      <c r="J18" s="3415"/>
      <c r="K18" s="3415"/>
      <c r="L18" s="3415"/>
      <c r="M18" s="3415"/>
      <c r="N18" s="3415"/>
      <c r="O18" s="3415"/>
      <c r="P18" s="3415"/>
      <c r="Q18" s="3415"/>
      <c r="R18" s="3416"/>
      <c r="S18" s="3416"/>
      <c r="T18" s="3416"/>
      <c r="U18" s="3416"/>
      <c r="V18" s="3416"/>
    </row>
    <row r="19" spans="1:22" ht="13.5" customHeight="1" thickBot="1">
      <c r="A19" s="4544"/>
      <c r="B19" s="3417" t="s">
        <v>207</v>
      </c>
      <c r="C19" s="3418"/>
      <c r="D19" s="3419"/>
      <c r="E19" s="3420">
        <f>+F19+G19+H19+I19+J19+K19+L19+M19</f>
        <v>4899</v>
      </c>
      <c r="F19" s="3421">
        <f>'Tab. 6E - Administracja'!E229</f>
        <v>4899</v>
      </c>
      <c r="G19" s="3421">
        <f>'Tab. 6E - Administracja'!F229</f>
        <v>0</v>
      </c>
      <c r="H19" s="3421"/>
      <c r="I19" s="3421"/>
      <c r="J19" s="3421"/>
      <c r="K19" s="3421"/>
      <c r="L19" s="3421"/>
      <c r="M19" s="3421"/>
      <c r="N19" s="3421"/>
      <c r="O19" s="3421"/>
      <c r="P19" s="3421"/>
      <c r="Q19" s="3421"/>
      <c r="R19" s="3422"/>
      <c r="S19" s="3423"/>
      <c r="T19" s="3423"/>
      <c r="U19" s="3423"/>
      <c r="V19" s="3423"/>
    </row>
    <row r="20" spans="1:22" ht="13.5" thickBot="1">
      <c r="A20" s="4545"/>
      <c r="B20" s="3424" t="s">
        <v>335</v>
      </c>
      <c r="C20" s="3425"/>
      <c r="D20" s="3426"/>
      <c r="E20" s="3427">
        <f>F20+G20+H20+I20+J20+K20+L20+M20</f>
        <v>4899</v>
      </c>
      <c r="F20" s="3428">
        <f>'Tab. 6E - Administracja'!E234</f>
        <v>4899</v>
      </c>
      <c r="G20" s="3428">
        <f>'Tab. 6E - Administracja'!F234</f>
        <v>0</v>
      </c>
      <c r="H20" s="3428"/>
      <c r="I20" s="3428"/>
      <c r="J20" s="3428"/>
      <c r="K20" s="3428"/>
      <c r="L20" s="3428"/>
      <c r="M20" s="3428"/>
      <c r="N20" s="3428"/>
      <c r="O20" s="3428"/>
      <c r="P20" s="3428"/>
      <c r="Q20" s="3428"/>
      <c r="R20" s="3429"/>
      <c r="S20" s="3429"/>
      <c r="T20" s="3429"/>
      <c r="U20" s="3429"/>
      <c r="V20" s="3429"/>
    </row>
    <row r="21" spans="1:22" ht="60">
      <c r="A21" s="4549" t="s">
        <v>64</v>
      </c>
      <c r="B21" s="3398" t="str">
        <f>'Tab. 6B Polit społ i rozwój prz'!B73</f>
        <v>Oś Priorytetowa VI, Pomoc Techniczna w ramach  PO WER 2014-2020 - wydatki majątkowe (2015-2023)</v>
      </c>
      <c r="C21" s="3399" t="s">
        <v>350</v>
      </c>
      <c r="D21" s="3400">
        <f>E24/E22%</f>
        <v>84.280115971580585</v>
      </c>
      <c r="E21" s="3401"/>
      <c r="F21" s="3402"/>
      <c r="G21" s="3403"/>
      <c r="H21" s="3402"/>
      <c r="I21" s="3402"/>
      <c r="J21" s="3402"/>
      <c r="K21" s="3402"/>
      <c r="L21" s="3402"/>
      <c r="M21" s="3402"/>
      <c r="N21" s="3402"/>
      <c r="O21" s="3402"/>
      <c r="P21" s="3402"/>
      <c r="Q21" s="3402"/>
      <c r="R21" s="3404"/>
      <c r="S21" s="3405"/>
      <c r="T21" s="3405"/>
      <c r="U21" s="3405"/>
      <c r="V21" s="3405"/>
    </row>
    <row r="22" spans="1:22" ht="13.5" customHeight="1">
      <c r="A22" s="4544"/>
      <c r="B22" s="3406" t="s">
        <v>205</v>
      </c>
      <c r="C22" s="3407"/>
      <c r="D22" s="3408"/>
      <c r="E22" s="3409">
        <f>+F22+G22+H22+I22+J22+K22+L22+M22</f>
        <v>31387</v>
      </c>
      <c r="F22" s="3410">
        <f>'Tab. 6B Polit społ i rozwój prz'!E74</f>
        <v>18705</v>
      </c>
      <c r="G22" s="3410">
        <f>'Tab. 6B Polit społ i rozwój prz'!F74</f>
        <v>12682</v>
      </c>
      <c r="H22" s="3410">
        <f>'Tab. 6B Polit społ i rozwój prz'!G74</f>
        <v>0</v>
      </c>
      <c r="I22" s="3410">
        <f>'Tab. 6B Polit społ i rozwój prz'!H74</f>
        <v>0</v>
      </c>
      <c r="J22" s="3410">
        <f>'Tab. 6B Polit społ i rozwój prz'!I74</f>
        <v>0</v>
      </c>
      <c r="K22" s="3410"/>
      <c r="L22" s="3410"/>
      <c r="M22" s="3410"/>
      <c r="N22" s="3410"/>
      <c r="O22" s="3410"/>
      <c r="P22" s="3410"/>
      <c r="Q22" s="3410"/>
      <c r="R22" s="3411"/>
      <c r="S22" s="3412"/>
      <c r="T22" s="3412"/>
      <c r="U22" s="3412"/>
      <c r="V22" s="3412"/>
    </row>
    <row r="23" spans="1:22" ht="15.75" customHeight="1">
      <c r="A23" s="4544"/>
      <c r="B23" s="3413" t="s">
        <v>338</v>
      </c>
      <c r="C23" s="2794"/>
      <c r="D23" s="3414"/>
      <c r="E23" s="3175">
        <f>+F23+G23+H23+I23+J23+K23+L23+M23</f>
        <v>4934</v>
      </c>
      <c r="F23" s="3415">
        <f>'Tab. 6B Polit społ i rozwój prz'!E75</f>
        <v>2940</v>
      </c>
      <c r="G23" s="3415">
        <f>'Tab. 6B Polit społ i rozwój prz'!F75</f>
        <v>1994</v>
      </c>
      <c r="H23" s="3415">
        <f>'Tab. 6B Polit społ i rozwój prz'!G75</f>
        <v>0</v>
      </c>
      <c r="I23" s="3415">
        <f>'Tab. 6B Polit społ i rozwój prz'!H75</f>
        <v>0</v>
      </c>
      <c r="J23" s="3415">
        <f>'Tab. 6B Polit społ i rozwój prz'!I75</f>
        <v>0</v>
      </c>
      <c r="K23" s="3415"/>
      <c r="L23" s="3415"/>
      <c r="M23" s="3415"/>
      <c r="N23" s="3415"/>
      <c r="O23" s="3415"/>
      <c r="P23" s="3415"/>
      <c r="Q23" s="3415"/>
      <c r="R23" s="3416"/>
      <c r="S23" s="3416"/>
      <c r="T23" s="3416"/>
      <c r="U23" s="3416"/>
      <c r="V23" s="3416"/>
    </row>
    <row r="24" spans="1:22" ht="15.75" customHeight="1" thickBot="1">
      <c r="A24" s="4544"/>
      <c r="B24" s="3417" t="s">
        <v>207</v>
      </c>
      <c r="C24" s="3430">
        <f>E24-E25</f>
        <v>0</v>
      </c>
      <c r="D24" s="3419"/>
      <c r="E24" s="3420">
        <f>+F24+G24+H24+I24+J24+K24+L24+M24</f>
        <v>26453</v>
      </c>
      <c r="F24" s="3421">
        <f>'Tab. 6B Polit społ i rozwój prz'!E78</f>
        <v>15765</v>
      </c>
      <c r="G24" s="3421">
        <f>'Tab. 6B Polit społ i rozwój prz'!F78</f>
        <v>10688</v>
      </c>
      <c r="H24" s="3421">
        <f>'Tab. 6B Polit społ i rozwój prz'!G78</f>
        <v>0</v>
      </c>
      <c r="I24" s="3421">
        <f>'Tab. 6B Polit społ i rozwój prz'!H78</f>
        <v>0</v>
      </c>
      <c r="J24" s="3421">
        <f>'Tab. 6B Polit społ i rozwój prz'!I78</f>
        <v>0</v>
      </c>
      <c r="K24" s="3421"/>
      <c r="L24" s="3421"/>
      <c r="M24" s="3421"/>
      <c r="N24" s="3421"/>
      <c r="O24" s="3421"/>
      <c r="P24" s="3421"/>
      <c r="Q24" s="3421"/>
      <c r="R24" s="3422"/>
      <c r="S24" s="3423"/>
      <c r="T24" s="3423"/>
      <c r="U24" s="3423"/>
      <c r="V24" s="3423"/>
    </row>
    <row r="25" spans="1:22" ht="13.5" thickBot="1">
      <c r="A25" s="4545"/>
      <c r="B25" s="3424" t="s">
        <v>335</v>
      </c>
      <c r="C25" s="3425"/>
      <c r="D25" s="3426"/>
      <c r="E25" s="3427">
        <f>F25+G25+H25+I25+J25+K25+L25+M25</f>
        <v>26453</v>
      </c>
      <c r="F25" s="3428">
        <f>'Tab. 6B Polit społ i rozwój prz'!E83</f>
        <v>15765</v>
      </c>
      <c r="G25" s="3428">
        <f>'Tab. 6B Polit społ i rozwój prz'!F83</f>
        <v>10688</v>
      </c>
      <c r="H25" s="3428">
        <f>'Tab. 6B Polit społ i rozwój prz'!G83</f>
        <v>0</v>
      </c>
      <c r="I25" s="3428">
        <f>'Tab. 6B Polit społ i rozwój prz'!H83</f>
        <v>0</v>
      </c>
      <c r="J25" s="3428">
        <f>'Tab. 6B Polit społ i rozwój prz'!I83</f>
        <v>0</v>
      </c>
      <c r="K25" s="3428"/>
      <c r="L25" s="3428"/>
      <c r="M25" s="3428"/>
      <c r="N25" s="3428"/>
      <c r="O25" s="3428"/>
      <c r="P25" s="3431"/>
      <c r="Q25" s="3431"/>
      <c r="R25" s="3431"/>
      <c r="S25" s="3346"/>
      <c r="T25" s="3346"/>
      <c r="U25" s="3346"/>
      <c r="V25" s="3346"/>
    </row>
    <row r="26" spans="1:22" ht="51.75" customHeight="1">
      <c r="A26" s="4549" t="s">
        <v>65</v>
      </c>
      <c r="B26" s="3398" t="str">
        <f>'Tab. 6E - Administracja'!B82</f>
        <v>Sieć Punktów Informacyjnych Funduszy Europejskich (PIFE) w Województwie Zachodniopomorskim w ramach PO Pomoc Techniczna - zakupy inwestycyjne  (2015-2020)</v>
      </c>
      <c r="C26" s="3399" t="s">
        <v>351</v>
      </c>
      <c r="D26" s="3400">
        <f>E29/E27%</f>
        <v>84.998924911006526</v>
      </c>
      <c r="E26" s="3401"/>
      <c r="F26" s="3402"/>
      <c r="G26" s="3403"/>
      <c r="H26" s="3402"/>
      <c r="I26" s="3402"/>
      <c r="J26" s="3402"/>
      <c r="K26" s="3403"/>
      <c r="L26" s="3403"/>
      <c r="M26" s="3402"/>
      <c r="N26" s="3402"/>
      <c r="O26" s="3402"/>
      <c r="P26" s="3402"/>
      <c r="Q26" s="3402"/>
      <c r="R26" s="3404"/>
      <c r="S26" s="3405"/>
      <c r="T26" s="3405"/>
      <c r="U26" s="3405"/>
      <c r="V26" s="3405"/>
    </row>
    <row r="27" spans="1:22" ht="13.5" customHeight="1">
      <c r="A27" s="4544"/>
      <c r="B27" s="3406" t="s">
        <v>205</v>
      </c>
      <c r="C27" s="3407"/>
      <c r="D27" s="3408"/>
      <c r="E27" s="3409">
        <f>+F27+G27+H27+I27+J27+K27+L27+M27</f>
        <v>41857</v>
      </c>
      <c r="F27" s="3410">
        <f>'Tab. 6E - Administracja'!E83</f>
        <v>38038</v>
      </c>
      <c r="G27" s="3410">
        <f>'Tab. 6E - Administracja'!F83</f>
        <v>3819</v>
      </c>
      <c r="H27" s="3410">
        <f>'Tab. 6E - Administracja'!G83</f>
        <v>0</v>
      </c>
      <c r="I27" s="3410"/>
      <c r="J27" s="3410"/>
      <c r="K27" s="3410"/>
      <c r="L27" s="3410"/>
      <c r="M27" s="3410"/>
      <c r="N27" s="3410"/>
      <c r="O27" s="3410"/>
      <c r="P27" s="3410"/>
      <c r="Q27" s="3410"/>
      <c r="R27" s="3411"/>
      <c r="S27" s="3412"/>
      <c r="T27" s="3412"/>
      <c r="U27" s="3412"/>
      <c r="V27" s="3412"/>
    </row>
    <row r="28" spans="1:22" ht="13.5" customHeight="1">
      <c r="A28" s="4544"/>
      <c r="B28" s="3413" t="s">
        <v>367</v>
      </c>
      <c r="C28" s="2794"/>
      <c r="D28" s="3414"/>
      <c r="E28" s="3175">
        <f>+F28+G28+H28+I28+J28+K28+L28+M28</f>
        <v>6279</v>
      </c>
      <c r="F28" s="3415">
        <f>'Tab. 6E - Administracja'!E84</f>
        <v>5706</v>
      </c>
      <c r="G28" s="3415">
        <f>'Tab. 6E - Administracja'!F84</f>
        <v>573</v>
      </c>
      <c r="H28" s="3415">
        <f>'Tab. 6E - Administracja'!G84</f>
        <v>0</v>
      </c>
      <c r="I28" s="3415"/>
      <c r="J28" s="3415"/>
      <c r="K28" s="3415"/>
      <c r="L28" s="3415"/>
      <c r="M28" s="3415"/>
      <c r="N28" s="3415"/>
      <c r="O28" s="3415"/>
      <c r="P28" s="3415"/>
      <c r="Q28" s="3415"/>
      <c r="R28" s="3416"/>
      <c r="S28" s="3416"/>
      <c r="T28" s="3416"/>
      <c r="U28" s="3416"/>
      <c r="V28" s="3416"/>
    </row>
    <row r="29" spans="1:22" ht="13.5" customHeight="1" thickBot="1">
      <c r="A29" s="4544"/>
      <c r="B29" s="3417" t="s">
        <v>207</v>
      </c>
      <c r="C29" s="3430">
        <f>E29-E30</f>
        <v>0</v>
      </c>
      <c r="D29" s="3419"/>
      <c r="E29" s="3420">
        <f>+F29+G29+H29+I29+J29+K29+L29+M29</f>
        <v>35578</v>
      </c>
      <c r="F29" s="3421">
        <f>'Tab. 6E - Administracja'!E87</f>
        <v>32332</v>
      </c>
      <c r="G29" s="3421">
        <f>'Tab. 6E - Administracja'!F87</f>
        <v>3246</v>
      </c>
      <c r="H29" s="3421">
        <f>'Tab. 6E - Administracja'!G87</f>
        <v>0</v>
      </c>
      <c r="I29" s="3421"/>
      <c r="J29" s="3421"/>
      <c r="K29" s="3421"/>
      <c r="L29" s="3421"/>
      <c r="M29" s="3421"/>
      <c r="N29" s="3421"/>
      <c r="O29" s="3421"/>
      <c r="P29" s="3421"/>
      <c r="Q29" s="3421"/>
      <c r="R29" s="3422"/>
      <c r="S29" s="3423"/>
      <c r="T29" s="3423"/>
      <c r="U29" s="3423"/>
      <c r="V29" s="3423"/>
    </row>
    <row r="30" spans="1:22" ht="13.5" customHeight="1" thickBot="1">
      <c r="A30" s="4545"/>
      <c r="B30" s="3424" t="s">
        <v>335</v>
      </c>
      <c r="C30" s="3425"/>
      <c r="D30" s="3426"/>
      <c r="E30" s="3427">
        <f>F30+G30+H30+I30+J30+K30+L30+M30</f>
        <v>35578</v>
      </c>
      <c r="F30" s="3428">
        <f>'Tab. 6E - Administracja'!E91</f>
        <v>32332</v>
      </c>
      <c r="G30" s="3428">
        <f>'Tab. 6E - Administracja'!F91</f>
        <v>3246</v>
      </c>
      <c r="H30" s="3428">
        <f>'Tab. 6E - Administracja'!G91</f>
        <v>0</v>
      </c>
      <c r="I30" s="3428"/>
      <c r="J30" s="3428"/>
      <c r="K30" s="3428"/>
      <c r="L30" s="3428"/>
      <c r="M30" s="3428"/>
      <c r="N30" s="3428"/>
      <c r="O30" s="3428"/>
      <c r="P30" s="3428"/>
      <c r="Q30" s="3428"/>
      <c r="R30" s="3429"/>
      <c r="S30" s="3429"/>
      <c r="T30" s="3429"/>
      <c r="U30" s="3429"/>
      <c r="V30" s="3429"/>
    </row>
    <row r="31" spans="1:22" ht="64.5" customHeight="1">
      <c r="A31" s="4549" t="s">
        <v>66</v>
      </c>
      <c r="B31" s="3398" t="str">
        <f>'Tab. 6E - Administracja'!B118</f>
        <v>Zakupy inwestycyjne w ramach Osi X - Pomoc techniczna RPO WZ 2014 - 2020 (2015-2023)</v>
      </c>
      <c r="C31" s="3399" t="s">
        <v>546</v>
      </c>
      <c r="D31" s="3400">
        <f>E34/E32%</f>
        <v>100</v>
      </c>
      <c r="E31" s="3401"/>
      <c r="F31" s="3402"/>
      <c r="G31" s="3403"/>
      <c r="H31" s="3402"/>
      <c r="I31" s="3402"/>
      <c r="J31" s="3402"/>
      <c r="K31" s="3403"/>
      <c r="L31" s="3403"/>
      <c r="M31" s="3402"/>
      <c r="N31" s="3402"/>
      <c r="O31" s="3402"/>
      <c r="P31" s="3402"/>
      <c r="Q31" s="3402"/>
      <c r="R31" s="3404"/>
      <c r="S31" s="3405"/>
      <c r="T31" s="3405"/>
      <c r="U31" s="3405"/>
      <c r="V31" s="3405"/>
    </row>
    <row r="32" spans="1:22" ht="15" customHeight="1">
      <c r="A32" s="4544"/>
      <c r="B32" s="3406" t="s">
        <v>205</v>
      </c>
      <c r="C32" s="3407"/>
      <c r="D32" s="3408"/>
      <c r="E32" s="3409">
        <f>+F32+G32+H32+I32+J32+K32+L32+M32</f>
        <v>1944569</v>
      </c>
      <c r="F32" s="3410">
        <f>'Tab. 6E - Administracja'!E124</f>
        <v>357504</v>
      </c>
      <c r="G32" s="3410">
        <f>'Tab. 6E - Administracja'!F124</f>
        <v>421938</v>
      </c>
      <c r="H32" s="3410">
        <f>'Tab. 6E - Administracja'!G124</f>
        <v>350000</v>
      </c>
      <c r="I32" s="3410">
        <f>'Tab. 6E - Administracja'!H124</f>
        <v>237127</v>
      </c>
      <c r="J32" s="3410">
        <f>'Tab. 6E - Administracja'!I124</f>
        <v>144500</v>
      </c>
      <c r="K32" s="3410">
        <f>'Tab. 6E - Administracja'!J124</f>
        <v>144500</v>
      </c>
      <c r="L32" s="3410">
        <f>'Tab. 6E - Administracja'!K124</f>
        <v>144500</v>
      </c>
      <c r="M32" s="3410">
        <f>'Tab. 6E - Administracja'!L124</f>
        <v>144500</v>
      </c>
      <c r="N32" s="3410"/>
      <c r="O32" s="3410"/>
      <c r="P32" s="3410"/>
      <c r="Q32" s="3410"/>
      <c r="R32" s="3411"/>
      <c r="S32" s="3412"/>
      <c r="T32" s="3412"/>
      <c r="U32" s="3412"/>
      <c r="V32" s="3412"/>
    </row>
    <row r="33" spans="1:22" ht="13.5" customHeight="1">
      <c r="A33" s="4544"/>
      <c r="B33" s="3413" t="s">
        <v>338</v>
      </c>
      <c r="C33" s="2794"/>
      <c r="D33" s="3414"/>
      <c r="E33" s="3175">
        <f>+F33+G33+H33+I33+J33+K33+L33+M33</f>
        <v>0</v>
      </c>
      <c r="F33" s="3415"/>
      <c r="G33" s="3415"/>
      <c r="H33" s="3415"/>
      <c r="I33" s="3415"/>
      <c r="J33" s="3415"/>
      <c r="K33" s="3415"/>
      <c r="L33" s="3415"/>
      <c r="M33" s="3415"/>
      <c r="N33" s="3415"/>
      <c r="O33" s="3415"/>
      <c r="P33" s="3415"/>
      <c r="Q33" s="3415"/>
      <c r="R33" s="3416"/>
      <c r="S33" s="3416"/>
      <c r="T33" s="3416"/>
      <c r="U33" s="3416"/>
      <c r="V33" s="3416"/>
    </row>
    <row r="34" spans="1:22" ht="13.5" customHeight="1" thickBot="1">
      <c r="A34" s="4544"/>
      <c r="B34" s="3417" t="s">
        <v>207</v>
      </c>
      <c r="C34" s="3430">
        <f>E34-E35</f>
        <v>0</v>
      </c>
      <c r="D34" s="3419"/>
      <c r="E34" s="3420">
        <f>+F34+G34+H34+I34+J34+K34+L34+M34</f>
        <v>1944569</v>
      </c>
      <c r="F34" s="3421">
        <f>'Tab. 6E - Administracja'!E125</f>
        <v>357504</v>
      </c>
      <c r="G34" s="3421">
        <f>'Tab. 6E - Administracja'!F125</f>
        <v>421938</v>
      </c>
      <c r="H34" s="3421">
        <f>'Tab. 6E - Administracja'!G125</f>
        <v>350000</v>
      </c>
      <c r="I34" s="3421">
        <f>'Tab. 6E - Administracja'!H125</f>
        <v>237127</v>
      </c>
      <c r="J34" s="3421">
        <f>'Tab. 6E - Administracja'!I125</f>
        <v>144500</v>
      </c>
      <c r="K34" s="3421">
        <f>'Tab. 6E - Administracja'!J125</f>
        <v>144500</v>
      </c>
      <c r="L34" s="3421">
        <f>'Tab. 6E - Administracja'!K125</f>
        <v>144500</v>
      </c>
      <c r="M34" s="3421">
        <f>'Tab. 6E - Administracja'!L125</f>
        <v>144500</v>
      </c>
      <c r="N34" s="3421"/>
      <c r="O34" s="3421"/>
      <c r="P34" s="3421"/>
      <c r="Q34" s="3421"/>
      <c r="R34" s="3422"/>
      <c r="S34" s="3423"/>
      <c r="T34" s="3423"/>
      <c r="U34" s="3423"/>
      <c r="V34" s="3423"/>
    </row>
    <row r="35" spans="1:22" ht="13.5" customHeight="1" thickBot="1">
      <c r="A35" s="4545"/>
      <c r="B35" s="3424" t="s">
        <v>335</v>
      </c>
      <c r="C35" s="3425"/>
      <c r="D35" s="3426"/>
      <c r="E35" s="3427">
        <f>F35+G35+H35+I35+J35+K35+L35+M35+11590+299481</f>
        <v>1944569</v>
      </c>
      <c r="F35" s="3428">
        <f>'Tab. 6E - Administracja'!E136</f>
        <v>236568</v>
      </c>
      <c r="G35" s="3428">
        <f>'Tab. 6E - Administracja'!F136</f>
        <v>231803</v>
      </c>
      <c r="H35" s="3428">
        <f>'Tab. 6E - Administracja'!G136</f>
        <v>350000</v>
      </c>
      <c r="I35" s="3428">
        <f>'Tab. 6E - Administracja'!H136</f>
        <v>237127</v>
      </c>
      <c r="J35" s="3428">
        <f>'Tab. 6E - Administracja'!I136</f>
        <v>144500</v>
      </c>
      <c r="K35" s="3428">
        <f>'Tab. 6E - Administracja'!J136</f>
        <v>144500</v>
      </c>
      <c r="L35" s="3428">
        <f>'Tab. 6E - Administracja'!K136</f>
        <v>144500</v>
      </c>
      <c r="M35" s="3428">
        <f>'Tab. 6E - Administracja'!L136</f>
        <v>144500</v>
      </c>
      <c r="N35" s="3428"/>
      <c r="O35" s="3428"/>
      <c r="P35" s="3428"/>
      <c r="Q35" s="3428"/>
      <c r="R35" s="3429"/>
      <c r="S35" s="3429"/>
      <c r="T35" s="3429"/>
      <c r="U35" s="3429"/>
      <c r="V35" s="3429"/>
    </row>
    <row r="36" spans="1:22" ht="66.75" customHeight="1">
      <c r="A36" s="4549" t="s">
        <v>67</v>
      </c>
      <c r="B36" s="3398" t="str">
        <f>'Tab. 6E - Administracja'!B137</f>
        <v>Konsolidacja siedziby Urzędu Marszałkowskiego Województwa Zachodniopomorskiego - razem etap A i B  (2016-2020)</v>
      </c>
      <c r="C36" s="3399" t="s">
        <v>359</v>
      </c>
      <c r="D36" s="3400">
        <f>E39/E37%</f>
        <v>70.553755798015956</v>
      </c>
      <c r="E36" s="3401"/>
      <c r="F36" s="3402"/>
      <c r="G36" s="3403"/>
      <c r="H36" s="3402"/>
      <c r="I36" s="3402"/>
      <c r="J36" s="3402"/>
      <c r="K36" s="3403"/>
      <c r="L36" s="3403"/>
      <c r="M36" s="3402"/>
      <c r="N36" s="3402"/>
      <c r="O36" s="3402"/>
      <c r="P36" s="3402"/>
      <c r="Q36" s="3402"/>
      <c r="R36" s="3404"/>
      <c r="S36" s="3405"/>
      <c r="T36" s="3405"/>
      <c r="U36" s="3405"/>
      <c r="V36" s="3405"/>
    </row>
    <row r="37" spans="1:22" ht="13.5" customHeight="1">
      <c r="A37" s="4544"/>
      <c r="B37" s="3406" t="s">
        <v>205</v>
      </c>
      <c r="C37" s="3407"/>
      <c r="D37" s="3408"/>
      <c r="E37" s="3409">
        <f>+F37+G37+H37+I37+J37+K37+L37+M37</f>
        <v>98152110</v>
      </c>
      <c r="F37" s="3410">
        <f>'Tab. 6E - Administracja'!E138</f>
        <v>360377</v>
      </c>
      <c r="G37" s="3410">
        <f>'Tab. 6E - Administracja'!F138</f>
        <v>1019503</v>
      </c>
      <c r="H37" s="3410">
        <f>'Tab. 6E - Administracja'!G138</f>
        <v>9082300</v>
      </c>
      <c r="I37" s="3410">
        <f>'Tab. 6E - Administracja'!H138</f>
        <v>58096345</v>
      </c>
      <c r="J37" s="3410">
        <f>'Tab. 6E - Administracja'!I138</f>
        <v>29593585</v>
      </c>
      <c r="K37" s="3410">
        <f>'Tab. 6E - Administracja'!J138</f>
        <v>0</v>
      </c>
      <c r="L37" s="3410">
        <f>'Tab. 6E - Administracja'!K138</f>
        <v>0</v>
      </c>
      <c r="M37" s="3410">
        <f>'Tab. 6E - Administracja'!L138</f>
        <v>0</v>
      </c>
      <c r="N37" s="3410"/>
      <c r="O37" s="3410"/>
      <c r="P37" s="3410"/>
      <c r="Q37" s="3410"/>
      <c r="R37" s="3411"/>
      <c r="S37" s="3412"/>
      <c r="T37" s="3412"/>
      <c r="U37" s="3412"/>
      <c r="V37" s="3412"/>
    </row>
    <row r="38" spans="1:22" ht="27" customHeight="1">
      <c r="A38" s="4544"/>
      <c r="B38" s="3413" t="s">
        <v>368</v>
      </c>
      <c r="C38" s="2794"/>
      <c r="D38" s="3414"/>
      <c r="E38" s="3175">
        <f>+F38+G38+H38+I38+J38+K38+L38+M38</f>
        <v>28902110</v>
      </c>
      <c r="F38" s="3415">
        <f>'Tab. 6E - Administracja'!E139</f>
        <v>0</v>
      </c>
      <c r="G38" s="3415">
        <f>'Tab. 6E - Administracja'!F139</f>
        <v>17645</v>
      </c>
      <c r="H38" s="3415">
        <f>'Tab. 6E - Administracja'!G139</f>
        <v>1604653</v>
      </c>
      <c r="I38" s="3415">
        <f>'Tab. 6E - Administracja'!H139</f>
        <v>16235207</v>
      </c>
      <c r="J38" s="3415">
        <f>'Tab. 6E - Administracja'!I139</f>
        <v>11044605</v>
      </c>
      <c r="K38" s="3415">
        <f>'Tab. 6E - Administracja'!J139</f>
        <v>0</v>
      </c>
      <c r="L38" s="3415">
        <f>'Tab. 6E - Administracja'!K139</f>
        <v>0</v>
      </c>
      <c r="M38" s="3415">
        <f>'Tab. 6E - Administracja'!L139</f>
        <v>0</v>
      </c>
      <c r="N38" s="3415"/>
      <c r="O38" s="3415"/>
      <c r="P38" s="3415"/>
      <c r="Q38" s="3415"/>
      <c r="R38" s="3416"/>
      <c r="S38" s="3416"/>
      <c r="T38" s="3416"/>
      <c r="U38" s="3416"/>
      <c r="V38" s="3416"/>
    </row>
    <row r="39" spans="1:22" ht="16.5" customHeight="1" thickBot="1">
      <c r="A39" s="4544"/>
      <c r="B39" s="3417" t="s">
        <v>207</v>
      </c>
      <c r="C39" s="3430">
        <f>E39-E40</f>
        <v>0</v>
      </c>
      <c r="D39" s="3419"/>
      <c r="E39" s="3420">
        <f>+F39+G39+H39+I39+J39+K39+L39+M39</f>
        <v>69250000</v>
      </c>
      <c r="F39" s="3421">
        <f>'Tab. 6E - Administracja'!E142</f>
        <v>360377</v>
      </c>
      <c r="G39" s="3421">
        <f>'Tab. 6E - Administracja'!F142</f>
        <v>1001858</v>
      </c>
      <c r="H39" s="3421">
        <f>'Tab. 6E - Administracja'!G142</f>
        <v>7477647</v>
      </c>
      <c r="I39" s="3421">
        <f>'Tab. 6E - Administracja'!H142</f>
        <v>41861138</v>
      </c>
      <c r="J39" s="3421">
        <f>'Tab. 6E - Administracja'!I142</f>
        <v>18548980</v>
      </c>
      <c r="K39" s="3421">
        <f>'Tab. 6E - Administracja'!J142</f>
        <v>0</v>
      </c>
      <c r="L39" s="3421">
        <f>'Tab. 6E - Administracja'!K142</f>
        <v>0</v>
      </c>
      <c r="M39" s="3421">
        <f>'Tab. 6E - Administracja'!L142</f>
        <v>0</v>
      </c>
      <c r="N39" s="3421"/>
      <c r="O39" s="3421"/>
      <c r="P39" s="3421"/>
      <c r="Q39" s="3421"/>
      <c r="R39" s="3422"/>
      <c r="S39" s="3423"/>
      <c r="T39" s="3423"/>
      <c r="U39" s="3423"/>
      <c r="V39" s="3423"/>
    </row>
    <row r="40" spans="1:22" ht="13.5" customHeight="1" thickBot="1">
      <c r="A40" s="4545"/>
      <c r="B40" s="3424" t="s">
        <v>335</v>
      </c>
      <c r="C40" s="3425"/>
      <c r="D40" s="3426"/>
      <c r="E40" s="3427">
        <f>F40+G40+H40+I40+J40+K40+L40+M40</f>
        <v>69250000</v>
      </c>
      <c r="F40" s="3428">
        <f>'Tab. 6E - Administracja'!E150</f>
        <v>226180</v>
      </c>
      <c r="G40" s="3428">
        <f>'Tab. 6E - Administracja'!F150</f>
        <v>1022720</v>
      </c>
      <c r="H40" s="3428">
        <f>'Tab. 6E - Administracja'!G150</f>
        <v>7477647</v>
      </c>
      <c r="I40" s="3428">
        <f>'Tab. 6E - Administracja'!H150</f>
        <v>41861138</v>
      </c>
      <c r="J40" s="3428">
        <f>'Tab. 6E - Administracja'!I150</f>
        <v>18662315</v>
      </c>
      <c r="K40" s="3428">
        <f>'Tab. 6E - Administracja'!J150</f>
        <v>0</v>
      </c>
      <c r="L40" s="3428">
        <f>'Tab. 6E - Administracja'!K150</f>
        <v>0</v>
      </c>
      <c r="M40" s="3428">
        <f>'Tab. 6E - Administracja'!L150</f>
        <v>0</v>
      </c>
      <c r="N40" s="3428"/>
      <c r="O40" s="3428"/>
      <c r="P40" s="3428"/>
      <c r="Q40" s="3428"/>
      <c r="R40" s="3429"/>
      <c r="S40" s="3429"/>
      <c r="T40" s="3429"/>
      <c r="U40" s="3429"/>
      <c r="V40" s="3429"/>
    </row>
    <row r="41" spans="1:22" ht="33.75" customHeight="1">
      <c r="A41" s="4549" t="s">
        <v>116</v>
      </c>
      <c r="B41" s="3398" t="str">
        <f>'Tab. 6B Polit społ i rozwój prz'!B97</f>
        <v>Oś X, Pomoc techniczna RPO WZ 2014-2020 - wydatki majątkowe (2015-2023)</v>
      </c>
      <c r="C41" s="3399" t="s">
        <v>359</v>
      </c>
      <c r="D41" s="3400">
        <f>E44/E42%</f>
        <v>84.999314175982448</v>
      </c>
      <c r="E41" s="3401"/>
      <c r="F41" s="3402"/>
      <c r="G41" s="3403"/>
      <c r="H41" s="3402"/>
      <c r="I41" s="3402"/>
      <c r="J41" s="3402"/>
      <c r="K41" s="3403"/>
      <c r="L41" s="3403"/>
      <c r="M41" s="3402"/>
      <c r="N41" s="3402"/>
      <c r="O41" s="3402"/>
      <c r="P41" s="3402"/>
      <c r="Q41" s="3402"/>
      <c r="R41" s="3404"/>
      <c r="S41" s="3405"/>
      <c r="T41" s="3405"/>
      <c r="U41" s="3405"/>
      <c r="V41" s="3405"/>
    </row>
    <row r="42" spans="1:22" ht="13.5" customHeight="1">
      <c r="A42" s="4544"/>
      <c r="B42" s="3406" t="s">
        <v>205</v>
      </c>
      <c r="C42" s="3407"/>
      <c r="D42" s="3408"/>
      <c r="E42" s="3409">
        <f>+F42+G42+H42+I42+J42+K42+L42+M42</f>
        <v>58324</v>
      </c>
      <c r="F42" s="3410"/>
      <c r="G42" s="3410">
        <f>'Tab. 6B Polit społ i rozwój prz'!F98</f>
        <v>58324</v>
      </c>
      <c r="H42" s="3410">
        <f>'Tab. 6B Polit społ i rozwój prz'!G98</f>
        <v>0</v>
      </c>
      <c r="I42" s="3410">
        <f>'Tab. 6B Polit społ i rozwój prz'!H98</f>
        <v>0</v>
      </c>
      <c r="J42" s="3410">
        <f>'Tab. 6B Polit społ i rozwój prz'!I98</f>
        <v>0</v>
      </c>
      <c r="K42" s="3410"/>
      <c r="L42" s="3410"/>
      <c r="M42" s="3410"/>
      <c r="N42" s="3410"/>
      <c r="O42" s="3410"/>
      <c r="P42" s="3410"/>
      <c r="Q42" s="3410"/>
      <c r="R42" s="3411"/>
      <c r="S42" s="3412"/>
      <c r="T42" s="3412"/>
      <c r="U42" s="3412"/>
      <c r="V42" s="3412"/>
    </row>
    <row r="43" spans="1:22">
      <c r="A43" s="4544"/>
      <c r="B43" s="3432" t="s">
        <v>338</v>
      </c>
      <c r="C43" s="2794"/>
      <c r="D43" s="3414"/>
      <c r="E43" s="3175">
        <f>+F43+G43+H43+I43+J43+K43+L43+M43</f>
        <v>8749</v>
      </c>
      <c r="F43" s="3415"/>
      <c r="G43" s="3415">
        <f>'Tab. 6B Polit społ i rozwój prz'!F99</f>
        <v>8749</v>
      </c>
      <c r="H43" s="3415">
        <f>'Tab. 6B Polit społ i rozwój prz'!G99</f>
        <v>0</v>
      </c>
      <c r="I43" s="3415">
        <f>'Tab. 6B Polit społ i rozwój prz'!H99</f>
        <v>0</v>
      </c>
      <c r="J43" s="3415">
        <f>'Tab. 6B Polit społ i rozwój prz'!I99</f>
        <v>0</v>
      </c>
      <c r="K43" s="3415"/>
      <c r="L43" s="3415"/>
      <c r="M43" s="3415"/>
      <c r="N43" s="3415"/>
      <c r="O43" s="3415"/>
      <c r="P43" s="3415"/>
      <c r="Q43" s="3415"/>
      <c r="R43" s="3416"/>
      <c r="S43" s="3416"/>
      <c r="T43" s="3416"/>
      <c r="U43" s="3416"/>
      <c r="V43" s="3416"/>
    </row>
    <row r="44" spans="1:22" ht="13.5" customHeight="1" thickBot="1">
      <c r="A44" s="4544"/>
      <c r="B44" s="3417" t="s">
        <v>207</v>
      </c>
      <c r="C44" s="3430">
        <f>E44-E45</f>
        <v>0</v>
      </c>
      <c r="D44" s="3419"/>
      <c r="E44" s="3420">
        <f>+F44+G44+H44+I44+J44+K44+L44+M44</f>
        <v>49575</v>
      </c>
      <c r="F44" s="3421"/>
      <c r="G44" s="3421">
        <f>'Tab. 6B Polit społ i rozwój prz'!F102</f>
        <v>49575</v>
      </c>
      <c r="H44" s="3421">
        <f>'Tab. 6B Polit społ i rozwój prz'!G102</f>
        <v>0</v>
      </c>
      <c r="I44" s="3421">
        <f>'Tab. 6B Polit społ i rozwój prz'!H102</f>
        <v>0</v>
      </c>
      <c r="J44" s="3421">
        <f>'Tab. 6B Polit społ i rozwój prz'!I102</f>
        <v>0</v>
      </c>
      <c r="K44" s="3421"/>
      <c r="L44" s="3421"/>
      <c r="M44" s="3421"/>
      <c r="N44" s="3421"/>
      <c r="O44" s="3421"/>
      <c r="P44" s="3421"/>
      <c r="Q44" s="3421"/>
      <c r="R44" s="3422"/>
      <c r="S44" s="3423"/>
      <c r="T44" s="3423"/>
      <c r="U44" s="3423"/>
      <c r="V44" s="3423"/>
    </row>
    <row r="45" spans="1:22" ht="13.5" customHeight="1" thickBot="1">
      <c r="A45" s="4545"/>
      <c r="B45" s="3424" t="s">
        <v>335</v>
      </c>
      <c r="C45" s="3425"/>
      <c r="D45" s="3426"/>
      <c r="E45" s="3427">
        <f>F45+G45+H45+I45+J45+K45+L45+M45</f>
        <v>49575</v>
      </c>
      <c r="F45" s="3428"/>
      <c r="G45" s="3428">
        <f>'Tab. 6B Polit społ i rozwój prz'!F107</f>
        <v>49575</v>
      </c>
      <c r="H45" s="3428">
        <f>'Tab. 6B Polit społ i rozwój prz'!G107</f>
        <v>0</v>
      </c>
      <c r="I45" s="3428">
        <f>'Tab. 6B Polit społ i rozwój prz'!H107</f>
        <v>0</v>
      </c>
      <c r="J45" s="3428">
        <f>'Tab. 6B Polit społ i rozwój prz'!I107</f>
        <v>0</v>
      </c>
      <c r="K45" s="3428"/>
      <c r="L45" s="3428"/>
      <c r="M45" s="3428"/>
      <c r="N45" s="3428"/>
      <c r="O45" s="3428"/>
      <c r="P45" s="3428"/>
      <c r="Q45" s="3428"/>
      <c r="R45" s="3429"/>
      <c r="S45" s="3429"/>
      <c r="T45" s="3429"/>
      <c r="U45" s="3429"/>
      <c r="V45" s="3429"/>
    </row>
    <row r="46" spans="1:22" ht="15" hidden="1" thickBot="1">
      <c r="A46" s="4581" t="s">
        <v>90</v>
      </c>
      <c r="B46" s="3433"/>
      <c r="C46" s="3399"/>
      <c r="D46" s="3400" t="e">
        <f>E49/E47%</f>
        <v>#DIV/0!</v>
      </c>
      <c r="E46" s="3401"/>
      <c r="F46" s="3402"/>
      <c r="G46" s="3403"/>
      <c r="H46" s="3402"/>
      <c r="I46" s="3402"/>
      <c r="J46" s="3402"/>
      <c r="K46" s="3402"/>
      <c r="L46" s="3402"/>
      <c r="M46" s="3402"/>
      <c r="N46" s="3402"/>
      <c r="O46" s="3402"/>
      <c r="P46" s="3402"/>
      <c r="Q46" s="3402"/>
      <c r="R46" s="3404"/>
      <c r="S46" s="3405"/>
      <c r="T46" s="3405"/>
      <c r="U46" s="3405"/>
      <c r="V46" s="3405"/>
    </row>
    <row r="47" spans="1:22" ht="13.5" hidden="1" customHeight="1">
      <c r="A47" s="4582"/>
      <c r="B47" s="3406" t="s">
        <v>205</v>
      </c>
      <c r="C47" s="3407"/>
      <c r="D47" s="3408"/>
      <c r="E47" s="3409">
        <f>+F47+G47+H47+I47+J47+K47+L47+M47</f>
        <v>0</v>
      </c>
      <c r="F47" s="3410"/>
      <c r="G47" s="3410"/>
      <c r="H47" s="3410"/>
      <c r="I47" s="3410"/>
      <c r="J47" s="3410"/>
      <c r="K47" s="3410"/>
      <c r="L47" s="3410"/>
      <c r="M47" s="3410"/>
      <c r="N47" s="3410"/>
      <c r="O47" s="3410"/>
      <c r="P47" s="3410"/>
      <c r="Q47" s="3410"/>
      <c r="R47" s="3411"/>
      <c r="S47" s="3412"/>
      <c r="T47" s="3412"/>
      <c r="U47" s="3412"/>
      <c r="V47" s="3412"/>
    </row>
    <row r="48" spans="1:22" ht="13.5" hidden="1" customHeight="1">
      <c r="A48" s="4582"/>
      <c r="B48" s="3413" t="s">
        <v>338</v>
      </c>
      <c r="C48" s="2794"/>
      <c r="D48" s="3414"/>
      <c r="E48" s="3175">
        <f>+F48+G48+H48+I48+J48+K48+L48+M48</f>
        <v>0</v>
      </c>
      <c r="F48" s="3415"/>
      <c r="G48" s="3415"/>
      <c r="H48" s="3415"/>
      <c r="I48" s="3415"/>
      <c r="J48" s="3415"/>
      <c r="K48" s="3415"/>
      <c r="L48" s="3415"/>
      <c r="M48" s="3415"/>
      <c r="N48" s="3415"/>
      <c r="O48" s="3415"/>
      <c r="P48" s="3415"/>
      <c r="Q48" s="3415"/>
      <c r="R48" s="3416"/>
      <c r="S48" s="3416"/>
      <c r="T48" s="3416"/>
      <c r="U48" s="3416"/>
      <c r="V48" s="3416"/>
    </row>
    <row r="49" spans="1:22" ht="13.5" hidden="1" customHeight="1" thickBot="1">
      <c r="A49" s="4582"/>
      <c r="B49" s="3417" t="s">
        <v>207</v>
      </c>
      <c r="C49" s="3430">
        <f>E49-E50</f>
        <v>0</v>
      </c>
      <c r="D49" s="3419"/>
      <c r="E49" s="3420">
        <f>+F49+G49+H49+I49+J49+K49+L49+M49</f>
        <v>0</v>
      </c>
      <c r="F49" s="3421"/>
      <c r="G49" s="3421"/>
      <c r="H49" s="3421"/>
      <c r="I49" s="3421"/>
      <c r="J49" s="3421"/>
      <c r="K49" s="3421"/>
      <c r="L49" s="3421"/>
      <c r="M49" s="3421"/>
      <c r="N49" s="3421"/>
      <c r="O49" s="3421"/>
      <c r="P49" s="3421"/>
      <c r="Q49" s="3421"/>
      <c r="R49" s="3422"/>
      <c r="S49" s="3423"/>
      <c r="T49" s="3423"/>
      <c r="U49" s="3423"/>
      <c r="V49" s="3423"/>
    </row>
    <row r="50" spans="1:22" ht="13.5" hidden="1" customHeight="1" thickBot="1">
      <c r="A50" s="4583"/>
      <c r="B50" s="3424" t="s">
        <v>335</v>
      </c>
      <c r="C50" s="3425"/>
      <c r="D50" s="3426"/>
      <c r="E50" s="3427">
        <f>F50+G50+H50+I50+J50+K50+L50+M50</f>
        <v>0</v>
      </c>
      <c r="F50" s="3428"/>
      <c r="G50" s="3428"/>
      <c r="H50" s="3428"/>
      <c r="I50" s="3428"/>
      <c r="J50" s="3428"/>
      <c r="K50" s="3428"/>
      <c r="L50" s="3428"/>
      <c r="M50" s="3428"/>
      <c r="N50" s="3428"/>
      <c r="O50" s="3428"/>
      <c r="P50" s="3428"/>
      <c r="Q50" s="3428"/>
      <c r="R50" s="3429"/>
      <c r="S50" s="3429"/>
      <c r="T50" s="3429"/>
      <c r="U50" s="3429"/>
      <c r="V50" s="3429"/>
    </row>
    <row r="51" spans="1:22" ht="15" hidden="1" customHeight="1" thickBot="1">
      <c r="A51" s="4581" t="s">
        <v>91</v>
      </c>
      <c r="B51" s="3433"/>
      <c r="C51" s="3399"/>
      <c r="D51" s="3400" t="e">
        <f>E54/E52%</f>
        <v>#DIV/0!</v>
      </c>
      <c r="E51" s="3401"/>
      <c r="F51" s="3402"/>
      <c r="G51" s="3403"/>
      <c r="H51" s="3402"/>
      <c r="I51" s="3402"/>
      <c r="J51" s="3402"/>
      <c r="K51" s="3402"/>
      <c r="L51" s="3402"/>
      <c r="M51" s="3402"/>
      <c r="N51" s="3402"/>
      <c r="O51" s="3402"/>
      <c r="P51" s="3402"/>
      <c r="Q51" s="3402"/>
      <c r="R51" s="3404"/>
      <c r="S51" s="3405"/>
      <c r="T51" s="3405"/>
      <c r="U51" s="3405"/>
      <c r="V51" s="3405"/>
    </row>
    <row r="52" spans="1:22" ht="17.25" hidden="1" customHeight="1">
      <c r="A52" s="4582"/>
      <c r="B52" s="3406" t="s">
        <v>205</v>
      </c>
      <c r="C52" s="3407"/>
      <c r="D52" s="3408"/>
      <c r="E52" s="3409">
        <f>+F52+G52+H52+I52+J52+K52+L52+M52</f>
        <v>0</v>
      </c>
      <c r="F52" s="3410">
        <f>'Tab. 6A -Drogi'!E114</f>
        <v>0</v>
      </c>
      <c r="G52" s="3410">
        <f>'Tab. 6A -Drogi'!F114</f>
        <v>0</v>
      </c>
      <c r="H52" s="3410">
        <f>'Tab. 6A -Drogi'!G114</f>
        <v>0</v>
      </c>
      <c r="I52" s="3410">
        <f>'Tab. 6A -Drogi'!H114</f>
        <v>0</v>
      </c>
      <c r="J52" s="3410"/>
      <c r="K52" s="3410"/>
      <c r="L52" s="3410"/>
      <c r="M52" s="3410"/>
      <c r="N52" s="3410"/>
      <c r="O52" s="3410"/>
      <c r="P52" s="3410"/>
      <c r="Q52" s="3410"/>
      <c r="R52" s="3411"/>
      <c r="S52" s="3412"/>
      <c r="T52" s="3412"/>
      <c r="U52" s="3412"/>
      <c r="V52" s="3412"/>
    </row>
    <row r="53" spans="1:22" ht="13.5" hidden="1" customHeight="1">
      <c r="A53" s="4582"/>
      <c r="B53" s="3413" t="s">
        <v>206</v>
      </c>
      <c r="C53" s="2794"/>
      <c r="D53" s="3414"/>
      <c r="E53" s="3175">
        <f>+F53+G53+H53+I53+J53+K53+L53+M53</f>
        <v>0</v>
      </c>
      <c r="F53" s="3415">
        <f>'Tab. 6A -Drogi'!E115</f>
        <v>0</v>
      </c>
      <c r="G53" s="3415">
        <f>'Tab. 6A -Drogi'!F115</f>
        <v>0</v>
      </c>
      <c r="H53" s="3415">
        <f>'Tab. 6A -Drogi'!G115</f>
        <v>0</v>
      </c>
      <c r="I53" s="3415">
        <f>'Tab. 6A -Drogi'!H115</f>
        <v>0</v>
      </c>
      <c r="J53" s="3415"/>
      <c r="K53" s="3415"/>
      <c r="L53" s="3415"/>
      <c r="M53" s="3415"/>
      <c r="N53" s="3415"/>
      <c r="O53" s="3415"/>
      <c r="P53" s="3415"/>
      <c r="Q53" s="3415"/>
      <c r="R53" s="3416"/>
      <c r="S53" s="3416"/>
      <c r="T53" s="3416"/>
      <c r="U53" s="3416"/>
      <c r="V53" s="3416"/>
    </row>
    <row r="54" spans="1:22" ht="13.5" hidden="1" customHeight="1" thickBot="1">
      <c r="A54" s="4582"/>
      <c r="B54" s="3417" t="s">
        <v>207</v>
      </c>
      <c r="C54" s="3430">
        <f>E54-E55</f>
        <v>0</v>
      </c>
      <c r="D54" s="3419"/>
      <c r="E54" s="3420">
        <f>+F54+G54+H54+I54+J54+K54+L54+M54</f>
        <v>0</v>
      </c>
      <c r="F54" s="3421">
        <f>'Tab. 6A -Drogi'!E120</f>
        <v>0</v>
      </c>
      <c r="G54" s="3421">
        <f>'Tab. 6A -Drogi'!F120</f>
        <v>0</v>
      </c>
      <c r="H54" s="3421">
        <f>'Tab. 6A -Drogi'!G120</f>
        <v>0</v>
      </c>
      <c r="I54" s="3421">
        <f>'Tab. 6A -Drogi'!H120</f>
        <v>0</v>
      </c>
      <c r="J54" s="3421"/>
      <c r="K54" s="3421"/>
      <c r="L54" s="3421"/>
      <c r="M54" s="3421"/>
      <c r="N54" s="3421"/>
      <c r="O54" s="3421"/>
      <c r="P54" s="3421"/>
      <c r="Q54" s="3421"/>
      <c r="R54" s="3422"/>
      <c r="S54" s="3423"/>
      <c r="T54" s="3423"/>
      <c r="U54" s="3423"/>
      <c r="V54" s="3423"/>
    </row>
    <row r="55" spans="1:22" ht="13.5" hidden="1" customHeight="1" thickBot="1">
      <c r="A55" s="4583"/>
      <c r="B55" s="3424" t="s">
        <v>335</v>
      </c>
      <c r="C55" s="3425"/>
      <c r="D55" s="3426"/>
      <c r="E55" s="3427">
        <f>F55+G55+H55+I55+J55+K55+L55+M55</f>
        <v>0</v>
      </c>
      <c r="F55" s="3428">
        <f>'Tab. 6A -Drogi'!E125</f>
        <v>0</v>
      </c>
      <c r="G55" s="3428">
        <f>'Tab. 6A -Drogi'!F121</f>
        <v>0</v>
      </c>
      <c r="H55" s="3428">
        <f>'Tab. 6A -Drogi'!G121</f>
        <v>0</v>
      </c>
      <c r="I55" s="3428">
        <f>'Tab. 6A -Drogi'!H121</f>
        <v>0</v>
      </c>
      <c r="J55" s="3428"/>
      <c r="K55" s="3428"/>
      <c r="L55" s="3428"/>
      <c r="M55" s="3428"/>
      <c r="N55" s="3428"/>
      <c r="O55" s="3428"/>
      <c r="P55" s="3428"/>
      <c r="Q55" s="3428"/>
      <c r="R55" s="3429"/>
      <c r="S55" s="3429"/>
      <c r="T55" s="3429"/>
      <c r="U55" s="3429"/>
      <c r="V55" s="3429"/>
    </row>
    <row r="56" spans="1:22" ht="25.5" customHeight="1">
      <c r="A56" s="4549" t="s">
        <v>88</v>
      </c>
      <c r="B56" s="3434" t="str">
        <f>'Tab. 6A -Drogi'!B128</f>
        <v>Przebudowa drogi wojewódzkiej nr 203 na odcinku Dąbki - Darłowo w ramach Osi V RPO (2007-2018)</v>
      </c>
      <c r="C56" s="3399" t="s">
        <v>396</v>
      </c>
      <c r="D56" s="3400">
        <f>E59/E57%</f>
        <v>88.462108200867874</v>
      </c>
      <c r="E56" s="3401"/>
      <c r="F56" s="3402"/>
      <c r="G56" s="3403"/>
      <c r="H56" s="3402"/>
      <c r="I56" s="3402"/>
      <c r="J56" s="3402"/>
      <c r="K56" s="3402"/>
      <c r="L56" s="3402"/>
      <c r="M56" s="3402"/>
      <c r="N56" s="3402"/>
      <c r="O56" s="3402"/>
      <c r="P56" s="3402"/>
      <c r="Q56" s="3402"/>
      <c r="R56" s="3404"/>
      <c r="S56" s="3405"/>
      <c r="T56" s="3405"/>
      <c r="U56" s="3405"/>
      <c r="V56" s="3405"/>
    </row>
    <row r="57" spans="1:22" ht="13.5" customHeight="1">
      <c r="A57" s="4544"/>
      <c r="B57" s="3406" t="s">
        <v>205</v>
      </c>
      <c r="C57" s="3407"/>
      <c r="D57" s="3408"/>
      <c r="E57" s="3409">
        <f>+F57+G57+H57+I57+J57+K57+L57+M57</f>
        <v>41962510</v>
      </c>
      <c r="F57" s="3410">
        <f>'Tab. 6A -Drogi'!E129</f>
        <v>21145902</v>
      </c>
      <c r="G57" s="3410">
        <f>'Tab. 6A -Drogi'!F129</f>
        <v>20739608</v>
      </c>
      <c r="H57" s="3410">
        <f>'Tab. 6A -Drogi'!G129</f>
        <v>77000</v>
      </c>
      <c r="I57" s="3410">
        <f>'Tab. 6A -Drogi'!H129</f>
        <v>0</v>
      </c>
      <c r="J57" s="3410"/>
      <c r="K57" s="3410"/>
      <c r="L57" s="3410"/>
      <c r="M57" s="3410"/>
      <c r="N57" s="3410"/>
      <c r="O57" s="3410"/>
      <c r="P57" s="3410"/>
      <c r="Q57" s="3410"/>
      <c r="R57" s="3411"/>
      <c r="S57" s="3412"/>
      <c r="T57" s="3412"/>
      <c r="U57" s="3412"/>
      <c r="V57" s="3412"/>
    </row>
    <row r="58" spans="1:22" ht="15" customHeight="1">
      <c r="A58" s="4544"/>
      <c r="B58" s="3413" t="s">
        <v>337</v>
      </c>
      <c r="C58" s="2794"/>
      <c r="D58" s="3414"/>
      <c r="E58" s="3175">
        <f>+F58+G58+H58+I58+J58+K58+L58+M58</f>
        <v>4841589</v>
      </c>
      <c r="F58" s="3415">
        <f>'Tab. 6A -Drogi'!E130</f>
        <v>3234734</v>
      </c>
      <c r="G58" s="3415">
        <f>'Tab. 6A -Drogi'!F130</f>
        <v>1529855</v>
      </c>
      <c r="H58" s="3415">
        <f>'Tab. 6A -Drogi'!G130</f>
        <v>77000</v>
      </c>
      <c r="I58" s="3415">
        <f>'Tab. 6A -Drogi'!H130</f>
        <v>0</v>
      </c>
      <c r="J58" s="3415"/>
      <c r="K58" s="3415"/>
      <c r="L58" s="3415"/>
      <c r="M58" s="3415"/>
      <c r="N58" s="3415"/>
      <c r="O58" s="3415"/>
      <c r="P58" s="3415"/>
      <c r="Q58" s="3415"/>
      <c r="R58" s="3416"/>
      <c r="S58" s="3416"/>
      <c r="T58" s="3416"/>
      <c r="U58" s="3416"/>
      <c r="V58" s="3416"/>
    </row>
    <row r="59" spans="1:22" ht="13.5" customHeight="1" thickBot="1">
      <c r="A59" s="4544"/>
      <c r="B59" s="3417" t="s">
        <v>207</v>
      </c>
      <c r="C59" s="3430">
        <f>E59-E60</f>
        <v>0</v>
      </c>
      <c r="D59" s="3419"/>
      <c r="E59" s="3420">
        <f>+F59+G59+H59+I59+J59+K59+L59+M59</f>
        <v>37120921</v>
      </c>
      <c r="F59" s="3421">
        <f>'Tab. 6A -Drogi'!E134</f>
        <v>17911168</v>
      </c>
      <c r="G59" s="3421">
        <f>'Tab. 6A -Drogi'!F134</f>
        <v>19209753</v>
      </c>
      <c r="H59" s="3421">
        <f>'Tab. 6A -Drogi'!G134</f>
        <v>0</v>
      </c>
      <c r="I59" s="3421">
        <f>'Tab. 6A -Drogi'!H134</f>
        <v>0</v>
      </c>
      <c r="J59" s="3421"/>
      <c r="K59" s="3421"/>
      <c r="L59" s="3421"/>
      <c r="M59" s="3421"/>
      <c r="N59" s="3421"/>
      <c r="O59" s="3421"/>
      <c r="P59" s="3421"/>
      <c r="Q59" s="3421"/>
      <c r="R59" s="3422"/>
      <c r="S59" s="3423"/>
      <c r="T59" s="3423"/>
      <c r="U59" s="3423"/>
      <c r="V59" s="3423"/>
    </row>
    <row r="60" spans="1:22" ht="13.5" thickBot="1">
      <c r="A60" s="4545"/>
      <c r="B60" s="3424" t="s">
        <v>335</v>
      </c>
      <c r="C60" s="3425"/>
      <c r="D60" s="3426"/>
      <c r="E60" s="3427">
        <f>F60+G60+H60+I60+J60+K60+L60+M60</f>
        <v>37120921</v>
      </c>
      <c r="F60" s="3428">
        <f>'Tab. 6A -Drogi'!E141</f>
        <v>13036781</v>
      </c>
      <c r="G60" s="3428">
        <f>'Tab. 6A -Drogi'!F141</f>
        <v>23546022</v>
      </c>
      <c r="H60" s="3428">
        <f>'Tab. 6A -Drogi'!G141</f>
        <v>538118</v>
      </c>
      <c r="I60" s="3428">
        <f>'Tab. 6A -Drogi'!H141</f>
        <v>0</v>
      </c>
      <c r="J60" s="3428"/>
      <c r="K60" s="3428"/>
      <c r="L60" s="3428"/>
      <c r="M60" s="3428"/>
      <c r="N60" s="3428"/>
      <c r="O60" s="3428"/>
      <c r="P60" s="3428"/>
      <c r="Q60" s="3428"/>
      <c r="R60" s="3429"/>
      <c r="S60" s="3429"/>
      <c r="T60" s="3429"/>
      <c r="U60" s="3429"/>
      <c r="V60" s="3429"/>
    </row>
    <row r="61" spans="1:22" ht="63.75" customHeight="1">
      <c r="A61" s="4549" t="s">
        <v>89</v>
      </c>
      <c r="B61" s="3398" t="str">
        <f>'Tab. 6A -Drogi'!B312</f>
        <v>Zakup kolejowego taboru pasażerskiego o napędzie elektrycznym w ramach Osi V RPO (2017-2018)</v>
      </c>
      <c r="C61" s="3399" t="s">
        <v>638</v>
      </c>
      <c r="D61" s="3400">
        <f>E64/E62%</f>
        <v>85</v>
      </c>
      <c r="E61" s="3401"/>
      <c r="F61" s="3402"/>
      <c r="G61" s="3403"/>
      <c r="H61" s="3402"/>
      <c r="I61" s="3402"/>
      <c r="J61" s="3402"/>
      <c r="K61" s="3402"/>
      <c r="L61" s="3402"/>
      <c r="M61" s="3402"/>
      <c r="N61" s="3402"/>
      <c r="O61" s="3402"/>
      <c r="P61" s="3402"/>
      <c r="Q61" s="3402"/>
      <c r="R61" s="3404"/>
      <c r="S61" s="3405"/>
      <c r="T61" s="3405"/>
      <c r="U61" s="3405"/>
      <c r="V61" s="3405"/>
    </row>
    <row r="62" spans="1:22" ht="13.5" customHeight="1">
      <c r="A62" s="4544"/>
      <c r="B62" s="3406" t="s">
        <v>205</v>
      </c>
      <c r="C62" s="3407"/>
      <c r="D62" s="3408"/>
      <c r="E62" s="3409">
        <f>+F62+G62+H62+I62+J62+K62+L62+M62</f>
        <v>203900000</v>
      </c>
      <c r="F62" s="3410">
        <f>'Tab. 6A -Drogi'!E313</f>
        <v>0</v>
      </c>
      <c r="G62" s="3410">
        <f>'Tab. 6A -Drogi'!F313</f>
        <v>142545000</v>
      </c>
      <c r="H62" s="3410">
        <f>'Tab. 6A -Drogi'!G313</f>
        <v>61355000</v>
      </c>
      <c r="I62" s="3410">
        <f>'Tab. 6A -Drogi'!H313</f>
        <v>0</v>
      </c>
      <c r="J62" s="3410">
        <f>'Tab. 6A -Drogi'!I313</f>
        <v>0</v>
      </c>
      <c r="K62" s="3410"/>
      <c r="L62" s="3410"/>
      <c r="M62" s="3410"/>
      <c r="N62" s="3410"/>
      <c r="O62" s="3410"/>
      <c r="P62" s="3410"/>
      <c r="Q62" s="3410"/>
      <c r="R62" s="3411"/>
      <c r="S62" s="3412"/>
      <c r="T62" s="3412"/>
      <c r="U62" s="3412"/>
      <c r="V62" s="3412"/>
    </row>
    <row r="63" spans="1:22">
      <c r="A63" s="4544"/>
      <c r="B63" s="3413" t="s">
        <v>339</v>
      </c>
      <c r="C63" s="2794"/>
      <c r="D63" s="3414"/>
      <c r="E63" s="3175">
        <f>+F63+G63+H63+I63+J63+K63+L63+M63</f>
        <v>30585000</v>
      </c>
      <c r="F63" s="3415">
        <f>'Tab. 6A -Drogi'!E314</f>
        <v>0</v>
      </c>
      <c r="G63" s="3415">
        <f>'Tab. 6A -Drogi'!F314</f>
        <v>21381750</v>
      </c>
      <c r="H63" s="3415">
        <f>'Tab. 6A -Drogi'!G314</f>
        <v>9203250</v>
      </c>
      <c r="I63" s="3415">
        <f>'Tab. 6A -Drogi'!H314</f>
        <v>0</v>
      </c>
      <c r="J63" s="3415">
        <f>'Tab. 6A -Drogi'!I314</f>
        <v>0</v>
      </c>
      <c r="K63" s="3415"/>
      <c r="L63" s="3415"/>
      <c r="M63" s="3415"/>
      <c r="N63" s="3415"/>
      <c r="O63" s="3415"/>
      <c r="P63" s="3415"/>
      <c r="Q63" s="3415"/>
      <c r="R63" s="3416"/>
      <c r="S63" s="3416"/>
      <c r="T63" s="3416"/>
      <c r="U63" s="3416"/>
      <c r="V63" s="3416"/>
    </row>
    <row r="64" spans="1:22" ht="13.5" customHeight="1" thickBot="1">
      <c r="A64" s="4544"/>
      <c r="B64" s="3417" t="s">
        <v>207</v>
      </c>
      <c r="C64" s="3430">
        <f>E64-E65</f>
        <v>0</v>
      </c>
      <c r="D64" s="3419"/>
      <c r="E64" s="3420">
        <f>+F64+G64+H64+I64+J64+K64+L64+M64</f>
        <v>173315000</v>
      </c>
      <c r="F64" s="3421">
        <f>'Tab. 6A -Drogi'!E318</f>
        <v>0</v>
      </c>
      <c r="G64" s="3421">
        <f>'Tab. 6A -Drogi'!F318</f>
        <v>121163250</v>
      </c>
      <c r="H64" s="3421">
        <f>'Tab. 6A -Drogi'!G318</f>
        <v>52151750</v>
      </c>
      <c r="I64" s="3421">
        <f>'Tab. 6A -Drogi'!H318</f>
        <v>0</v>
      </c>
      <c r="J64" s="3421">
        <f>'Tab. 6A -Drogi'!I318</f>
        <v>0</v>
      </c>
      <c r="K64" s="3421"/>
      <c r="L64" s="3421"/>
      <c r="M64" s="3421"/>
      <c r="N64" s="3421"/>
      <c r="O64" s="3421"/>
      <c r="P64" s="3421"/>
      <c r="Q64" s="3421"/>
      <c r="R64" s="3422"/>
      <c r="S64" s="3423"/>
      <c r="T64" s="3423"/>
      <c r="U64" s="3423"/>
      <c r="V64" s="3423"/>
    </row>
    <row r="65" spans="1:22" ht="15" customHeight="1" thickBot="1">
      <c r="A65" s="4545"/>
      <c r="B65" s="3435" t="s">
        <v>335</v>
      </c>
      <c r="C65" s="3436"/>
      <c r="D65" s="3437"/>
      <c r="E65" s="3427">
        <f>F65+G65+H65+I65+J65+K65+L65+M65</f>
        <v>173315000</v>
      </c>
      <c r="F65" s="3428">
        <f>'Tab. 6A -Drogi'!E324</f>
        <v>0</v>
      </c>
      <c r="G65" s="3428">
        <f>'Tab. 6A -Drogi'!F324</f>
        <v>121163250</v>
      </c>
      <c r="H65" s="3428">
        <f>'Tab. 6A -Drogi'!G324</f>
        <v>52151750</v>
      </c>
      <c r="I65" s="3428">
        <f>'Tab. 6A -Drogi'!H324</f>
        <v>0</v>
      </c>
      <c r="J65" s="3428">
        <f>'Tab. 6A -Drogi'!I324</f>
        <v>0</v>
      </c>
      <c r="K65" s="3428"/>
      <c r="L65" s="3428"/>
      <c r="M65" s="3428"/>
      <c r="N65" s="3428"/>
      <c r="O65" s="3428"/>
      <c r="P65" s="3428"/>
      <c r="Q65" s="3428"/>
      <c r="R65" s="3429"/>
      <c r="S65" s="3429"/>
      <c r="T65" s="3429"/>
      <c r="U65" s="3429"/>
      <c r="V65" s="3429"/>
    </row>
    <row r="66" spans="1:22" ht="35.25" customHeight="1" thickBot="1">
      <c r="A66" s="4584" t="s">
        <v>90</v>
      </c>
      <c r="B66" s="3438" t="str">
        <f>'Tab. 6A -Drogi'!B326</f>
        <v>Zakup kolejowego taboru pasażerskiego o napędzie elektrycznym  - prawo opcji w ramach Osi V RPO (2017-2018)</v>
      </c>
      <c r="C66" s="3439" t="s">
        <v>639</v>
      </c>
      <c r="D66" s="3440">
        <f>E69/E67%</f>
        <v>85</v>
      </c>
      <c r="E66" s="3441"/>
      <c r="F66" s="3442"/>
      <c r="G66" s="3443"/>
      <c r="H66" s="3442"/>
      <c r="I66" s="3442"/>
      <c r="J66" s="3442"/>
      <c r="K66" s="3442"/>
      <c r="L66" s="3442"/>
      <c r="M66" s="3442"/>
      <c r="N66" s="3442"/>
      <c r="O66" s="3442"/>
      <c r="P66" s="3442"/>
      <c r="Q66" s="3442"/>
      <c r="R66" s="3444"/>
      <c r="S66" s="3405"/>
      <c r="T66" s="3405"/>
      <c r="U66" s="3405"/>
      <c r="V66" s="3405"/>
    </row>
    <row r="67" spans="1:22" ht="15" customHeight="1" thickTop="1">
      <c r="A67" s="4585"/>
      <c r="B67" s="3408" t="s">
        <v>205</v>
      </c>
      <c r="C67" s="3445"/>
      <c r="D67" s="3446"/>
      <c r="E67" s="3409">
        <f>+F67+G67+H67</f>
        <v>122710000</v>
      </c>
      <c r="F67" s="3410">
        <f>'Tab. 6A -Drogi'!E327</f>
        <v>0</v>
      </c>
      <c r="G67" s="3410">
        <f>'Tab. 6A -Drogi'!F327</f>
        <v>0</v>
      </c>
      <c r="H67" s="3410">
        <f>'Tab. 6A -Drogi'!G327</f>
        <v>122710000</v>
      </c>
      <c r="I67" s="3410">
        <f>'Tab. 6A -Drogi'!H327</f>
        <v>0</v>
      </c>
      <c r="J67" s="3410">
        <f>'Tab. 6A -Drogi'!I327</f>
        <v>0</v>
      </c>
      <c r="K67" s="3410"/>
      <c r="L67" s="3410"/>
      <c r="M67" s="3410"/>
      <c r="N67" s="3410"/>
      <c r="O67" s="3410"/>
      <c r="P67" s="3410"/>
      <c r="Q67" s="3410"/>
      <c r="R67" s="3411"/>
      <c r="S67" s="3412"/>
      <c r="T67" s="3412"/>
      <c r="U67" s="3412"/>
      <c r="V67" s="3412"/>
    </row>
    <row r="68" spans="1:22" ht="16.5" customHeight="1">
      <c r="A68" s="4585"/>
      <c r="B68" s="3447" t="s">
        <v>206</v>
      </c>
      <c r="C68" s="3448"/>
      <c r="D68" s="3414"/>
      <c r="E68" s="3175">
        <f>+F68+G68+H68</f>
        <v>18406500</v>
      </c>
      <c r="F68" s="3449">
        <f>'Tab. 6A -Drogi'!E328</f>
        <v>0</v>
      </c>
      <c r="G68" s="3449">
        <f>'Tab. 6A -Drogi'!F328</f>
        <v>0</v>
      </c>
      <c r="H68" s="3449">
        <f>'Tab. 6A -Drogi'!G328</f>
        <v>18406500</v>
      </c>
      <c r="I68" s="3449">
        <f>'Tab. 6A -Drogi'!H328</f>
        <v>0</v>
      </c>
      <c r="J68" s="3449">
        <f>'Tab. 6A -Drogi'!I328</f>
        <v>0</v>
      </c>
      <c r="K68" s="3449"/>
      <c r="L68" s="3449"/>
      <c r="M68" s="3449"/>
      <c r="N68" s="3449"/>
      <c r="O68" s="3449"/>
      <c r="P68" s="3449"/>
      <c r="Q68" s="3449"/>
      <c r="R68" s="3450"/>
      <c r="S68" s="3416"/>
      <c r="T68" s="3416"/>
      <c r="U68" s="3416"/>
      <c r="V68" s="3416"/>
    </row>
    <row r="69" spans="1:22" ht="16.5" customHeight="1" thickBot="1">
      <c r="A69" s="4585"/>
      <c r="B69" s="3451" t="s">
        <v>207</v>
      </c>
      <c r="C69" s="3452"/>
      <c r="D69" s="3419"/>
      <c r="E69" s="3453">
        <f>+F69+G69+H69</f>
        <v>104303500</v>
      </c>
      <c r="F69" s="3421">
        <f>'Tab. 6A -Drogi'!E332</f>
        <v>0</v>
      </c>
      <c r="G69" s="3421">
        <f>'Tab. 6A -Drogi'!F332</f>
        <v>0</v>
      </c>
      <c r="H69" s="3421">
        <f>'Tab. 6A -Drogi'!G332</f>
        <v>104303500</v>
      </c>
      <c r="I69" s="3421">
        <f>'Tab. 6A -Drogi'!H332</f>
        <v>0</v>
      </c>
      <c r="J69" s="3421">
        <f>'Tab. 6A -Drogi'!I332</f>
        <v>0</v>
      </c>
      <c r="K69" s="3421"/>
      <c r="L69" s="3421"/>
      <c r="M69" s="3421"/>
      <c r="N69" s="3421"/>
      <c r="O69" s="3421"/>
      <c r="P69" s="3421"/>
      <c r="Q69" s="3421"/>
      <c r="R69" s="3422"/>
      <c r="S69" s="3454"/>
      <c r="T69" s="3454"/>
      <c r="U69" s="3454"/>
      <c r="V69" s="3454"/>
    </row>
    <row r="70" spans="1:22" ht="15" customHeight="1" thickBot="1">
      <c r="A70" s="4586"/>
      <c r="B70" s="3437" t="s">
        <v>335</v>
      </c>
      <c r="C70" s="3455"/>
      <c r="D70" s="3456"/>
      <c r="E70" s="3427">
        <f>F70+G70+H70+I70+J70+K70+L70+M70</f>
        <v>104303500</v>
      </c>
      <c r="F70" s="3428">
        <f>'Tab. 6A -Drogi'!E336</f>
        <v>0</v>
      </c>
      <c r="G70" s="3428">
        <f>'Tab. 6A -Drogi'!F336</f>
        <v>0</v>
      </c>
      <c r="H70" s="3428">
        <f>'Tab. 6A -Drogi'!G336</f>
        <v>104303500</v>
      </c>
      <c r="I70" s="3428">
        <f>'Tab. 6A -Drogi'!H336</f>
        <v>0</v>
      </c>
      <c r="J70" s="3428">
        <f>'Tab. 6A -Drogi'!I336</f>
        <v>0</v>
      </c>
      <c r="K70" s="3428"/>
      <c r="L70" s="3428"/>
      <c r="M70" s="3428"/>
      <c r="N70" s="3428"/>
      <c r="O70" s="3428"/>
      <c r="P70" s="3428"/>
      <c r="Q70" s="3428"/>
      <c r="R70" s="3429"/>
      <c r="S70" s="3429"/>
      <c r="T70" s="3429"/>
      <c r="U70" s="3429"/>
      <c r="V70" s="3429"/>
    </row>
    <row r="71" spans="1:22" ht="28.5" customHeight="1">
      <c r="A71" s="4549" t="s">
        <v>91</v>
      </c>
      <c r="B71" s="3457" t="str">
        <f>'Tab. 6H - Kultura fiz. i turyst'!B25</f>
        <v>Budowa sieci tras rowerowych Pomorza Zachodniego - Trasa Pojezierna w ramach Osi IV RPO (2016-2018)</v>
      </c>
      <c r="C71" s="3458" t="s">
        <v>399</v>
      </c>
      <c r="D71" s="3400">
        <f>E74/E72%</f>
        <v>84.406488160736842</v>
      </c>
      <c r="E71" s="3401"/>
      <c r="F71" s="3402"/>
      <c r="G71" s="3403"/>
      <c r="H71" s="3402"/>
      <c r="I71" s="3402"/>
      <c r="J71" s="3402"/>
      <c r="K71" s="3402"/>
      <c r="L71" s="3402"/>
      <c r="M71" s="3402"/>
      <c r="N71" s="3402"/>
      <c r="O71" s="3402"/>
      <c r="P71" s="3402"/>
      <c r="Q71" s="3402"/>
      <c r="R71" s="3404"/>
      <c r="S71" s="3405"/>
      <c r="T71" s="3405"/>
      <c r="U71" s="3405"/>
      <c r="V71" s="3405"/>
    </row>
    <row r="72" spans="1:22" ht="13.5" customHeight="1">
      <c r="A72" s="4544"/>
      <c r="B72" s="3406" t="s">
        <v>205</v>
      </c>
      <c r="C72" s="3407"/>
      <c r="D72" s="3408"/>
      <c r="E72" s="3409">
        <f>+F72+G72+H72+I72+J72+K72+L72+M72</f>
        <v>45393450</v>
      </c>
      <c r="F72" s="3410">
        <f>'Tab. 6H - Kultura fiz. i turyst'!E26</f>
        <v>146960</v>
      </c>
      <c r="G72" s="3410">
        <f>'Tab. 6H - Kultura fiz. i turyst'!F26</f>
        <v>482652</v>
      </c>
      <c r="H72" s="3410">
        <f>'Tab. 6H - Kultura fiz. i turyst'!G26</f>
        <v>44763838</v>
      </c>
      <c r="I72" s="3410">
        <f>'Tab. 6H - Kultura fiz. i turyst'!H26</f>
        <v>0</v>
      </c>
      <c r="J72" s="3410">
        <f>'Tab. 6H - Kultura fiz. i turyst'!I26</f>
        <v>0</v>
      </c>
      <c r="K72" s="3410">
        <f>'Tab. 6H - Kultura fiz. i turyst'!J26</f>
        <v>0</v>
      </c>
      <c r="L72" s="3410">
        <f>'Tab. 6H - Kultura fiz. i turyst'!K26</f>
        <v>0</v>
      </c>
      <c r="M72" s="3410">
        <f>'Tab. 6H - Kultura fiz. i turyst'!L26</f>
        <v>0</v>
      </c>
      <c r="N72" s="3410"/>
      <c r="O72" s="3410"/>
      <c r="P72" s="3410"/>
      <c r="Q72" s="3410"/>
      <c r="R72" s="3411"/>
      <c r="S72" s="3412"/>
      <c r="T72" s="3412"/>
      <c r="U72" s="3412"/>
      <c r="V72" s="3412"/>
    </row>
    <row r="73" spans="1:22" ht="13.5" customHeight="1">
      <c r="A73" s="4544"/>
      <c r="B73" s="3413" t="s">
        <v>339</v>
      </c>
      <c r="C73" s="2794"/>
      <c r="D73" s="3414"/>
      <c r="E73" s="3175">
        <f>+F73+G73+H73+I73+J73+K73+L73+M73</f>
        <v>7078433</v>
      </c>
      <c r="F73" s="3415">
        <f>'Tab. 6H - Kultura fiz. i turyst'!E27</f>
        <v>146960</v>
      </c>
      <c r="G73" s="3415">
        <f>'Tab. 6H - Kultura fiz. i turyst'!F27</f>
        <v>80135</v>
      </c>
      <c r="H73" s="3415">
        <f>'Tab. 6H - Kultura fiz. i turyst'!G27</f>
        <v>6851338</v>
      </c>
      <c r="I73" s="3415">
        <f>'Tab. 6H - Kultura fiz. i turyst'!H27</f>
        <v>0</v>
      </c>
      <c r="J73" s="3415">
        <f>'Tab. 6H - Kultura fiz. i turyst'!I27</f>
        <v>0</v>
      </c>
      <c r="K73" s="3415">
        <f>'Tab. 6H - Kultura fiz. i turyst'!J27</f>
        <v>0</v>
      </c>
      <c r="L73" s="3415">
        <f>'Tab. 6H - Kultura fiz. i turyst'!K27</f>
        <v>0</v>
      </c>
      <c r="M73" s="3415">
        <f>'Tab. 6H - Kultura fiz. i turyst'!L27</f>
        <v>0</v>
      </c>
      <c r="N73" s="3415"/>
      <c r="O73" s="3415"/>
      <c r="P73" s="3415"/>
      <c r="Q73" s="3415"/>
      <c r="R73" s="3416"/>
      <c r="S73" s="3416"/>
      <c r="T73" s="3416"/>
      <c r="U73" s="3416"/>
      <c r="V73" s="3416"/>
    </row>
    <row r="74" spans="1:22" ht="13.5" customHeight="1" thickBot="1">
      <c r="A74" s="4544"/>
      <c r="B74" s="3417" t="s">
        <v>207</v>
      </c>
      <c r="C74" s="3430">
        <f>E74-E75</f>
        <v>0</v>
      </c>
      <c r="D74" s="3419"/>
      <c r="E74" s="3420">
        <f>+F74+G74+H74+I74+J74+K74+L74+M74</f>
        <v>38315017</v>
      </c>
      <c r="F74" s="3421">
        <f>'Tab. 6H - Kultura fiz. i turyst'!E31</f>
        <v>0</v>
      </c>
      <c r="G74" s="3421">
        <f>'Tab. 6H - Kultura fiz. i turyst'!F31</f>
        <v>402517</v>
      </c>
      <c r="H74" s="3421">
        <f>'Tab. 6H - Kultura fiz. i turyst'!G31</f>
        <v>37912500</v>
      </c>
      <c r="I74" s="3421">
        <f>'Tab. 6H - Kultura fiz. i turyst'!H31</f>
        <v>0</v>
      </c>
      <c r="J74" s="3421">
        <f>'Tab. 6H - Kultura fiz. i turyst'!I31</f>
        <v>0</v>
      </c>
      <c r="K74" s="3421">
        <f>'Tab. 6H - Kultura fiz. i turyst'!J31</f>
        <v>0</v>
      </c>
      <c r="L74" s="3421">
        <f>'Tab. 6H - Kultura fiz. i turyst'!K31</f>
        <v>0</v>
      </c>
      <c r="M74" s="3421">
        <f>'Tab. 6H - Kultura fiz. i turyst'!L31</f>
        <v>0</v>
      </c>
      <c r="N74" s="3421"/>
      <c r="O74" s="3421"/>
      <c r="P74" s="3421"/>
      <c r="Q74" s="3421"/>
      <c r="R74" s="3422"/>
      <c r="S74" s="3423"/>
      <c r="T74" s="3423"/>
      <c r="U74" s="3423"/>
      <c r="V74" s="3423"/>
    </row>
    <row r="75" spans="1:22" ht="13.5" customHeight="1" thickBot="1">
      <c r="A75" s="4545"/>
      <c r="B75" s="3424" t="s">
        <v>335</v>
      </c>
      <c r="C75" s="3425"/>
      <c r="D75" s="3426"/>
      <c r="E75" s="3427">
        <f>F75+G75+H75+I75+J75+K75+L75+M75</f>
        <v>38315017</v>
      </c>
      <c r="F75" s="3428">
        <f>'Tab. 6H - Kultura fiz. i turyst'!E35</f>
        <v>0</v>
      </c>
      <c r="G75" s="3428">
        <f>'Tab. 6H - Kultura fiz. i turyst'!F35</f>
        <v>0</v>
      </c>
      <c r="H75" s="3428">
        <f>'Tab. 6H - Kultura fiz. i turyst'!G35</f>
        <v>35320407</v>
      </c>
      <c r="I75" s="3428">
        <f>'Tab. 6H - Kultura fiz. i turyst'!H35</f>
        <v>2994610</v>
      </c>
      <c r="J75" s="3428">
        <f>'Tab. 6H - Kultura fiz. i turyst'!I35</f>
        <v>0</v>
      </c>
      <c r="K75" s="3428">
        <f>'Tab. 6H - Kultura fiz. i turyst'!J35</f>
        <v>0</v>
      </c>
      <c r="L75" s="3428">
        <f>'Tab. 6H - Kultura fiz. i turyst'!K35</f>
        <v>0</v>
      </c>
      <c r="M75" s="3428">
        <f>'Tab. 6H - Kultura fiz. i turyst'!L35</f>
        <v>0</v>
      </c>
      <c r="N75" s="3428"/>
      <c r="O75" s="3428"/>
      <c r="P75" s="3428"/>
      <c r="Q75" s="3428"/>
      <c r="R75" s="3429"/>
      <c r="S75" s="3429"/>
      <c r="T75" s="3429"/>
      <c r="U75" s="3429"/>
      <c r="V75" s="3429"/>
    </row>
    <row r="76" spans="1:22" ht="27.75" customHeight="1">
      <c r="A76" s="4549" t="s">
        <v>92</v>
      </c>
      <c r="B76" s="3398" t="str">
        <f>'Tab. 6H - Kultura fiz. i turyst'!B37</f>
        <v>Budowa sieci tras rowerowych Pomorza Zachodniego - Trasa Nadmorska w ramach Osi IV RPO (2016-2018)</v>
      </c>
      <c r="C76" s="3399" t="s">
        <v>400</v>
      </c>
      <c r="D76" s="3400">
        <f>E79/E77%</f>
        <v>84.399663434980184</v>
      </c>
      <c r="E76" s="3401"/>
      <c r="F76" s="3402"/>
      <c r="G76" s="3403"/>
      <c r="H76" s="3402"/>
      <c r="I76" s="3402"/>
      <c r="J76" s="3402"/>
      <c r="K76" s="3402"/>
      <c r="L76" s="3402"/>
      <c r="M76" s="3402"/>
      <c r="N76" s="3402"/>
      <c r="O76" s="3402"/>
      <c r="P76" s="3402"/>
      <c r="Q76" s="3402"/>
      <c r="R76" s="3404"/>
      <c r="S76" s="3405"/>
      <c r="T76" s="3405"/>
      <c r="U76" s="3405"/>
      <c r="V76" s="3405"/>
    </row>
    <row r="77" spans="1:22" ht="13.5" customHeight="1">
      <c r="A77" s="4544"/>
      <c r="B77" s="3459" t="s">
        <v>205</v>
      </c>
      <c r="C77" s="3407"/>
      <c r="D77" s="3408"/>
      <c r="E77" s="3409">
        <f>+F77+G77+H77+I77+J77+K77+L77+M77</f>
        <v>16608975</v>
      </c>
      <c r="F77" s="3410">
        <f>'Tab. 6H - Kultura fiz. i turyst'!E38</f>
        <v>52306</v>
      </c>
      <c r="G77" s="3410">
        <f>'Tab. 6H - Kultura fiz. i turyst'!F38</f>
        <v>251149</v>
      </c>
      <c r="H77" s="3410">
        <f>'Tab. 6H - Kultura fiz. i turyst'!G38</f>
        <v>16305520</v>
      </c>
      <c r="I77" s="3410">
        <f>'Tab. 6H - Kultura fiz. i turyst'!H38</f>
        <v>0</v>
      </c>
      <c r="J77" s="3410">
        <f>'Tab. 6H - Kultura fiz. i turyst'!I38</f>
        <v>0</v>
      </c>
      <c r="K77" s="3410">
        <f>'Tab. 6H - Kultura fiz. i turyst'!J38</f>
        <v>0</v>
      </c>
      <c r="L77" s="3410">
        <f>'Tab. 6H - Kultura fiz. i turyst'!K38</f>
        <v>0</v>
      </c>
      <c r="M77" s="3410">
        <f>'Tab. 6H - Kultura fiz. i turyst'!L38</f>
        <v>0</v>
      </c>
      <c r="N77" s="3410"/>
      <c r="O77" s="3410"/>
      <c r="P77" s="3410"/>
      <c r="Q77" s="3410"/>
      <c r="R77" s="3411"/>
      <c r="S77" s="3412"/>
      <c r="T77" s="3412"/>
      <c r="U77" s="3412"/>
      <c r="V77" s="3412"/>
    </row>
    <row r="78" spans="1:22" ht="13.5" customHeight="1">
      <c r="A78" s="4544"/>
      <c r="B78" s="3460" t="s">
        <v>339</v>
      </c>
      <c r="C78" s="2794"/>
      <c r="D78" s="3414"/>
      <c r="E78" s="3175">
        <f>+F78+G78+H78+I78+J78+K78+L78+M78</f>
        <v>2591056</v>
      </c>
      <c r="F78" s="3415">
        <f>'Tab. 6H - Kultura fiz. i turyst'!E39</f>
        <v>52306</v>
      </c>
      <c r="G78" s="3415">
        <f>'Tab. 6H - Kultura fiz. i turyst'!F39</f>
        <v>37672</v>
      </c>
      <c r="H78" s="3415">
        <f>'Tab. 6H - Kultura fiz. i turyst'!G39</f>
        <v>2501078</v>
      </c>
      <c r="I78" s="3415">
        <f>'Tab. 6H - Kultura fiz. i turyst'!H39</f>
        <v>0</v>
      </c>
      <c r="J78" s="3415">
        <f>'Tab. 6H - Kultura fiz. i turyst'!I39</f>
        <v>0</v>
      </c>
      <c r="K78" s="3415">
        <f>'Tab. 6H - Kultura fiz. i turyst'!J39</f>
        <v>0</v>
      </c>
      <c r="L78" s="3415">
        <f>'Tab. 6H - Kultura fiz. i turyst'!K39</f>
        <v>0</v>
      </c>
      <c r="M78" s="3415">
        <f>'Tab. 6H - Kultura fiz. i turyst'!L39</f>
        <v>0</v>
      </c>
      <c r="N78" s="3415"/>
      <c r="O78" s="3415"/>
      <c r="P78" s="3415"/>
      <c r="Q78" s="3415"/>
      <c r="R78" s="3416"/>
      <c r="S78" s="3416"/>
      <c r="T78" s="3416"/>
      <c r="U78" s="3416"/>
      <c r="V78" s="3416"/>
    </row>
    <row r="79" spans="1:22" ht="13.5" customHeight="1" thickBot="1">
      <c r="A79" s="4544"/>
      <c r="B79" s="3461" t="s">
        <v>207</v>
      </c>
      <c r="C79" s="3430">
        <f>E79-E80</f>
        <v>0</v>
      </c>
      <c r="D79" s="3419"/>
      <c r="E79" s="3420">
        <f>+F79+G79+H79+I79+J79+K79+L79+M79</f>
        <v>14017919</v>
      </c>
      <c r="F79" s="3421">
        <f>'Tab. 6H - Kultura fiz. i turyst'!E43</f>
        <v>0</v>
      </c>
      <c r="G79" s="3421">
        <f>'Tab. 6H - Kultura fiz. i turyst'!F43</f>
        <v>213477</v>
      </c>
      <c r="H79" s="3421">
        <f>'Tab. 6H - Kultura fiz. i turyst'!G43</f>
        <v>13804442</v>
      </c>
      <c r="I79" s="3421">
        <f>'Tab. 6H - Kultura fiz. i turyst'!H43</f>
        <v>0</v>
      </c>
      <c r="J79" s="3421">
        <f>'Tab. 6H - Kultura fiz. i turyst'!I43</f>
        <v>0</v>
      </c>
      <c r="K79" s="3421">
        <f>'Tab. 6H - Kultura fiz. i turyst'!J43</f>
        <v>0</v>
      </c>
      <c r="L79" s="3421">
        <f>'Tab. 6H - Kultura fiz. i turyst'!K43</f>
        <v>0</v>
      </c>
      <c r="M79" s="3421">
        <f>'Tab. 6H - Kultura fiz. i turyst'!L43</f>
        <v>0</v>
      </c>
      <c r="N79" s="3421"/>
      <c r="O79" s="3421"/>
      <c r="P79" s="3421"/>
      <c r="Q79" s="3421"/>
      <c r="R79" s="3422"/>
      <c r="S79" s="3423"/>
      <c r="T79" s="3423"/>
      <c r="U79" s="3423"/>
      <c r="V79" s="3423"/>
    </row>
    <row r="80" spans="1:22" ht="13.5" customHeight="1" thickBot="1">
      <c r="A80" s="4545"/>
      <c r="B80" s="3462" t="s">
        <v>335</v>
      </c>
      <c r="C80" s="3425"/>
      <c r="D80" s="3426"/>
      <c r="E80" s="3427">
        <f>F80+G80+H80+I80+J80+K80+L80+M80</f>
        <v>14017919</v>
      </c>
      <c r="F80" s="3428">
        <f>'Tab. 6H - Kultura fiz. i turyst'!E47</f>
        <v>0</v>
      </c>
      <c r="G80" s="3428">
        <f>'Tab. 6H - Kultura fiz. i turyst'!F47</f>
        <v>0</v>
      </c>
      <c r="H80" s="3428">
        <f>'Tab. 6H - Kultura fiz. i turyst'!G47</f>
        <v>12027869</v>
      </c>
      <c r="I80" s="3428">
        <f>'Tab. 6H - Kultura fiz. i turyst'!H47</f>
        <v>1990050</v>
      </c>
      <c r="J80" s="3428">
        <f>'Tab. 6H - Kultura fiz. i turyst'!I47</f>
        <v>0</v>
      </c>
      <c r="K80" s="3428">
        <f>'Tab. 6H - Kultura fiz. i turyst'!J47</f>
        <v>0</v>
      </c>
      <c r="L80" s="3428">
        <f>'Tab. 6H - Kultura fiz. i turyst'!K47</f>
        <v>0</v>
      </c>
      <c r="M80" s="3428">
        <f>'Tab. 6H - Kultura fiz. i turyst'!L47</f>
        <v>0</v>
      </c>
      <c r="N80" s="3428"/>
      <c r="O80" s="3428"/>
      <c r="P80" s="3428"/>
      <c r="Q80" s="3428"/>
      <c r="R80" s="3429"/>
      <c r="S80" s="3429"/>
      <c r="T80" s="3429"/>
      <c r="U80" s="3429"/>
      <c r="V80" s="3429"/>
    </row>
    <row r="81" spans="1:22" ht="50.25" customHeight="1">
      <c r="A81" s="4549" t="s">
        <v>93</v>
      </c>
      <c r="B81" s="3398" t="str">
        <f>'Tab. 6H - Kultura fiz. i turyst'!B70</f>
        <v>Szlaki rowerowe na wybranych odcinkach wałów przeciwpowodziowych w województwie zachodniopomorskim w ramach Osi IV RPO (2017-2018)</v>
      </c>
      <c r="C81" s="3399" t="s">
        <v>402</v>
      </c>
      <c r="D81" s="3400">
        <f>E84/E82%</f>
        <v>84.999993123931063</v>
      </c>
      <c r="E81" s="3401"/>
      <c r="F81" s="3402"/>
      <c r="G81" s="3403"/>
      <c r="H81" s="3402"/>
      <c r="I81" s="3402"/>
      <c r="J81" s="3402"/>
      <c r="K81" s="3402"/>
      <c r="L81" s="3402"/>
      <c r="M81" s="3402"/>
      <c r="N81" s="3402"/>
      <c r="O81" s="3402"/>
      <c r="P81" s="3402"/>
      <c r="Q81" s="3402"/>
      <c r="R81" s="3404"/>
      <c r="S81" s="3405"/>
      <c r="T81" s="3405"/>
      <c r="U81" s="3405"/>
      <c r="V81" s="3405"/>
    </row>
    <row r="82" spans="1:22" ht="13.5" customHeight="1">
      <c r="A82" s="4544"/>
      <c r="B82" s="3406" t="s">
        <v>205</v>
      </c>
      <c r="C82" s="3407"/>
      <c r="D82" s="3408"/>
      <c r="E82" s="3409">
        <f>+F82+G82+H82+I82+J82+K82+L82+M82</f>
        <v>10907395</v>
      </c>
      <c r="F82" s="3410">
        <f>'Tab. 6H - Kultura fiz. i turyst'!E71</f>
        <v>0</v>
      </c>
      <c r="G82" s="3410">
        <f>'Tab. 6H - Kultura fiz. i turyst'!F71</f>
        <v>0</v>
      </c>
      <c r="H82" s="3410">
        <f>'Tab. 6H - Kultura fiz. i turyst'!G71</f>
        <v>10907395</v>
      </c>
      <c r="I82" s="3410">
        <f>'Tab. 6H - Kultura fiz. i turyst'!H71</f>
        <v>0</v>
      </c>
      <c r="J82" s="3410">
        <f>'Tab. 6H - Kultura fiz. i turyst'!I71</f>
        <v>0</v>
      </c>
      <c r="K82" s="3410">
        <f>'Tab. 6H - Kultura fiz. i turyst'!J71</f>
        <v>0</v>
      </c>
      <c r="L82" s="3410">
        <f>'Tab. 6H - Kultura fiz. i turyst'!K71</f>
        <v>0</v>
      </c>
      <c r="M82" s="3410">
        <f>'Tab. 6H - Kultura fiz. i turyst'!L71</f>
        <v>0</v>
      </c>
      <c r="N82" s="3410"/>
      <c r="O82" s="3410"/>
      <c r="P82" s="3410"/>
      <c r="Q82" s="3410"/>
      <c r="R82" s="3411"/>
      <c r="S82" s="3412"/>
      <c r="T82" s="3412"/>
      <c r="U82" s="3412"/>
      <c r="V82" s="3412"/>
    </row>
    <row r="83" spans="1:22" ht="13.5" customHeight="1">
      <c r="A83" s="4544"/>
      <c r="B83" s="3413" t="s">
        <v>339</v>
      </c>
      <c r="C83" s="2794"/>
      <c r="D83" s="3414"/>
      <c r="E83" s="3175">
        <f>+F83+G83+H83+I83+J83+K83+L83+M83</f>
        <v>1636110</v>
      </c>
      <c r="F83" s="3415">
        <f>'Tab. 6H - Kultura fiz. i turyst'!E72</f>
        <v>0</v>
      </c>
      <c r="G83" s="3415">
        <f>'Tab. 6H - Kultura fiz. i turyst'!F72</f>
        <v>0</v>
      </c>
      <c r="H83" s="3415">
        <f>'Tab. 6H - Kultura fiz. i turyst'!G72</f>
        <v>1636110</v>
      </c>
      <c r="I83" s="3415">
        <f>'Tab. 6H - Kultura fiz. i turyst'!H72</f>
        <v>0</v>
      </c>
      <c r="J83" s="3415">
        <f>'Tab. 6H - Kultura fiz. i turyst'!I72</f>
        <v>0</v>
      </c>
      <c r="K83" s="3415">
        <f>'Tab. 6H - Kultura fiz. i turyst'!J72</f>
        <v>0</v>
      </c>
      <c r="L83" s="3415">
        <f>'Tab. 6H - Kultura fiz. i turyst'!K72</f>
        <v>0</v>
      </c>
      <c r="M83" s="3415">
        <f>'Tab. 6H - Kultura fiz. i turyst'!L72</f>
        <v>0</v>
      </c>
      <c r="N83" s="3415"/>
      <c r="O83" s="3415"/>
      <c r="P83" s="3415"/>
      <c r="Q83" s="3415"/>
      <c r="R83" s="3416"/>
      <c r="S83" s="3416"/>
      <c r="T83" s="3416"/>
      <c r="U83" s="3416"/>
      <c r="V83" s="3416"/>
    </row>
    <row r="84" spans="1:22" ht="13.5" customHeight="1" thickBot="1">
      <c r="A84" s="4544"/>
      <c r="B84" s="3417" t="s">
        <v>207</v>
      </c>
      <c r="C84" s="3430">
        <f>E84-E85</f>
        <v>0</v>
      </c>
      <c r="D84" s="3419"/>
      <c r="E84" s="3420">
        <f>+F84+G84+H84+I84+J84+K84+L84+M84</f>
        <v>9271285</v>
      </c>
      <c r="F84" s="3421">
        <f>'Tab. 6H - Kultura fiz. i turyst'!E74</f>
        <v>0</v>
      </c>
      <c r="G84" s="3421">
        <f>'Tab. 6H - Kultura fiz. i turyst'!F74</f>
        <v>0</v>
      </c>
      <c r="H84" s="3421">
        <f>'Tab. 6H - Kultura fiz. i turyst'!G74</f>
        <v>9271285</v>
      </c>
      <c r="I84" s="3421">
        <f>'Tab. 6H - Kultura fiz. i turyst'!H74</f>
        <v>0</v>
      </c>
      <c r="J84" s="3421">
        <f>'Tab. 6H - Kultura fiz. i turyst'!I74</f>
        <v>0</v>
      </c>
      <c r="K84" s="3421">
        <f>'Tab. 6H - Kultura fiz. i turyst'!J74</f>
        <v>0</v>
      </c>
      <c r="L84" s="3421">
        <f>'Tab. 6H - Kultura fiz. i turyst'!K74</f>
        <v>0</v>
      </c>
      <c r="M84" s="3421">
        <f>'Tab. 6H - Kultura fiz. i turyst'!L74</f>
        <v>0</v>
      </c>
      <c r="N84" s="3421"/>
      <c r="O84" s="3421"/>
      <c r="P84" s="3421"/>
      <c r="Q84" s="3421"/>
      <c r="R84" s="3422"/>
      <c r="S84" s="3423"/>
      <c r="T84" s="3423"/>
      <c r="U84" s="3423"/>
      <c r="V84" s="3423"/>
    </row>
    <row r="85" spans="1:22" ht="13.5" customHeight="1" thickBot="1">
      <c r="A85" s="4545"/>
      <c r="B85" s="3424" t="s">
        <v>335</v>
      </c>
      <c r="C85" s="3425"/>
      <c r="D85" s="3426"/>
      <c r="E85" s="3427">
        <f>F85+G85+H85+I85+J85+K85+L85+M85</f>
        <v>9271285</v>
      </c>
      <c r="F85" s="3428">
        <f>'Tab. 6H - Kultura fiz. i turyst'!E77</f>
        <v>0</v>
      </c>
      <c r="G85" s="3428">
        <f>'Tab. 6H - Kultura fiz. i turyst'!F77</f>
        <v>0</v>
      </c>
      <c r="H85" s="3428">
        <f>'Tab. 6H - Kultura fiz. i turyst'!G77</f>
        <v>9271285</v>
      </c>
      <c r="I85" s="3428">
        <f>'Tab. 6H - Kultura fiz. i turyst'!H77</f>
        <v>0</v>
      </c>
      <c r="J85" s="3428">
        <f>'Tab. 6H - Kultura fiz. i turyst'!I77</f>
        <v>0</v>
      </c>
      <c r="K85" s="3428">
        <f>'Tab. 6H - Kultura fiz. i turyst'!J77</f>
        <v>0</v>
      </c>
      <c r="L85" s="3428">
        <f>'Tab. 6H - Kultura fiz. i turyst'!K77</f>
        <v>0</v>
      </c>
      <c r="M85" s="3428">
        <f>'Tab. 6H - Kultura fiz. i turyst'!L77</f>
        <v>0</v>
      </c>
      <c r="N85" s="3428"/>
      <c r="O85" s="3428"/>
      <c r="P85" s="3428"/>
      <c r="Q85" s="3428"/>
      <c r="R85" s="3429"/>
      <c r="S85" s="3429"/>
      <c r="T85" s="3429"/>
      <c r="U85" s="3429"/>
      <c r="V85" s="3429"/>
    </row>
    <row r="86" spans="1:22" ht="39.75" customHeight="1">
      <c r="A86" s="4549" t="s">
        <v>94</v>
      </c>
      <c r="B86" s="3398" t="str">
        <f>'Tab. 6H - Kultura fiz. i turyst'!B88</f>
        <v>Budowa infrastruktury turystycznej w Parkach Krajobrazowych województwa zachodniopomorskiego w celu zmniejszenia antropopresji - II etap w ramach RPO WZ, Osi IV (2016-2018)*</v>
      </c>
      <c r="C86" s="3399" t="s">
        <v>401</v>
      </c>
      <c r="D86" s="3400">
        <f>E89/E87%</f>
        <v>85.000005732493747</v>
      </c>
      <c r="E86" s="3401"/>
      <c r="F86" s="3402"/>
      <c r="G86" s="3403"/>
      <c r="H86" s="3402"/>
      <c r="I86" s="3402"/>
      <c r="J86" s="3402"/>
      <c r="K86" s="3402"/>
      <c r="L86" s="3402"/>
      <c r="M86" s="3402"/>
      <c r="N86" s="3402"/>
      <c r="O86" s="3402"/>
      <c r="P86" s="3402"/>
      <c r="Q86" s="3402"/>
      <c r="R86" s="3404"/>
      <c r="S86" s="3405"/>
      <c r="T86" s="3405"/>
      <c r="U86" s="3405"/>
      <c r="V86" s="3405"/>
    </row>
    <row r="87" spans="1:22" ht="13.5" customHeight="1">
      <c r="A87" s="4544"/>
      <c r="B87" s="3406" t="s">
        <v>205</v>
      </c>
      <c r="C87" s="3407"/>
      <c r="D87" s="3408"/>
      <c r="E87" s="3409">
        <f>+F87+G87+H87+I87+J87+K87+L87+M87</f>
        <v>13955532</v>
      </c>
      <c r="F87" s="3410">
        <f>'Tab. 6H - Kultura fiz. i turyst'!E89</f>
        <v>250844</v>
      </c>
      <c r="G87" s="3410">
        <f>'Tab. 6H - Kultura fiz. i turyst'!F89</f>
        <v>214186</v>
      </c>
      <c r="H87" s="3410">
        <f>'Tab. 6H - Kultura fiz. i turyst'!G89</f>
        <v>13490502</v>
      </c>
      <c r="I87" s="3410">
        <f>'Tab. 6H - Kultura fiz. i turyst'!H89</f>
        <v>0</v>
      </c>
      <c r="J87" s="3410">
        <f>'Tab. 6H - Kultura fiz. i turyst'!I89</f>
        <v>0</v>
      </c>
      <c r="K87" s="3410"/>
      <c r="L87" s="3410"/>
      <c r="M87" s="3410"/>
      <c r="N87" s="3410"/>
      <c r="O87" s="3410"/>
      <c r="P87" s="3410"/>
      <c r="Q87" s="3410"/>
      <c r="R87" s="3411"/>
      <c r="S87" s="3412"/>
      <c r="T87" s="3412"/>
      <c r="U87" s="3412"/>
      <c r="V87" s="3412"/>
    </row>
    <row r="88" spans="1:22" ht="13.5" customHeight="1">
      <c r="A88" s="4544"/>
      <c r="B88" s="3413" t="s">
        <v>339</v>
      </c>
      <c r="C88" s="2794"/>
      <c r="D88" s="3414"/>
      <c r="E88" s="3175">
        <f>+F88+G88+H88+I88+J88+K88+L88+M88</f>
        <v>2093329</v>
      </c>
      <c r="F88" s="3415">
        <f>'Tab. 6H - Kultura fiz. i turyst'!E90</f>
        <v>250844</v>
      </c>
      <c r="G88" s="3415">
        <f>'Tab. 6H - Kultura fiz. i turyst'!F90</f>
        <v>214186</v>
      </c>
      <c r="H88" s="3415">
        <f>'Tab. 6H - Kultura fiz. i turyst'!G90</f>
        <v>1628299</v>
      </c>
      <c r="I88" s="3415">
        <f>'Tab. 6H - Kultura fiz. i turyst'!H90</f>
        <v>0</v>
      </c>
      <c r="J88" s="3415">
        <f>'Tab. 6H - Kultura fiz. i turyst'!I90</f>
        <v>0</v>
      </c>
      <c r="K88" s="3415"/>
      <c r="L88" s="3415"/>
      <c r="M88" s="3415"/>
      <c r="N88" s="3415"/>
      <c r="O88" s="3415"/>
      <c r="P88" s="3415"/>
      <c r="Q88" s="3415"/>
      <c r="R88" s="3416"/>
      <c r="S88" s="3416"/>
      <c r="T88" s="3416"/>
      <c r="U88" s="3416"/>
      <c r="V88" s="3416"/>
    </row>
    <row r="89" spans="1:22" ht="13.5" customHeight="1" thickBot="1">
      <c r="A89" s="4544"/>
      <c r="B89" s="3417" t="s">
        <v>207</v>
      </c>
      <c r="C89" s="3430">
        <f>E89-E90</f>
        <v>0</v>
      </c>
      <c r="D89" s="3419"/>
      <c r="E89" s="3420">
        <f>+F89+G89+H89+I89+J89+K89+L89+M89</f>
        <v>11862203</v>
      </c>
      <c r="F89" s="3421"/>
      <c r="G89" s="3421">
        <f>'Tab. 6H - Kultura fiz. i turyst'!F93</f>
        <v>0</v>
      </c>
      <c r="H89" s="3421">
        <f>'Tab. 6H - Kultura fiz. i turyst'!G93</f>
        <v>11862203</v>
      </c>
      <c r="I89" s="3421">
        <f>'Tab. 6H - Kultura fiz. i turyst'!H93</f>
        <v>0</v>
      </c>
      <c r="J89" s="3421">
        <f>'Tab. 6H - Kultura fiz. i turyst'!I93</f>
        <v>0</v>
      </c>
      <c r="K89" s="3421"/>
      <c r="L89" s="3421"/>
      <c r="M89" s="3421"/>
      <c r="N89" s="3421"/>
      <c r="O89" s="3421"/>
      <c r="P89" s="3421"/>
      <c r="Q89" s="3421"/>
      <c r="R89" s="3422"/>
      <c r="S89" s="3423"/>
      <c r="T89" s="3423"/>
      <c r="U89" s="3423"/>
      <c r="V89" s="3423"/>
    </row>
    <row r="90" spans="1:22" ht="13.5" customHeight="1" thickBot="1">
      <c r="A90" s="4545"/>
      <c r="B90" s="3424" t="s">
        <v>335</v>
      </c>
      <c r="C90" s="3425"/>
      <c r="D90" s="3426"/>
      <c r="E90" s="3427">
        <f>F90+G90+H90+I90+J90+K90+L90+M90</f>
        <v>11862203</v>
      </c>
      <c r="F90" s="3428"/>
      <c r="G90" s="3428">
        <f>'Tab. 6H - Kultura fiz. i turyst'!F98</f>
        <v>0</v>
      </c>
      <c r="H90" s="3428">
        <f>'Tab. 6H - Kultura fiz. i turyst'!G98</f>
        <v>11862203</v>
      </c>
      <c r="I90" s="3428">
        <f>'Tab. 6H - Kultura fiz. i turyst'!H95</f>
        <v>0</v>
      </c>
      <c r="J90" s="3428">
        <f>'Tab. 6H - Kultura fiz. i turyst'!I95</f>
        <v>0</v>
      </c>
      <c r="K90" s="3428"/>
      <c r="L90" s="3428"/>
      <c r="M90" s="3428"/>
      <c r="N90" s="3428"/>
      <c r="O90" s="3428"/>
      <c r="P90" s="3428"/>
      <c r="Q90" s="3428"/>
      <c r="R90" s="3429"/>
      <c r="S90" s="3429"/>
      <c r="T90" s="3429"/>
      <c r="U90" s="3429"/>
      <c r="V90" s="3429"/>
    </row>
    <row r="91" spans="1:22" ht="51.75" customHeight="1" thickBot="1">
      <c r="A91" s="4584" t="s">
        <v>95</v>
      </c>
      <c r="B91" s="3463" t="str">
        <f>'Tab. 6H - Kultura fiz. i turyst'!B113</f>
        <v>Biking South Baltic! Promocja i rozwój Trasy Rowerowej Morza Bałtyckiego (EuroVelo 10) w Danii, Niemczech, Litwie, Polsce i Szwecji w ramach Programu Interreg Południowy Bałtyk (2017-2019) - zakupy inwestycyjne</v>
      </c>
      <c r="C91" s="3439" t="s">
        <v>488</v>
      </c>
      <c r="D91" s="3440">
        <f>E94/E92%</f>
        <v>85</v>
      </c>
      <c r="E91" s="3464"/>
      <c r="F91" s="3465"/>
      <c r="G91" s="3466"/>
      <c r="H91" s="3465"/>
      <c r="I91" s="3465"/>
      <c r="J91" s="3465"/>
      <c r="K91" s="3465"/>
      <c r="L91" s="3465"/>
      <c r="M91" s="3465"/>
      <c r="N91" s="3465"/>
      <c r="O91" s="3465"/>
      <c r="P91" s="3465"/>
      <c r="Q91" s="3465"/>
      <c r="R91" s="3467"/>
      <c r="S91" s="3468"/>
      <c r="T91" s="3468"/>
      <c r="U91" s="3468"/>
      <c r="V91" s="3468"/>
    </row>
    <row r="92" spans="1:22" ht="13.5" thickTop="1">
      <c r="A92" s="4585"/>
      <c r="B92" s="3406" t="s">
        <v>205</v>
      </c>
      <c r="C92" s="3407"/>
      <c r="D92" s="3409"/>
      <c r="E92" s="3409">
        <f>+F92+G92+H92+I92+J92+K92+L92+M92</f>
        <v>329300</v>
      </c>
      <c r="F92" s="3410"/>
      <c r="G92" s="3410">
        <f>'Tab. 6H - Kultura fiz. i turyst'!F114</f>
        <v>52792</v>
      </c>
      <c r="H92" s="3410">
        <f>'Tab. 6H - Kultura fiz. i turyst'!G114</f>
        <v>276508</v>
      </c>
      <c r="I92" s="3410">
        <f>'Tab. 6H - Kultura fiz. i turyst'!H114</f>
        <v>0</v>
      </c>
      <c r="J92" s="3410">
        <f>'Tab. 6H - Kultura fiz. i turyst'!I114</f>
        <v>0</v>
      </c>
      <c r="K92" s="3410">
        <f>'Tab. 6H - Kultura fiz. i turyst'!J114</f>
        <v>0</v>
      </c>
      <c r="L92" s="3410">
        <f>'Tab. 6H - Kultura fiz. i turyst'!K114</f>
        <v>0</v>
      </c>
      <c r="M92" s="3410">
        <f>'Tab. 6H - Kultura fiz. i turyst'!L114</f>
        <v>0</v>
      </c>
      <c r="N92" s="3410"/>
      <c r="O92" s="3410"/>
      <c r="P92" s="3410"/>
      <c r="Q92" s="3410"/>
      <c r="R92" s="3411"/>
      <c r="S92" s="3412"/>
      <c r="T92" s="3412"/>
      <c r="U92" s="3412"/>
      <c r="V92" s="3412"/>
    </row>
    <row r="93" spans="1:22">
      <c r="A93" s="4585"/>
      <c r="B93" s="3413" t="s">
        <v>206</v>
      </c>
      <c r="C93" s="3469"/>
      <c r="D93" s="3175"/>
      <c r="E93" s="3175">
        <f>+F93+G93+H93+I93+J93+K93+L93+M93</f>
        <v>49395</v>
      </c>
      <c r="F93" s="3449"/>
      <c r="G93" s="3449">
        <f>'Tab. 6H - Kultura fiz. i turyst'!F115</f>
        <v>7919</v>
      </c>
      <c r="H93" s="3449">
        <f>'Tab. 6H - Kultura fiz. i turyst'!G115</f>
        <v>41476</v>
      </c>
      <c r="I93" s="3449">
        <f>'Tab. 6H - Kultura fiz. i turyst'!H115</f>
        <v>0</v>
      </c>
      <c r="J93" s="3449">
        <f>'Tab. 6H - Kultura fiz. i turyst'!I115</f>
        <v>0</v>
      </c>
      <c r="K93" s="3449">
        <f>'Tab. 6H - Kultura fiz. i turyst'!J115</f>
        <v>0</v>
      </c>
      <c r="L93" s="3449">
        <f>'Tab. 6H - Kultura fiz. i turyst'!K115</f>
        <v>0</v>
      </c>
      <c r="M93" s="3449">
        <f>'Tab. 6H - Kultura fiz. i turyst'!L115</f>
        <v>0</v>
      </c>
      <c r="N93" s="3449"/>
      <c r="O93" s="3449"/>
      <c r="P93" s="3449"/>
      <c r="Q93" s="3449"/>
      <c r="R93" s="3450"/>
      <c r="S93" s="3416"/>
      <c r="T93" s="3416"/>
      <c r="U93" s="3416"/>
      <c r="V93" s="3416"/>
    </row>
    <row r="94" spans="1:22" ht="13.5" thickBot="1">
      <c r="A94" s="4585"/>
      <c r="B94" s="3417" t="s">
        <v>207</v>
      </c>
      <c r="C94" s="3430">
        <f>E94-E95</f>
        <v>0</v>
      </c>
      <c r="D94" s="3470"/>
      <c r="E94" s="3420">
        <f>+F94+G94+H94+I94+J94+K94+L94+M94</f>
        <v>279905</v>
      </c>
      <c r="F94" s="3421"/>
      <c r="G94" s="3421">
        <f>'Tab. 6H - Kultura fiz. i turyst'!F117</f>
        <v>44873</v>
      </c>
      <c r="H94" s="3421">
        <f>'Tab. 6H - Kultura fiz. i turyst'!G117</f>
        <v>235032</v>
      </c>
      <c r="I94" s="3421">
        <f>'Tab. 6H - Kultura fiz. i turyst'!H117</f>
        <v>0</v>
      </c>
      <c r="J94" s="3421">
        <f>'Tab. 6H - Kultura fiz. i turyst'!I117</f>
        <v>0</v>
      </c>
      <c r="K94" s="3421">
        <f>'Tab. 6H - Kultura fiz. i turyst'!J117</f>
        <v>0</v>
      </c>
      <c r="L94" s="3421">
        <f>'Tab. 6H - Kultura fiz. i turyst'!K117</f>
        <v>0</v>
      </c>
      <c r="M94" s="3421">
        <f>'Tab. 6H - Kultura fiz. i turyst'!L117</f>
        <v>0</v>
      </c>
      <c r="N94" s="3421"/>
      <c r="O94" s="3421"/>
      <c r="P94" s="3421"/>
      <c r="Q94" s="3421"/>
      <c r="R94" s="3422"/>
      <c r="S94" s="3423"/>
      <c r="T94" s="3423"/>
      <c r="U94" s="3423"/>
      <c r="V94" s="3423"/>
    </row>
    <row r="95" spans="1:22" ht="13.5" customHeight="1" thickBot="1">
      <c r="A95" s="4586"/>
      <c r="B95" s="3424" t="s">
        <v>335</v>
      </c>
      <c r="C95" s="3425"/>
      <c r="D95" s="3426"/>
      <c r="E95" s="3427">
        <f>F95+G95+H95+I95+J95+K95+L95+M95</f>
        <v>279905</v>
      </c>
      <c r="F95" s="3428"/>
      <c r="G95" s="3428">
        <f>'Tab. 6H - Kultura fiz. i turyst'!F120</f>
        <v>0</v>
      </c>
      <c r="H95" s="3428">
        <f>'Tab. 6H - Kultura fiz. i turyst'!G120</f>
        <v>46640</v>
      </c>
      <c r="I95" s="3428">
        <f>'Tab. 6H - Kultura fiz. i turyst'!H120</f>
        <v>178570</v>
      </c>
      <c r="J95" s="3428">
        <f>'Tab. 6H - Kultura fiz. i turyst'!I120</f>
        <v>54695</v>
      </c>
      <c r="K95" s="3428">
        <f>'Tab. 6H - Kultura fiz. i turyst'!J120</f>
        <v>0</v>
      </c>
      <c r="L95" s="3428">
        <f>'Tab. 6H - Kultura fiz. i turyst'!K120</f>
        <v>0</v>
      </c>
      <c r="M95" s="3428">
        <f>'Tab. 6H - Kultura fiz. i turyst'!L120</f>
        <v>0</v>
      </c>
      <c r="N95" s="3428"/>
      <c r="O95" s="3428"/>
      <c r="P95" s="3428"/>
      <c r="Q95" s="3428"/>
      <c r="R95" s="3429"/>
      <c r="S95" s="3471"/>
      <c r="T95" s="3471"/>
      <c r="U95" s="3471"/>
      <c r="V95" s="3471"/>
    </row>
    <row r="96" spans="1:22" ht="25.5" customHeight="1">
      <c r="A96" s="4550" t="s">
        <v>96</v>
      </c>
      <c r="B96" s="3434" t="str">
        <f>'Tab. 6A -Drogi'!B156</f>
        <v>Przebudowa drogi wojewódzkiej nr 142 na odcinku Szczecin - Krzywnica w ramach Osi V RPO (2016-2018)</v>
      </c>
      <c r="C96" s="3399" t="s">
        <v>543</v>
      </c>
      <c r="D96" s="3400">
        <f>E99/E97%</f>
        <v>84.341708861837859</v>
      </c>
      <c r="E96" s="3401"/>
      <c r="F96" s="3402"/>
      <c r="G96" s="3403"/>
      <c r="H96" s="3402"/>
      <c r="I96" s="3402"/>
      <c r="J96" s="3402"/>
      <c r="K96" s="3402"/>
      <c r="L96" s="3402"/>
      <c r="M96" s="3402"/>
      <c r="N96" s="3402"/>
      <c r="O96" s="3402"/>
      <c r="P96" s="3402"/>
      <c r="Q96" s="3402"/>
      <c r="R96" s="3404"/>
      <c r="S96" s="3405"/>
      <c r="T96" s="3405"/>
      <c r="U96" s="3405"/>
      <c r="V96" s="3405"/>
    </row>
    <row r="97" spans="1:22">
      <c r="A97" s="4551"/>
      <c r="B97" s="3406" t="s">
        <v>205</v>
      </c>
      <c r="C97" s="3407"/>
      <c r="D97" s="3408"/>
      <c r="E97" s="3409">
        <f>+F97+G97+H97+I97+J97+K97+L97+M97</f>
        <v>51648880</v>
      </c>
      <c r="F97" s="3410">
        <f>'Tab. 6A -Drogi'!E157</f>
        <v>330606</v>
      </c>
      <c r="G97" s="3410">
        <f>'Tab. 6A -Drogi'!F157</f>
        <v>27200773</v>
      </c>
      <c r="H97" s="3410">
        <f>'Tab. 6A -Drogi'!G157</f>
        <v>24117501</v>
      </c>
      <c r="I97" s="3410">
        <f>'Tab. 6A -Drogi'!H157</f>
        <v>0</v>
      </c>
      <c r="J97" s="3410">
        <f>'Tab. 6A -Drogi'!I157</f>
        <v>0</v>
      </c>
      <c r="K97" s="3410"/>
      <c r="L97" s="3410"/>
      <c r="M97" s="3410"/>
      <c r="N97" s="3410"/>
      <c r="O97" s="3410"/>
      <c r="P97" s="3410"/>
      <c r="Q97" s="3410"/>
      <c r="R97" s="3411"/>
      <c r="S97" s="3412"/>
      <c r="T97" s="3412"/>
      <c r="U97" s="3412"/>
      <c r="V97" s="3412"/>
    </row>
    <row r="98" spans="1:22" ht="13.5" customHeight="1">
      <c r="A98" s="4551"/>
      <c r="B98" s="3413" t="s">
        <v>338</v>
      </c>
      <c r="C98" s="2794"/>
      <c r="D98" s="3414"/>
      <c r="E98" s="3175">
        <f>+F98+G98+H98+I98+J98+K98+L98+M98</f>
        <v>8087332</v>
      </c>
      <c r="F98" s="3415">
        <f>'Tab. 6A -Drogi'!E158</f>
        <v>49591</v>
      </c>
      <c r="G98" s="3415">
        <f>'Tab. 6A -Drogi'!F158</f>
        <v>4091322</v>
      </c>
      <c r="H98" s="3415">
        <f>'Tab. 6A -Drogi'!G158</f>
        <v>3946419</v>
      </c>
      <c r="I98" s="3415">
        <f>'Tab. 6A -Drogi'!H158</f>
        <v>0</v>
      </c>
      <c r="J98" s="3415">
        <f>'Tab. 6A -Drogi'!I158</f>
        <v>0</v>
      </c>
      <c r="K98" s="3415"/>
      <c r="L98" s="3415"/>
      <c r="M98" s="3415"/>
      <c r="N98" s="3415"/>
      <c r="O98" s="3415"/>
      <c r="P98" s="3415"/>
      <c r="Q98" s="3415"/>
      <c r="R98" s="3416"/>
      <c r="S98" s="3416"/>
      <c r="T98" s="3416"/>
      <c r="U98" s="3416"/>
      <c r="V98" s="3416"/>
    </row>
    <row r="99" spans="1:22" ht="13.5" customHeight="1" thickBot="1">
      <c r="A99" s="4551"/>
      <c r="B99" s="3417" t="s">
        <v>207</v>
      </c>
      <c r="C99" s="3430">
        <f>E99-E100</f>
        <v>0</v>
      </c>
      <c r="D99" s="3419"/>
      <c r="E99" s="3420">
        <f>+F99+G99+H99+I99+J99+K99+L99+M99</f>
        <v>43561548</v>
      </c>
      <c r="F99" s="3421">
        <f>'Tab. 6A -Drogi'!E161</f>
        <v>281015</v>
      </c>
      <c r="G99" s="3421">
        <f>'Tab. 6A -Drogi'!F162</f>
        <v>23109451</v>
      </c>
      <c r="H99" s="3421">
        <f>'Tab. 6A -Drogi'!G162</f>
        <v>20171082</v>
      </c>
      <c r="I99" s="3421">
        <f>'Tab. 6A -Drogi'!H162</f>
        <v>0</v>
      </c>
      <c r="J99" s="3421">
        <f>'Tab. 6A -Drogi'!I162</f>
        <v>0</v>
      </c>
      <c r="K99" s="3421"/>
      <c r="L99" s="3421"/>
      <c r="M99" s="3421"/>
      <c r="N99" s="3421"/>
      <c r="O99" s="3421"/>
      <c r="P99" s="3421"/>
      <c r="Q99" s="3421"/>
      <c r="R99" s="3422"/>
      <c r="S99" s="3423"/>
      <c r="T99" s="3423"/>
      <c r="U99" s="3423"/>
      <c r="V99" s="3423"/>
    </row>
    <row r="100" spans="1:22" ht="13.5" thickBot="1">
      <c r="A100" s="4552"/>
      <c r="B100" s="3424" t="s">
        <v>335</v>
      </c>
      <c r="C100" s="3425"/>
      <c r="D100" s="3426"/>
      <c r="E100" s="3427">
        <f>F100+G100+H100+I100+J100+K100+L100+M100</f>
        <v>43561548</v>
      </c>
      <c r="F100" s="3428"/>
      <c r="G100" s="3428">
        <f>'Tab. 6A -Drogi'!F166</f>
        <v>26097077</v>
      </c>
      <c r="H100" s="3428">
        <f>'Tab. 6A -Drogi'!G166</f>
        <v>17464471</v>
      </c>
      <c r="I100" s="3428">
        <f>'Tab. 6A -Drogi'!H166</f>
        <v>0</v>
      </c>
      <c r="J100" s="3428">
        <f>'Tab. 6A -Drogi'!I166</f>
        <v>0</v>
      </c>
      <c r="K100" s="3428"/>
      <c r="L100" s="3428"/>
      <c r="M100" s="3428"/>
      <c r="N100" s="3428"/>
      <c r="O100" s="3428"/>
      <c r="P100" s="3428"/>
      <c r="Q100" s="3428"/>
      <c r="R100" s="3429"/>
      <c r="S100" s="3429"/>
      <c r="T100" s="3429"/>
      <c r="U100" s="3429"/>
      <c r="V100" s="3429"/>
    </row>
    <row r="101" spans="1:22" ht="36" customHeight="1">
      <c r="A101" s="4550" t="s">
        <v>97</v>
      </c>
      <c r="B101" s="3434">
        <f>'Tab. 6A -Drogi'!B192</f>
        <v>0</v>
      </c>
      <c r="C101" s="3399" t="s">
        <v>542</v>
      </c>
      <c r="D101" s="3400" t="e">
        <f>E104/E102%</f>
        <v>#DIV/0!</v>
      </c>
      <c r="E101" s="3401"/>
      <c r="F101" s="3402"/>
      <c r="G101" s="3403"/>
      <c r="H101" s="3402"/>
      <c r="I101" s="3402"/>
      <c r="J101" s="3402"/>
      <c r="K101" s="3403"/>
      <c r="L101" s="3403"/>
      <c r="M101" s="3402"/>
      <c r="N101" s="3402"/>
      <c r="O101" s="3402"/>
      <c r="P101" s="3402"/>
      <c r="Q101" s="3402"/>
      <c r="R101" s="3404"/>
      <c r="S101" s="3405"/>
      <c r="T101" s="3405"/>
      <c r="U101" s="3405"/>
      <c r="V101" s="3405"/>
    </row>
    <row r="102" spans="1:22" ht="13.5" customHeight="1">
      <c r="A102" s="4551"/>
      <c r="B102" s="3406" t="s">
        <v>205</v>
      </c>
      <c r="C102" s="3407"/>
      <c r="D102" s="3408"/>
      <c r="E102" s="3409">
        <f>+F102+G102+H102+I102+J102+K102+L102+M102</f>
        <v>0</v>
      </c>
      <c r="F102" s="3410">
        <f>'Tab. 6A -Drogi'!E193</f>
        <v>0</v>
      </c>
      <c r="G102" s="3410">
        <f>'Tab. 6A -Drogi'!F193</f>
        <v>0</v>
      </c>
      <c r="H102" s="3410">
        <f>'Tab. 6A -Drogi'!G193</f>
        <v>0</v>
      </c>
      <c r="I102" s="3410">
        <f>'Tab. 6A -Drogi'!H193</f>
        <v>0</v>
      </c>
      <c r="J102" s="3410">
        <f>'Tab. 6A -Drogi'!I193</f>
        <v>0</v>
      </c>
      <c r="K102" s="3410"/>
      <c r="L102" s="3410"/>
      <c r="M102" s="3410"/>
      <c r="N102" s="3410"/>
      <c r="O102" s="3410"/>
      <c r="P102" s="3410"/>
      <c r="Q102" s="3410"/>
      <c r="R102" s="3411"/>
      <c r="S102" s="3412"/>
      <c r="T102" s="3412"/>
      <c r="U102" s="3412"/>
      <c r="V102" s="3412"/>
    </row>
    <row r="103" spans="1:22" ht="13.5" customHeight="1">
      <c r="A103" s="4551"/>
      <c r="B103" s="3413" t="s">
        <v>338</v>
      </c>
      <c r="C103" s="2794"/>
      <c r="D103" s="3414"/>
      <c r="E103" s="3175">
        <f>+F103+G103+H103+I103+J103+K103+L103+M103</f>
        <v>0</v>
      </c>
      <c r="F103" s="3415">
        <f>'Tab. 6A -Drogi'!E194</f>
        <v>0</v>
      </c>
      <c r="G103" s="3415">
        <f>'Tab. 6A -Drogi'!F194</f>
        <v>0</v>
      </c>
      <c r="H103" s="3415">
        <f>'Tab. 6A -Drogi'!G194</f>
        <v>0</v>
      </c>
      <c r="I103" s="3415">
        <f>'Tab. 6A -Drogi'!H194</f>
        <v>0</v>
      </c>
      <c r="J103" s="3415">
        <f>'Tab. 6A -Drogi'!I194</f>
        <v>0</v>
      </c>
      <c r="K103" s="3415"/>
      <c r="L103" s="3415"/>
      <c r="M103" s="3415"/>
      <c r="N103" s="3415"/>
      <c r="O103" s="3415"/>
      <c r="P103" s="3415"/>
      <c r="Q103" s="3415"/>
      <c r="R103" s="3416"/>
      <c r="S103" s="3416"/>
      <c r="T103" s="3416"/>
      <c r="U103" s="3416"/>
      <c r="V103" s="3416"/>
    </row>
    <row r="104" spans="1:22" ht="13.5" customHeight="1" thickBot="1">
      <c r="A104" s="4551"/>
      <c r="B104" s="3417" t="s">
        <v>207</v>
      </c>
      <c r="C104" s="3430">
        <f>E104-E105</f>
        <v>0</v>
      </c>
      <c r="D104" s="3419"/>
      <c r="E104" s="3420">
        <f>+F104+G104+H104+I104+J104+K104+L104+M104</f>
        <v>0</v>
      </c>
      <c r="F104" s="3421">
        <f>'Tab. 6A -Drogi'!E198</f>
        <v>0</v>
      </c>
      <c r="G104" s="3421">
        <f>'Tab. 6A -Drogi'!F198</f>
        <v>0</v>
      </c>
      <c r="H104" s="3421">
        <f>'Tab. 6A -Drogi'!G198</f>
        <v>0</v>
      </c>
      <c r="I104" s="3421">
        <f>'Tab. 6A -Drogi'!H198</f>
        <v>0</v>
      </c>
      <c r="J104" s="3421">
        <f>'Tab. 6A -Drogi'!I198</f>
        <v>0</v>
      </c>
      <c r="K104" s="3421"/>
      <c r="L104" s="3421"/>
      <c r="M104" s="3421"/>
      <c r="N104" s="3421"/>
      <c r="O104" s="3421"/>
      <c r="P104" s="3421"/>
      <c r="Q104" s="3421"/>
      <c r="R104" s="3422"/>
      <c r="S104" s="3423"/>
      <c r="T104" s="3423"/>
      <c r="U104" s="3423"/>
      <c r="V104" s="3423"/>
    </row>
    <row r="105" spans="1:22" ht="13.5" customHeight="1" thickBot="1">
      <c r="A105" s="4552"/>
      <c r="B105" s="3424" t="s">
        <v>335</v>
      </c>
      <c r="C105" s="3425"/>
      <c r="D105" s="3426"/>
      <c r="E105" s="3427">
        <f>F105+G105+H105+I105+J105+K105+L105+M105</f>
        <v>0</v>
      </c>
      <c r="F105" s="3428">
        <f>'Tab. 6A -Drogi'!E202</f>
        <v>0</v>
      </c>
      <c r="G105" s="3428">
        <f>'Tab. 6A -Drogi'!F202</f>
        <v>0</v>
      </c>
      <c r="H105" s="3428">
        <f>'Tab. 6A -Drogi'!G202</f>
        <v>0</v>
      </c>
      <c r="I105" s="3428">
        <f>'Tab. 6A -Drogi'!H202</f>
        <v>0</v>
      </c>
      <c r="J105" s="3428">
        <f>'Tab. 6A -Drogi'!I202</f>
        <v>0</v>
      </c>
      <c r="K105" s="3428"/>
      <c r="L105" s="3428"/>
      <c r="M105" s="3428"/>
      <c r="N105" s="3428"/>
      <c r="O105" s="3428"/>
      <c r="P105" s="3428"/>
      <c r="Q105" s="3428"/>
      <c r="R105" s="3429"/>
      <c r="S105" s="3429"/>
      <c r="T105" s="3429"/>
      <c r="U105" s="3429"/>
      <c r="V105" s="3429"/>
    </row>
    <row r="106" spans="1:22" ht="30" customHeight="1">
      <c r="A106" s="4550" t="s">
        <v>98</v>
      </c>
      <c r="B106" s="3434" t="str">
        <f>'Tab. 6A -Drogi'!B204</f>
        <v>Budowa obejścia m. Barlinek w ciągu drogi nr 151 w ramach Osi V RPO (2010-2018)</v>
      </c>
      <c r="C106" s="3399" t="s">
        <v>586</v>
      </c>
      <c r="D106" s="3400">
        <f>E109/E107%</f>
        <v>68.268357895428906</v>
      </c>
      <c r="E106" s="3401"/>
      <c r="F106" s="3402"/>
      <c r="G106" s="3403"/>
      <c r="H106" s="3402"/>
      <c r="I106" s="3402"/>
      <c r="J106" s="3402"/>
      <c r="K106" s="3403"/>
      <c r="L106" s="3403"/>
      <c r="M106" s="3402"/>
      <c r="N106" s="3402"/>
      <c r="O106" s="3402"/>
      <c r="P106" s="3402"/>
      <c r="Q106" s="3402"/>
      <c r="R106" s="3404"/>
      <c r="S106" s="3405"/>
      <c r="T106" s="3405"/>
      <c r="U106" s="3405"/>
      <c r="V106" s="3405"/>
    </row>
    <row r="107" spans="1:22" ht="13.5" customHeight="1">
      <c r="A107" s="4551"/>
      <c r="B107" s="3406" t="s">
        <v>205</v>
      </c>
      <c r="C107" s="3407"/>
      <c r="D107" s="3408"/>
      <c r="E107" s="3409">
        <f>+F107+G107+H107+I107+J107+K107+L107+M107</f>
        <v>21750655</v>
      </c>
      <c r="F107" s="3410">
        <f>'Tab. 6A -Drogi'!E205</f>
        <v>598614</v>
      </c>
      <c r="G107" s="3410">
        <f>'Tab. 6A -Drogi'!F205</f>
        <v>2091120</v>
      </c>
      <c r="H107" s="3410">
        <f>'Tab. 6A -Drogi'!G205</f>
        <v>19060921</v>
      </c>
      <c r="I107" s="3410">
        <f>'Tab. 6A -Drogi'!H205</f>
        <v>0</v>
      </c>
      <c r="J107" s="3410">
        <f>'Tab. 6A -Drogi'!I205</f>
        <v>0</v>
      </c>
      <c r="K107" s="3410"/>
      <c r="L107" s="3410"/>
      <c r="M107" s="3410"/>
      <c r="N107" s="3410"/>
      <c r="O107" s="3410"/>
      <c r="P107" s="3410"/>
      <c r="Q107" s="3410"/>
      <c r="R107" s="3411"/>
      <c r="S107" s="3412"/>
      <c r="T107" s="3412"/>
      <c r="U107" s="3412"/>
      <c r="V107" s="3412"/>
    </row>
    <row r="108" spans="1:22">
      <c r="A108" s="4551"/>
      <c r="B108" s="3432" t="s">
        <v>338</v>
      </c>
      <c r="C108" s="2794"/>
      <c r="D108" s="3414"/>
      <c r="E108" s="3175">
        <f>+F108+G108+H108+I108+J108+K108+L108+M108</f>
        <v>718614</v>
      </c>
      <c r="F108" s="3415">
        <f>'Tab. 6A -Drogi'!E207</f>
        <v>598614</v>
      </c>
      <c r="G108" s="3415">
        <f>'Tab. 6A -Drogi'!F207</f>
        <v>6236</v>
      </c>
      <c r="H108" s="3415">
        <f>'Tab. 6A -Drogi'!G207</f>
        <v>113764</v>
      </c>
      <c r="I108" s="3415">
        <f>'Tab. 6A -Drogi'!H207</f>
        <v>0</v>
      </c>
      <c r="J108" s="3415">
        <f>'Tab. 6A -Drogi'!I207</f>
        <v>0</v>
      </c>
      <c r="K108" s="3415"/>
      <c r="L108" s="3415"/>
      <c r="M108" s="3415"/>
      <c r="N108" s="3415"/>
      <c r="O108" s="3415"/>
      <c r="P108" s="3415"/>
      <c r="Q108" s="3415"/>
      <c r="R108" s="3416"/>
      <c r="S108" s="3416"/>
      <c r="T108" s="3416"/>
      <c r="U108" s="3416"/>
      <c r="V108" s="3416"/>
    </row>
    <row r="109" spans="1:22" ht="13.5" customHeight="1" thickBot="1">
      <c r="A109" s="4551"/>
      <c r="B109" s="3417" t="s">
        <v>207</v>
      </c>
      <c r="C109" s="3430">
        <f>E109-E110</f>
        <v>0</v>
      </c>
      <c r="D109" s="3419"/>
      <c r="E109" s="3420">
        <f>+F109+G109+H109+I109+J109+K109+L109+M109</f>
        <v>14848815</v>
      </c>
      <c r="F109" s="3421">
        <f>'Tab. 6A -Drogi'!E210</f>
        <v>0</v>
      </c>
      <c r="G109" s="3421">
        <f>'Tab. 6A -Drogi'!F210</f>
        <v>970783</v>
      </c>
      <c r="H109" s="3421">
        <f>'Tab. 6A -Drogi'!G210</f>
        <v>13878032</v>
      </c>
      <c r="I109" s="3421">
        <f>'Tab. 6A -Drogi'!H210</f>
        <v>0</v>
      </c>
      <c r="J109" s="3421">
        <f>'Tab. 6A -Drogi'!I210</f>
        <v>0</v>
      </c>
      <c r="K109" s="3421"/>
      <c r="L109" s="3421"/>
      <c r="M109" s="3421"/>
      <c r="N109" s="3421"/>
      <c r="O109" s="3421"/>
      <c r="P109" s="3421"/>
      <c r="Q109" s="3421"/>
      <c r="R109" s="3422"/>
      <c r="S109" s="3423"/>
      <c r="T109" s="3423"/>
      <c r="U109" s="3423"/>
      <c r="V109" s="3423"/>
    </row>
    <row r="110" spans="1:22" ht="13.5" customHeight="1" thickBot="1">
      <c r="A110" s="4552"/>
      <c r="B110" s="3424" t="s">
        <v>335</v>
      </c>
      <c r="C110" s="3425"/>
      <c r="D110" s="3426"/>
      <c r="E110" s="3427">
        <f>F110+G110+H110+I110+J110+K110+L110+M110</f>
        <v>14848815</v>
      </c>
      <c r="F110" s="3428">
        <f>'Tab. 6A -Drogi'!E214</f>
        <v>0</v>
      </c>
      <c r="G110" s="3428">
        <f>'Tab. 6A -Drogi'!F214</f>
        <v>1871403</v>
      </c>
      <c r="H110" s="3428">
        <f>'Tab. 6A -Drogi'!G214</f>
        <v>12977412</v>
      </c>
      <c r="I110" s="3428">
        <f>'Tab. 6A -Drogi'!H214</f>
        <v>0</v>
      </c>
      <c r="J110" s="3428">
        <f>'Tab. 6A -Drogi'!I214</f>
        <v>0</v>
      </c>
      <c r="K110" s="3428"/>
      <c r="L110" s="3428"/>
      <c r="M110" s="3428"/>
      <c r="N110" s="3428"/>
      <c r="O110" s="3428"/>
      <c r="P110" s="3428"/>
      <c r="Q110" s="3428"/>
      <c r="R110" s="3429"/>
      <c r="S110" s="3429"/>
      <c r="T110" s="3429"/>
      <c r="U110" s="3429"/>
      <c r="V110" s="3429"/>
    </row>
    <row r="111" spans="1:22" ht="29.25" customHeight="1">
      <c r="A111" s="4550" t="s">
        <v>100</v>
      </c>
      <c r="B111" s="3472" t="str">
        <f>'Tab. 6E - Administracja'!B59</f>
        <v>Regionalny Punkt Kontaktowy - Pomoc Techniczna w ramach Programu Współpracy INTERREG VA - wydatki majątkowe  (2016-2020)</v>
      </c>
      <c r="C111" s="3399" t="s">
        <v>595</v>
      </c>
      <c r="D111" s="3400">
        <f>E114/E112%</f>
        <v>85.001606683804624</v>
      </c>
      <c r="E111" s="3401"/>
      <c r="F111" s="3402"/>
      <c r="G111" s="3403"/>
      <c r="H111" s="3402"/>
      <c r="I111" s="3402"/>
      <c r="J111" s="3402"/>
      <c r="K111" s="3402"/>
      <c r="L111" s="3402"/>
      <c r="M111" s="3402"/>
      <c r="N111" s="3402"/>
      <c r="O111" s="3402"/>
      <c r="P111" s="3402"/>
      <c r="Q111" s="3402"/>
      <c r="R111" s="3404"/>
      <c r="S111" s="3405"/>
      <c r="T111" s="3405"/>
      <c r="U111" s="3405"/>
      <c r="V111" s="3405"/>
    </row>
    <row r="112" spans="1:22" ht="13.5" customHeight="1">
      <c r="A112" s="4551"/>
      <c r="B112" s="3406" t="s">
        <v>205</v>
      </c>
      <c r="C112" s="3407"/>
      <c r="D112" s="3408"/>
      <c r="E112" s="3409">
        <f>+F112+G112+H112+I112+J112+K112+L112+M112</f>
        <v>12448</v>
      </c>
      <c r="F112" s="3410"/>
      <c r="G112" s="3410">
        <f>'Tab. 6E - Administracja'!F60</f>
        <v>12448</v>
      </c>
      <c r="H112" s="3410">
        <f>'Tab. 6E - Administracja'!G60</f>
        <v>0</v>
      </c>
      <c r="I112" s="3410">
        <f>'Tab. 6E - Administracja'!H60</f>
        <v>0</v>
      </c>
      <c r="J112" s="3410">
        <f>'Tab. 6E - Administracja'!I60</f>
        <v>0</v>
      </c>
      <c r="K112" s="3410"/>
      <c r="L112" s="3410"/>
      <c r="M112" s="3410"/>
      <c r="N112" s="3410"/>
      <c r="O112" s="3410"/>
      <c r="P112" s="3410"/>
      <c r="Q112" s="3410"/>
      <c r="R112" s="3411"/>
      <c r="S112" s="3412"/>
      <c r="T112" s="3412"/>
      <c r="U112" s="3412"/>
      <c r="V112" s="3412"/>
    </row>
    <row r="113" spans="1:22" ht="13.5" customHeight="1">
      <c r="A113" s="4551"/>
      <c r="B113" s="3413" t="s">
        <v>206</v>
      </c>
      <c r="C113" s="2794"/>
      <c r="D113" s="3414"/>
      <c r="E113" s="3175">
        <f>+F113+G113+H113+I113+J113+K113+L113+M113</f>
        <v>1867</v>
      </c>
      <c r="F113" s="3415"/>
      <c r="G113" s="3415">
        <f>'Tab. 6E - Administracja'!F61</f>
        <v>1867</v>
      </c>
      <c r="H113" s="3415">
        <f>'Tab. 6E - Administracja'!G61</f>
        <v>0</v>
      </c>
      <c r="I113" s="3415">
        <f>'Tab. 6E - Administracja'!H61</f>
        <v>0</v>
      </c>
      <c r="J113" s="3415">
        <f>'Tab. 6E - Administracja'!I61</f>
        <v>0</v>
      </c>
      <c r="K113" s="3415"/>
      <c r="L113" s="3415"/>
      <c r="M113" s="3415"/>
      <c r="N113" s="3415"/>
      <c r="O113" s="3415"/>
      <c r="P113" s="3415"/>
      <c r="Q113" s="3415"/>
      <c r="R113" s="3416"/>
      <c r="S113" s="3416"/>
      <c r="T113" s="3416"/>
      <c r="U113" s="3416"/>
      <c r="V113" s="3416"/>
    </row>
    <row r="114" spans="1:22" ht="13.5" customHeight="1" thickBot="1">
      <c r="A114" s="4551"/>
      <c r="B114" s="3417" t="s">
        <v>207</v>
      </c>
      <c r="C114" s="3430">
        <f>E114-E115</f>
        <v>0</v>
      </c>
      <c r="D114" s="3419"/>
      <c r="E114" s="3420">
        <f>+F114+G114+H114+I114+J114+K114+L114+M114</f>
        <v>10581</v>
      </c>
      <c r="F114" s="3421"/>
      <c r="G114" s="3421">
        <f>'Tab. 6E - Administracja'!F64</f>
        <v>10581</v>
      </c>
      <c r="H114" s="3421">
        <f>'Tab. 6E - Administracja'!G64</f>
        <v>0</v>
      </c>
      <c r="I114" s="3421">
        <f>'Tab. 6E - Administracja'!H64</f>
        <v>0</v>
      </c>
      <c r="J114" s="3421">
        <f>'Tab. 6E - Administracja'!I64</f>
        <v>0</v>
      </c>
      <c r="K114" s="3421"/>
      <c r="L114" s="3421"/>
      <c r="M114" s="3421"/>
      <c r="N114" s="3421"/>
      <c r="O114" s="3421"/>
      <c r="P114" s="3421"/>
      <c r="Q114" s="3421"/>
      <c r="R114" s="3422"/>
      <c r="S114" s="3423"/>
      <c r="T114" s="3423"/>
      <c r="U114" s="3423"/>
      <c r="V114" s="3423"/>
    </row>
    <row r="115" spans="1:22" ht="15" customHeight="1" thickBot="1">
      <c r="A115" s="4552"/>
      <c r="B115" s="3424" t="s">
        <v>335</v>
      </c>
      <c r="C115" s="3425"/>
      <c r="D115" s="3426"/>
      <c r="E115" s="3427">
        <f>F115+G115+H115+I115+J115+K115+L115+M115</f>
        <v>10581</v>
      </c>
      <c r="F115" s="3428"/>
      <c r="G115" s="3428">
        <f>'Tab. 6E - Administracja'!F69</f>
        <v>0</v>
      </c>
      <c r="H115" s="3428">
        <f>'Tab. 6E - Administracja'!G69</f>
        <v>10581</v>
      </c>
      <c r="I115" s="3428">
        <f>'Tab. 6E - Administracja'!H69</f>
        <v>0</v>
      </c>
      <c r="J115" s="3428">
        <f>'Tab. 6E - Administracja'!I69</f>
        <v>0</v>
      </c>
      <c r="K115" s="3428"/>
      <c r="L115" s="3428"/>
      <c r="M115" s="3428"/>
      <c r="N115" s="3428"/>
      <c r="O115" s="3428"/>
      <c r="P115" s="3428"/>
      <c r="Q115" s="3428"/>
      <c r="R115" s="3429"/>
      <c r="S115" s="3429"/>
      <c r="T115" s="3429"/>
      <c r="U115" s="3429"/>
      <c r="V115" s="3429"/>
    </row>
    <row r="116" spans="1:22" ht="26.25" customHeight="1">
      <c r="A116" s="4550" t="s">
        <v>302</v>
      </c>
      <c r="B116" s="3472" t="str">
        <f>'Tab.6I - Planow. przestrz.'!B71</f>
        <v>Wsparcie techniczne Interreg VA Południowy Bałtyk - wydatki majątkowe (2015-2020)</v>
      </c>
      <c r="C116" s="3399" t="s">
        <v>353</v>
      </c>
      <c r="D116" s="3400">
        <f>E119/E117%</f>
        <v>74.994232987312571</v>
      </c>
      <c r="E116" s="3401"/>
      <c r="F116" s="3402"/>
      <c r="G116" s="3403"/>
      <c r="H116" s="3402"/>
      <c r="I116" s="3402"/>
      <c r="J116" s="3402"/>
      <c r="K116" s="3402"/>
      <c r="L116" s="3402"/>
      <c r="M116" s="3402"/>
      <c r="N116" s="3402"/>
      <c r="O116" s="3402"/>
      <c r="P116" s="3402"/>
      <c r="Q116" s="3402"/>
      <c r="R116" s="3404"/>
      <c r="S116" s="3405"/>
      <c r="T116" s="3405"/>
      <c r="U116" s="3405"/>
      <c r="V116" s="3405"/>
    </row>
    <row r="117" spans="1:22" ht="13.5" customHeight="1">
      <c r="A117" s="4551"/>
      <c r="B117" s="3406" t="s">
        <v>205</v>
      </c>
      <c r="C117" s="3407"/>
      <c r="D117" s="3408"/>
      <c r="E117" s="3409">
        <f>+F117+G117+H117+I117+J117+K117+L117+M117</f>
        <v>4335</v>
      </c>
      <c r="F117" s="3410"/>
      <c r="G117" s="3410">
        <f>'Tab.6I - Planow. przestrz.'!F72</f>
        <v>4335</v>
      </c>
      <c r="H117" s="3410">
        <f>'Tab.6I - Planow. przestrz.'!G72</f>
        <v>0</v>
      </c>
      <c r="I117" s="3410">
        <f>'Tab.6I - Planow. przestrz.'!H72</f>
        <v>0</v>
      </c>
      <c r="J117" s="3410">
        <f>'Tab.6I - Planow. przestrz.'!I72</f>
        <v>0</v>
      </c>
      <c r="K117" s="3410">
        <f>'Tab.6I - Planow. przestrz.'!J72</f>
        <v>0</v>
      </c>
      <c r="L117" s="3410">
        <f>'Tab.6I - Planow. przestrz.'!K72</f>
        <v>0</v>
      </c>
      <c r="M117" s="3410"/>
      <c r="N117" s="3410"/>
      <c r="O117" s="3410"/>
      <c r="P117" s="3410"/>
      <c r="Q117" s="3410"/>
      <c r="R117" s="3411"/>
      <c r="S117" s="3412"/>
      <c r="T117" s="3412"/>
      <c r="U117" s="3412"/>
      <c r="V117" s="3412"/>
    </row>
    <row r="118" spans="1:22" ht="13.5" customHeight="1">
      <c r="A118" s="4551"/>
      <c r="B118" s="3413" t="s">
        <v>206</v>
      </c>
      <c r="C118" s="2794"/>
      <c r="D118" s="3414"/>
      <c r="E118" s="3175">
        <f>+F118+G118+H118+I118+J118+K118+L118+M118</f>
        <v>1084</v>
      </c>
      <c r="F118" s="3415"/>
      <c r="G118" s="3415">
        <f>'Tab.6I - Planow. przestrz.'!F73</f>
        <v>1084</v>
      </c>
      <c r="H118" s="3415">
        <f>'Tab.6I - Planow. przestrz.'!G73</f>
        <v>0</v>
      </c>
      <c r="I118" s="3415">
        <f>'Tab.6I - Planow. przestrz.'!H73</f>
        <v>0</v>
      </c>
      <c r="J118" s="3415">
        <f>'Tab.6I - Planow. przestrz.'!I73</f>
        <v>0</v>
      </c>
      <c r="K118" s="3415">
        <f>'Tab.6I - Planow. przestrz.'!J73</f>
        <v>0</v>
      </c>
      <c r="L118" s="3415">
        <f>'Tab.6I - Planow. przestrz.'!K73</f>
        <v>0</v>
      </c>
      <c r="M118" s="3415"/>
      <c r="N118" s="3415"/>
      <c r="O118" s="3415"/>
      <c r="P118" s="3415"/>
      <c r="Q118" s="3415"/>
      <c r="R118" s="3416"/>
      <c r="S118" s="3416"/>
      <c r="T118" s="3416"/>
      <c r="U118" s="3416"/>
      <c r="V118" s="3416"/>
    </row>
    <row r="119" spans="1:22" ht="13.5" customHeight="1" thickBot="1">
      <c r="A119" s="4551"/>
      <c r="B119" s="3417" t="s">
        <v>207</v>
      </c>
      <c r="C119" s="3430">
        <f>E119-E120</f>
        <v>0</v>
      </c>
      <c r="D119" s="3419"/>
      <c r="E119" s="3420">
        <f>+F119+G119+H119+I119+J119+K119+L119+M119</f>
        <v>3251</v>
      </c>
      <c r="F119" s="3421"/>
      <c r="G119" s="3421">
        <f>'Tab.6I - Planow. przestrz.'!F75</f>
        <v>3251</v>
      </c>
      <c r="H119" s="3421">
        <f>'Tab.6I - Planow. przestrz.'!G75</f>
        <v>0</v>
      </c>
      <c r="I119" s="3421">
        <f>'Tab.6I - Planow. przestrz.'!H75</f>
        <v>0</v>
      </c>
      <c r="J119" s="3421">
        <f>'Tab.6I - Planow. przestrz.'!I75</f>
        <v>0</v>
      </c>
      <c r="K119" s="3421">
        <f>'Tab.6I - Planow. przestrz.'!J75</f>
        <v>0</v>
      </c>
      <c r="L119" s="3421">
        <f>'Tab.6I - Planow. przestrz.'!K75</f>
        <v>0</v>
      </c>
      <c r="M119" s="3421"/>
      <c r="N119" s="3421"/>
      <c r="O119" s="3421"/>
      <c r="P119" s="3421"/>
      <c r="Q119" s="3421"/>
      <c r="R119" s="3422"/>
      <c r="S119" s="3423"/>
      <c r="T119" s="3423"/>
      <c r="U119" s="3423"/>
      <c r="V119" s="3423"/>
    </row>
    <row r="120" spans="1:22" ht="15" customHeight="1" thickBot="1">
      <c r="A120" s="4552"/>
      <c r="B120" s="3424" t="s">
        <v>335</v>
      </c>
      <c r="C120" s="3425"/>
      <c r="D120" s="3426"/>
      <c r="E120" s="3427">
        <f>F120+G120+H120+I120+J120+K120+L120+M120</f>
        <v>3251</v>
      </c>
      <c r="F120" s="3428"/>
      <c r="G120" s="3428">
        <f>'Tab.6I - Planow. przestrz.'!F80</f>
        <v>0</v>
      </c>
      <c r="H120" s="3428">
        <f>'Tab.6I - Planow. przestrz.'!G80</f>
        <v>3251</v>
      </c>
      <c r="I120" s="3428">
        <f>'Tab.6I - Planow. przestrz.'!H80</f>
        <v>0</v>
      </c>
      <c r="J120" s="3428">
        <f>'Tab.6I - Planow. przestrz.'!I80</f>
        <v>0</v>
      </c>
      <c r="K120" s="3428">
        <f>'Tab.6I - Planow. przestrz.'!J80</f>
        <v>0</v>
      </c>
      <c r="L120" s="3428">
        <f>'Tab.6I - Planow. przestrz.'!K80</f>
        <v>0</v>
      </c>
      <c r="M120" s="3428"/>
      <c r="N120" s="3428"/>
      <c r="O120" s="3428"/>
      <c r="P120" s="3428"/>
      <c r="Q120" s="3428"/>
      <c r="R120" s="3429"/>
      <c r="S120" s="3429"/>
      <c r="T120" s="3429"/>
      <c r="U120" s="3429"/>
      <c r="V120" s="3429"/>
    </row>
    <row r="121" spans="1:22" ht="38.25" customHeight="1">
      <c r="A121" s="4550" t="s">
        <v>105</v>
      </c>
      <c r="B121" s="3434" t="str">
        <f>'Tab. 6A -Drogi'!B228</f>
        <v>Rozbudowa drogi wojewódzkiej nr 203 na odcinku Darłowo - granica województwa etap I przebudowa ul. Tynieckiego w m. Darłowo w ramach Osi V RPO (2017-2018)</v>
      </c>
      <c r="C121" s="3399" t="s">
        <v>548</v>
      </c>
      <c r="D121" s="3400">
        <f>E124/E122%</f>
        <v>80.29250500240633</v>
      </c>
      <c r="E121" s="3401"/>
      <c r="F121" s="3402"/>
      <c r="G121" s="3403"/>
      <c r="H121" s="3402"/>
      <c r="I121" s="3402"/>
      <c r="J121" s="3402"/>
      <c r="K121" s="3402"/>
      <c r="L121" s="3402"/>
      <c r="M121" s="3402"/>
      <c r="N121" s="3402"/>
      <c r="O121" s="3402"/>
      <c r="P121" s="3402"/>
      <c r="Q121" s="3402"/>
      <c r="R121" s="3404"/>
      <c r="S121" s="3405"/>
      <c r="T121" s="3405"/>
      <c r="U121" s="3405"/>
      <c r="V121" s="3405"/>
    </row>
    <row r="122" spans="1:22" ht="13.5" customHeight="1">
      <c r="A122" s="4551"/>
      <c r="B122" s="3406" t="s">
        <v>205</v>
      </c>
      <c r="C122" s="3407"/>
      <c r="D122" s="3408"/>
      <c r="E122" s="3409">
        <f>+F122+G122+H122+I122+J122+K122+L122+M122</f>
        <v>11002205</v>
      </c>
      <c r="F122" s="3410"/>
      <c r="G122" s="3410">
        <f>'Tab. 6A -Drogi'!F229</f>
        <v>617780</v>
      </c>
      <c r="H122" s="3410">
        <f>'Tab. 6A -Drogi'!G229</f>
        <v>10384425</v>
      </c>
      <c r="I122" s="3410">
        <f>'Tab. 6A -Drogi'!H229</f>
        <v>0</v>
      </c>
      <c r="J122" s="3410">
        <f>'Tab. 6A -Drogi'!I229</f>
        <v>0</v>
      </c>
      <c r="K122" s="3410">
        <f>'Tab. 6A -Drogi'!J229</f>
        <v>0</v>
      </c>
      <c r="L122" s="3410"/>
      <c r="M122" s="3410"/>
      <c r="N122" s="3410"/>
      <c r="O122" s="3410"/>
      <c r="P122" s="3410"/>
      <c r="Q122" s="3410"/>
      <c r="R122" s="3411"/>
      <c r="S122" s="3412"/>
      <c r="T122" s="3412"/>
      <c r="U122" s="3412"/>
      <c r="V122" s="3412"/>
    </row>
    <row r="123" spans="1:22" ht="13.5" customHeight="1">
      <c r="A123" s="4551"/>
      <c r="B123" s="3413" t="s">
        <v>206</v>
      </c>
      <c r="C123" s="2794"/>
      <c r="D123" s="3414"/>
      <c r="E123" s="3175">
        <f>+F123+G123+H123+I123+J123+K123+L123+M123</f>
        <v>2168259</v>
      </c>
      <c r="F123" s="3415"/>
      <c r="G123" s="3415">
        <f>'Tab. 6A -Drogi'!F230</f>
        <v>141638</v>
      </c>
      <c r="H123" s="3415">
        <f>'Tab. 6A -Drogi'!G230</f>
        <v>2026621</v>
      </c>
      <c r="I123" s="3415">
        <f>'Tab. 6A -Drogi'!H230</f>
        <v>0</v>
      </c>
      <c r="J123" s="3415">
        <f>'Tab. 6A -Drogi'!I230</f>
        <v>0</v>
      </c>
      <c r="K123" s="3415">
        <f>'Tab. 6A -Drogi'!J230</f>
        <v>0</v>
      </c>
      <c r="L123" s="3415"/>
      <c r="M123" s="3415"/>
      <c r="N123" s="3415"/>
      <c r="O123" s="3415"/>
      <c r="P123" s="3415"/>
      <c r="Q123" s="3415"/>
      <c r="R123" s="3416"/>
      <c r="S123" s="3416"/>
      <c r="T123" s="3416"/>
      <c r="U123" s="3416"/>
      <c r="V123" s="3416"/>
    </row>
    <row r="124" spans="1:22" ht="13.5" thickBot="1">
      <c r="A124" s="4551"/>
      <c r="B124" s="3417" t="s">
        <v>207</v>
      </c>
      <c r="C124" s="3430">
        <f>E124-E125</f>
        <v>0</v>
      </c>
      <c r="D124" s="3419"/>
      <c r="E124" s="3420">
        <f>+F124+G124+H124+I124+J124+K124+L124+M124</f>
        <v>8833946</v>
      </c>
      <c r="F124" s="3421"/>
      <c r="G124" s="3421">
        <f>'Tab. 6A -Drogi'!F233</f>
        <v>476142</v>
      </c>
      <c r="H124" s="3421">
        <f>'Tab. 6A -Drogi'!G233</f>
        <v>8357804</v>
      </c>
      <c r="I124" s="3421">
        <f>'Tab. 6A -Drogi'!H233</f>
        <v>0</v>
      </c>
      <c r="J124" s="3421">
        <f>'Tab. 6A -Drogi'!I233</f>
        <v>0</v>
      </c>
      <c r="K124" s="3421">
        <f>'Tab. 6A -Drogi'!J233</f>
        <v>0</v>
      </c>
      <c r="L124" s="3421"/>
      <c r="M124" s="3421"/>
      <c r="N124" s="3421"/>
      <c r="O124" s="3421"/>
      <c r="P124" s="3421"/>
      <c r="Q124" s="3421"/>
      <c r="R124" s="3422"/>
      <c r="S124" s="3423"/>
      <c r="T124" s="3423"/>
      <c r="U124" s="3423"/>
      <c r="V124" s="3423"/>
    </row>
    <row r="125" spans="1:22" ht="13.5" thickBot="1">
      <c r="A125" s="4552"/>
      <c r="B125" s="3424" t="s">
        <v>335</v>
      </c>
      <c r="C125" s="3425"/>
      <c r="D125" s="3426"/>
      <c r="E125" s="3427">
        <f>F125+G125+H125+I125+J125+K125+L125+M125</f>
        <v>8833946</v>
      </c>
      <c r="F125" s="3428"/>
      <c r="G125" s="3428">
        <f>'Tab. 6A -Drogi'!F238</f>
        <v>2069792</v>
      </c>
      <c r="H125" s="3428">
        <f>'Tab. 6A -Drogi'!G238</f>
        <v>6764154</v>
      </c>
      <c r="I125" s="3428">
        <f>'Tab. 6A -Drogi'!H238</f>
        <v>0</v>
      </c>
      <c r="J125" s="3428">
        <f>'Tab. 6A -Drogi'!I238</f>
        <v>0</v>
      </c>
      <c r="K125" s="3428">
        <f>'Tab. 6A -Drogi'!J238</f>
        <v>0</v>
      </c>
      <c r="L125" s="3428"/>
      <c r="M125" s="3428"/>
      <c r="N125" s="3428"/>
      <c r="O125" s="3428"/>
      <c r="P125" s="3428"/>
      <c r="Q125" s="3428"/>
      <c r="R125" s="3429"/>
      <c r="S125" s="3429"/>
      <c r="T125" s="3429"/>
      <c r="U125" s="3429"/>
      <c r="V125" s="3429"/>
    </row>
    <row r="126" spans="1:22" ht="49.5" customHeight="1" thickBot="1">
      <c r="A126" s="4546" t="s">
        <v>303</v>
      </c>
      <c r="B126" s="3473" t="str">
        <f>'Tab. 6G - Roln i ochrona środ.'!B68</f>
        <v>Wzmacnianie ochrony bociana białego i nietoperzy oraz realizacja zadań czynnej ochrony w rezerwatach przyrody na obszarach parków krajobrazowych województwa zachodniopomorskiego - majątkowe w ramach Osi IV RPO (2016-2020)</v>
      </c>
      <c r="C126" s="3474" t="s">
        <v>733</v>
      </c>
      <c r="D126" s="3440">
        <f>E129/E127%</f>
        <v>82.824747544339672</v>
      </c>
      <c r="E126" s="3464"/>
      <c r="F126" s="3465"/>
      <c r="G126" s="3466"/>
      <c r="H126" s="3465"/>
      <c r="I126" s="3465"/>
      <c r="J126" s="3465"/>
      <c r="K126" s="3465"/>
      <c r="L126" s="3465"/>
      <c r="M126" s="3465"/>
      <c r="N126" s="3465"/>
      <c r="O126" s="3465"/>
      <c r="P126" s="3465"/>
      <c r="Q126" s="3465"/>
      <c r="R126" s="3467"/>
      <c r="S126" s="3468"/>
      <c r="T126" s="3468"/>
      <c r="U126" s="3468"/>
      <c r="V126" s="3468"/>
    </row>
    <row r="127" spans="1:22" ht="13.5" thickTop="1">
      <c r="A127" s="4547"/>
      <c r="B127" s="3475" t="s">
        <v>205</v>
      </c>
      <c r="C127" s="3407"/>
      <c r="D127" s="3408"/>
      <c r="E127" s="3409">
        <f>+F127+G127+H127+I127+J127+K127+L127+M127</f>
        <v>1016020</v>
      </c>
      <c r="F127" s="3410">
        <f>'Tab. 6G - Roln i ochrona środ.'!E69</f>
        <v>49100</v>
      </c>
      <c r="G127" s="3410">
        <f>'Tab. 6G - Roln i ochrona środ.'!F69</f>
        <v>0</v>
      </c>
      <c r="H127" s="3410">
        <f>'Tab. 6G - Roln i ochrona środ.'!G69</f>
        <v>443730</v>
      </c>
      <c r="I127" s="3410">
        <f>'Tab. 6G - Roln i ochrona środ.'!H69</f>
        <v>344790</v>
      </c>
      <c r="J127" s="3410">
        <f>'Tab. 6G - Roln i ochrona środ.'!I69</f>
        <v>178400</v>
      </c>
      <c r="K127" s="3410">
        <f>'Tab. 6G - Roln i ochrona środ.'!J69</f>
        <v>0</v>
      </c>
      <c r="L127" s="3410">
        <f>'Tab. 6G - Roln i ochrona środ.'!K69</f>
        <v>0</v>
      </c>
      <c r="M127" s="3410"/>
      <c r="N127" s="3410"/>
      <c r="O127" s="3410"/>
      <c r="P127" s="3410"/>
      <c r="Q127" s="3410"/>
      <c r="R127" s="3411"/>
      <c r="S127" s="3412"/>
      <c r="T127" s="3412"/>
      <c r="U127" s="3412"/>
      <c r="V127" s="3412"/>
    </row>
    <row r="128" spans="1:22" ht="16.5" customHeight="1">
      <c r="A128" s="4547"/>
      <c r="B128" s="2802" t="s">
        <v>206</v>
      </c>
      <c r="C128" s="2794"/>
      <c r="D128" s="3414"/>
      <c r="E128" s="3175">
        <f>+F128+G128+H128+I128+J128+K128+L128+M128</f>
        <v>174504</v>
      </c>
      <c r="F128" s="3415">
        <f>'Tab. 6G - Roln i ochrona środ.'!E70</f>
        <v>29465</v>
      </c>
      <c r="G128" s="3415">
        <f>'Tab. 6G - Roln i ochrona środ.'!F70</f>
        <v>0</v>
      </c>
      <c r="H128" s="3415">
        <f>'Tab. 6G - Roln i ochrona środ.'!G70</f>
        <v>66560</v>
      </c>
      <c r="I128" s="3415">
        <f>'Tab. 6G - Roln i ochrona środ.'!H70</f>
        <v>51719</v>
      </c>
      <c r="J128" s="3415">
        <f>'Tab. 6G - Roln i ochrona środ.'!I70</f>
        <v>26760</v>
      </c>
      <c r="K128" s="3415">
        <f>'Tab. 6G - Roln i ochrona środ.'!J70</f>
        <v>0</v>
      </c>
      <c r="L128" s="3415">
        <f>'Tab. 6G - Roln i ochrona środ.'!K70</f>
        <v>0</v>
      </c>
      <c r="M128" s="3415"/>
      <c r="N128" s="3415"/>
      <c r="O128" s="3415"/>
      <c r="P128" s="3415"/>
      <c r="Q128" s="3415"/>
      <c r="R128" s="3416"/>
      <c r="S128" s="3416"/>
      <c r="T128" s="3416"/>
      <c r="U128" s="3416"/>
      <c r="V128" s="3416"/>
    </row>
    <row r="129" spans="1:22" ht="13.5" customHeight="1" thickBot="1">
      <c r="A129" s="4548"/>
      <c r="B129" s="3476" t="s">
        <v>207</v>
      </c>
      <c r="C129" s="3430">
        <f>E129-E130</f>
        <v>0</v>
      </c>
      <c r="D129" s="3419"/>
      <c r="E129" s="3420">
        <f>+F129+G129+H129+I129+J129+K129+L129+M129</f>
        <v>841516</v>
      </c>
      <c r="F129" s="3421">
        <f>'Tab. 6G - Roln i ochrona środ.'!E72</f>
        <v>19635</v>
      </c>
      <c r="G129" s="3421">
        <f>'Tab. 6G - Roln i ochrona środ.'!F72</f>
        <v>0</v>
      </c>
      <c r="H129" s="3421">
        <f>'Tab. 6G - Roln i ochrona środ.'!G72</f>
        <v>377170</v>
      </c>
      <c r="I129" s="3421">
        <f>'Tab. 6G - Roln i ochrona środ.'!H72</f>
        <v>293071</v>
      </c>
      <c r="J129" s="3421">
        <f>'Tab. 6G - Roln i ochrona środ.'!I72</f>
        <v>151640</v>
      </c>
      <c r="K129" s="3421">
        <f>'Tab. 6G - Roln i ochrona środ.'!J72</f>
        <v>0</v>
      </c>
      <c r="L129" s="3421">
        <f>'Tab. 6G - Roln i ochrona środ.'!K72</f>
        <v>0</v>
      </c>
      <c r="M129" s="3421"/>
      <c r="N129" s="3421"/>
      <c r="O129" s="3421"/>
      <c r="P129" s="3421"/>
      <c r="Q129" s="3421"/>
      <c r="R129" s="3422"/>
      <c r="S129" s="3454"/>
      <c r="T129" s="3454"/>
      <c r="U129" s="3454"/>
      <c r="V129" s="3454"/>
    </row>
    <row r="130" spans="1:22" ht="13.5" thickBot="1">
      <c r="A130" s="3477"/>
      <c r="B130" s="3424" t="s">
        <v>335</v>
      </c>
      <c r="C130" s="3425"/>
      <c r="D130" s="3426"/>
      <c r="E130" s="3427">
        <f>F130+G130+H130+I130+J130+K130+L130+M130</f>
        <v>841516</v>
      </c>
      <c r="F130" s="3428">
        <f>'Tab. 6G - Roln i ochrona środ.'!E75</f>
        <v>0</v>
      </c>
      <c r="G130" s="3428">
        <f>'Tab. 6G - Roln i ochrona środ.'!F75</f>
        <v>0</v>
      </c>
      <c r="H130" s="3428">
        <f>'Tab. 6G - Roln i ochrona środ.'!G75</f>
        <v>396805</v>
      </c>
      <c r="I130" s="3428">
        <f>'Tab. 6G - Roln i ochrona środ.'!H75</f>
        <v>293071</v>
      </c>
      <c r="J130" s="3428">
        <f>'Tab. 6G - Roln i ochrona środ.'!I75</f>
        <v>151640</v>
      </c>
      <c r="K130" s="3428">
        <f>'Tab. 6G - Roln i ochrona środ.'!J75</f>
        <v>0</v>
      </c>
      <c r="L130" s="3428">
        <f>'Tab. 6G - Roln i ochrona środ.'!K75</f>
        <v>0</v>
      </c>
      <c r="M130" s="3428"/>
      <c r="N130" s="3428"/>
      <c r="O130" s="3428"/>
      <c r="P130" s="3428"/>
      <c r="Q130" s="3428"/>
      <c r="R130" s="3429"/>
      <c r="S130" s="3429"/>
      <c r="T130" s="3429"/>
      <c r="U130" s="3429"/>
      <c r="V130" s="3429"/>
    </row>
    <row r="131" spans="1:22" ht="38.25" customHeight="1" thickBot="1">
      <c r="A131" s="4546" t="s">
        <v>229</v>
      </c>
      <c r="B131" s="3478" t="str">
        <f>'Tab. 6A -Drogi'!B168</f>
        <v>Przebudowa drogi wojewódzkiej nr 102 na odcinku Międzywodzie -Dziwnów w ramach Osi V RPO (2016-2018)</v>
      </c>
      <c r="C131" s="3474" t="s">
        <v>549</v>
      </c>
      <c r="D131" s="3440">
        <f>E134/E132%</f>
        <v>82.517006947927896</v>
      </c>
      <c r="E131" s="3464"/>
      <c r="F131" s="3465"/>
      <c r="G131" s="3466"/>
      <c r="H131" s="3465"/>
      <c r="I131" s="3465"/>
      <c r="J131" s="3465"/>
      <c r="K131" s="3465"/>
      <c r="L131" s="3465"/>
      <c r="M131" s="3465"/>
      <c r="N131" s="3465"/>
      <c r="O131" s="3465"/>
      <c r="P131" s="3465"/>
      <c r="Q131" s="3465"/>
      <c r="R131" s="3467"/>
      <c r="S131" s="3468"/>
      <c r="T131" s="3468"/>
      <c r="U131" s="3468"/>
      <c r="V131" s="3468"/>
    </row>
    <row r="132" spans="1:22" ht="13.5" thickTop="1">
      <c r="A132" s="4547"/>
      <c r="B132" s="3475" t="s">
        <v>205</v>
      </c>
      <c r="C132" s="3407"/>
      <c r="D132" s="3408"/>
      <c r="E132" s="3409">
        <f>+F132+G132+H132+I132+J132+K132+L132+M132</f>
        <v>16396975</v>
      </c>
      <c r="F132" s="3410">
        <f>'Tab. 6A -Drogi'!E169</f>
        <v>1591</v>
      </c>
      <c r="G132" s="3410">
        <f>'Tab. 6A -Drogi'!F169</f>
        <v>1891948</v>
      </c>
      <c r="H132" s="3410">
        <f>'Tab. 6A -Drogi'!G169</f>
        <v>14503436</v>
      </c>
      <c r="I132" s="3410">
        <f>'Tab. 6A -Drogi'!H169</f>
        <v>0</v>
      </c>
      <c r="J132" s="3410">
        <f>'Tab. 6A -Drogi'!I169</f>
        <v>0</v>
      </c>
      <c r="K132" s="3410">
        <f>'Tab. 6A -Drogi'!J169</f>
        <v>0</v>
      </c>
      <c r="L132" s="3410">
        <f>'Tab. 6A -Drogi'!K169</f>
        <v>0</v>
      </c>
      <c r="M132" s="3410">
        <f>'Tab. 6A -Drogi'!L169</f>
        <v>0</v>
      </c>
      <c r="N132" s="3410"/>
      <c r="O132" s="3410"/>
      <c r="P132" s="3410"/>
      <c r="Q132" s="3410"/>
      <c r="R132" s="3411"/>
      <c r="S132" s="3412"/>
      <c r="T132" s="3412"/>
      <c r="U132" s="3412"/>
      <c r="V132" s="3412"/>
    </row>
    <row r="133" spans="1:22" ht="16.5" customHeight="1">
      <c r="A133" s="4547"/>
      <c r="B133" s="2802" t="s">
        <v>206</v>
      </c>
      <c r="C133" s="2794"/>
      <c r="D133" s="3414"/>
      <c r="E133" s="3175">
        <f>+F133+G133+H133+I133+J133+K133+L133+M133</f>
        <v>2866682</v>
      </c>
      <c r="F133" s="3415">
        <f>'Tab. 6A -Drogi'!E170</f>
        <v>239</v>
      </c>
      <c r="G133" s="3415">
        <f>'Tab. 6A -Drogi'!F170</f>
        <v>362939</v>
      </c>
      <c r="H133" s="3415">
        <f>'Tab. 6A -Drogi'!G170</f>
        <v>2503504</v>
      </c>
      <c r="I133" s="3415">
        <f>'Tab. 6A -Drogi'!H170</f>
        <v>0</v>
      </c>
      <c r="J133" s="3415">
        <f>'Tab. 6A -Drogi'!I170</f>
        <v>0</v>
      </c>
      <c r="K133" s="3415">
        <f>'Tab. 6A -Drogi'!J170</f>
        <v>0</v>
      </c>
      <c r="L133" s="3415">
        <f>'Tab. 6A -Drogi'!K170</f>
        <v>0</v>
      </c>
      <c r="M133" s="3415">
        <f>'Tab. 6A -Drogi'!L170</f>
        <v>0</v>
      </c>
      <c r="N133" s="3415"/>
      <c r="O133" s="3415"/>
      <c r="P133" s="3415"/>
      <c r="Q133" s="3415"/>
      <c r="R133" s="3416"/>
      <c r="S133" s="3416"/>
      <c r="T133" s="3416"/>
      <c r="U133" s="3416"/>
      <c r="V133" s="3416"/>
    </row>
    <row r="134" spans="1:22" ht="13.5" customHeight="1" thickBot="1">
      <c r="A134" s="4548"/>
      <c r="B134" s="3476" t="s">
        <v>207</v>
      </c>
      <c r="C134" s="3430">
        <f>E134-E135</f>
        <v>0</v>
      </c>
      <c r="D134" s="3419"/>
      <c r="E134" s="3420">
        <f>+F134+G134+H134+I134+J134+K134+L134+M134</f>
        <v>13530293</v>
      </c>
      <c r="F134" s="3421">
        <f>'Tab. 6A -Drogi'!E173</f>
        <v>1352</v>
      </c>
      <c r="G134" s="3421">
        <f>'Tab. 6A -Drogi'!F173</f>
        <v>1529009</v>
      </c>
      <c r="H134" s="3421">
        <f>'Tab. 6A -Drogi'!G173</f>
        <v>11999932</v>
      </c>
      <c r="I134" s="3421">
        <f>'Tab. 6A -Drogi'!H173</f>
        <v>0</v>
      </c>
      <c r="J134" s="3421">
        <f>'Tab. 6A -Drogi'!I173</f>
        <v>0</v>
      </c>
      <c r="K134" s="3421">
        <f>'Tab. 6A -Drogi'!J173</f>
        <v>0</v>
      </c>
      <c r="L134" s="3421">
        <f>'Tab. 6A -Drogi'!K173</f>
        <v>0</v>
      </c>
      <c r="M134" s="3421">
        <f>'Tab. 6A -Drogi'!L173</f>
        <v>0</v>
      </c>
      <c r="N134" s="3421"/>
      <c r="O134" s="3421"/>
      <c r="P134" s="3421"/>
      <c r="Q134" s="3421"/>
      <c r="R134" s="3422"/>
      <c r="S134" s="3454"/>
      <c r="T134" s="3454"/>
      <c r="U134" s="3454"/>
      <c r="V134" s="3454"/>
    </row>
    <row r="135" spans="1:22" ht="13.5" thickBot="1">
      <c r="A135" s="3477"/>
      <c r="B135" s="3424" t="s">
        <v>335</v>
      </c>
      <c r="C135" s="3425"/>
      <c r="D135" s="3426"/>
      <c r="E135" s="3427">
        <f>F135+G135+H135+I135+J135+K135+L135+M135</f>
        <v>13530293</v>
      </c>
      <c r="F135" s="3428">
        <f>'Tab. 6A -Drogi'!E178</f>
        <v>0</v>
      </c>
      <c r="G135" s="3428">
        <f>'Tab. 6A -Drogi'!F178</f>
        <v>621112</v>
      </c>
      <c r="H135" s="3428">
        <f>'Tab. 6A -Drogi'!G178</f>
        <v>12909181</v>
      </c>
      <c r="I135" s="3428">
        <f>'Tab. 6A -Drogi'!H178</f>
        <v>0</v>
      </c>
      <c r="J135" s="3428">
        <f>'Tab. 6A -Drogi'!I178</f>
        <v>0</v>
      </c>
      <c r="K135" s="3428">
        <f>'Tab. 6A -Drogi'!J178</f>
        <v>0</v>
      </c>
      <c r="L135" s="3428">
        <f>'Tab. 6A -Drogi'!K178</f>
        <v>0</v>
      </c>
      <c r="M135" s="3428">
        <f>'Tab. 6A -Drogi'!L178</f>
        <v>0</v>
      </c>
      <c r="N135" s="3428"/>
      <c r="O135" s="3428"/>
      <c r="P135" s="3428"/>
      <c r="Q135" s="3428"/>
      <c r="R135" s="3429"/>
      <c r="S135" s="3429"/>
      <c r="T135" s="3429"/>
      <c r="U135" s="3429"/>
      <c r="V135" s="3429"/>
    </row>
    <row r="136" spans="1:22" ht="42" customHeight="1" thickBot="1">
      <c r="A136" s="4546" t="s">
        <v>230</v>
      </c>
      <c r="B136" s="3478" t="str">
        <f>'Tab. 6A -Drogi'!B240</f>
        <v>Przebudowa drogi wojewódzkiej nr 151 na odcinku Ińsko - Recz etap I odc. Ińsko - Ciemnik w ramach Osi V RPO (2017-2018)</v>
      </c>
      <c r="C136" s="3474" t="s">
        <v>588</v>
      </c>
      <c r="D136" s="3440">
        <f>E139/E137%</f>
        <v>84.592379982674629</v>
      </c>
      <c r="E136" s="3464"/>
      <c r="F136" s="3465"/>
      <c r="G136" s="3466"/>
      <c r="H136" s="3465"/>
      <c r="I136" s="3465"/>
      <c r="J136" s="3465"/>
      <c r="K136" s="3465"/>
      <c r="L136" s="3465"/>
      <c r="M136" s="3465"/>
      <c r="N136" s="3465"/>
      <c r="O136" s="3465"/>
      <c r="P136" s="3465"/>
      <c r="Q136" s="3465"/>
      <c r="R136" s="3467"/>
      <c r="S136" s="3468"/>
      <c r="T136" s="3468"/>
      <c r="U136" s="3468"/>
      <c r="V136" s="3468"/>
    </row>
    <row r="137" spans="1:22" ht="13.5" thickTop="1">
      <c r="A137" s="4547"/>
      <c r="B137" s="3479" t="s">
        <v>205</v>
      </c>
      <c r="C137" s="3407"/>
      <c r="D137" s="3408"/>
      <c r="E137" s="3480">
        <f>+F137+G137+H137+I137+J137+K137+L137+M137</f>
        <v>20852656</v>
      </c>
      <c r="F137" s="3481">
        <f>'Tab. 6A -Drogi'!E241</f>
        <v>0</v>
      </c>
      <c r="G137" s="3481">
        <f>'Tab. 6A -Drogi'!F241</f>
        <v>1914309</v>
      </c>
      <c r="H137" s="3481">
        <f>'Tab. 6A -Drogi'!G241</f>
        <v>18938347</v>
      </c>
      <c r="I137" s="3481">
        <f>'Tab. 6A -Drogi'!H241</f>
        <v>0</v>
      </c>
      <c r="J137" s="3481">
        <f>'Tab. 6A -Drogi'!I241</f>
        <v>0</v>
      </c>
      <c r="K137" s="3481">
        <f>'Tab. 6A -Drogi'!J241</f>
        <v>0</v>
      </c>
      <c r="L137" s="3481">
        <f>'Tab. 6A -Drogi'!K241</f>
        <v>0</v>
      </c>
      <c r="M137" s="3481">
        <f>'Tab. 6A -Drogi'!L241</f>
        <v>0</v>
      </c>
      <c r="N137" s="3410"/>
      <c r="O137" s="3410"/>
      <c r="P137" s="3410"/>
      <c r="Q137" s="3410"/>
      <c r="R137" s="3411"/>
      <c r="S137" s="3412"/>
      <c r="T137" s="3412"/>
      <c r="U137" s="3412"/>
      <c r="V137" s="3412"/>
    </row>
    <row r="138" spans="1:22" ht="16.5" customHeight="1">
      <c r="A138" s="4547"/>
      <c r="B138" s="3165" t="s">
        <v>206</v>
      </c>
      <c r="C138" s="2794"/>
      <c r="D138" s="3414"/>
      <c r="E138" s="3176">
        <f>+F138+G138+H138+I138+J138+K138+L138+M138</f>
        <v>3212898</v>
      </c>
      <c r="F138" s="3482">
        <f>'Tab. 6A -Drogi'!E242</f>
        <v>0</v>
      </c>
      <c r="G138" s="3482">
        <f>'Tab. 6A -Drogi'!F242</f>
        <v>293086</v>
      </c>
      <c r="H138" s="3482">
        <f>'Tab. 6A -Drogi'!G242</f>
        <v>2919812</v>
      </c>
      <c r="I138" s="3482">
        <f>'Tab. 6A -Drogi'!H242</f>
        <v>0</v>
      </c>
      <c r="J138" s="3482">
        <f>'Tab. 6A -Drogi'!I242</f>
        <v>0</v>
      </c>
      <c r="K138" s="3482">
        <f>'Tab. 6A -Drogi'!J242</f>
        <v>0</v>
      </c>
      <c r="L138" s="3482">
        <f>'Tab. 6A -Drogi'!K242</f>
        <v>0</v>
      </c>
      <c r="M138" s="3482">
        <f>'Tab. 6A -Drogi'!L242</f>
        <v>0</v>
      </c>
      <c r="N138" s="3415"/>
      <c r="O138" s="3415"/>
      <c r="P138" s="3415"/>
      <c r="Q138" s="3415"/>
      <c r="R138" s="3416"/>
      <c r="S138" s="3416"/>
      <c r="T138" s="3416"/>
      <c r="U138" s="3416"/>
      <c r="V138" s="3416"/>
    </row>
    <row r="139" spans="1:22" ht="13.5" customHeight="1" thickBot="1">
      <c r="A139" s="4548"/>
      <c r="B139" s="3483" t="s">
        <v>207</v>
      </c>
      <c r="C139" s="3430">
        <f>E139-E140</f>
        <v>0</v>
      </c>
      <c r="D139" s="3419"/>
      <c r="E139" s="3484">
        <f>+F139+G139+H139+I139+J139+K139+L139+M139</f>
        <v>17639758</v>
      </c>
      <c r="F139" s="3485">
        <f>'Tab. 6A -Drogi'!E245</f>
        <v>0</v>
      </c>
      <c r="G139" s="3485">
        <f>'Tab. 6A -Drogi'!F245</f>
        <v>1621223</v>
      </c>
      <c r="H139" s="3485">
        <f>'Tab. 6A -Drogi'!G245</f>
        <v>16018535</v>
      </c>
      <c r="I139" s="3485">
        <f>'Tab. 6A -Drogi'!H245</f>
        <v>0</v>
      </c>
      <c r="J139" s="3485">
        <f>'Tab. 6A -Drogi'!I245</f>
        <v>0</v>
      </c>
      <c r="K139" s="3485">
        <f>'Tab. 6A -Drogi'!J245</f>
        <v>0</v>
      </c>
      <c r="L139" s="3485">
        <f>'Tab. 6A -Drogi'!K245</f>
        <v>0</v>
      </c>
      <c r="M139" s="3485">
        <f>'Tab. 6A -Drogi'!L245</f>
        <v>0</v>
      </c>
      <c r="N139" s="3421"/>
      <c r="O139" s="3421"/>
      <c r="P139" s="3421"/>
      <c r="Q139" s="3421"/>
      <c r="R139" s="3422"/>
      <c r="S139" s="3454"/>
      <c r="T139" s="3454"/>
      <c r="U139" s="3454"/>
      <c r="V139" s="3454"/>
    </row>
    <row r="140" spans="1:22" ht="13.5" thickBot="1">
      <c r="A140" s="3477"/>
      <c r="B140" s="3462" t="s">
        <v>335</v>
      </c>
      <c r="C140" s="3425"/>
      <c r="D140" s="3426"/>
      <c r="E140" s="3486">
        <f>F140+G140+H140+I140+J140+K140+L140+M140</f>
        <v>17639758</v>
      </c>
      <c r="F140" s="3487">
        <f>'Tab. 6A -Drogi'!E250</f>
        <v>0</v>
      </c>
      <c r="G140" s="3487">
        <f>'Tab. 6A -Drogi'!F250</f>
        <v>1803921</v>
      </c>
      <c r="H140" s="3487">
        <f>'Tab. 6A -Drogi'!G250</f>
        <v>15835837</v>
      </c>
      <c r="I140" s="3487">
        <f>'Tab. 6A -Drogi'!H250</f>
        <v>0</v>
      </c>
      <c r="J140" s="3487">
        <f>'Tab. 6A -Drogi'!I250</f>
        <v>0</v>
      </c>
      <c r="K140" s="3487">
        <f>'Tab. 6A -Drogi'!J250</f>
        <v>0</v>
      </c>
      <c r="L140" s="3487">
        <f>'Tab. 6A -Drogi'!K250</f>
        <v>0</v>
      </c>
      <c r="M140" s="3487">
        <f>'Tab. 6A -Drogi'!L250</f>
        <v>0</v>
      </c>
      <c r="N140" s="3428"/>
      <c r="O140" s="3428"/>
      <c r="P140" s="3428"/>
      <c r="Q140" s="3428"/>
      <c r="R140" s="3429"/>
      <c r="S140" s="3429"/>
      <c r="T140" s="3429"/>
      <c r="U140" s="3429"/>
      <c r="V140" s="3429"/>
    </row>
    <row r="141" spans="1:22" ht="53.25" customHeight="1" thickBot="1">
      <c r="A141" s="4546" t="s">
        <v>293</v>
      </c>
      <c r="B141" s="3473" t="str">
        <f>'Tab. 6B Polit społ i rozwój prz'!B147</f>
        <v>Wzmocnienie pozycji regionalnej gospodarki, Pomorze Zachodnie - Ster na innowacje w ramach osi I RPO WZ - wydatki majątkowe (2017-2020)</v>
      </c>
      <c r="C141" s="3399" t="s">
        <v>607</v>
      </c>
      <c r="D141" s="3440">
        <f>E144/E142%</f>
        <v>100</v>
      </c>
      <c r="E141" s="3464"/>
      <c r="F141" s="3465"/>
      <c r="G141" s="3466"/>
      <c r="H141" s="3465"/>
      <c r="I141" s="3465"/>
      <c r="J141" s="3465"/>
      <c r="K141" s="3465"/>
      <c r="L141" s="3465"/>
      <c r="M141" s="3465"/>
      <c r="N141" s="3465"/>
      <c r="O141" s="3465"/>
      <c r="P141" s="3465"/>
      <c r="Q141" s="3465"/>
      <c r="R141" s="3467"/>
      <c r="S141" s="3468"/>
      <c r="T141" s="3468"/>
      <c r="U141" s="3468"/>
      <c r="V141" s="3468"/>
    </row>
    <row r="142" spans="1:22" ht="13.5" thickTop="1">
      <c r="A142" s="4547"/>
      <c r="B142" s="3479" t="s">
        <v>205</v>
      </c>
      <c r="C142" s="3407"/>
      <c r="D142" s="3408"/>
      <c r="E142" s="3480">
        <f>+F142+G142+H142+I142+J142+K142+L142+M142</f>
        <v>35876</v>
      </c>
      <c r="F142" s="3481"/>
      <c r="G142" s="3481">
        <f>'Tab. 6B Polit społ i rozwój prz'!F148</f>
        <v>8753</v>
      </c>
      <c r="H142" s="3481">
        <f>'Tab. 6B Polit społ i rozwój prz'!G148</f>
        <v>27123</v>
      </c>
      <c r="I142" s="3481">
        <f>'Tab. 6B Polit społ i rozwój prz'!H148</f>
        <v>0</v>
      </c>
      <c r="J142" s="3481">
        <f>'Tab. 6B Polit społ i rozwój prz'!I148</f>
        <v>0</v>
      </c>
      <c r="K142" s="3481">
        <f>'Tab. 6B Polit społ i rozwój prz'!J148</f>
        <v>0</v>
      </c>
      <c r="L142" s="3481">
        <f>'Tab. 6B Polit społ i rozwój prz'!K148</f>
        <v>0</v>
      </c>
      <c r="M142" s="3481">
        <f>'Tab. 6B Polit społ i rozwój prz'!L148</f>
        <v>0</v>
      </c>
      <c r="N142" s="3410"/>
      <c r="O142" s="3410"/>
      <c r="P142" s="3410"/>
      <c r="Q142" s="3410"/>
      <c r="R142" s="3411"/>
      <c r="S142" s="3412"/>
      <c r="T142" s="3412"/>
      <c r="U142" s="3412"/>
      <c r="V142" s="3412"/>
    </row>
    <row r="143" spans="1:22" ht="16.5" customHeight="1">
      <c r="A143" s="4547"/>
      <c r="B143" s="3165" t="s">
        <v>206</v>
      </c>
      <c r="C143" s="2794"/>
      <c r="D143" s="3414"/>
      <c r="E143" s="3176">
        <f>+F143+G143+H143+I143+J143+K143+L143+M143</f>
        <v>0</v>
      </c>
      <c r="F143" s="3482"/>
      <c r="G143" s="3482"/>
      <c r="H143" s="3482"/>
      <c r="I143" s="3482"/>
      <c r="J143" s="3482"/>
      <c r="K143" s="3482"/>
      <c r="L143" s="3482"/>
      <c r="M143" s="3482"/>
      <c r="N143" s="3415"/>
      <c r="O143" s="3415"/>
      <c r="P143" s="3415"/>
      <c r="Q143" s="3415"/>
      <c r="R143" s="3416"/>
      <c r="S143" s="3416"/>
      <c r="T143" s="3416"/>
      <c r="U143" s="3416"/>
      <c r="V143" s="3416"/>
    </row>
    <row r="144" spans="1:22" ht="13.5" customHeight="1" thickBot="1">
      <c r="A144" s="4548"/>
      <c r="B144" s="3483" t="s">
        <v>207</v>
      </c>
      <c r="C144" s="3430">
        <f>E144-E145</f>
        <v>0</v>
      </c>
      <c r="D144" s="3419"/>
      <c r="E144" s="3484">
        <f>+F144+G144+H144+I144+J144+K144+L144+M144</f>
        <v>35876</v>
      </c>
      <c r="F144" s="3485"/>
      <c r="G144" s="3485">
        <f>'Tab. 6B Polit społ i rozwój prz'!F150</f>
        <v>8753</v>
      </c>
      <c r="H144" s="3485">
        <f>'Tab. 6B Polit społ i rozwój prz'!G150</f>
        <v>27123</v>
      </c>
      <c r="I144" s="3485">
        <f>'Tab. 6B Polit społ i rozwój prz'!H150</f>
        <v>0</v>
      </c>
      <c r="J144" s="3485">
        <f>'Tab. 6B Polit społ i rozwój prz'!I150</f>
        <v>0</v>
      </c>
      <c r="K144" s="3485">
        <f>'Tab. 6B Polit społ i rozwój prz'!J150</f>
        <v>0</v>
      </c>
      <c r="L144" s="3485">
        <f>'Tab. 6B Polit społ i rozwój prz'!K150</f>
        <v>0</v>
      </c>
      <c r="M144" s="3485">
        <f>'Tab. 6B Polit społ i rozwój prz'!L150</f>
        <v>0</v>
      </c>
      <c r="N144" s="3421"/>
      <c r="O144" s="3421"/>
      <c r="P144" s="3421"/>
      <c r="Q144" s="3421"/>
      <c r="R144" s="3422"/>
      <c r="S144" s="3454"/>
      <c r="T144" s="3454"/>
      <c r="U144" s="3454"/>
      <c r="V144" s="3454"/>
    </row>
    <row r="145" spans="1:22" ht="13.5" thickBot="1">
      <c r="A145" s="3477"/>
      <c r="B145" s="3462" t="s">
        <v>335</v>
      </c>
      <c r="C145" s="3425"/>
      <c r="D145" s="3426"/>
      <c r="E145" s="3486">
        <f>F145+G145+H145+I145+J145+K145+L145+M145</f>
        <v>35876</v>
      </c>
      <c r="F145" s="3487"/>
      <c r="G145" s="3487">
        <f>'Tab. 6B Polit społ i rozwój prz'!F155</f>
        <v>0</v>
      </c>
      <c r="H145" s="3487">
        <f>'Tab. 6B Polit społ i rozwój prz'!G155</f>
        <v>35876</v>
      </c>
      <c r="I145" s="3487">
        <f>'Tab. 6B Polit społ i rozwój prz'!H155</f>
        <v>0</v>
      </c>
      <c r="J145" s="3487">
        <f>'Tab. 6B Polit społ i rozwój prz'!I155</f>
        <v>0</v>
      </c>
      <c r="K145" s="3487">
        <f>'Tab. 6B Polit społ i rozwój prz'!J155</f>
        <v>0</v>
      </c>
      <c r="L145" s="3487">
        <f>'Tab. 6B Polit społ i rozwój prz'!K155</f>
        <v>0</v>
      </c>
      <c r="M145" s="3487">
        <f>'Tab. 6B Polit społ i rozwój prz'!L155</f>
        <v>0</v>
      </c>
      <c r="N145" s="3428"/>
      <c r="O145" s="3428"/>
      <c r="P145" s="3428"/>
      <c r="Q145" s="3428"/>
      <c r="R145" s="3429"/>
      <c r="S145" s="3429"/>
      <c r="T145" s="3429"/>
      <c r="U145" s="3429"/>
      <c r="V145" s="3429"/>
    </row>
    <row r="146" spans="1:22" ht="32.25" customHeight="1" thickBot="1">
      <c r="A146" s="4546" t="s">
        <v>574</v>
      </c>
      <c r="B146" s="3473" t="str">
        <f>'Tab. 6B Polit społ i rozwój prz'!B175</f>
        <v>Dobre Wsparcie - system lokalnych usług społecznych w ramach działania 7.6 RPO WZ - wydatki majątkowe (2018-2019)</v>
      </c>
      <c r="C146" s="3474" t="s">
        <v>646</v>
      </c>
      <c r="D146" s="3440">
        <f>E149/E147%</f>
        <v>85</v>
      </c>
      <c r="E146" s="3464"/>
      <c r="F146" s="3465"/>
      <c r="G146" s="3466"/>
      <c r="H146" s="3465"/>
      <c r="I146" s="3465"/>
      <c r="J146" s="3465"/>
      <c r="K146" s="3465"/>
      <c r="L146" s="3465"/>
      <c r="M146" s="3465"/>
      <c r="N146" s="3465"/>
      <c r="O146" s="3465"/>
      <c r="P146" s="3465"/>
      <c r="Q146" s="3465"/>
      <c r="R146" s="3467"/>
      <c r="S146" s="3468"/>
      <c r="T146" s="3468"/>
      <c r="U146" s="3468"/>
      <c r="V146" s="3468"/>
    </row>
    <row r="147" spans="1:22" ht="13.5" thickTop="1">
      <c r="A147" s="4547"/>
      <c r="B147" s="3475" t="s">
        <v>205</v>
      </c>
      <c r="C147" s="3407"/>
      <c r="D147" s="3408"/>
      <c r="E147" s="3409">
        <f>+F147+G147+H147</f>
        <v>59500</v>
      </c>
      <c r="F147" s="3410">
        <f>'Tab. 6B Polit społ i rozwój prz'!E176</f>
        <v>0</v>
      </c>
      <c r="G147" s="3410">
        <f>'Tab. 6B Polit społ i rozwój prz'!F176</f>
        <v>0</v>
      </c>
      <c r="H147" s="3410">
        <f>'Tab. 6B Polit społ i rozwój prz'!G176</f>
        <v>59500</v>
      </c>
      <c r="I147" s="3410">
        <f>'Tab. 6B Polit społ i rozwój prz'!H176</f>
        <v>0</v>
      </c>
      <c r="J147" s="3410">
        <f>'Tab. 6B Polit społ i rozwój prz'!I176</f>
        <v>0</v>
      </c>
      <c r="K147" s="3410">
        <f>'Tab. 6B Polit społ i rozwój prz'!J176</f>
        <v>0</v>
      </c>
      <c r="L147" s="3410">
        <f>'Tab. 6B Polit społ i rozwój prz'!K176</f>
        <v>0</v>
      </c>
      <c r="M147" s="3410">
        <f>'Tab. 6B Polit społ i rozwój prz'!L176</f>
        <v>0</v>
      </c>
      <c r="N147" s="3410"/>
      <c r="O147" s="3410"/>
      <c r="P147" s="3410"/>
      <c r="Q147" s="3410"/>
      <c r="R147" s="3411"/>
      <c r="S147" s="3412"/>
      <c r="T147" s="3412"/>
      <c r="U147" s="3412"/>
      <c r="V147" s="3412"/>
    </row>
    <row r="148" spans="1:22" ht="15" customHeight="1">
      <c r="A148" s="4547"/>
      <c r="B148" s="2802" t="s">
        <v>206</v>
      </c>
      <c r="C148" s="2794"/>
      <c r="D148" s="3414"/>
      <c r="E148" s="3175">
        <f>+F148+G148+H148</f>
        <v>8925</v>
      </c>
      <c r="F148" s="3415">
        <f>'Tab. 6B Polit społ i rozwój prz'!E177</f>
        <v>0</v>
      </c>
      <c r="G148" s="3415">
        <f>'Tab. 6B Polit społ i rozwój prz'!F177</f>
        <v>0</v>
      </c>
      <c r="H148" s="3415">
        <f>'Tab. 6B Polit społ i rozwój prz'!G177</f>
        <v>8925</v>
      </c>
      <c r="I148" s="3415">
        <f>'Tab. 6B Polit społ i rozwój prz'!H177</f>
        <v>0</v>
      </c>
      <c r="J148" s="3415">
        <f>'Tab. 6B Polit społ i rozwój prz'!I177</f>
        <v>0</v>
      </c>
      <c r="K148" s="3415">
        <f>'Tab. 6B Polit społ i rozwój prz'!J177</f>
        <v>0</v>
      </c>
      <c r="L148" s="3415">
        <f>'Tab. 6B Polit społ i rozwój prz'!K177</f>
        <v>0</v>
      </c>
      <c r="M148" s="3415">
        <f>'Tab. 6B Polit społ i rozwój prz'!L177</f>
        <v>0</v>
      </c>
      <c r="N148" s="3415"/>
      <c r="O148" s="3415"/>
      <c r="P148" s="3415"/>
      <c r="Q148" s="3415"/>
      <c r="R148" s="3416"/>
      <c r="S148" s="3416"/>
      <c r="T148" s="3416"/>
      <c r="U148" s="3416"/>
      <c r="V148" s="3416"/>
    </row>
    <row r="149" spans="1:22" ht="13.5" customHeight="1" thickBot="1">
      <c r="A149" s="4548"/>
      <c r="B149" s="3488" t="s">
        <v>207</v>
      </c>
      <c r="C149" s="3430">
        <f>E149-E150</f>
        <v>0</v>
      </c>
      <c r="D149" s="3489"/>
      <c r="E149" s="3490">
        <f>+F149+G149+H149</f>
        <v>50575</v>
      </c>
      <c r="F149" s="3491">
        <f>'Tab. 6B Polit społ i rozwój prz'!E181</f>
        <v>0</v>
      </c>
      <c r="G149" s="3491">
        <f>'Tab. 6B Polit społ i rozwój prz'!F181</f>
        <v>0</v>
      </c>
      <c r="H149" s="3491">
        <f>'Tab. 6B Polit społ i rozwój prz'!G181</f>
        <v>50575</v>
      </c>
      <c r="I149" s="3491">
        <f>'Tab. 6B Polit społ i rozwój prz'!H181</f>
        <v>0</v>
      </c>
      <c r="J149" s="3491">
        <f>'Tab. 6B Polit społ i rozwój prz'!I181</f>
        <v>0</v>
      </c>
      <c r="K149" s="3491">
        <f>'Tab. 6B Polit społ i rozwój prz'!J181</f>
        <v>0</v>
      </c>
      <c r="L149" s="3491">
        <f>'Tab. 6B Polit społ i rozwój prz'!K181</f>
        <v>0</v>
      </c>
      <c r="M149" s="3491">
        <f>'Tab. 6B Polit społ i rozwój prz'!L181</f>
        <v>0</v>
      </c>
      <c r="N149" s="3491"/>
      <c r="O149" s="3491"/>
      <c r="P149" s="3491"/>
      <c r="Q149" s="3491"/>
      <c r="R149" s="3492"/>
      <c r="S149" s="3423"/>
      <c r="T149" s="3423"/>
      <c r="U149" s="3423"/>
      <c r="V149" s="3454"/>
    </row>
    <row r="150" spans="1:22" ht="13.5" thickBot="1">
      <c r="A150" s="3493"/>
      <c r="B150" s="3494" t="s">
        <v>335</v>
      </c>
      <c r="C150" s="3436"/>
      <c r="D150" s="3437"/>
      <c r="E150" s="3495">
        <f>F150+G150+H150+I150+J150+K150+L150+M150</f>
        <v>50575</v>
      </c>
      <c r="F150" s="3496">
        <f>'Tab. 6B Polit społ i rozwój prz'!E185</f>
        <v>0</v>
      </c>
      <c r="G150" s="3496">
        <f>'Tab. 6B Polit społ i rozwój prz'!F185</f>
        <v>0</v>
      </c>
      <c r="H150" s="3496">
        <f>'Tab. 6B Polit społ i rozwój prz'!G185</f>
        <v>50575</v>
      </c>
      <c r="I150" s="3496">
        <f>'Tab. 6B Polit społ i rozwój prz'!H185</f>
        <v>0</v>
      </c>
      <c r="J150" s="3496">
        <f>'Tab. 6B Polit społ i rozwój prz'!I185</f>
        <v>0</v>
      </c>
      <c r="K150" s="3496">
        <f>'Tab. 6B Polit społ i rozwój prz'!J185</f>
        <v>0</v>
      </c>
      <c r="L150" s="3496">
        <f>'Tab. 6B Polit społ i rozwój prz'!K185</f>
        <v>0</v>
      </c>
      <c r="M150" s="3496">
        <f>'Tab. 6B Polit społ i rozwój prz'!L185</f>
        <v>0</v>
      </c>
      <c r="N150" s="3497"/>
      <c r="O150" s="3497"/>
      <c r="P150" s="3497"/>
      <c r="Q150" s="3497"/>
      <c r="R150" s="3498"/>
      <c r="S150" s="3498"/>
      <c r="T150" s="3498"/>
      <c r="U150" s="3498"/>
      <c r="V150" s="3429"/>
    </row>
    <row r="151" spans="1:22" ht="28.5" customHeight="1" thickBot="1">
      <c r="A151" s="4546" t="s">
        <v>640</v>
      </c>
      <c r="B151" s="3473" t="str">
        <f>'Tab. 6B Polit społ i rozwój prz'!B253</f>
        <v>Nawigator Samodzielności w ramach działania 7.6 RPO WZ - wydatki majątkowe (2018 - 2020)</v>
      </c>
      <c r="C151" s="3499" t="s">
        <v>644</v>
      </c>
      <c r="D151" s="3440">
        <f>E154/E152%</f>
        <v>97.149940119314351</v>
      </c>
      <c r="E151" s="3464"/>
      <c r="F151" s="3465"/>
      <c r="G151" s="3466"/>
      <c r="H151" s="3465"/>
      <c r="I151" s="3465"/>
      <c r="J151" s="3465"/>
      <c r="K151" s="3465"/>
      <c r="L151" s="3465"/>
      <c r="M151" s="3465"/>
      <c r="N151" s="3465"/>
      <c r="O151" s="3465"/>
      <c r="P151" s="3465"/>
      <c r="Q151" s="3465"/>
      <c r="R151" s="3467"/>
      <c r="S151" s="3468"/>
      <c r="T151" s="3468"/>
      <c r="U151" s="3468"/>
      <c r="V151" s="3468"/>
    </row>
    <row r="152" spans="1:22" ht="15.75" customHeight="1" thickTop="1">
      <c r="A152" s="4547"/>
      <c r="B152" s="3475" t="s">
        <v>205</v>
      </c>
      <c r="C152" s="3407"/>
      <c r="D152" s="3408"/>
      <c r="E152" s="3409">
        <f>+F152+G152+H152</f>
        <v>536901</v>
      </c>
      <c r="F152" s="3410">
        <f>'Tab. 6B Polit społ i rozwój prz'!E254</f>
        <v>0</v>
      </c>
      <c r="G152" s="3410">
        <f>'Tab. 6B Polit społ i rozwój prz'!F254</f>
        <v>0</v>
      </c>
      <c r="H152" s="3410">
        <f>'Tab. 6B Polit społ i rozwój prz'!G254</f>
        <v>536901</v>
      </c>
      <c r="I152" s="3410">
        <f>'Tab. 6B Polit społ i rozwój prz'!H254</f>
        <v>0</v>
      </c>
      <c r="J152" s="3410">
        <f>'Tab. 6B Polit społ i rozwój prz'!I254</f>
        <v>0</v>
      </c>
      <c r="K152" s="3410">
        <f>'Tab. 6B Polit społ i rozwój prz'!J254</f>
        <v>0</v>
      </c>
      <c r="L152" s="3410">
        <f>'Tab. 6B Polit społ i rozwój prz'!K254</f>
        <v>0</v>
      </c>
      <c r="M152" s="3410">
        <f>'Tab. 6B Polit społ i rozwój prz'!L254</f>
        <v>0</v>
      </c>
      <c r="N152" s="3410"/>
      <c r="O152" s="3410"/>
      <c r="P152" s="3410"/>
      <c r="Q152" s="3410"/>
      <c r="R152" s="3411"/>
      <c r="S152" s="3412"/>
      <c r="T152" s="3412"/>
      <c r="U152" s="3412"/>
      <c r="V152" s="3412"/>
    </row>
    <row r="153" spans="1:22" ht="15.75" customHeight="1">
      <c r="A153" s="4547"/>
      <c r="B153" s="2802" t="s">
        <v>206</v>
      </c>
      <c r="C153" s="2794"/>
      <c r="D153" s="3414"/>
      <c r="E153" s="3175">
        <f>+F153+G153+H153</f>
        <v>15302</v>
      </c>
      <c r="F153" s="3415">
        <f>'Tab. 6B Polit społ i rozwój prz'!E255</f>
        <v>0</v>
      </c>
      <c r="G153" s="3415">
        <f>'Tab. 6B Polit społ i rozwój prz'!F255</f>
        <v>0</v>
      </c>
      <c r="H153" s="3415">
        <f>'Tab. 6B Polit społ i rozwój prz'!G255</f>
        <v>15302</v>
      </c>
      <c r="I153" s="3415">
        <f>'Tab. 6B Polit społ i rozwój prz'!H255</f>
        <v>0</v>
      </c>
      <c r="J153" s="3415">
        <f>'Tab. 6B Polit społ i rozwój prz'!I255</f>
        <v>0</v>
      </c>
      <c r="K153" s="3415">
        <f>'Tab. 6B Polit społ i rozwój prz'!J255</f>
        <v>0</v>
      </c>
      <c r="L153" s="3415">
        <f>'Tab. 6B Polit społ i rozwój prz'!K255</f>
        <v>0</v>
      </c>
      <c r="M153" s="3415">
        <f>'Tab. 6B Polit społ i rozwój prz'!L255</f>
        <v>0</v>
      </c>
      <c r="N153" s="3415"/>
      <c r="O153" s="3415"/>
      <c r="P153" s="3415"/>
      <c r="Q153" s="3415"/>
      <c r="R153" s="3416"/>
      <c r="S153" s="3416"/>
      <c r="T153" s="3416"/>
      <c r="U153" s="3416"/>
      <c r="V153" s="3416"/>
    </row>
    <row r="154" spans="1:22" ht="14.25" customHeight="1" thickBot="1">
      <c r="A154" s="4548"/>
      <c r="B154" s="3488" t="s">
        <v>207</v>
      </c>
      <c r="C154" s="3430">
        <f>E154-E155</f>
        <v>0</v>
      </c>
      <c r="D154" s="3489"/>
      <c r="E154" s="3490">
        <f>+F154+G154+H154</f>
        <v>521599</v>
      </c>
      <c r="F154" s="3491">
        <f>'Tab. 6B Polit społ i rozwój prz'!E257</f>
        <v>0</v>
      </c>
      <c r="G154" s="3491">
        <f>'Tab. 6B Polit społ i rozwój prz'!F257</f>
        <v>0</v>
      </c>
      <c r="H154" s="3491">
        <f>'Tab. 6B Polit społ i rozwój prz'!G257</f>
        <v>521599</v>
      </c>
      <c r="I154" s="3491">
        <f>'Tab. 6B Polit społ i rozwój prz'!H257</f>
        <v>0</v>
      </c>
      <c r="J154" s="3491">
        <f>'Tab. 6B Polit społ i rozwój prz'!I257</f>
        <v>0</v>
      </c>
      <c r="K154" s="3491">
        <f>'Tab. 6B Polit społ i rozwój prz'!J257</f>
        <v>0</v>
      </c>
      <c r="L154" s="3491">
        <f>'Tab. 6B Polit społ i rozwój prz'!K257</f>
        <v>0</v>
      </c>
      <c r="M154" s="3491">
        <f>'Tab. 6B Polit społ i rozwój prz'!L257</f>
        <v>0</v>
      </c>
      <c r="N154" s="3491"/>
      <c r="O154" s="3491"/>
      <c r="P154" s="3491"/>
      <c r="Q154" s="3491"/>
      <c r="R154" s="3492"/>
      <c r="S154" s="3423"/>
      <c r="T154" s="3423"/>
      <c r="U154" s="3423"/>
      <c r="V154" s="3454"/>
    </row>
    <row r="155" spans="1:22" ht="13.5" thickBot="1">
      <c r="A155" s="3493"/>
      <c r="B155" s="3494" t="s">
        <v>335</v>
      </c>
      <c r="C155" s="3436"/>
      <c r="D155" s="3437"/>
      <c r="E155" s="3495">
        <f>F155+G155+H155+I155+J155+K155+L155+M155</f>
        <v>521599</v>
      </c>
      <c r="F155" s="3496">
        <f>'Tab. 6B Polit społ i rozwój prz'!E262</f>
        <v>0</v>
      </c>
      <c r="G155" s="3496">
        <f>'Tab. 6B Polit społ i rozwój prz'!F262</f>
        <v>0</v>
      </c>
      <c r="H155" s="3496">
        <f>'Tab. 6B Polit społ i rozwój prz'!G262</f>
        <v>521599</v>
      </c>
      <c r="I155" s="3496">
        <f>'Tab. 6B Polit społ i rozwój prz'!H262</f>
        <v>0</v>
      </c>
      <c r="J155" s="3496">
        <f>'Tab. 6B Polit społ i rozwój prz'!I262</f>
        <v>0</v>
      </c>
      <c r="K155" s="3496">
        <f>'Tab. 6B Polit społ i rozwój prz'!J262</f>
        <v>0</v>
      </c>
      <c r="L155" s="3496">
        <f>'Tab. 6B Polit społ i rozwój prz'!K262</f>
        <v>0</v>
      </c>
      <c r="M155" s="3496">
        <f>'Tab. 6B Polit społ i rozwój prz'!L262</f>
        <v>0</v>
      </c>
      <c r="N155" s="3497"/>
      <c r="O155" s="3497"/>
      <c r="P155" s="3497"/>
      <c r="Q155" s="3497"/>
      <c r="R155" s="3498"/>
      <c r="S155" s="3498"/>
      <c r="T155" s="3498"/>
      <c r="U155" s="3498"/>
      <c r="V155" s="3429"/>
    </row>
    <row r="156" spans="1:22" ht="39.75" customHeight="1" thickBot="1">
      <c r="A156" s="4546" t="s">
        <v>643</v>
      </c>
      <c r="B156" s="3473" t="str">
        <f>'Tab. 6A -Drogi'!B362</f>
        <v>Przebudowa i rozbudowa przejścia drogi wojewódzkiej nr 120 przez m. Wełtyń w ramach PW INTERREG V A (2016-2018)</v>
      </c>
      <c r="C156" s="3500" t="s">
        <v>667</v>
      </c>
      <c r="D156" s="3501">
        <f>E159/E157%</f>
        <v>58.846153846153847</v>
      </c>
      <c r="E156" s="3464"/>
      <c r="F156" s="3465"/>
      <c r="G156" s="3466"/>
      <c r="H156" s="3465"/>
      <c r="I156" s="3465"/>
      <c r="J156" s="3465"/>
      <c r="K156" s="3465"/>
      <c r="L156" s="3465"/>
      <c r="M156" s="3465"/>
      <c r="N156" s="3465"/>
      <c r="O156" s="3465"/>
      <c r="P156" s="3465"/>
      <c r="Q156" s="3465"/>
      <c r="R156" s="3467"/>
      <c r="S156" s="3468"/>
      <c r="T156" s="3468"/>
      <c r="U156" s="3468"/>
      <c r="V156" s="3468"/>
    </row>
    <row r="157" spans="1:22" ht="15.75" customHeight="1" thickTop="1">
      <c r="A157" s="4547"/>
      <c r="B157" s="3475" t="s">
        <v>205</v>
      </c>
      <c r="C157" s="3407"/>
      <c r="D157" s="3408"/>
      <c r="E157" s="3409">
        <f>+F157+G157+H157</f>
        <v>13000000</v>
      </c>
      <c r="F157" s="3410">
        <f>'Tab. 6A -Drogi'!E363</f>
        <v>20256</v>
      </c>
      <c r="G157" s="3410">
        <f>'Tab. 6A -Drogi'!F363</f>
        <v>7431430</v>
      </c>
      <c r="H157" s="3410">
        <f>'Tab. 6A -Drogi'!G363</f>
        <v>5548314</v>
      </c>
      <c r="I157" s="3410">
        <f>'Tab. 6A -Drogi'!H363</f>
        <v>0</v>
      </c>
      <c r="J157" s="3410">
        <f>'Tab. 6A -Drogi'!I363</f>
        <v>0</v>
      </c>
      <c r="K157" s="3410">
        <f>'Tab. 6A -Drogi'!J363</f>
        <v>0</v>
      </c>
      <c r="L157" s="3410">
        <f>'Tab. 6A -Drogi'!K363</f>
        <v>0</v>
      </c>
      <c r="M157" s="3410">
        <f>'Tab. 6A -Drogi'!L363</f>
        <v>0</v>
      </c>
      <c r="N157" s="3410"/>
      <c r="O157" s="3410"/>
      <c r="P157" s="3410"/>
      <c r="Q157" s="3410"/>
      <c r="R157" s="3411"/>
      <c r="S157" s="3412"/>
      <c r="T157" s="3412"/>
      <c r="U157" s="3412"/>
      <c r="V157" s="3412"/>
    </row>
    <row r="158" spans="1:22" ht="15.75" customHeight="1">
      <c r="A158" s="4547"/>
      <c r="B158" s="2802" t="s">
        <v>206</v>
      </c>
      <c r="C158" s="2794"/>
      <c r="D158" s="3414"/>
      <c r="E158" s="3175">
        <f>+F158+G158+H158</f>
        <v>5350000</v>
      </c>
      <c r="F158" s="3415">
        <f>'Tab. 6A -Drogi'!E364</f>
        <v>20256</v>
      </c>
      <c r="G158" s="3415">
        <f>'Tab. 6A -Drogi'!F364</f>
        <v>1797584</v>
      </c>
      <c r="H158" s="3415">
        <f>'Tab. 6A -Drogi'!G364</f>
        <v>3532160</v>
      </c>
      <c r="I158" s="3415">
        <f>'Tab. 6A -Drogi'!H364</f>
        <v>0</v>
      </c>
      <c r="J158" s="3415">
        <f>'Tab. 6A -Drogi'!I364</f>
        <v>0</v>
      </c>
      <c r="K158" s="3415">
        <f>'Tab. 6A -Drogi'!J364</f>
        <v>0</v>
      </c>
      <c r="L158" s="3415">
        <f>'Tab. 6A -Drogi'!K364</f>
        <v>0</v>
      </c>
      <c r="M158" s="3415">
        <f>'Tab. 6A -Drogi'!L364</f>
        <v>0</v>
      </c>
      <c r="N158" s="3415"/>
      <c r="O158" s="3415"/>
      <c r="P158" s="3415"/>
      <c r="Q158" s="3415"/>
      <c r="R158" s="3416"/>
      <c r="S158" s="3416"/>
      <c r="T158" s="3416"/>
      <c r="U158" s="3416"/>
      <c r="V158" s="3416"/>
    </row>
    <row r="159" spans="1:22" ht="14.25" customHeight="1" thickBot="1">
      <c r="A159" s="4548"/>
      <c r="B159" s="3488" t="s">
        <v>207</v>
      </c>
      <c r="C159" s="3430">
        <f>E159-E160</f>
        <v>0</v>
      </c>
      <c r="D159" s="3489"/>
      <c r="E159" s="3490">
        <f>+F159+G159+H159+I159+J159</f>
        <v>7650000</v>
      </c>
      <c r="F159" s="3491">
        <f>'Tab. 6A -Drogi'!E366</f>
        <v>0</v>
      </c>
      <c r="G159" s="3491">
        <f>'Tab. 6A -Drogi'!F366</f>
        <v>5633846</v>
      </c>
      <c r="H159" s="3491">
        <f>'Tab. 6A -Drogi'!G366</f>
        <v>2016154</v>
      </c>
      <c r="I159" s="3491">
        <f>'Tab. 6A -Drogi'!H366</f>
        <v>0</v>
      </c>
      <c r="J159" s="3491">
        <f>'Tab. 6A -Drogi'!I366</f>
        <v>0</v>
      </c>
      <c r="K159" s="3491">
        <f>'Tab. 6A -Drogi'!J366</f>
        <v>0</v>
      </c>
      <c r="L159" s="3491">
        <f>'Tab. 6A -Drogi'!K366</f>
        <v>0</v>
      </c>
      <c r="M159" s="3491">
        <f>'Tab. 6A -Drogi'!L366</f>
        <v>0</v>
      </c>
      <c r="N159" s="3491"/>
      <c r="O159" s="3491"/>
      <c r="P159" s="3491"/>
      <c r="Q159" s="3491"/>
      <c r="R159" s="3492"/>
      <c r="S159" s="3423"/>
      <c r="T159" s="3423"/>
      <c r="U159" s="3423"/>
      <c r="V159" s="3454"/>
    </row>
    <row r="160" spans="1:22" ht="13.5" thickBot="1">
      <c r="A160" s="3493"/>
      <c r="B160" s="3494" t="s">
        <v>335</v>
      </c>
      <c r="C160" s="3436"/>
      <c r="D160" s="3437"/>
      <c r="E160" s="3495">
        <f>F160+G160+H160+I160+J160+K160+L160+M160</f>
        <v>7650000</v>
      </c>
      <c r="F160" s="3496">
        <f>'Tab. 6A -Drogi'!E369</f>
        <v>0</v>
      </c>
      <c r="G160" s="3496">
        <f>'Tab. 6A -Drogi'!F369</f>
        <v>0</v>
      </c>
      <c r="H160" s="3496">
        <f>'Tab. 6A -Drogi'!G369</f>
        <v>6007058</v>
      </c>
      <c r="I160" s="3496">
        <f>'Tab. 6A -Drogi'!H369</f>
        <v>1642942</v>
      </c>
      <c r="J160" s="3496">
        <f>'Tab. 6A -Drogi'!I369</f>
        <v>0</v>
      </c>
      <c r="K160" s="3496">
        <f>'Tab. 6A -Drogi'!J369</f>
        <v>0</v>
      </c>
      <c r="L160" s="3496">
        <f>'Tab. 6A -Drogi'!K369</f>
        <v>0</v>
      </c>
      <c r="M160" s="3496">
        <f>'Tab. 6A -Drogi'!L369</f>
        <v>0</v>
      </c>
      <c r="N160" s="3497"/>
      <c r="O160" s="3497"/>
      <c r="P160" s="3497"/>
      <c r="Q160" s="3497"/>
      <c r="R160" s="3498"/>
      <c r="S160" s="3498"/>
      <c r="T160" s="3498"/>
      <c r="U160" s="3498"/>
      <c r="V160" s="3429"/>
    </row>
    <row r="161" spans="1:22" ht="48" customHeight="1" thickBot="1">
      <c r="A161" s="4546" t="s">
        <v>645</v>
      </c>
      <c r="B161" s="3473" t="str">
        <f>'Tab. 6A -Drogi'!B371</f>
        <v>Przebudowa i rozbudowa przejścia drogowego przez m. Tanowo na drodze woj. Nr 115 w ramach PW INTERREG V A (2010-2019)</v>
      </c>
      <c r="C161" s="3499" t="s">
        <v>667</v>
      </c>
      <c r="D161" s="3440">
        <f>E164/E162%</f>
        <v>200.80632336570801</v>
      </c>
      <c r="E161" s="3464"/>
      <c r="F161" s="3465"/>
      <c r="G161" s="3466"/>
      <c r="H161" s="3465"/>
      <c r="I161" s="3465"/>
      <c r="J161" s="3465"/>
      <c r="K161" s="3465"/>
      <c r="L161" s="3465"/>
      <c r="M161" s="3465"/>
      <c r="N161" s="3465"/>
      <c r="O161" s="3465"/>
      <c r="P161" s="3465"/>
      <c r="Q161" s="3465"/>
      <c r="R161" s="3467"/>
      <c r="S161" s="3468"/>
      <c r="T161" s="3468"/>
      <c r="U161" s="3468"/>
      <c r="V161" s="3468"/>
    </row>
    <row r="162" spans="1:22" ht="15.75" customHeight="1" thickTop="1">
      <c r="A162" s="4547"/>
      <c r="B162" s="3475" t="s">
        <v>205</v>
      </c>
      <c r="C162" s="3407"/>
      <c r="D162" s="3408"/>
      <c r="E162" s="3409">
        <f>+F162+G162+H162</f>
        <v>3395660</v>
      </c>
      <c r="F162" s="3410">
        <f>'Tab. 6A -Drogi'!E372</f>
        <v>395660</v>
      </c>
      <c r="G162" s="3410">
        <f>'Tab. 6A -Drogi'!F372</f>
        <v>0</v>
      </c>
      <c r="H162" s="3410">
        <f>'Tab. 6A -Drogi'!G372</f>
        <v>3000000</v>
      </c>
      <c r="I162" s="3410">
        <f>'Tab. 6A -Drogi'!H372</f>
        <v>9017706</v>
      </c>
      <c r="J162" s="3410">
        <f>'Tab. 6A -Drogi'!I372</f>
        <v>0</v>
      </c>
      <c r="K162" s="3410">
        <f>'Tab. 6A -Drogi'!J372</f>
        <v>0</v>
      </c>
      <c r="L162" s="3410">
        <f>'Tab. 6A -Drogi'!K372</f>
        <v>0</v>
      </c>
      <c r="M162" s="3410">
        <f>'Tab. 6A -Drogi'!L372</f>
        <v>0</v>
      </c>
      <c r="N162" s="3410"/>
      <c r="O162" s="3410"/>
      <c r="P162" s="3410"/>
      <c r="Q162" s="3410"/>
      <c r="R162" s="3411"/>
      <c r="S162" s="3412"/>
      <c r="T162" s="3412"/>
      <c r="U162" s="3412"/>
      <c r="V162" s="3412"/>
    </row>
    <row r="163" spans="1:22" ht="15.75" customHeight="1">
      <c r="A163" s="4547"/>
      <c r="B163" s="2802" t="s">
        <v>206</v>
      </c>
      <c r="C163" s="2794"/>
      <c r="D163" s="3414"/>
      <c r="E163" s="3175">
        <f>+F163+G163+H163</f>
        <v>845660</v>
      </c>
      <c r="F163" s="3415">
        <f>'Tab. 6A -Drogi'!E373</f>
        <v>395660</v>
      </c>
      <c r="G163" s="3415">
        <f>'Tab. 6A -Drogi'!F373</f>
        <v>0</v>
      </c>
      <c r="H163" s="3415">
        <f>'Tab. 6A -Drogi'!G373</f>
        <v>450000</v>
      </c>
      <c r="I163" s="3415">
        <f>'Tab. 6A -Drogi'!H373</f>
        <v>4749006</v>
      </c>
      <c r="J163" s="3415">
        <f>'Tab. 6A -Drogi'!I373</f>
        <v>0</v>
      </c>
      <c r="K163" s="3415">
        <f>'Tab. 6A -Drogi'!J373</f>
        <v>0</v>
      </c>
      <c r="L163" s="3415">
        <f>'Tab. 6A -Drogi'!K373</f>
        <v>0</v>
      </c>
      <c r="M163" s="3415">
        <f>'Tab. 6A -Drogi'!L373</f>
        <v>0</v>
      </c>
      <c r="N163" s="3415"/>
      <c r="O163" s="3415"/>
      <c r="P163" s="3415"/>
      <c r="Q163" s="3415"/>
      <c r="R163" s="3416"/>
      <c r="S163" s="3416"/>
      <c r="T163" s="3416"/>
      <c r="U163" s="3416"/>
      <c r="V163" s="3416"/>
    </row>
    <row r="164" spans="1:22" ht="14.25" customHeight="1" thickBot="1">
      <c r="A164" s="4548"/>
      <c r="B164" s="3488" t="s">
        <v>207</v>
      </c>
      <c r="C164" s="3430">
        <f>E164-E165</f>
        <v>0</v>
      </c>
      <c r="D164" s="3489"/>
      <c r="E164" s="3490">
        <f>+F164+G164+H164+I164+J164</f>
        <v>6818700</v>
      </c>
      <c r="F164" s="3491">
        <f>'Tab. 6A -Drogi'!E376</f>
        <v>0</v>
      </c>
      <c r="G164" s="3491">
        <f>'Tab. 6A -Drogi'!F376</f>
        <v>0</v>
      </c>
      <c r="H164" s="3491">
        <f>'Tab. 6A -Drogi'!G376</f>
        <v>2550000</v>
      </c>
      <c r="I164" s="3491">
        <f>'Tab. 6A -Drogi'!H376</f>
        <v>4268700</v>
      </c>
      <c r="J164" s="3491">
        <f>'Tab. 6A -Drogi'!I376</f>
        <v>0</v>
      </c>
      <c r="K164" s="3491">
        <f>'Tab. 6A -Drogi'!J376</f>
        <v>0</v>
      </c>
      <c r="L164" s="3491">
        <f>'Tab. 6A -Drogi'!K376</f>
        <v>0</v>
      </c>
      <c r="M164" s="3491">
        <f>'Tab. 6A -Drogi'!L376</f>
        <v>0</v>
      </c>
      <c r="N164" s="3491"/>
      <c r="O164" s="3491"/>
      <c r="P164" s="3491"/>
      <c r="Q164" s="3491"/>
      <c r="R164" s="3492"/>
      <c r="S164" s="3423"/>
      <c r="T164" s="3423"/>
      <c r="U164" s="3423"/>
      <c r="V164" s="3454"/>
    </row>
    <row r="165" spans="1:22" ht="13.5" thickBot="1">
      <c r="A165" s="3493"/>
      <c r="B165" s="3494" t="s">
        <v>335</v>
      </c>
      <c r="C165" s="3436"/>
      <c r="D165" s="3437"/>
      <c r="E165" s="3495">
        <f>F165+G165+H165+I165+J165+K165+L165+M165</f>
        <v>6818700</v>
      </c>
      <c r="F165" s="3496">
        <f>'Tab. 6A -Drogi'!E381</f>
        <v>0</v>
      </c>
      <c r="G165" s="3496">
        <f>'Tab. 6A -Drogi'!F381</f>
        <v>0</v>
      </c>
      <c r="H165" s="3496">
        <f>'Tab. 6A -Drogi'!G381</f>
        <v>0</v>
      </c>
      <c r="I165" s="3496">
        <f>'Tab. 6A -Drogi'!H381</f>
        <v>4091220</v>
      </c>
      <c r="J165" s="3496">
        <f>'Tab. 6A -Drogi'!I381</f>
        <v>2727480</v>
      </c>
      <c r="K165" s="3496">
        <f>'Tab. 6A -Drogi'!J381</f>
        <v>0</v>
      </c>
      <c r="L165" s="3496">
        <f>'Tab. 6A -Drogi'!K381</f>
        <v>0</v>
      </c>
      <c r="M165" s="3496">
        <f>'Tab. 6A -Drogi'!L381</f>
        <v>0</v>
      </c>
      <c r="N165" s="3497"/>
      <c r="O165" s="3497"/>
      <c r="P165" s="3497"/>
      <c r="Q165" s="3497"/>
      <c r="R165" s="3498"/>
      <c r="S165" s="3498"/>
      <c r="T165" s="3498"/>
      <c r="U165" s="3498"/>
      <c r="V165" s="3429"/>
    </row>
    <row r="166" spans="1:22" s="3389" customFormat="1">
      <c r="A166" s="3477"/>
      <c r="B166" s="3502"/>
      <c r="C166" s="3503"/>
      <c r="D166" s="3504"/>
      <c r="E166" s="3505"/>
      <c r="F166" s="3506"/>
      <c r="G166" s="3507"/>
      <c r="H166" s="3506"/>
      <c r="I166" s="3506"/>
      <c r="J166" s="3506"/>
      <c r="K166" s="3507"/>
      <c r="L166" s="3507"/>
      <c r="M166" s="3506"/>
      <c r="N166" s="3508"/>
      <c r="O166" s="3508"/>
      <c r="P166" s="3508"/>
      <c r="Q166" s="3508"/>
      <c r="R166" s="3509"/>
      <c r="S166" s="3509"/>
      <c r="T166" s="3509"/>
      <c r="U166" s="3509"/>
      <c r="V166" s="3509"/>
    </row>
    <row r="167" spans="1:22" s="3389" customFormat="1" ht="30" customHeight="1" thickBot="1">
      <c r="A167" s="3510"/>
      <c r="B167" s="3511" t="s">
        <v>366</v>
      </c>
      <c r="C167" s="3512"/>
      <c r="D167" s="3513"/>
      <c r="E167" s="3514"/>
      <c r="F167" s="3515"/>
      <c r="G167" s="3516"/>
      <c r="H167" s="3517"/>
      <c r="I167" s="3515"/>
      <c r="J167" s="3515"/>
      <c r="K167" s="3518"/>
      <c r="L167" s="3518"/>
      <c r="M167" s="3515"/>
      <c r="N167" s="3518"/>
      <c r="O167" s="3518"/>
      <c r="P167" s="3518"/>
      <c r="Q167" s="3518"/>
      <c r="R167" s="3519"/>
      <c r="S167" s="3519"/>
      <c r="T167" s="3519"/>
      <c r="U167" s="3519"/>
      <c r="V167" s="3519"/>
    </row>
    <row r="168" spans="1:22" ht="14.25">
      <c r="A168" s="4553"/>
      <c r="B168" s="3520"/>
      <c r="C168" s="3399"/>
      <c r="D168" s="3400" t="e">
        <f>E171/E169%</f>
        <v>#DIV/0!</v>
      </c>
      <c r="E168" s="3401"/>
      <c r="F168" s="3402"/>
      <c r="G168" s="3403"/>
      <c r="H168" s="3402"/>
      <c r="I168" s="3402"/>
      <c r="J168" s="3402"/>
      <c r="K168" s="3403"/>
      <c r="L168" s="3403"/>
      <c r="M168" s="3402"/>
      <c r="N168" s="3521"/>
      <c r="O168" s="3521"/>
      <c r="P168" s="3521"/>
      <c r="Q168" s="3521"/>
      <c r="R168" s="3522"/>
      <c r="S168" s="3405"/>
      <c r="T168" s="3405"/>
      <c r="U168" s="3405"/>
      <c r="V168" s="3405"/>
    </row>
    <row r="169" spans="1:22" ht="13.5" customHeight="1">
      <c r="A169" s="4554"/>
      <c r="B169" s="3406" t="s">
        <v>205</v>
      </c>
      <c r="C169" s="3407"/>
      <c r="D169" s="3408"/>
      <c r="E169" s="3409">
        <f>+F169+G169+H169+I169+J169+K169+L169+M169</f>
        <v>0</v>
      </c>
      <c r="F169" s="3410"/>
      <c r="G169" s="3410"/>
      <c r="H169" s="3410"/>
      <c r="I169" s="3410"/>
      <c r="J169" s="3410"/>
      <c r="K169" s="3410"/>
      <c r="L169" s="3410"/>
      <c r="M169" s="3410"/>
      <c r="N169" s="3523"/>
      <c r="O169" s="3523"/>
      <c r="P169" s="3523"/>
      <c r="Q169" s="3523"/>
      <c r="R169" s="3412"/>
      <c r="S169" s="3412"/>
      <c r="T169" s="3412"/>
      <c r="U169" s="3412"/>
      <c r="V169" s="3412"/>
    </row>
    <row r="170" spans="1:22" ht="14.25" customHeight="1">
      <c r="A170" s="4554"/>
      <c r="B170" s="3413" t="s">
        <v>364</v>
      </c>
      <c r="C170" s="2794"/>
      <c r="D170" s="3414"/>
      <c r="E170" s="3175">
        <f>+F170+G170+H170+I170+J170+K170+L170+M170</f>
        <v>0</v>
      </c>
      <c r="F170" s="3415"/>
      <c r="G170" s="3415"/>
      <c r="H170" s="3415"/>
      <c r="I170" s="3415"/>
      <c r="J170" s="3415"/>
      <c r="K170" s="3415"/>
      <c r="L170" s="3415"/>
      <c r="M170" s="3415"/>
      <c r="N170" s="3524"/>
      <c r="O170" s="3524"/>
      <c r="P170" s="3524"/>
      <c r="Q170" s="3524"/>
      <c r="R170" s="3416"/>
      <c r="S170" s="3416"/>
      <c r="T170" s="3416"/>
      <c r="U170" s="3416"/>
      <c r="V170" s="3416"/>
    </row>
    <row r="171" spans="1:22" ht="13.5" thickBot="1">
      <c r="A171" s="4554"/>
      <c r="B171" s="3417" t="s">
        <v>207</v>
      </c>
      <c r="C171" s="3430">
        <f>E171-E172</f>
        <v>0</v>
      </c>
      <c r="D171" s="3419"/>
      <c r="E171" s="3420">
        <f>+F171+G171+H171+I171+J171+K171+L171+M171</f>
        <v>0</v>
      </c>
      <c r="F171" s="3421"/>
      <c r="G171" s="3421"/>
      <c r="H171" s="3421"/>
      <c r="I171" s="3421"/>
      <c r="J171" s="3421"/>
      <c r="K171" s="3421"/>
      <c r="L171" s="3421"/>
      <c r="M171" s="3421"/>
      <c r="N171" s="3525"/>
      <c r="O171" s="3525"/>
      <c r="P171" s="3525"/>
      <c r="Q171" s="3525"/>
      <c r="R171" s="3526"/>
      <c r="S171" s="3423"/>
      <c r="T171" s="3423"/>
      <c r="U171" s="3423"/>
      <c r="V171" s="3423"/>
    </row>
    <row r="172" spans="1:22" ht="17.25" customHeight="1" thickBot="1">
      <c r="A172" s="4555"/>
      <c r="B172" s="3424" t="s">
        <v>335</v>
      </c>
      <c r="C172" s="3425"/>
      <c r="D172" s="3426"/>
      <c r="E172" s="3427">
        <f>F172+G172+H172+I172+J172+K172+L172+M172</f>
        <v>0</v>
      </c>
      <c r="F172" s="3428"/>
      <c r="G172" s="3428"/>
      <c r="H172" s="3428"/>
      <c r="I172" s="3428"/>
      <c r="J172" s="3428"/>
      <c r="K172" s="3428"/>
      <c r="L172" s="3428"/>
      <c r="M172" s="3428"/>
      <c r="N172" s="3527"/>
      <c r="O172" s="3527"/>
      <c r="P172" s="3527"/>
      <c r="Q172" s="3527"/>
      <c r="R172" s="3429"/>
      <c r="S172" s="3429"/>
      <c r="T172" s="3429"/>
      <c r="U172" s="3429"/>
      <c r="V172" s="3429"/>
    </row>
    <row r="173" spans="1:22" ht="14.25">
      <c r="A173" s="4549" t="s">
        <v>229</v>
      </c>
      <c r="B173" s="3398">
        <f>'Tab. 6G - Roln i ochrona środ.'!B32</f>
        <v>0</v>
      </c>
      <c r="C173" s="3399"/>
      <c r="D173" s="3528" t="e">
        <f>E176/E174%</f>
        <v>#DIV/0!</v>
      </c>
      <c r="E173" s="3401"/>
      <c r="F173" s="3402"/>
      <c r="G173" s="3403"/>
      <c r="H173" s="3402"/>
      <c r="I173" s="3402"/>
      <c r="J173" s="3402"/>
      <c r="K173" s="3403"/>
      <c r="L173" s="3403"/>
      <c r="M173" s="3402"/>
      <c r="N173" s="3521"/>
      <c r="O173" s="3521"/>
      <c r="P173" s="3521"/>
      <c r="Q173" s="3521"/>
      <c r="R173" s="3522"/>
      <c r="S173" s="3405"/>
      <c r="T173" s="3405"/>
      <c r="U173" s="3405"/>
      <c r="V173" s="3405"/>
    </row>
    <row r="174" spans="1:22" ht="13.5" customHeight="1">
      <c r="A174" s="4544"/>
      <c r="B174" s="3406" t="s">
        <v>205</v>
      </c>
      <c r="C174" s="3407"/>
      <c r="D174" s="3408"/>
      <c r="E174" s="3409">
        <f>+F174+G174+H174+I174+J174+K174+L174+M174</f>
        <v>0</v>
      </c>
      <c r="F174" s="3410">
        <f>'Tab. 6G - Roln i ochrona środ.'!E33</f>
        <v>0</v>
      </c>
      <c r="G174" s="3410">
        <f>'Tab. 6G - Roln i ochrona środ.'!F33</f>
        <v>0</v>
      </c>
      <c r="H174" s="3410"/>
      <c r="I174" s="3410"/>
      <c r="J174" s="3410"/>
      <c r="K174" s="3410"/>
      <c r="L174" s="3410"/>
      <c r="M174" s="3410"/>
      <c r="N174" s="3523"/>
      <c r="O174" s="3523"/>
      <c r="P174" s="3523"/>
      <c r="Q174" s="3523"/>
      <c r="R174" s="3412"/>
      <c r="S174" s="3412"/>
      <c r="T174" s="3412"/>
      <c r="U174" s="3412"/>
      <c r="V174" s="3412"/>
    </row>
    <row r="175" spans="1:22" ht="24">
      <c r="A175" s="4544"/>
      <c r="B175" s="3413" t="s">
        <v>364</v>
      </c>
      <c r="C175" s="2794"/>
      <c r="D175" s="3414"/>
      <c r="E175" s="3175">
        <f>+F175+G175+H175+I175+J175+K175+L175+M175</f>
        <v>0</v>
      </c>
      <c r="F175" s="3415">
        <f>'Tab. 6G - Roln i ochrona środ.'!E34</f>
        <v>0</v>
      </c>
      <c r="G175" s="3415">
        <f>'Tab. 6G - Roln i ochrona środ.'!F34</f>
        <v>0</v>
      </c>
      <c r="H175" s="3415"/>
      <c r="I175" s="3415"/>
      <c r="J175" s="3415"/>
      <c r="K175" s="3415"/>
      <c r="L175" s="3415"/>
      <c r="M175" s="3415"/>
      <c r="N175" s="3524"/>
      <c r="O175" s="3524"/>
      <c r="P175" s="3524"/>
      <c r="Q175" s="3524"/>
      <c r="R175" s="3416"/>
      <c r="S175" s="3416"/>
      <c r="T175" s="3416"/>
      <c r="U175" s="3416"/>
      <c r="V175" s="3416"/>
    </row>
    <row r="176" spans="1:22" ht="13.5" thickBot="1">
      <c r="A176" s="4544"/>
      <c r="B176" s="3417" t="s">
        <v>207</v>
      </c>
      <c r="C176" s="3430">
        <f>E176-E177</f>
        <v>0</v>
      </c>
      <c r="D176" s="3419"/>
      <c r="E176" s="3420">
        <f>+F176+G176+H176+I176+J176+K176+L176+M176</f>
        <v>0</v>
      </c>
      <c r="F176" s="3421">
        <f>'Tab. 6G - Roln i ochrona środ.'!E36</f>
        <v>0</v>
      </c>
      <c r="G176" s="3421">
        <f>'Tab. 6G - Roln i ochrona środ.'!F36</f>
        <v>0</v>
      </c>
      <c r="H176" s="3421"/>
      <c r="I176" s="3421"/>
      <c r="J176" s="3421"/>
      <c r="K176" s="3421"/>
      <c r="L176" s="3421"/>
      <c r="M176" s="3421"/>
      <c r="N176" s="3525"/>
      <c r="O176" s="3525"/>
      <c r="P176" s="3525"/>
      <c r="Q176" s="3525"/>
      <c r="R176" s="3526"/>
      <c r="S176" s="3423"/>
      <c r="T176" s="3423"/>
      <c r="U176" s="3423"/>
      <c r="V176" s="3423"/>
    </row>
    <row r="177" spans="1:22" ht="13.5" thickBot="1">
      <c r="A177" s="4545"/>
      <c r="B177" s="3424" t="s">
        <v>335</v>
      </c>
      <c r="C177" s="3425"/>
      <c r="D177" s="3426"/>
      <c r="E177" s="3427">
        <f>F177+G177+H177+I177+J177+K177+L177+M177</f>
        <v>0</v>
      </c>
      <c r="F177" s="3428">
        <f>'Tab. 6G - Roln i ochrona środ.'!E41</f>
        <v>0</v>
      </c>
      <c r="G177" s="3428">
        <f>'Tab. 6G - Roln i ochrona środ.'!F41</f>
        <v>0</v>
      </c>
      <c r="H177" s="3428"/>
      <c r="I177" s="3428"/>
      <c r="J177" s="3428"/>
      <c r="K177" s="3428"/>
      <c r="L177" s="3428"/>
      <c r="M177" s="3428"/>
      <c r="N177" s="3527"/>
      <c r="O177" s="3527"/>
      <c r="P177" s="3527"/>
      <c r="Q177" s="3527"/>
      <c r="R177" s="3429"/>
      <c r="S177" s="3429"/>
      <c r="T177" s="3429"/>
      <c r="U177" s="3429"/>
      <c r="V177" s="3429"/>
    </row>
    <row r="178" spans="1:22" s="3389" customFormat="1" ht="20.25" customHeight="1" thickBot="1">
      <c r="A178" s="3510"/>
      <c r="B178" s="3529" t="s">
        <v>361</v>
      </c>
      <c r="C178" s="3512"/>
      <c r="D178" s="3513"/>
      <c r="E178" s="3514"/>
      <c r="F178" s="3515"/>
      <c r="G178" s="3518"/>
      <c r="H178" s="3515"/>
      <c r="I178" s="3515"/>
      <c r="J178" s="3515"/>
      <c r="K178" s="3518"/>
      <c r="L178" s="3518"/>
      <c r="M178" s="3515"/>
      <c r="N178" s="3518"/>
      <c r="O178" s="3518"/>
      <c r="P178" s="3518"/>
      <c r="Q178" s="3518"/>
      <c r="R178" s="3519"/>
      <c r="S178" s="3519"/>
      <c r="T178" s="3519"/>
      <c r="U178" s="3519"/>
      <c r="V178" s="3519"/>
    </row>
    <row r="179" spans="1:22" ht="14.25">
      <c r="A179" s="4553"/>
      <c r="B179" s="3530"/>
      <c r="C179" s="3399"/>
      <c r="D179" s="3400" t="e">
        <f>E182/E180%</f>
        <v>#DIV/0!</v>
      </c>
      <c r="E179" s="3401"/>
      <c r="F179" s="3402"/>
      <c r="G179" s="3403"/>
      <c r="H179" s="3402"/>
      <c r="I179" s="3402"/>
      <c r="J179" s="3402"/>
      <c r="K179" s="3403"/>
      <c r="L179" s="3403"/>
      <c r="M179" s="3402"/>
      <c r="N179" s="3521"/>
      <c r="O179" s="3521"/>
      <c r="P179" s="3521"/>
      <c r="Q179" s="3521"/>
      <c r="R179" s="3522"/>
      <c r="S179" s="3405"/>
      <c r="T179" s="3405"/>
      <c r="U179" s="3405"/>
      <c r="V179" s="3405"/>
    </row>
    <row r="180" spans="1:22" ht="13.5" customHeight="1">
      <c r="A180" s="4554"/>
      <c r="B180" s="3406" t="s">
        <v>205</v>
      </c>
      <c r="C180" s="3407"/>
      <c r="D180" s="3408"/>
      <c r="E180" s="3409">
        <f>+F180+G180+H180+I180+J180+K180+L180+M180</f>
        <v>0</v>
      </c>
      <c r="F180" s="3410"/>
      <c r="G180" s="3481"/>
      <c r="H180" s="3410"/>
      <c r="I180" s="3410"/>
      <c r="J180" s="3410"/>
      <c r="K180" s="3410"/>
      <c r="L180" s="3410"/>
      <c r="M180" s="3410"/>
      <c r="N180" s="3523"/>
      <c r="O180" s="3523"/>
      <c r="P180" s="3523"/>
      <c r="Q180" s="3523"/>
      <c r="R180" s="3412"/>
      <c r="S180" s="3412"/>
      <c r="T180" s="3412"/>
      <c r="U180" s="3412"/>
      <c r="V180" s="3412"/>
    </row>
    <row r="181" spans="1:22" ht="27" customHeight="1">
      <c r="A181" s="4554"/>
      <c r="B181" s="3413" t="s">
        <v>369</v>
      </c>
      <c r="C181" s="2794"/>
      <c r="D181" s="3414"/>
      <c r="E181" s="3175">
        <f>+F181+G181+H181+I181+J181+K181+L181+M181</f>
        <v>0</v>
      </c>
      <c r="F181" s="3415"/>
      <c r="G181" s="3482"/>
      <c r="H181" s="3415"/>
      <c r="I181" s="3415"/>
      <c r="J181" s="3415"/>
      <c r="K181" s="3415"/>
      <c r="L181" s="3415"/>
      <c r="M181" s="3415"/>
      <c r="N181" s="3524"/>
      <c r="O181" s="3524"/>
      <c r="P181" s="3524"/>
      <c r="Q181" s="3524"/>
      <c r="R181" s="3416"/>
      <c r="S181" s="3416"/>
      <c r="T181" s="3416"/>
      <c r="U181" s="3416"/>
      <c r="V181" s="3416"/>
    </row>
    <row r="182" spans="1:22" ht="13.5" thickBot="1">
      <c r="A182" s="4554"/>
      <c r="B182" s="3417" t="s">
        <v>207</v>
      </c>
      <c r="C182" s="3430">
        <f>E182-E183</f>
        <v>0</v>
      </c>
      <c r="D182" s="3419"/>
      <c r="E182" s="3420">
        <f>+F182+G182+H182+I182+J182+K182+L182+M182</f>
        <v>0</v>
      </c>
      <c r="F182" s="3421"/>
      <c r="G182" s="3485"/>
      <c r="H182" s="3421"/>
      <c r="I182" s="3421"/>
      <c r="J182" s="3421"/>
      <c r="K182" s="3421"/>
      <c r="L182" s="3421"/>
      <c r="M182" s="3421"/>
      <c r="N182" s="3525"/>
      <c r="O182" s="3525"/>
      <c r="P182" s="3525"/>
      <c r="Q182" s="3525"/>
      <c r="R182" s="3526"/>
      <c r="S182" s="3423"/>
      <c r="T182" s="3423"/>
      <c r="U182" s="3423"/>
      <c r="V182" s="3423"/>
    </row>
    <row r="183" spans="1:22" ht="13.5" thickBot="1">
      <c r="A183" s="4555"/>
      <c r="B183" s="3424" t="s">
        <v>335</v>
      </c>
      <c r="C183" s="3425"/>
      <c r="D183" s="3426"/>
      <c r="E183" s="3427">
        <f>F183+G183+H183+I183+J183+K183+L183+M183</f>
        <v>0</v>
      </c>
      <c r="F183" s="3428"/>
      <c r="G183" s="3487"/>
      <c r="H183" s="3428"/>
      <c r="I183" s="3428"/>
      <c r="J183" s="3428"/>
      <c r="K183" s="3428"/>
      <c r="L183" s="3428"/>
      <c r="M183" s="3428"/>
      <c r="N183" s="3527"/>
      <c r="O183" s="3527"/>
      <c r="P183" s="3527"/>
      <c r="Q183" s="3527"/>
      <c r="R183" s="3429"/>
      <c r="S183" s="3429"/>
      <c r="T183" s="3429"/>
      <c r="U183" s="3429"/>
      <c r="V183" s="3429"/>
    </row>
    <row r="184" spans="1:22" s="3389" customFormat="1" ht="13.5" customHeight="1" thickBot="1">
      <c r="A184" s="3531"/>
      <c r="B184" s="3532" t="s">
        <v>363</v>
      </c>
      <c r="C184" s="3533"/>
      <c r="D184" s="3534"/>
      <c r="E184" s="3535"/>
      <c r="F184" s="3536"/>
      <c r="G184" s="3537"/>
      <c r="H184" s="3536"/>
      <c r="I184" s="3536"/>
      <c r="J184" s="3536"/>
      <c r="K184" s="3536"/>
      <c r="L184" s="3536"/>
      <c r="M184" s="3536"/>
      <c r="N184" s="3537"/>
      <c r="O184" s="3537"/>
      <c r="P184" s="3537"/>
      <c r="Q184" s="3537"/>
      <c r="R184" s="3538"/>
      <c r="S184" s="3538"/>
      <c r="T184" s="3538"/>
      <c r="U184" s="3538"/>
      <c r="V184" s="3538"/>
    </row>
    <row r="185" spans="1:22" s="3389" customFormat="1" ht="15" customHeight="1" thickBot="1">
      <c r="A185" s="3477"/>
      <c r="B185" s="3539" t="s">
        <v>544</v>
      </c>
      <c r="C185" s="3503"/>
      <c r="D185" s="3504"/>
      <c r="E185" s="3540"/>
      <c r="F185" s="3541"/>
      <c r="G185" s="3508"/>
      <c r="H185" s="3541"/>
      <c r="I185" s="3541"/>
      <c r="J185" s="3541"/>
      <c r="K185" s="3541"/>
      <c r="L185" s="3541"/>
      <c r="M185" s="3541"/>
      <c r="N185" s="3508"/>
      <c r="O185" s="3508"/>
      <c r="P185" s="3508"/>
      <c r="Q185" s="3508"/>
      <c r="R185" s="3509"/>
      <c r="S185" s="3509"/>
      <c r="T185" s="3509"/>
      <c r="U185" s="3509"/>
      <c r="V185" s="3509"/>
    </row>
    <row r="186" spans="1:22" s="3389" customFormat="1" ht="24.75" customHeight="1">
      <c r="A186" s="4549"/>
      <c r="B186" s="3398" t="str">
        <f>'Tab. 6A -Drogi'!B79</f>
        <v>Budowa obejścia m. Szczecinek w ciągu drogi nr 172 w ramach Osi II RPO (2009-2018)</v>
      </c>
      <c r="C186" s="3399"/>
      <c r="D186" s="3400">
        <f>E189/E187%</f>
        <v>58.388588078714001</v>
      </c>
      <c r="E186" s="3401"/>
      <c r="F186" s="3402"/>
      <c r="G186" s="3403"/>
      <c r="H186" s="3402"/>
      <c r="I186" s="3402"/>
      <c r="J186" s="3402"/>
      <c r="K186" s="3402"/>
      <c r="L186" s="3402"/>
      <c r="M186" s="3402"/>
      <c r="N186" s="3521"/>
      <c r="O186" s="3521"/>
      <c r="P186" s="3521"/>
      <c r="Q186" s="3521"/>
      <c r="R186" s="3522"/>
      <c r="S186" s="3405"/>
      <c r="T186" s="3405"/>
      <c r="U186" s="3405"/>
      <c r="V186" s="3405"/>
    </row>
    <row r="187" spans="1:22" s="3389" customFormat="1" ht="13.5" customHeight="1">
      <c r="A187" s="4544"/>
      <c r="B187" s="3406" t="s">
        <v>205</v>
      </c>
      <c r="C187" s="3407"/>
      <c r="D187" s="3408"/>
      <c r="E187" s="3409">
        <f>+F187+G187+H187+I187+J187+K187+L187+M187</f>
        <v>21340701</v>
      </c>
      <c r="F187" s="3410">
        <f>'Tab. 6A -Drogi'!E80</f>
        <v>21203332</v>
      </c>
      <c r="G187" s="3410">
        <f>'Tab. 6A -Drogi'!F80</f>
        <v>110369</v>
      </c>
      <c r="H187" s="3410">
        <f>'Tab. 6A -Drogi'!G80</f>
        <v>27000</v>
      </c>
      <c r="I187" s="3410"/>
      <c r="J187" s="3410"/>
      <c r="K187" s="3410"/>
      <c r="L187" s="3410"/>
      <c r="M187" s="3410"/>
      <c r="N187" s="3523"/>
      <c r="O187" s="3523"/>
      <c r="P187" s="3523"/>
      <c r="Q187" s="3523"/>
      <c r="R187" s="3412"/>
      <c r="S187" s="3412"/>
      <c r="T187" s="3412"/>
      <c r="U187" s="3412"/>
      <c r="V187" s="3412"/>
    </row>
    <row r="188" spans="1:22" s="3389" customFormat="1" ht="13.5" customHeight="1">
      <c r="A188" s="4544"/>
      <c r="B188" s="3413" t="s">
        <v>338</v>
      </c>
      <c r="C188" s="2794"/>
      <c r="D188" s="3414"/>
      <c r="E188" s="3175">
        <f>+F188+G188+H188+I188+J188+K188+L188+M188</f>
        <v>8880167</v>
      </c>
      <c r="F188" s="3415">
        <f>'Tab. 6A -Drogi'!E81</f>
        <v>8742798</v>
      </c>
      <c r="G188" s="3415">
        <f>'Tab. 6A -Drogi'!F81</f>
        <v>110369</v>
      </c>
      <c r="H188" s="3415">
        <f>'Tab. 6A -Drogi'!G81</f>
        <v>27000</v>
      </c>
      <c r="I188" s="3415"/>
      <c r="J188" s="3415"/>
      <c r="K188" s="3415"/>
      <c r="L188" s="3415"/>
      <c r="M188" s="3415"/>
      <c r="N188" s="3524"/>
      <c r="O188" s="3524"/>
      <c r="P188" s="3524"/>
      <c r="Q188" s="3524"/>
      <c r="R188" s="3416"/>
      <c r="S188" s="3416"/>
      <c r="T188" s="3416"/>
      <c r="U188" s="3416"/>
      <c r="V188" s="3416"/>
    </row>
    <row r="189" spans="1:22" s="3389" customFormat="1" ht="13.5" customHeight="1" thickBot="1">
      <c r="A189" s="4544"/>
      <c r="B189" s="3417" t="s">
        <v>207</v>
      </c>
      <c r="C189" s="3430">
        <f>E189-E190</f>
        <v>0</v>
      </c>
      <c r="D189" s="3419"/>
      <c r="E189" s="3420">
        <f>+F189+G189+H189+I189+J189+K189+L189+M189</f>
        <v>12460534</v>
      </c>
      <c r="F189" s="3421">
        <f>'Tab. 6A -Drogi'!E84</f>
        <v>12460534</v>
      </c>
      <c r="G189" s="3421">
        <f>'Tab. 6A -Drogi'!F84</f>
        <v>0</v>
      </c>
      <c r="H189" s="3421"/>
      <c r="I189" s="3421"/>
      <c r="J189" s="3421"/>
      <c r="K189" s="3421"/>
      <c r="L189" s="3421"/>
      <c r="M189" s="3421"/>
      <c r="N189" s="3525"/>
      <c r="O189" s="3525"/>
      <c r="P189" s="3525"/>
      <c r="Q189" s="3525"/>
      <c r="R189" s="3526"/>
      <c r="S189" s="3423"/>
      <c r="T189" s="3423"/>
      <c r="U189" s="3423"/>
      <c r="V189" s="3423"/>
    </row>
    <row r="190" spans="1:22" s="3389" customFormat="1" ht="13.5" customHeight="1" thickBot="1">
      <c r="A190" s="4545"/>
      <c r="B190" s="3424" t="s">
        <v>335</v>
      </c>
      <c r="C190" s="3542"/>
      <c r="D190" s="3543"/>
      <c r="E190" s="3427">
        <f>F190+G190+H190+I190+J190+K190+L190+M190</f>
        <v>12460534</v>
      </c>
      <c r="F190" s="3544">
        <f>'Tab. 6A -Drogi'!E89</f>
        <v>12460534</v>
      </c>
      <c r="G190" s="3544">
        <f>'Tab. 6A -Drogi'!F89</f>
        <v>0</v>
      </c>
      <c r="H190" s="3544"/>
      <c r="I190" s="3544"/>
      <c r="J190" s="3544"/>
      <c r="K190" s="3544"/>
      <c r="L190" s="3544"/>
      <c r="M190" s="3544"/>
      <c r="N190" s="3527"/>
      <c r="O190" s="3527"/>
      <c r="P190" s="3527"/>
      <c r="Q190" s="3527"/>
      <c r="R190" s="3429"/>
      <c r="S190" s="3429"/>
      <c r="T190" s="3429"/>
      <c r="U190" s="3429"/>
      <c r="V190" s="3429"/>
    </row>
    <row r="191" spans="1:22" s="3367" customFormat="1" ht="22.5" customHeight="1" thickBot="1">
      <c r="A191" s="3545"/>
      <c r="B191" s="3546" t="s">
        <v>517</v>
      </c>
      <c r="C191" s="3547"/>
      <c r="D191" s="3548"/>
      <c r="E191" s="3549"/>
      <c r="F191" s="3549"/>
      <c r="G191" s="3549"/>
      <c r="H191" s="3549"/>
      <c r="I191" s="3549"/>
      <c r="J191" s="3549"/>
      <c r="K191" s="3549"/>
      <c r="L191" s="3549"/>
      <c r="M191" s="3549"/>
      <c r="N191" s="3550"/>
      <c r="O191" s="3550"/>
      <c r="P191" s="3550"/>
      <c r="Q191" s="3550"/>
      <c r="R191" s="3551"/>
      <c r="S191" s="3550"/>
      <c r="T191" s="3550"/>
      <c r="U191" s="3550"/>
      <c r="V191" s="3550"/>
    </row>
    <row r="192" spans="1:22" ht="18" customHeight="1" thickBot="1">
      <c r="A192" s="3368" t="s">
        <v>408</v>
      </c>
      <c r="B192" s="3552" t="s">
        <v>413</v>
      </c>
      <c r="C192" s="3553" t="s">
        <v>406</v>
      </c>
      <c r="D192" s="3554"/>
      <c r="E192" s="3555">
        <f t="shared" ref="E192:M192" si="4">E200+E205+E210+E215+E220+E225+E230+E235+E240+E245+E250+E255+E260+E265+E270+E275+E280+E373+E380+E365+E285+E290+E295+E300+E305+E310+E315+E320+E325+E330+E335+E340+E345+E350+E355+E360</f>
        <v>338062739</v>
      </c>
      <c r="F192" s="3555">
        <f t="shared" si="4"/>
        <v>30917636</v>
      </c>
      <c r="G192" s="3555">
        <f t="shared" si="4"/>
        <v>38700035</v>
      </c>
      <c r="H192" s="3555">
        <f t="shared" si="4"/>
        <v>66384094</v>
      </c>
      <c r="I192" s="3555">
        <f t="shared" si="4"/>
        <v>51564241</v>
      </c>
      <c r="J192" s="3555">
        <f t="shared" si="4"/>
        <v>43965565</v>
      </c>
      <c r="K192" s="3555">
        <f t="shared" si="4"/>
        <v>35626932</v>
      </c>
      <c r="L192" s="3555">
        <f t="shared" si="4"/>
        <v>32512162</v>
      </c>
      <c r="M192" s="3555">
        <f t="shared" si="4"/>
        <v>31308514</v>
      </c>
      <c r="N192" s="3556"/>
      <c r="O192" s="3556"/>
      <c r="P192" s="3556"/>
      <c r="Q192" s="3556"/>
      <c r="R192" s="3557"/>
      <c r="S192" s="3558"/>
      <c r="T192" s="3558"/>
      <c r="U192" s="3558"/>
      <c r="V192" s="3558"/>
    </row>
    <row r="193" spans="1:22" ht="18" customHeight="1" thickBot="1">
      <c r="A193" s="3559" t="s">
        <v>407</v>
      </c>
      <c r="B193" s="3560" t="s">
        <v>414</v>
      </c>
      <c r="C193" s="3377"/>
      <c r="D193" s="3378"/>
      <c r="E193" s="3379">
        <f t="shared" ref="E193:M193" si="5">E197+E202+E207+E212+E370+E217+E222+E227+E232+E237+E242+E247+E252+E257+E262+E267+E272+E377+E362+E277+E282+E287+E292+E297+E302+E307+E312+E317+E322+E327+E332+E337+E342+E347+E352+E357</f>
        <v>406752224</v>
      </c>
      <c r="F193" s="3379">
        <f t="shared" si="5"/>
        <v>45968314</v>
      </c>
      <c r="G193" s="3379">
        <f t="shared" si="5"/>
        <v>47022177</v>
      </c>
      <c r="H193" s="3379">
        <f t="shared" si="5"/>
        <v>76120017</v>
      </c>
      <c r="I193" s="3379">
        <f t="shared" si="5"/>
        <v>67313113</v>
      </c>
      <c r="J193" s="3379">
        <f t="shared" si="5"/>
        <v>53950032</v>
      </c>
      <c r="K193" s="3379">
        <f t="shared" si="5"/>
        <v>42662015</v>
      </c>
      <c r="L193" s="3379">
        <f t="shared" si="5"/>
        <v>37787141</v>
      </c>
      <c r="M193" s="3379">
        <f t="shared" si="5"/>
        <v>35929415</v>
      </c>
      <c r="N193" s="3561"/>
      <c r="O193" s="3561"/>
      <c r="P193" s="3561"/>
      <c r="Q193" s="3561"/>
      <c r="R193" s="3562"/>
      <c r="S193" s="3563"/>
      <c r="T193" s="3563"/>
      <c r="U193" s="3563"/>
      <c r="V193" s="3563"/>
    </row>
    <row r="194" spans="1:22" s="3389" customFormat="1" ht="14.25" customHeight="1">
      <c r="A194" s="3564"/>
      <c r="B194" s="3565" t="s">
        <v>405</v>
      </c>
      <c r="C194" s="3566">
        <f>E192-E195</f>
        <v>0</v>
      </c>
      <c r="D194" s="3567"/>
      <c r="E194" s="3568"/>
      <c r="F194" s="3568"/>
      <c r="G194" s="3568"/>
      <c r="H194" s="3568"/>
      <c r="I194" s="3568"/>
      <c r="J194" s="3568"/>
      <c r="K194" s="3568"/>
      <c r="L194" s="3568"/>
      <c r="M194" s="3568"/>
      <c r="N194" s="3568"/>
      <c r="O194" s="3568"/>
      <c r="P194" s="3568"/>
      <c r="Q194" s="3568"/>
      <c r="R194" s="3569"/>
      <c r="S194" s="3570"/>
      <c r="T194" s="3570"/>
      <c r="U194" s="3570"/>
      <c r="V194" s="3570"/>
    </row>
    <row r="195" spans="1:22" ht="18" customHeight="1" thickBot="1">
      <c r="A195" s="3571" t="s">
        <v>415</v>
      </c>
      <c r="B195" s="3391" t="s">
        <v>457</v>
      </c>
      <c r="C195" s="3572" t="s">
        <v>406</v>
      </c>
      <c r="D195" s="3573"/>
      <c r="E195" s="3561">
        <f t="shared" ref="E195:M195" si="6">E199+E204+E209+E214+E219+E224+E229+E234+E239+E244+E249+E254+E259+E264+E269+E274+E279+E284+E289+E294+E379+E364+E372+E299+E304+E309+E314+E319+E324+E329+E334+E339+E344+E349+E354+E359</f>
        <v>338062739</v>
      </c>
      <c r="F195" s="3561">
        <f t="shared" si="6"/>
        <v>36964873</v>
      </c>
      <c r="G195" s="3561">
        <f t="shared" si="6"/>
        <v>38008003</v>
      </c>
      <c r="H195" s="3561">
        <f t="shared" si="6"/>
        <v>64339685</v>
      </c>
      <c r="I195" s="3561">
        <f t="shared" si="6"/>
        <v>55854054</v>
      </c>
      <c r="J195" s="3561">
        <f t="shared" si="6"/>
        <v>43855670</v>
      </c>
      <c r="K195" s="3561">
        <f t="shared" si="6"/>
        <v>35431748</v>
      </c>
      <c r="L195" s="3561">
        <f t="shared" si="6"/>
        <v>32661227</v>
      </c>
      <c r="M195" s="3561">
        <f t="shared" si="6"/>
        <v>30947479</v>
      </c>
      <c r="N195" s="3574"/>
      <c r="O195" s="3575"/>
      <c r="P195" s="3575"/>
      <c r="Q195" s="3575"/>
      <c r="R195" s="3576"/>
      <c r="S195" s="3563"/>
      <c r="T195" s="3563"/>
      <c r="U195" s="3563"/>
      <c r="V195" s="3563"/>
    </row>
    <row r="196" spans="1:22" ht="63.75" customHeight="1">
      <c r="A196" s="4549" t="s">
        <v>63</v>
      </c>
      <c r="B196" s="3398" t="str">
        <f>'Tab. 6B Polit społ i rozwój prz'!B61</f>
        <v>Oś Priorytetowa VI, Pomoc Techniczna w ramach  PO WER 2014 - 2020 (2015-2023)</v>
      </c>
      <c r="C196" s="3399" t="s">
        <v>350</v>
      </c>
      <c r="D196" s="3577">
        <f>E199/E197%</f>
        <v>84.280003031825089</v>
      </c>
      <c r="E196" s="3578"/>
      <c r="F196" s="3579"/>
      <c r="G196" s="3580"/>
      <c r="H196" s="3579"/>
      <c r="I196" s="3579"/>
      <c r="J196" s="3579"/>
      <c r="K196" s="3580"/>
      <c r="L196" s="3580"/>
      <c r="M196" s="3579"/>
      <c r="N196" s="3581"/>
      <c r="O196" s="3521"/>
      <c r="P196" s="3521"/>
      <c r="Q196" s="3521"/>
      <c r="R196" s="3522"/>
      <c r="S196" s="3405"/>
      <c r="T196" s="3405"/>
      <c r="U196" s="3405"/>
      <c r="V196" s="3405"/>
    </row>
    <row r="197" spans="1:22" ht="17.25" customHeight="1">
      <c r="A197" s="4544"/>
      <c r="B197" s="3406" t="s">
        <v>205</v>
      </c>
      <c r="C197" s="3407"/>
      <c r="D197" s="3408"/>
      <c r="E197" s="3409">
        <f>+F197+G197+H197+I197+J197+K197+L197+M197</f>
        <v>12441351</v>
      </c>
      <c r="F197" s="3410">
        <f>'Tab. 6B Polit społ i rozwój prz'!E62</f>
        <v>1741141</v>
      </c>
      <c r="G197" s="3410">
        <f>'Tab. 6B Polit społ i rozwój prz'!F62</f>
        <v>1271441</v>
      </c>
      <c r="H197" s="3410">
        <f>'Tab. 6B Polit społ i rozwój prz'!G62</f>
        <v>2030017</v>
      </c>
      <c r="I197" s="3410">
        <f>'Tab. 6B Polit społ i rozwój prz'!H62</f>
        <v>1885382</v>
      </c>
      <c r="J197" s="3410">
        <f>'Tab. 6B Polit społ i rozwój prz'!I62</f>
        <v>1885382</v>
      </c>
      <c r="K197" s="3410">
        <f>'Tab. 6B Polit społ i rozwój prz'!J62</f>
        <v>1855719</v>
      </c>
      <c r="L197" s="3410">
        <f>'Tab. 6B Polit społ i rozwój prz'!K62</f>
        <v>886134</v>
      </c>
      <c r="M197" s="3410">
        <f>'Tab. 6B Polit społ i rozwój prz'!L62</f>
        <v>886135</v>
      </c>
      <c r="N197" s="3410"/>
      <c r="O197" s="3410"/>
      <c r="P197" s="3410"/>
      <c r="Q197" s="3410"/>
      <c r="R197" s="3411"/>
      <c r="S197" s="3412"/>
      <c r="T197" s="3412"/>
      <c r="U197" s="3412"/>
      <c r="V197" s="3412"/>
    </row>
    <row r="198" spans="1:22" ht="13.5" customHeight="1">
      <c r="A198" s="4544"/>
      <c r="B198" s="3413" t="s">
        <v>338</v>
      </c>
      <c r="C198" s="2794"/>
      <c r="D198" s="3414"/>
      <c r="E198" s="3175">
        <f>+F198+G198+H198+I198+J198+K198+L198+M198</f>
        <v>1955780</v>
      </c>
      <c r="F198" s="3415">
        <f>'Tab. 6B Polit społ i rozwój prz'!E63</f>
        <v>273708</v>
      </c>
      <c r="G198" s="3415">
        <f>'Tab. 6B Polit społ i rozwój prz'!F63</f>
        <v>199870</v>
      </c>
      <c r="H198" s="3415">
        <f>'Tab. 6B Polit społ i rozwój prz'!G63</f>
        <v>319119</v>
      </c>
      <c r="I198" s="3415">
        <f>'Tab. 6B Polit społ i rozwój prz'!H63</f>
        <v>296382</v>
      </c>
      <c r="J198" s="3415">
        <f>'Tab. 6B Polit społ i rozwój prz'!I63</f>
        <v>296382</v>
      </c>
      <c r="K198" s="3415">
        <f>'Tab. 6B Polit społ i rozwój prz'!J63</f>
        <v>291719</v>
      </c>
      <c r="L198" s="3415">
        <f>'Tab. 6B Polit społ i rozwój prz'!K63</f>
        <v>139300</v>
      </c>
      <c r="M198" s="3415">
        <f>'Tab. 6B Polit społ i rozwój prz'!L63</f>
        <v>139300</v>
      </c>
      <c r="N198" s="3415"/>
      <c r="O198" s="3415"/>
      <c r="P198" s="3415"/>
      <c r="Q198" s="3415"/>
      <c r="R198" s="3416"/>
      <c r="S198" s="3416"/>
      <c r="T198" s="3416"/>
      <c r="U198" s="3416"/>
      <c r="V198" s="3416"/>
    </row>
    <row r="199" spans="1:22" ht="13.5" customHeight="1" thickBot="1">
      <c r="A199" s="4544"/>
      <c r="B199" s="3417" t="s">
        <v>207</v>
      </c>
      <c r="C199" s="3430">
        <f>E199-E200</f>
        <v>0</v>
      </c>
      <c r="D199" s="3419"/>
      <c r="E199" s="3420">
        <f>+F199+G199+H199+I199+J199+K199+L199+M199</f>
        <v>10485571</v>
      </c>
      <c r="F199" s="3421">
        <f>'Tab. 6B Polit społ i rozwój prz'!E66</f>
        <v>1467433</v>
      </c>
      <c r="G199" s="3421">
        <f>'Tab. 6B Polit społ i rozwój prz'!F66</f>
        <v>1071571</v>
      </c>
      <c r="H199" s="3421">
        <f>'Tab. 6B Polit społ i rozwój prz'!G66</f>
        <v>1710898</v>
      </c>
      <c r="I199" s="3421">
        <f>'Tab. 6B Polit społ i rozwój prz'!H66</f>
        <v>1589000</v>
      </c>
      <c r="J199" s="3421">
        <f>'Tab. 6B Polit społ i rozwój prz'!I66</f>
        <v>1589000</v>
      </c>
      <c r="K199" s="3421">
        <f>'Tab. 6B Polit społ i rozwój prz'!J66</f>
        <v>1564000</v>
      </c>
      <c r="L199" s="3421">
        <f>'Tab. 6B Polit społ i rozwój prz'!K66</f>
        <v>746834</v>
      </c>
      <c r="M199" s="3421">
        <f>'Tab. 6B Polit społ i rozwój prz'!L66</f>
        <v>746835</v>
      </c>
      <c r="N199" s="3421"/>
      <c r="O199" s="3421"/>
      <c r="P199" s="3421"/>
      <c r="Q199" s="3421"/>
      <c r="R199" s="3422"/>
      <c r="S199" s="3423"/>
      <c r="T199" s="3423"/>
      <c r="U199" s="3423"/>
      <c r="V199" s="3423"/>
    </row>
    <row r="200" spans="1:22" ht="14.25" customHeight="1" thickBot="1">
      <c r="A200" s="4545"/>
      <c r="B200" s="3424" t="s">
        <v>335</v>
      </c>
      <c r="C200" s="3425"/>
      <c r="D200" s="3426"/>
      <c r="E200" s="3427">
        <f>F200+G200+H200+I200+J200+K200+L200+M200</f>
        <v>10485571</v>
      </c>
      <c r="F200" s="3428">
        <f>'Tab. 6B Polit społ i rozwój prz'!E71</f>
        <v>1467433</v>
      </c>
      <c r="G200" s="3428">
        <f>'Tab. 6B Polit społ i rozwój prz'!F71</f>
        <v>1071571</v>
      </c>
      <c r="H200" s="3428">
        <f>'Tab. 6B Polit społ i rozwój prz'!G71</f>
        <v>1710898</v>
      </c>
      <c r="I200" s="3428">
        <f>'Tab. 6B Polit społ i rozwój prz'!H71</f>
        <v>1589000</v>
      </c>
      <c r="J200" s="3428">
        <f>'Tab. 6B Polit społ i rozwój prz'!I71</f>
        <v>1589000</v>
      </c>
      <c r="K200" s="3428">
        <f>'Tab. 6B Polit społ i rozwój prz'!J71</f>
        <v>1564000</v>
      </c>
      <c r="L200" s="3428">
        <f>'Tab. 6B Polit społ i rozwój prz'!K71</f>
        <v>746834</v>
      </c>
      <c r="M200" s="3428">
        <f>'Tab. 6B Polit społ i rozwój prz'!L71</f>
        <v>746835</v>
      </c>
      <c r="N200" s="3428"/>
      <c r="O200" s="3428"/>
      <c r="P200" s="3428"/>
      <c r="Q200" s="3428"/>
      <c r="R200" s="3429"/>
      <c r="S200" s="3429"/>
      <c r="T200" s="3429"/>
      <c r="U200" s="3429"/>
      <c r="V200" s="3429"/>
    </row>
    <row r="201" spans="1:22" ht="42" customHeight="1">
      <c r="A201" s="4549" t="s">
        <v>64</v>
      </c>
      <c r="B201" s="3398" t="str">
        <f>'Tab. 6B Polit społ i rozwój prz'!B24</f>
        <v>Wspieranie innowacyjnych ekosystemów przedsiębiorczości w regionach na rzecz młodych przedsiębiorców (iEER) w ramach Interreg VC (2016-2020)</v>
      </c>
      <c r="C201" s="3399" t="s">
        <v>352</v>
      </c>
      <c r="D201" s="3400">
        <f>E204/E202%</f>
        <v>84.318715073164768</v>
      </c>
      <c r="E201" s="3401"/>
      <c r="F201" s="3402"/>
      <c r="G201" s="3403"/>
      <c r="H201" s="3402"/>
      <c r="I201" s="3402"/>
      <c r="J201" s="3402"/>
      <c r="K201" s="3403"/>
      <c r="L201" s="3403"/>
      <c r="M201" s="3402"/>
      <c r="N201" s="3402"/>
      <c r="O201" s="3402"/>
      <c r="P201" s="3402"/>
      <c r="Q201" s="3402"/>
      <c r="R201" s="3404"/>
      <c r="S201" s="3405"/>
      <c r="T201" s="3405"/>
      <c r="U201" s="3405"/>
      <c r="V201" s="3405"/>
    </row>
    <row r="202" spans="1:22" ht="17.25" customHeight="1">
      <c r="A202" s="4544"/>
      <c r="B202" s="3406" t="s">
        <v>205</v>
      </c>
      <c r="C202" s="3407"/>
      <c r="D202" s="3408"/>
      <c r="E202" s="3409">
        <f>+F202+G202+H202+I202+J202+K202+L202+M202</f>
        <v>499079</v>
      </c>
      <c r="F202" s="3410">
        <f>'Tab. 6B Polit społ i rozwój prz'!E25</f>
        <v>53431</v>
      </c>
      <c r="G202" s="3410">
        <f>'Tab. 6B Polit społ i rozwój prz'!F25</f>
        <v>203738</v>
      </c>
      <c r="H202" s="3410">
        <f>'Tab. 6B Polit społ i rozwój prz'!G25</f>
        <v>171857</v>
      </c>
      <c r="I202" s="3410">
        <f>'Tab. 6B Polit społ i rozwój prz'!H25</f>
        <v>53703</v>
      </c>
      <c r="J202" s="3410">
        <f>'Tab. 6B Polit społ i rozwój prz'!I25</f>
        <v>16350</v>
      </c>
      <c r="K202" s="3410">
        <f>'Tab. 6B Polit społ i rozwój prz'!J25</f>
        <v>0</v>
      </c>
      <c r="L202" s="3410">
        <f>'Tab. 6B Polit społ i rozwój prz'!K25</f>
        <v>0</v>
      </c>
      <c r="M202" s="3410">
        <f>'Tab. 6B Polit społ i rozwój prz'!L25</f>
        <v>0</v>
      </c>
      <c r="N202" s="3410"/>
      <c r="O202" s="3410"/>
      <c r="P202" s="3410"/>
      <c r="Q202" s="3410"/>
      <c r="R202" s="3411"/>
      <c r="S202" s="3412"/>
      <c r="T202" s="3412"/>
      <c r="U202" s="3412"/>
      <c r="V202" s="3412"/>
    </row>
    <row r="203" spans="1:22" ht="13.5" customHeight="1">
      <c r="A203" s="4544"/>
      <c r="B203" s="3413" t="s">
        <v>338</v>
      </c>
      <c r="C203" s="2794"/>
      <c r="D203" s="3414"/>
      <c r="E203" s="3175">
        <f>+F203+G203+H203+I203+J203+K203+L203+M203</f>
        <v>78262</v>
      </c>
      <c r="F203" s="3415">
        <f>'Tab. 6B Polit społ i rozwój prz'!E26</f>
        <v>8209</v>
      </c>
      <c r="G203" s="3415">
        <f>'Tab. 6B Polit społ i rozwój prz'!F26</f>
        <v>31051</v>
      </c>
      <c r="H203" s="3415">
        <f>'Tab. 6B Polit społ i rozwój prz'!G26</f>
        <v>27134</v>
      </c>
      <c r="I203" s="3415">
        <f>'Tab. 6B Polit społ i rozwój prz'!H26</f>
        <v>8735</v>
      </c>
      <c r="J203" s="3415">
        <f>'Tab. 6B Polit społ i rozwój prz'!I26</f>
        <v>3133</v>
      </c>
      <c r="K203" s="3415">
        <f>'Tab. 6B Polit społ i rozwój prz'!J26</f>
        <v>0</v>
      </c>
      <c r="L203" s="3415">
        <f>'Tab. 6B Polit społ i rozwój prz'!K26</f>
        <v>0</v>
      </c>
      <c r="M203" s="3415">
        <f>'Tab. 6B Polit społ i rozwój prz'!L26</f>
        <v>0</v>
      </c>
      <c r="N203" s="3415"/>
      <c r="O203" s="3415"/>
      <c r="P203" s="3415"/>
      <c r="Q203" s="3415"/>
      <c r="R203" s="3416"/>
      <c r="S203" s="3416"/>
      <c r="T203" s="3416"/>
      <c r="U203" s="3416"/>
      <c r="V203" s="3416"/>
    </row>
    <row r="204" spans="1:22" ht="13.5" customHeight="1" thickBot="1">
      <c r="A204" s="4544"/>
      <c r="B204" s="3417" t="s">
        <v>207</v>
      </c>
      <c r="C204" s="3430">
        <f>E204-E205</f>
        <v>0</v>
      </c>
      <c r="D204" s="3419"/>
      <c r="E204" s="3420">
        <f>+F204+G204+H204+I204+J204+K204+L204+M204</f>
        <v>420817</v>
      </c>
      <c r="F204" s="3421">
        <f>'Tab. 6B Polit społ i rozwój prz'!E32</f>
        <v>45222</v>
      </c>
      <c r="G204" s="3421">
        <f>'Tab. 6B Polit społ i rozwój prz'!F32</f>
        <v>172687</v>
      </c>
      <c r="H204" s="3421">
        <f>'Tab. 6B Polit społ i rozwój prz'!G32</f>
        <v>144723</v>
      </c>
      <c r="I204" s="3421">
        <f>'Tab. 6B Polit społ i rozwój prz'!H32</f>
        <v>44968</v>
      </c>
      <c r="J204" s="3421">
        <f>'Tab. 6B Polit społ i rozwój prz'!I32</f>
        <v>13217</v>
      </c>
      <c r="K204" s="3421">
        <f>'Tab. 6B Polit społ i rozwój prz'!J32</f>
        <v>0</v>
      </c>
      <c r="L204" s="3421">
        <f>'Tab. 6B Polit społ i rozwój prz'!K32</f>
        <v>0</v>
      </c>
      <c r="M204" s="3421">
        <f>'Tab. 6B Polit społ i rozwój prz'!L32</f>
        <v>0</v>
      </c>
      <c r="N204" s="3421"/>
      <c r="O204" s="3421"/>
      <c r="P204" s="3421"/>
      <c r="Q204" s="3421"/>
      <c r="R204" s="3422"/>
      <c r="S204" s="3423"/>
      <c r="T204" s="3423"/>
      <c r="U204" s="3423"/>
      <c r="V204" s="3423"/>
    </row>
    <row r="205" spans="1:22" ht="13.5" thickBot="1">
      <c r="A205" s="4545"/>
      <c r="B205" s="3424" t="s">
        <v>335</v>
      </c>
      <c r="C205" s="3425"/>
      <c r="D205" s="3426"/>
      <c r="E205" s="3427">
        <f>F205+G205+H205+I205+J205+K205+L205+M205</f>
        <v>420817</v>
      </c>
      <c r="F205" s="3428">
        <f>'Tab. 6B Polit społ i rozwój prz'!E41</f>
        <v>0</v>
      </c>
      <c r="G205" s="3428">
        <f>'Tab. 6B Polit społ i rozwój prz'!F41</f>
        <v>84212</v>
      </c>
      <c r="H205" s="3428">
        <f>'Tab. 6B Polit społ i rozwój prz'!G41</f>
        <v>168662</v>
      </c>
      <c r="I205" s="3428">
        <f>'Tab. 6B Polit społ i rozwój prz'!H41</f>
        <v>119784</v>
      </c>
      <c r="J205" s="3428">
        <f>'Tab. 6B Polit społ i rozwój prz'!I41</f>
        <v>48159</v>
      </c>
      <c r="K205" s="3428">
        <f>'Tab. 6B Polit społ i rozwój prz'!J41</f>
        <v>0</v>
      </c>
      <c r="L205" s="3428">
        <f>'Tab. 6B Polit społ i rozwój prz'!K41</f>
        <v>0</v>
      </c>
      <c r="M205" s="3428">
        <f>'Tab. 6B Polit społ i rozwój prz'!L41</f>
        <v>0</v>
      </c>
      <c r="N205" s="3428"/>
      <c r="O205" s="3428"/>
      <c r="P205" s="3428"/>
      <c r="Q205" s="3428"/>
      <c r="R205" s="3429"/>
      <c r="S205" s="3429"/>
      <c r="T205" s="3429"/>
      <c r="U205" s="3429"/>
      <c r="V205" s="3429"/>
    </row>
    <row r="206" spans="1:22" ht="57.75" customHeight="1">
      <c r="A206" s="4549" t="s">
        <v>65</v>
      </c>
      <c r="B206" s="3398" t="str">
        <f>'Tab. 6B Polit społ i rozwój prz'!B135</f>
        <v>Wzmocnienie pozycji regionalnej gospodarki, Pomorze Zachodnie - Ster na innowacje w ramach osi I RPO WZ - wydatki bieżące (2017-2020)</v>
      </c>
      <c r="C206" s="3399" t="s">
        <v>607</v>
      </c>
      <c r="D206" s="3400">
        <f>E209/E207%</f>
        <v>100</v>
      </c>
      <c r="E206" s="3401"/>
      <c r="F206" s="3402"/>
      <c r="G206" s="3403"/>
      <c r="H206" s="3402"/>
      <c r="I206" s="3402"/>
      <c r="J206" s="3402"/>
      <c r="K206" s="3403"/>
      <c r="L206" s="3403"/>
      <c r="M206" s="3402"/>
      <c r="N206" s="3402"/>
      <c r="O206" s="3402"/>
      <c r="P206" s="3402"/>
      <c r="Q206" s="3402"/>
      <c r="R206" s="3404"/>
      <c r="S206" s="3405"/>
      <c r="T206" s="3405"/>
      <c r="U206" s="3405"/>
      <c r="V206" s="3405"/>
    </row>
    <row r="207" spans="1:22" ht="13.5" customHeight="1">
      <c r="A207" s="4544"/>
      <c r="B207" s="3406" t="s">
        <v>205</v>
      </c>
      <c r="C207" s="3407"/>
      <c r="D207" s="3408"/>
      <c r="E207" s="3409">
        <f>+F207+G207+H207+I207+J207+K207+L207+M207</f>
        <v>13580221</v>
      </c>
      <c r="F207" s="3410"/>
      <c r="G207" s="3410">
        <f>'Tab. 6B Polit społ i rozwój prz'!F136</f>
        <v>262804</v>
      </c>
      <c r="H207" s="3410">
        <f>'Tab. 6B Polit społ i rozwój prz'!G136</f>
        <v>9114930</v>
      </c>
      <c r="I207" s="3410">
        <f>'Tab. 6B Polit społ i rozwój prz'!H136</f>
        <v>3627487</v>
      </c>
      <c r="J207" s="3410">
        <f>'Tab. 6B Polit społ i rozwój prz'!I136</f>
        <v>575000</v>
      </c>
      <c r="K207" s="3410">
        <f>'Tab. 6B Polit społ i rozwój prz'!J136</f>
        <v>0</v>
      </c>
      <c r="L207" s="3410">
        <f>'Tab. 6B Polit społ i rozwój prz'!K136</f>
        <v>0</v>
      </c>
      <c r="M207" s="3410">
        <f>'Tab. 6B Polit społ i rozwój prz'!L136</f>
        <v>0</v>
      </c>
      <c r="N207" s="3410"/>
      <c r="O207" s="3410"/>
      <c r="P207" s="3410"/>
      <c r="Q207" s="3410"/>
      <c r="R207" s="3411"/>
      <c r="S207" s="3412"/>
      <c r="T207" s="3412"/>
      <c r="U207" s="3412"/>
      <c r="V207" s="3412"/>
    </row>
    <row r="208" spans="1:22" ht="13.5" customHeight="1">
      <c r="A208" s="4544"/>
      <c r="B208" s="3413" t="s">
        <v>338</v>
      </c>
      <c r="C208" s="2794"/>
      <c r="D208" s="3414"/>
      <c r="E208" s="3175">
        <f>+F208+G208+H208+I208+J208+K208+L208+M208</f>
        <v>0</v>
      </c>
      <c r="F208" s="3415"/>
      <c r="G208" s="3415"/>
      <c r="H208" s="3415"/>
      <c r="I208" s="3415"/>
      <c r="J208" s="3415"/>
      <c r="K208" s="3415"/>
      <c r="L208" s="3415"/>
      <c r="M208" s="3415"/>
      <c r="N208" s="3415"/>
      <c r="O208" s="3415"/>
      <c r="P208" s="3415"/>
      <c r="Q208" s="3415"/>
      <c r="R208" s="3416"/>
      <c r="S208" s="3416"/>
      <c r="T208" s="3416"/>
      <c r="U208" s="3416"/>
      <c r="V208" s="3416"/>
    </row>
    <row r="209" spans="1:22" ht="13.5" customHeight="1" thickBot="1">
      <c r="A209" s="4544"/>
      <c r="B209" s="3417" t="s">
        <v>207</v>
      </c>
      <c r="C209" s="3418"/>
      <c r="D209" s="3419"/>
      <c r="E209" s="3420">
        <f>+F209+G209+H209+I209+J209+K209+L209+M209</f>
        <v>13580221</v>
      </c>
      <c r="F209" s="3421"/>
      <c r="G209" s="3421">
        <f>'Tab. 6B Polit społ i rozwój prz'!F138</f>
        <v>262804</v>
      </c>
      <c r="H209" s="3421">
        <f>'Tab. 6B Polit społ i rozwój prz'!G138</f>
        <v>9114930</v>
      </c>
      <c r="I209" s="3421">
        <f>'Tab. 6B Polit społ i rozwój prz'!H138</f>
        <v>3627487</v>
      </c>
      <c r="J209" s="3421">
        <f>'Tab. 6B Polit społ i rozwój prz'!I138</f>
        <v>575000</v>
      </c>
      <c r="K209" s="3421">
        <f>'Tab. 6B Polit społ i rozwój prz'!J138</f>
        <v>0</v>
      </c>
      <c r="L209" s="3421">
        <f>'Tab. 6B Polit społ i rozwój prz'!K138</f>
        <v>0</v>
      </c>
      <c r="M209" s="3421">
        <f>'Tab. 6B Polit społ i rozwój prz'!L138</f>
        <v>0</v>
      </c>
      <c r="N209" s="3421"/>
      <c r="O209" s="3421"/>
      <c r="P209" s="3421"/>
      <c r="Q209" s="3421"/>
      <c r="R209" s="3422"/>
      <c r="S209" s="3423"/>
      <c r="T209" s="3423"/>
      <c r="U209" s="3423"/>
      <c r="V209" s="3423"/>
    </row>
    <row r="210" spans="1:22" ht="13.5" thickBot="1">
      <c r="A210" s="4545"/>
      <c r="B210" s="3424" t="s">
        <v>335</v>
      </c>
      <c r="C210" s="3425"/>
      <c r="D210" s="3426"/>
      <c r="E210" s="3427">
        <f>F210+G210+H210+I210+J210+K210+L210+M210</f>
        <v>13580221</v>
      </c>
      <c r="F210" s="3428"/>
      <c r="G210" s="3428">
        <f>'Tab. 6B Polit społ i rozwój prz'!F145</f>
        <v>0</v>
      </c>
      <c r="H210" s="3428">
        <f>'Tab. 6B Polit społ i rozwój prz'!G145</f>
        <v>11704137</v>
      </c>
      <c r="I210" s="3428">
        <f>'Tab. 6B Polit społ i rozwój prz'!H145</f>
        <v>1876084</v>
      </c>
      <c r="J210" s="3428">
        <f>'Tab. 6B Polit społ i rozwój prz'!I145</f>
        <v>0</v>
      </c>
      <c r="K210" s="3428">
        <f>'Tab. 6B Polit społ i rozwój prz'!J145</f>
        <v>0</v>
      </c>
      <c r="L210" s="3428">
        <f>'Tab. 6B Polit społ i rozwój prz'!K145</f>
        <v>0</v>
      </c>
      <c r="M210" s="3428">
        <f>'Tab. 6B Polit społ i rozwój prz'!L145</f>
        <v>0</v>
      </c>
      <c r="N210" s="3428"/>
      <c r="O210" s="3428"/>
      <c r="P210" s="3428"/>
      <c r="Q210" s="3428"/>
      <c r="R210" s="3429"/>
      <c r="S210" s="3429"/>
      <c r="T210" s="3429"/>
      <c r="U210" s="3429"/>
      <c r="V210" s="3429"/>
    </row>
    <row r="211" spans="1:22" ht="64.5" customHeight="1">
      <c r="A211" s="4549" t="s">
        <v>66</v>
      </c>
      <c r="B211" s="3398" t="str">
        <f>'Tab. 6E - Administracja'!B93</f>
        <v>Oś X, Pomoc techniczna RPO WZ 2014 - 2020 (2015-2023)</v>
      </c>
      <c r="C211" s="3399" t="s">
        <v>359</v>
      </c>
      <c r="D211" s="3400">
        <f>E214/E212%</f>
        <v>84.313638864754992</v>
      </c>
      <c r="E211" s="3401"/>
      <c r="F211" s="3402"/>
      <c r="G211" s="3403"/>
      <c r="H211" s="3402"/>
      <c r="I211" s="3402"/>
      <c r="J211" s="3402"/>
      <c r="K211" s="3403"/>
      <c r="L211" s="3403"/>
      <c r="M211" s="3402"/>
      <c r="N211" s="3402"/>
      <c r="O211" s="3402"/>
      <c r="P211" s="3402"/>
      <c r="Q211" s="3402"/>
      <c r="R211" s="3404"/>
      <c r="S211" s="3405"/>
      <c r="T211" s="3405"/>
      <c r="U211" s="3405"/>
      <c r="V211" s="3405"/>
    </row>
    <row r="212" spans="1:22" ht="13.5" customHeight="1">
      <c r="A212" s="4544"/>
      <c r="B212" s="3406" t="s">
        <v>205</v>
      </c>
      <c r="C212" s="3407"/>
      <c r="D212" s="3408"/>
      <c r="E212" s="3409">
        <f>+F212+G212+H212+I212+J212+K212+L212+M212</f>
        <v>293306941</v>
      </c>
      <c r="F212" s="3410">
        <f>'Tab. 6B Polit społ i rozwój prz'!E86+'Tab. 6E - Administracja'!E94-'Tab. 6E - Administracja'!E102</f>
        <v>32651793</v>
      </c>
      <c r="G212" s="3410">
        <f>'Tab. 6B Polit społ i rozwój prz'!F86+'Tab. 6E - Administracja'!F94-'Tab. 6E - Administracja'!F102</f>
        <v>35703187</v>
      </c>
      <c r="H212" s="3410">
        <f>'Tab. 6B Polit społ i rozwój prz'!G86+'Tab. 6E - Administracja'!G94-'Tab. 6E - Administracja'!G102</f>
        <v>42128968</v>
      </c>
      <c r="I212" s="3410">
        <f>'Tab. 6B Polit społ i rozwój prz'!H86+'Tab. 6E - Administracja'!H94-'Tab. 6E - Administracja'!H102</f>
        <v>41483007</v>
      </c>
      <c r="J212" s="3410">
        <f>'Tab. 6B Polit społ i rozwój prz'!I86+'Tab. 6E - Administracja'!I94-'Tab. 6E - Administracja'!I102</f>
        <v>37299536</v>
      </c>
      <c r="K212" s="3410">
        <f>'Tab. 6B Polit społ i rozwój prz'!J86+'Tab. 6E - Administracja'!J94-'Tab. 6E - Administracja'!J102</f>
        <v>36190318</v>
      </c>
      <c r="L212" s="3410">
        <f>'Tab. 6B Polit społ i rozwój prz'!K86+'Tab. 6E - Administracja'!K94-'Tab. 6E - Administracja'!K102</f>
        <v>34376144</v>
      </c>
      <c r="M212" s="3410">
        <f>'Tab. 6B Polit społ i rozwój prz'!L86+'Tab. 6E - Administracja'!L94-'Tab. 6E - Administracja'!L102</f>
        <v>33473988</v>
      </c>
      <c r="N212" s="3410"/>
      <c r="O212" s="3410"/>
      <c r="P212" s="3410"/>
      <c r="Q212" s="3410"/>
      <c r="R212" s="3411"/>
      <c r="S212" s="3412"/>
      <c r="T212" s="3412"/>
      <c r="U212" s="3412"/>
      <c r="V212" s="3412"/>
    </row>
    <row r="213" spans="1:22" ht="13.5" customHeight="1">
      <c r="A213" s="4544"/>
      <c r="B213" s="3413" t="s">
        <v>338</v>
      </c>
      <c r="C213" s="2794"/>
      <c r="D213" s="3414"/>
      <c r="E213" s="3175">
        <f>+F213+G213+H213+I213+J213+K213+L213+M213</f>
        <v>46009186</v>
      </c>
      <c r="F213" s="3415">
        <f>'Tab. 6B Polit społ i rozwój prz'!E88+'Tab. 6E - Administracja'!E96</f>
        <v>5397184</v>
      </c>
      <c r="G213" s="3415">
        <f>'Tab. 6B Polit społ i rozwój prz'!F88+'Tab. 6E - Administracja'!F96</f>
        <v>6394222</v>
      </c>
      <c r="H213" s="3415">
        <f>'Tab. 6B Polit społ i rozwój prz'!G88+'Tab. 6E - Administracja'!G96</f>
        <v>6732376</v>
      </c>
      <c r="I213" s="3415">
        <f>'Tab. 6B Polit społ i rozwój prz'!H88+'Tab. 6E - Administracja'!H96</f>
        <v>6663569</v>
      </c>
      <c r="J213" s="3415">
        <f>'Tab. 6B Polit społ i rozwój prz'!I88+'Tab. 6E - Administracja'!I96</f>
        <v>6363987</v>
      </c>
      <c r="K213" s="3415">
        <f>'Tab. 6B Polit społ i rozwój prz'!J88+'Tab. 6E - Administracja'!J96</f>
        <v>5862956</v>
      </c>
      <c r="L213" s="3415">
        <f>'Tab. 6B Polit społ i rozwój prz'!K88+'Tab. 6E - Administracja'!K96</f>
        <v>4320102</v>
      </c>
      <c r="M213" s="3415">
        <f>'Tab. 6B Polit społ i rozwój prz'!L88+'Tab. 6E - Administracja'!L96</f>
        <v>4274790</v>
      </c>
      <c r="N213" s="3415"/>
      <c r="O213" s="3415"/>
      <c r="P213" s="3415"/>
      <c r="Q213" s="3415"/>
      <c r="R213" s="3416"/>
      <c r="S213" s="3416"/>
      <c r="T213" s="3416"/>
      <c r="U213" s="3416"/>
      <c r="V213" s="3416"/>
    </row>
    <row r="214" spans="1:22" ht="13.5" customHeight="1" thickBot="1">
      <c r="A214" s="4544"/>
      <c r="B214" s="3417" t="s">
        <v>207</v>
      </c>
      <c r="C214" s="3430">
        <f>E214-E215</f>
        <v>0</v>
      </c>
      <c r="D214" s="3419"/>
      <c r="E214" s="3420">
        <f>+F214+G214+H214+I214+J214+K214+L214+M214</f>
        <v>247297755</v>
      </c>
      <c r="F214" s="3421">
        <f>'Tab. 6B Polit społ i rozwój prz'!E90+'Tab. 6E - Administracja'!E105</f>
        <v>27254609</v>
      </c>
      <c r="G214" s="3421">
        <f>'Tab. 6B Polit społ i rozwój prz'!F90+'Tab. 6E - Administracja'!F105</f>
        <v>29308965</v>
      </c>
      <c r="H214" s="3421">
        <f>'Tab. 6B Polit społ i rozwój prz'!G90+'Tab. 6E - Administracja'!G105</f>
        <v>35396592</v>
      </c>
      <c r="I214" s="3421">
        <f>'Tab. 6B Polit społ i rozwój prz'!H90+'Tab. 6E - Administracja'!H105</f>
        <v>34819438</v>
      </c>
      <c r="J214" s="3421">
        <f>'Tab. 6B Polit społ i rozwój prz'!I90+'Tab. 6E - Administracja'!I105</f>
        <v>30935549</v>
      </c>
      <c r="K214" s="3421">
        <f>'Tab. 6B Polit społ i rozwój prz'!J90+'Tab. 6E - Administracja'!J105</f>
        <v>30327362</v>
      </c>
      <c r="L214" s="3421">
        <f>'Tab. 6B Polit społ i rozwój prz'!K90+'Tab. 6E - Administracja'!K105</f>
        <v>30056042</v>
      </c>
      <c r="M214" s="3421">
        <f>'Tab. 6B Polit społ i rozwój prz'!L90+'Tab. 6E - Administracja'!L105</f>
        <v>29199198</v>
      </c>
      <c r="N214" s="3421"/>
      <c r="O214" s="3421"/>
      <c r="P214" s="3421"/>
      <c r="Q214" s="3421"/>
      <c r="R214" s="3422"/>
      <c r="S214" s="3423"/>
      <c r="T214" s="3423"/>
      <c r="U214" s="3423"/>
      <c r="V214" s="3423"/>
    </row>
    <row r="215" spans="1:22" ht="13.5" customHeight="1" thickBot="1">
      <c r="A215" s="4545"/>
      <c r="B215" s="3424" t="s">
        <v>335</v>
      </c>
      <c r="C215" s="3425"/>
      <c r="D215" s="3426"/>
      <c r="E215" s="3427">
        <f>F215+G215+H215+I215+J215+K215+L215+M215+2029435+2998719+2055406</f>
        <v>247297755</v>
      </c>
      <c r="F215" s="3428">
        <f>'Tab. 6B Polit społ i rozwój prz'!E95+'Tab. 6E - Administracja'!E115</f>
        <v>21949187</v>
      </c>
      <c r="G215" s="3428">
        <f>'Tab. 6B Polit społ i rozwój prz'!F95+'Tab. 6E - Administracja'!F115</f>
        <v>30930308</v>
      </c>
      <c r="H215" s="3428">
        <f>'Tab. 6B Polit społ i rozwój prz'!G95+'Tab. 6E - Administracja'!G115</f>
        <v>35396592</v>
      </c>
      <c r="I215" s="3428">
        <f>'Tab. 6B Polit społ i rozwój prz'!H95+'Tab. 6E - Administracja'!H115</f>
        <v>31419957</v>
      </c>
      <c r="J215" s="3428">
        <f>'Tab. 6B Polit społ i rozwój prz'!I95+'Tab. 6E - Administracja'!I115</f>
        <v>30935549</v>
      </c>
      <c r="K215" s="3428">
        <f>'Tab. 6B Polit społ i rozwój prz'!J95+'Tab. 6E - Administracja'!J115</f>
        <v>30327362</v>
      </c>
      <c r="L215" s="3428">
        <f>'Tab. 6B Polit społ i rozwój prz'!K95+'Tab. 6E - Administracja'!K115</f>
        <v>30056042</v>
      </c>
      <c r="M215" s="3428">
        <f>'Tab. 6B Polit społ i rozwój prz'!L95+'Tab. 6E - Administracja'!L115</f>
        <v>29199198</v>
      </c>
      <c r="N215" s="3428"/>
      <c r="O215" s="3428"/>
      <c r="P215" s="3428"/>
      <c r="Q215" s="3428"/>
      <c r="R215" s="3429"/>
      <c r="S215" s="3429"/>
      <c r="T215" s="3429"/>
      <c r="U215" s="3429"/>
      <c r="V215" s="3429"/>
    </row>
    <row r="216" spans="1:22" ht="39.75" hidden="1" customHeight="1">
      <c r="A216" s="4549" t="s">
        <v>67</v>
      </c>
      <c r="B216" s="3398" t="str">
        <f>'Tab. 6D - Oświata'!B55</f>
        <v>Organizacja Regionalnych spotkań informacyjnych i konsultacji indywidualnych podnoszących wiedzę nt. realizacji projektów w programie Erasmus+ Edukacja szkolna na lata 2014-2020 (2015-2017)</v>
      </c>
      <c r="C216" s="3399" t="s">
        <v>345</v>
      </c>
      <c r="D216" s="3400" t="e">
        <f>E219/E217%</f>
        <v>#DIV/0!</v>
      </c>
      <c r="E216" s="3401"/>
      <c r="F216" s="3402"/>
      <c r="G216" s="3403"/>
      <c r="H216" s="3402"/>
      <c r="I216" s="3402"/>
      <c r="J216" s="3402"/>
      <c r="K216" s="3403"/>
      <c r="L216" s="3403"/>
      <c r="M216" s="3402"/>
      <c r="N216" s="3402"/>
      <c r="O216" s="3402"/>
      <c r="P216" s="3402"/>
      <c r="Q216" s="3402"/>
      <c r="R216" s="3404"/>
      <c r="S216" s="3405"/>
      <c r="T216" s="3405"/>
      <c r="U216" s="3405"/>
      <c r="V216" s="3405"/>
    </row>
    <row r="217" spans="1:22" ht="13.5" hidden="1" customHeight="1">
      <c r="A217" s="4544"/>
      <c r="B217" s="3406" t="s">
        <v>205</v>
      </c>
      <c r="C217" s="3407"/>
      <c r="D217" s="3408"/>
      <c r="E217" s="3409">
        <f>+F217+G217+H217+I217+J217+K217+L217+M217</f>
        <v>0</v>
      </c>
      <c r="F217" s="3410">
        <f>'Tab. 6D - Oświata'!E56</f>
        <v>0</v>
      </c>
      <c r="G217" s="3410">
        <f>'Tab. 6D - Oświata'!F56</f>
        <v>0</v>
      </c>
      <c r="H217" s="3410">
        <f>'Tab. 6D - Oświata'!G56</f>
        <v>0</v>
      </c>
      <c r="I217" s="3410">
        <f>'Tab. 6D - Oświata'!H56</f>
        <v>0</v>
      </c>
      <c r="J217" s="3410">
        <f>'Tab. 6D - Oświata'!I56</f>
        <v>0</v>
      </c>
      <c r="K217" s="3410">
        <f>'Tab. 6D - Oświata'!J56</f>
        <v>0</v>
      </c>
      <c r="L217" s="3410">
        <f>'Tab. 6D - Oświata'!K56</f>
        <v>0</v>
      </c>
      <c r="M217" s="3410"/>
      <c r="N217" s="3410"/>
      <c r="O217" s="3410"/>
      <c r="P217" s="3410"/>
      <c r="Q217" s="3410"/>
      <c r="R217" s="3411"/>
      <c r="S217" s="3412"/>
      <c r="T217" s="3412"/>
      <c r="U217" s="3412"/>
      <c r="V217" s="3412"/>
    </row>
    <row r="218" spans="1:22" ht="13.5" hidden="1" customHeight="1">
      <c r="A218" s="4544"/>
      <c r="B218" s="3413" t="s">
        <v>338</v>
      </c>
      <c r="C218" s="2794"/>
      <c r="D218" s="3414"/>
      <c r="E218" s="3175">
        <f>+F218+G218+H218+I218+J218+K218+L218+M218</f>
        <v>0</v>
      </c>
      <c r="F218" s="3415"/>
      <c r="G218" s="3415"/>
      <c r="H218" s="3415"/>
      <c r="I218" s="3415"/>
      <c r="J218" s="3415"/>
      <c r="K218" s="3415"/>
      <c r="L218" s="3415"/>
      <c r="M218" s="3415"/>
      <c r="N218" s="3415"/>
      <c r="O218" s="3415"/>
      <c r="P218" s="3415"/>
      <c r="Q218" s="3415"/>
      <c r="R218" s="3416"/>
      <c r="S218" s="3416"/>
      <c r="T218" s="3416"/>
      <c r="U218" s="3416"/>
      <c r="V218" s="3416"/>
    </row>
    <row r="219" spans="1:22" ht="13.5" hidden="1" customHeight="1" thickBot="1">
      <c r="A219" s="4544"/>
      <c r="B219" s="3417" t="s">
        <v>207</v>
      </c>
      <c r="C219" s="3430">
        <f>E219-E220</f>
        <v>0</v>
      </c>
      <c r="D219" s="3419"/>
      <c r="E219" s="3420">
        <f>+F219+G219+H219+I219+J219+K219+L219+M219</f>
        <v>0</v>
      </c>
      <c r="F219" s="3421">
        <f>'Tab. 6D - Oświata'!E58</f>
        <v>0</v>
      </c>
      <c r="G219" s="3421">
        <f>'Tab. 6D - Oświata'!F58</f>
        <v>0</v>
      </c>
      <c r="H219" s="3421">
        <f>'Tab. 6D - Oświata'!G58</f>
        <v>0</v>
      </c>
      <c r="I219" s="3421">
        <f>'Tab. 6D - Oświata'!H58</f>
        <v>0</v>
      </c>
      <c r="J219" s="3421">
        <f>'Tab. 6D - Oświata'!I58</f>
        <v>0</v>
      </c>
      <c r="K219" s="3421">
        <f>'Tab. 6D - Oświata'!J58</f>
        <v>0</v>
      </c>
      <c r="L219" s="3421">
        <f>'Tab. 6D - Oświata'!K58</f>
        <v>0</v>
      </c>
      <c r="M219" s="3421"/>
      <c r="N219" s="3421"/>
      <c r="O219" s="3421"/>
      <c r="P219" s="3421"/>
      <c r="Q219" s="3421"/>
      <c r="R219" s="3422"/>
      <c r="S219" s="3423"/>
      <c r="T219" s="3423"/>
      <c r="U219" s="3423"/>
      <c r="V219" s="3423"/>
    </row>
    <row r="220" spans="1:22" ht="13.5" hidden="1" customHeight="1" thickBot="1">
      <c r="A220" s="4545"/>
      <c r="B220" s="3424" t="s">
        <v>335</v>
      </c>
      <c r="C220" s="3425"/>
      <c r="D220" s="3426"/>
      <c r="E220" s="3427">
        <f>F220+G220+H220+I220+J220+K220+L220+M220</f>
        <v>0</v>
      </c>
      <c r="F220" s="3428">
        <f>'Tab. 6D - Oświata'!E61</f>
        <v>0</v>
      </c>
      <c r="G220" s="3428">
        <f>'Tab. 6D - Oświata'!F61</f>
        <v>0</v>
      </c>
      <c r="H220" s="3428">
        <f>'Tab. 6D - Oświata'!G61</f>
        <v>0</v>
      </c>
      <c r="I220" s="3428">
        <f>'Tab. 6D - Oświata'!H61</f>
        <v>0</v>
      </c>
      <c r="J220" s="3428">
        <f>'Tab. 6D - Oświata'!I61</f>
        <v>0</v>
      </c>
      <c r="K220" s="3428">
        <f>'Tab. 6D - Oświata'!J61</f>
        <v>0</v>
      </c>
      <c r="L220" s="3428">
        <f>'Tab. 6D - Oświata'!K61</f>
        <v>0</v>
      </c>
      <c r="M220" s="3428"/>
      <c r="N220" s="3428"/>
      <c r="O220" s="3428"/>
      <c r="P220" s="3428"/>
      <c r="Q220" s="3428"/>
      <c r="R220" s="3429"/>
      <c r="S220" s="3429"/>
      <c r="T220" s="3429"/>
      <c r="U220" s="3429"/>
      <c r="V220" s="3429"/>
    </row>
    <row r="221" spans="1:22" ht="33.75" hidden="1" customHeight="1">
      <c r="A221" s="4549" t="s">
        <v>116</v>
      </c>
      <c r="B221" s="3398" t="str">
        <f>'Tab. 6D - Oświata'!B62</f>
        <v>Projekt pn. "Europejskie Standardy w Opiece nad Osobami Starszymi" w ramach Programu Erasmus+ (2015-2016)</v>
      </c>
      <c r="C221" s="3399" t="s">
        <v>344</v>
      </c>
      <c r="D221" s="3400" t="e">
        <f>E224/E222%</f>
        <v>#DIV/0!</v>
      </c>
      <c r="E221" s="3401"/>
      <c r="F221" s="3402"/>
      <c r="G221" s="3403"/>
      <c r="H221" s="3402"/>
      <c r="I221" s="3402"/>
      <c r="J221" s="3402"/>
      <c r="K221" s="3403"/>
      <c r="L221" s="3403"/>
      <c r="M221" s="3402"/>
      <c r="N221" s="3402"/>
      <c r="O221" s="3402"/>
      <c r="P221" s="3402"/>
      <c r="Q221" s="3402"/>
      <c r="R221" s="3404"/>
      <c r="S221" s="3405"/>
      <c r="T221" s="3405"/>
      <c r="U221" s="3405"/>
      <c r="V221" s="3405"/>
    </row>
    <row r="222" spans="1:22" ht="13.5" hidden="1" customHeight="1">
      <c r="A222" s="4544"/>
      <c r="B222" s="3406" t="s">
        <v>205</v>
      </c>
      <c r="C222" s="3407"/>
      <c r="D222" s="3408"/>
      <c r="E222" s="3409">
        <f>+F222+G222+H222+I222+J222+K222+L222+M222</f>
        <v>0</v>
      </c>
      <c r="F222" s="3410">
        <f>'Tab. 6D - Oświata'!E63</f>
        <v>0</v>
      </c>
      <c r="G222" s="3410">
        <f>'Tab. 6D - Oświata'!F63</f>
        <v>0</v>
      </c>
      <c r="H222" s="3410">
        <f>'Tab. 6D - Oświata'!G63</f>
        <v>0</v>
      </c>
      <c r="I222" s="3410">
        <f>'Tab. 6D - Oświata'!H63</f>
        <v>0</v>
      </c>
      <c r="J222" s="3410">
        <f>'Tab. 6D - Oświata'!I63</f>
        <v>0</v>
      </c>
      <c r="K222" s="3410">
        <f>'Tab. 6D - Oświata'!J63</f>
        <v>0</v>
      </c>
      <c r="L222" s="3410">
        <f>'Tab. 6D - Oświata'!K63</f>
        <v>0</v>
      </c>
      <c r="M222" s="3410"/>
      <c r="N222" s="3410"/>
      <c r="O222" s="3410"/>
      <c r="P222" s="3410"/>
      <c r="Q222" s="3410"/>
      <c r="R222" s="3411"/>
      <c r="S222" s="3412"/>
      <c r="T222" s="3412"/>
      <c r="U222" s="3412"/>
      <c r="V222" s="3412"/>
    </row>
    <row r="223" spans="1:22" ht="13.5" hidden="1" customHeight="1">
      <c r="A223" s="4544"/>
      <c r="B223" s="3413" t="s">
        <v>338</v>
      </c>
      <c r="C223" s="2794"/>
      <c r="D223" s="3414"/>
      <c r="E223" s="3175">
        <f>+F223+G223+H223+I223+J223+K223+L223+M223</f>
        <v>0</v>
      </c>
      <c r="F223" s="3415"/>
      <c r="G223" s="3415"/>
      <c r="H223" s="3415"/>
      <c r="I223" s="3415"/>
      <c r="J223" s="3415"/>
      <c r="K223" s="3415"/>
      <c r="L223" s="3415"/>
      <c r="M223" s="3415"/>
      <c r="N223" s="3415"/>
      <c r="O223" s="3415"/>
      <c r="P223" s="3415"/>
      <c r="Q223" s="3415"/>
      <c r="R223" s="3416"/>
      <c r="S223" s="3416"/>
      <c r="T223" s="3416"/>
      <c r="U223" s="3416"/>
      <c r="V223" s="3416"/>
    </row>
    <row r="224" spans="1:22" ht="13.5" hidden="1" customHeight="1" thickBot="1">
      <c r="A224" s="4544"/>
      <c r="B224" s="3417" t="s">
        <v>207</v>
      </c>
      <c r="C224" s="3418"/>
      <c r="D224" s="3419"/>
      <c r="E224" s="3420">
        <f>+F224+G224+H224+I224+J224+K224+L224+M224</f>
        <v>0</v>
      </c>
      <c r="F224" s="3421">
        <f>'Tab. 6D - Oświata'!E65</f>
        <v>0</v>
      </c>
      <c r="G224" s="3421">
        <f>'Tab. 6D - Oświata'!F65</f>
        <v>0</v>
      </c>
      <c r="H224" s="3421">
        <f>'Tab. 6D - Oświata'!G65</f>
        <v>0</v>
      </c>
      <c r="I224" s="3421">
        <f>'Tab. 6D - Oświata'!H65</f>
        <v>0</v>
      </c>
      <c r="J224" s="3421">
        <f>'Tab. 6D - Oświata'!I65</f>
        <v>0</v>
      </c>
      <c r="K224" s="3421">
        <f>'Tab. 6D - Oświata'!J65</f>
        <v>0</v>
      </c>
      <c r="L224" s="3421">
        <f>'Tab. 6D - Oświata'!K65</f>
        <v>0</v>
      </c>
      <c r="M224" s="3421"/>
      <c r="N224" s="3421"/>
      <c r="O224" s="3421"/>
      <c r="P224" s="3421"/>
      <c r="Q224" s="3421"/>
      <c r="R224" s="3422"/>
      <c r="S224" s="3423"/>
      <c r="T224" s="3423"/>
      <c r="U224" s="3423"/>
      <c r="V224" s="3423"/>
    </row>
    <row r="225" spans="1:22" ht="13.5" hidden="1" customHeight="1" thickBot="1">
      <c r="A225" s="4545"/>
      <c r="B225" s="3424" t="s">
        <v>335</v>
      </c>
      <c r="C225" s="3425"/>
      <c r="D225" s="3426"/>
      <c r="E225" s="3427">
        <f>F225+G225+H225+I225+J225+K225+L225+M225</f>
        <v>0</v>
      </c>
      <c r="F225" s="3428">
        <f>'Tab. 6D - Oświata'!E68</f>
        <v>0</v>
      </c>
      <c r="G225" s="3428">
        <f>'Tab. 6D - Oświata'!F68</f>
        <v>0</v>
      </c>
      <c r="H225" s="3428">
        <f>'Tab. 6D - Oświata'!G68</f>
        <v>0</v>
      </c>
      <c r="I225" s="3428">
        <f>'Tab. 6D - Oświata'!H68</f>
        <v>0</v>
      </c>
      <c r="J225" s="3428">
        <f>'Tab. 6D - Oświata'!I68</f>
        <v>0</v>
      </c>
      <c r="K225" s="3428">
        <f>'Tab. 6D - Oświata'!J68</f>
        <v>0</v>
      </c>
      <c r="L225" s="3428">
        <f>'Tab. 6D - Oświata'!K68</f>
        <v>0</v>
      </c>
      <c r="M225" s="3428"/>
      <c r="N225" s="3428"/>
      <c r="O225" s="3428"/>
      <c r="P225" s="3428"/>
      <c r="Q225" s="3428"/>
      <c r="R225" s="3429"/>
      <c r="S225" s="3429"/>
      <c r="T225" s="3429"/>
      <c r="U225" s="3429"/>
      <c r="V225" s="3429"/>
    </row>
    <row r="226" spans="1:22" ht="35.25" customHeight="1">
      <c r="A226" s="4549" t="s">
        <v>88</v>
      </c>
      <c r="B226" s="3398" t="str">
        <f>'Tab. 6D - Oświata'!B69</f>
        <v>Wolontariat europejski EVS w ramach Programu Erasmus+  (2016-2018)</v>
      </c>
      <c r="C226" s="3399" t="s">
        <v>354</v>
      </c>
      <c r="D226" s="3400">
        <f>E229/E227%</f>
        <v>100</v>
      </c>
      <c r="E226" s="3401"/>
      <c r="F226" s="3402"/>
      <c r="G226" s="3403"/>
      <c r="H226" s="3402"/>
      <c r="I226" s="3402"/>
      <c r="J226" s="3402"/>
      <c r="K226" s="3403"/>
      <c r="L226" s="3403"/>
      <c r="M226" s="3402"/>
      <c r="N226" s="3402"/>
      <c r="O226" s="3402"/>
      <c r="P226" s="3402"/>
      <c r="Q226" s="3402"/>
      <c r="R226" s="3404"/>
      <c r="S226" s="3405"/>
      <c r="T226" s="3405"/>
      <c r="U226" s="3405"/>
      <c r="V226" s="3405"/>
    </row>
    <row r="227" spans="1:22" ht="17.25" customHeight="1">
      <c r="A227" s="4544"/>
      <c r="B227" s="3406" t="s">
        <v>205</v>
      </c>
      <c r="C227" s="3407"/>
      <c r="D227" s="3408"/>
      <c r="E227" s="3409">
        <f>+F227+G227+H227+I227+J227+K227+L227+M227</f>
        <v>50733</v>
      </c>
      <c r="F227" s="3410">
        <f>'Tab. 6D - Oświata'!E70</f>
        <v>803</v>
      </c>
      <c r="G227" s="3410">
        <f>'Tab. 6D - Oświata'!F70</f>
        <v>20291</v>
      </c>
      <c r="H227" s="3410">
        <f>'Tab. 6D - Oświata'!G70</f>
        <v>29639</v>
      </c>
      <c r="I227" s="3410">
        <f>'Tab. 6D - Oświata'!H70</f>
        <v>0</v>
      </c>
      <c r="J227" s="3410">
        <f>'Tab. 6D - Oświata'!I70</f>
        <v>0</v>
      </c>
      <c r="K227" s="3410">
        <f>'Tab. 6D - Oświata'!J70</f>
        <v>0</v>
      </c>
      <c r="L227" s="3410">
        <f>'Tab. 6D - Oświata'!K70</f>
        <v>0</v>
      </c>
      <c r="M227" s="3410">
        <f>'Tab. 6D - Oświata'!L70</f>
        <v>0</v>
      </c>
      <c r="N227" s="3410"/>
      <c r="O227" s="3410"/>
      <c r="P227" s="3410"/>
      <c r="Q227" s="3410"/>
      <c r="R227" s="3411"/>
      <c r="S227" s="3412"/>
      <c r="T227" s="3412"/>
      <c r="U227" s="3412"/>
      <c r="V227" s="3412"/>
    </row>
    <row r="228" spans="1:22" ht="13.5" customHeight="1">
      <c r="A228" s="4544"/>
      <c r="B228" s="3413" t="s">
        <v>338</v>
      </c>
      <c r="C228" s="2794"/>
      <c r="D228" s="3414"/>
      <c r="E228" s="3175">
        <f>+F228+G228+H228+I228+J228+K228+L228+M228</f>
        <v>0</v>
      </c>
      <c r="F228" s="3415"/>
      <c r="G228" s="3415"/>
      <c r="H228" s="3415"/>
      <c r="I228" s="3415"/>
      <c r="J228" s="3415"/>
      <c r="K228" s="3415"/>
      <c r="L228" s="3415"/>
      <c r="M228" s="3415"/>
      <c r="N228" s="3415"/>
      <c r="O228" s="3415"/>
      <c r="P228" s="3415"/>
      <c r="Q228" s="3415"/>
      <c r="R228" s="3416"/>
      <c r="S228" s="3416"/>
      <c r="T228" s="3416"/>
      <c r="U228" s="3416"/>
      <c r="V228" s="3416"/>
    </row>
    <row r="229" spans="1:22" ht="13.5" customHeight="1" thickBot="1">
      <c r="A229" s="4544"/>
      <c r="B229" s="3417" t="s">
        <v>207</v>
      </c>
      <c r="C229" s="3430">
        <f>E229-E230</f>
        <v>0</v>
      </c>
      <c r="D229" s="3419"/>
      <c r="E229" s="3420">
        <f>+F229+G229+H229+I229+J229+K229+L229+M229</f>
        <v>50733</v>
      </c>
      <c r="F229" s="3421">
        <f>'Tab. 6D - Oświata'!E72</f>
        <v>803</v>
      </c>
      <c r="G229" s="3421">
        <f>'Tab. 6D - Oświata'!F72</f>
        <v>20291</v>
      </c>
      <c r="H229" s="3421">
        <f>'Tab. 6D - Oświata'!G72</f>
        <v>29639</v>
      </c>
      <c r="I229" s="3421">
        <f>'Tab. 6D - Oświata'!H72</f>
        <v>0</v>
      </c>
      <c r="J229" s="3421">
        <f>'Tab. 6D - Oświata'!I72</f>
        <v>0</v>
      </c>
      <c r="K229" s="3421">
        <f>'Tab. 6D - Oświata'!J72</f>
        <v>0</v>
      </c>
      <c r="L229" s="3421">
        <f>'Tab. 6D - Oświata'!K72</f>
        <v>0</v>
      </c>
      <c r="M229" s="3421">
        <f>'Tab. 6D - Oświata'!L72</f>
        <v>0</v>
      </c>
      <c r="N229" s="3421"/>
      <c r="O229" s="3421"/>
      <c r="P229" s="3421"/>
      <c r="Q229" s="3421"/>
      <c r="R229" s="3422"/>
      <c r="S229" s="3423"/>
      <c r="T229" s="3423"/>
      <c r="U229" s="3423"/>
      <c r="V229" s="3423"/>
    </row>
    <row r="230" spans="1:22" ht="13.5" customHeight="1" thickBot="1">
      <c r="A230" s="4545"/>
      <c r="B230" s="3424" t="s">
        <v>335</v>
      </c>
      <c r="C230" s="3425"/>
      <c r="D230" s="3426"/>
      <c r="E230" s="3427">
        <f>F230+G230+H230+I230+J230+K230+L230+M230</f>
        <v>50733</v>
      </c>
      <c r="F230" s="3428">
        <f>'Tab. 6D - Oświata'!E74</f>
        <v>803</v>
      </c>
      <c r="G230" s="3428">
        <f>'Tab. 6D - Oświata'!F74</f>
        <v>28048</v>
      </c>
      <c r="H230" s="3428">
        <f>'Tab. 6D - Oświata'!G74</f>
        <v>21882</v>
      </c>
      <c r="I230" s="3428">
        <f>'Tab. 6D - Oświata'!H74</f>
        <v>0</v>
      </c>
      <c r="J230" s="3428">
        <f>'Tab. 6D - Oświata'!I74</f>
        <v>0</v>
      </c>
      <c r="K230" s="3428">
        <f>'Tab. 6D - Oświata'!J74</f>
        <v>0</v>
      </c>
      <c r="L230" s="3428">
        <f>'Tab. 6D - Oświata'!K74</f>
        <v>0</v>
      </c>
      <c r="M230" s="3428">
        <f>'Tab. 6D - Oświata'!L74</f>
        <v>0</v>
      </c>
      <c r="N230" s="3428"/>
      <c r="O230" s="3428"/>
      <c r="P230" s="3428"/>
      <c r="Q230" s="3428"/>
      <c r="R230" s="3429"/>
      <c r="S230" s="3429"/>
      <c r="T230" s="3429"/>
      <c r="U230" s="3429"/>
      <c r="V230" s="3429"/>
    </row>
    <row r="231" spans="1:22" ht="60" customHeight="1">
      <c r="A231" s="4549" t="s">
        <v>89</v>
      </c>
      <c r="B231" s="3398" t="str">
        <f>'Tab. 6E - Administracja'!B71</f>
        <v>Sieć Punktów Informacyjnych Funduszy Europejskich (PIFE) w Województwie Zachodniopomorskim w ramach PO Pomoc Techniczna (2015-2020)</v>
      </c>
      <c r="C231" s="3399" t="s">
        <v>351</v>
      </c>
      <c r="D231" s="3400">
        <f>E234/E232%</f>
        <v>85.000005429653953</v>
      </c>
      <c r="E231" s="3401"/>
      <c r="F231" s="3402"/>
      <c r="G231" s="3403"/>
      <c r="H231" s="3402"/>
      <c r="I231" s="3402"/>
      <c r="J231" s="3402"/>
      <c r="K231" s="3403"/>
      <c r="L231" s="3403"/>
      <c r="M231" s="3402"/>
      <c r="N231" s="3402"/>
      <c r="O231" s="3402"/>
      <c r="P231" s="3402"/>
      <c r="Q231" s="3402"/>
      <c r="R231" s="3404"/>
      <c r="S231" s="3405"/>
      <c r="T231" s="3405"/>
      <c r="U231" s="3405"/>
      <c r="V231" s="3405"/>
    </row>
    <row r="232" spans="1:22" ht="13.5" customHeight="1">
      <c r="A232" s="4544"/>
      <c r="B232" s="3406" t="s">
        <v>205</v>
      </c>
      <c r="C232" s="3407"/>
      <c r="D232" s="3408"/>
      <c r="E232" s="3409">
        <f>+F232+G232+H232+I232+J232+K232+L232+M232</f>
        <v>9208690</v>
      </c>
      <c r="F232" s="3410">
        <f>'Tab. 6E - Administracja'!E72</f>
        <v>2589029</v>
      </c>
      <c r="G232" s="3410">
        <f>'Tab. 6E - Administracja'!F72</f>
        <v>1519661</v>
      </c>
      <c r="H232" s="3410">
        <f>'Tab. 6E - Administracja'!G72</f>
        <v>2200000</v>
      </c>
      <c r="I232" s="3410">
        <f>'Tab. 6E - Administracja'!H72</f>
        <v>1500000</v>
      </c>
      <c r="J232" s="3410">
        <f>'Tab. 6E - Administracja'!I72</f>
        <v>1400000</v>
      </c>
      <c r="K232" s="3410">
        <f>'Tab. 6E - Administracja'!J72</f>
        <v>0</v>
      </c>
      <c r="L232" s="3410">
        <f>'Tab. 6E - Administracja'!K72</f>
        <v>0</v>
      </c>
      <c r="M232" s="3410">
        <f>'Tab. 6E - Administracja'!L72</f>
        <v>0</v>
      </c>
      <c r="N232" s="3410"/>
      <c r="O232" s="3410"/>
      <c r="P232" s="3410"/>
      <c r="Q232" s="3410"/>
      <c r="R232" s="3411"/>
      <c r="S232" s="3412"/>
      <c r="T232" s="3412"/>
      <c r="U232" s="3412"/>
      <c r="V232" s="3412"/>
    </row>
    <row r="233" spans="1:22" ht="13.5" customHeight="1">
      <c r="A233" s="4544"/>
      <c r="B233" s="3413" t="s">
        <v>367</v>
      </c>
      <c r="C233" s="2794"/>
      <c r="D233" s="3414"/>
      <c r="E233" s="3175">
        <f>+F233+G233+H233+I233+J233+K233+L233+M233</f>
        <v>1381303</v>
      </c>
      <c r="F233" s="3415">
        <f>'Tab. 6E - Administracja'!E73</f>
        <v>388354</v>
      </c>
      <c r="G233" s="3415">
        <f>'Tab. 6E - Administracja'!F73</f>
        <v>227949</v>
      </c>
      <c r="H233" s="3415">
        <f>'Tab. 6E - Administracja'!G73</f>
        <v>330000</v>
      </c>
      <c r="I233" s="3415">
        <f>'Tab. 6E - Administracja'!H73</f>
        <v>225000</v>
      </c>
      <c r="J233" s="3415">
        <f>'Tab. 6E - Administracja'!I73</f>
        <v>210000</v>
      </c>
      <c r="K233" s="3415">
        <f>'Tab. 6E - Administracja'!J73</f>
        <v>0</v>
      </c>
      <c r="L233" s="3415">
        <f>'Tab. 6E - Administracja'!K73</f>
        <v>0</v>
      </c>
      <c r="M233" s="3415">
        <f>'Tab. 6E - Administracja'!L73</f>
        <v>0</v>
      </c>
      <c r="N233" s="3415"/>
      <c r="O233" s="3415"/>
      <c r="P233" s="3415"/>
      <c r="Q233" s="3415"/>
      <c r="R233" s="3416"/>
      <c r="S233" s="3416"/>
      <c r="T233" s="3416"/>
      <c r="U233" s="3416"/>
      <c r="V233" s="3416"/>
    </row>
    <row r="234" spans="1:22" ht="13.5" customHeight="1" thickBot="1">
      <c r="A234" s="4544"/>
      <c r="B234" s="3417" t="s">
        <v>207</v>
      </c>
      <c r="C234" s="3430">
        <f>E234-E235</f>
        <v>0</v>
      </c>
      <c r="D234" s="3419"/>
      <c r="E234" s="3420">
        <f>+F234+G234+H234+I234+J234+K234+L234+M234</f>
        <v>7827387</v>
      </c>
      <c r="F234" s="3421">
        <f>'Tab. 6E - Administracja'!E75</f>
        <v>2200675</v>
      </c>
      <c r="G234" s="3421">
        <f>'Tab. 6E - Administracja'!F75</f>
        <v>1291712</v>
      </c>
      <c r="H234" s="3421">
        <f>'Tab. 6E - Administracja'!G75</f>
        <v>1870000</v>
      </c>
      <c r="I234" s="3421">
        <f>'Tab. 6E - Administracja'!H75</f>
        <v>1275000</v>
      </c>
      <c r="J234" s="3421">
        <f>'Tab. 6E - Administracja'!I75</f>
        <v>1190000</v>
      </c>
      <c r="K234" s="3421">
        <f>'Tab. 6E - Administracja'!J75</f>
        <v>0</v>
      </c>
      <c r="L234" s="3421">
        <f>'Tab. 6E - Administracja'!K75</f>
        <v>0</v>
      </c>
      <c r="M234" s="3421">
        <f>'Tab. 6E - Administracja'!L75</f>
        <v>0</v>
      </c>
      <c r="N234" s="3421"/>
      <c r="O234" s="3421"/>
      <c r="P234" s="3421"/>
      <c r="Q234" s="3421"/>
      <c r="R234" s="3422"/>
      <c r="S234" s="3423"/>
      <c r="T234" s="3423"/>
      <c r="U234" s="3423"/>
      <c r="V234" s="3423"/>
    </row>
    <row r="235" spans="1:22" ht="15" customHeight="1" thickBot="1">
      <c r="A235" s="4545"/>
      <c r="B235" s="3424" t="s">
        <v>335</v>
      </c>
      <c r="C235" s="3425"/>
      <c r="D235" s="3426"/>
      <c r="E235" s="3427">
        <f>F235+G235+H235+I235+J235+K235+L235+M235</f>
        <v>7827387</v>
      </c>
      <c r="F235" s="3428">
        <f>'Tab. 6E - Administracja'!E80</f>
        <v>2200675</v>
      </c>
      <c r="G235" s="3428">
        <f>'Tab. 6E - Administracja'!F80</f>
        <v>1291712</v>
      </c>
      <c r="H235" s="3428">
        <f>'Tab. 6E - Administracja'!G80</f>
        <v>1870000</v>
      </c>
      <c r="I235" s="3428">
        <f>'Tab. 6E - Administracja'!H80</f>
        <v>1275000</v>
      </c>
      <c r="J235" s="3428">
        <f>'Tab. 6E - Administracja'!I80</f>
        <v>1190000</v>
      </c>
      <c r="K235" s="3428">
        <f>'Tab. 6E - Administracja'!J80</f>
        <v>0</v>
      </c>
      <c r="L235" s="3428">
        <f>'Tab. 6E - Administracja'!K80</f>
        <v>0</v>
      </c>
      <c r="M235" s="3428">
        <f>'Tab. 6E - Administracja'!L80</f>
        <v>0</v>
      </c>
      <c r="N235" s="3428"/>
      <c r="O235" s="3428"/>
      <c r="P235" s="3428"/>
      <c r="Q235" s="3428"/>
      <c r="R235" s="3429"/>
      <c r="S235" s="3429"/>
      <c r="T235" s="3429"/>
      <c r="U235" s="3429"/>
      <c r="V235" s="3429"/>
    </row>
    <row r="236" spans="1:22" ht="24">
      <c r="A236" s="4549" t="s">
        <v>90</v>
      </c>
      <c r="B236" s="3398" t="str">
        <f>'Tab. 6E - Administracja'!B212</f>
        <v xml:space="preserve">Wsparcie gmin w opracowaniu albo aktualizacji programów rewitalizacji w ramach PO Pomoc Techniczna (2016 - 2018) </v>
      </c>
      <c r="C236" s="3399" t="s">
        <v>349</v>
      </c>
      <c r="D236" s="3400">
        <f>E239/E237%</f>
        <v>83.312239537622943</v>
      </c>
      <c r="E236" s="3401"/>
      <c r="F236" s="3402"/>
      <c r="G236" s="3403"/>
      <c r="H236" s="3402"/>
      <c r="I236" s="3402"/>
      <c r="J236" s="3402"/>
      <c r="K236" s="3403"/>
      <c r="L236" s="3403"/>
      <c r="M236" s="3402"/>
      <c r="N236" s="3402"/>
      <c r="O236" s="3402"/>
      <c r="P236" s="3402"/>
      <c r="Q236" s="3402"/>
      <c r="R236" s="3404"/>
      <c r="S236" s="3405"/>
      <c r="T236" s="3405"/>
      <c r="U236" s="3405"/>
      <c r="V236" s="3405"/>
    </row>
    <row r="237" spans="1:22" ht="13.5" customHeight="1">
      <c r="A237" s="4544"/>
      <c r="B237" s="3406" t="s">
        <v>205</v>
      </c>
      <c r="C237" s="3407"/>
      <c r="D237" s="3408"/>
      <c r="E237" s="3409">
        <f>+F237+G237+H237+I237+J237+K237+L237+M237</f>
        <v>5036236</v>
      </c>
      <c r="F237" s="3410">
        <f>'Tab. 6E - Administracja'!E213-'Tab. 6E - Administracja'!E217</f>
        <v>131150</v>
      </c>
      <c r="G237" s="3410">
        <f>'Tab. 6E - Administracja'!F213-'Tab. 6E - Administracja'!F217</f>
        <v>965882</v>
      </c>
      <c r="H237" s="3410">
        <f>'Tab. 6E - Administracja'!G213-'Tab. 6E - Administracja'!G217</f>
        <v>3939204</v>
      </c>
      <c r="I237" s="3410">
        <f>'Tab. 6E - Administracja'!H213-'Tab. 6E - Administracja'!H217</f>
        <v>0</v>
      </c>
      <c r="J237" s="3410">
        <f>'Tab. 6E - Administracja'!I213-'Tab. 6E - Administracja'!I217</f>
        <v>0</v>
      </c>
      <c r="K237" s="3410">
        <f>'Tab. 6E - Administracja'!J213-'Tab. 6E - Administracja'!J217</f>
        <v>0</v>
      </c>
      <c r="L237" s="3410">
        <f>'Tab. 6E - Administracja'!K213-'Tab. 6E - Administracja'!K217</f>
        <v>0</v>
      </c>
      <c r="M237" s="3410">
        <f>'Tab. 6E - Administracja'!L213-'Tab. 6E - Administracja'!L217</f>
        <v>0</v>
      </c>
      <c r="N237" s="3410"/>
      <c r="O237" s="3410"/>
      <c r="P237" s="3410"/>
      <c r="Q237" s="3410"/>
      <c r="R237" s="3411"/>
      <c r="S237" s="3412"/>
      <c r="T237" s="3412"/>
      <c r="U237" s="3412"/>
      <c r="V237" s="3412"/>
    </row>
    <row r="238" spans="1:22" ht="24">
      <c r="A238" s="4544"/>
      <c r="B238" s="3413" t="s">
        <v>370</v>
      </c>
      <c r="C238" s="2794"/>
      <c r="D238" s="3414"/>
      <c r="E238" s="3175">
        <f>+F238+G238+H238+I238+J238+K238+L238+M238</f>
        <v>840435</v>
      </c>
      <c r="F238" s="3415">
        <f>'Tab. 6E - Administracja'!E215+'Tab. 6E - Administracja'!E216</f>
        <v>28691</v>
      </c>
      <c r="G238" s="3415">
        <f>'Tab. 6E - Administracja'!F215+'Tab. 6E - Administracja'!F216</f>
        <v>166584</v>
      </c>
      <c r="H238" s="3415">
        <f>'Tab. 6E - Administracja'!G215+'Tab. 6E - Administracja'!G216</f>
        <v>645160</v>
      </c>
      <c r="I238" s="3415">
        <f>'Tab. 6E - Administracja'!H215+'Tab. 6E - Administracja'!H216</f>
        <v>0</v>
      </c>
      <c r="J238" s="3415">
        <f>'Tab. 6E - Administracja'!I215+'Tab. 6E - Administracja'!I216</f>
        <v>0</v>
      </c>
      <c r="K238" s="3415">
        <f>'Tab. 6E - Administracja'!J215+'Tab. 6E - Administracja'!J216</f>
        <v>0</v>
      </c>
      <c r="L238" s="3415">
        <f>'Tab. 6E - Administracja'!K215+'Tab. 6E - Administracja'!K216</f>
        <v>0</v>
      </c>
      <c r="M238" s="3415">
        <f>'Tab. 6E - Administracja'!L215+'Tab. 6E - Administracja'!L216</f>
        <v>0</v>
      </c>
      <c r="N238" s="3415"/>
      <c r="O238" s="3415"/>
      <c r="P238" s="3415"/>
      <c r="Q238" s="3415"/>
      <c r="R238" s="3416"/>
      <c r="S238" s="3416"/>
      <c r="T238" s="3416"/>
      <c r="U238" s="3416"/>
      <c r="V238" s="3416"/>
    </row>
    <row r="239" spans="1:22" ht="13.5" thickBot="1">
      <c r="A239" s="4544"/>
      <c r="B239" s="3417" t="s">
        <v>207</v>
      </c>
      <c r="C239" s="3430">
        <f>E239-E240</f>
        <v>0</v>
      </c>
      <c r="D239" s="3419"/>
      <c r="E239" s="3420">
        <f>+F239+G239+H239+I239+J239+K239+L239+M239</f>
        <v>4195801</v>
      </c>
      <c r="F239" s="3421">
        <f>'Tab. 6E - Administracja'!E218</f>
        <v>102459</v>
      </c>
      <c r="G239" s="3421">
        <f>'Tab. 6E - Administracja'!F218</f>
        <v>799298</v>
      </c>
      <c r="H239" s="3421">
        <f>'Tab. 6E - Administracja'!G218</f>
        <v>3294044</v>
      </c>
      <c r="I239" s="3421">
        <f>'Tab. 6E - Administracja'!H218</f>
        <v>0</v>
      </c>
      <c r="J239" s="3421">
        <f>'Tab. 6E - Administracja'!I218</f>
        <v>0</v>
      </c>
      <c r="K239" s="3421">
        <f>'Tab. 6E - Administracja'!J218</f>
        <v>0</v>
      </c>
      <c r="L239" s="3421">
        <f>'Tab. 6E - Administracja'!K218</f>
        <v>0</v>
      </c>
      <c r="M239" s="3421">
        <f>'Tab. 6E - Administracja'!L218</f>
        <v>0</v>
      </c>
      <c r="N239" s="3421"/>
      <c r="O239" s="3421"/>
      <c r="P239" s="3421"/>
      <c r="Q239" s="3421"/>
      <c r="R239" s="3422"/>
      <c r="S239" s="3423"/>
      <c r="T239" s="3423"/>
      <c r="U239" s="3423"/>
      <c r="V239" s="3423"/>
    </row>
    <row r="240" spans="1:22" ht="13.5" customHeight="1" thickBot="1">
      <c r="A240" s="4545"/>
      <c r="B240" s="3424" t="s">
        <v>335</v>
      </c>
      <c r="C240" s="3425"/>
      <c r="D240" s="3426"/>
      <c r="E240" s="3427">
        <f>F240+G240+H240+I240+J240+K240+L240+M240</f>
        <v>4195801</v>
      </c>
      <c r="F240" s="3428">
        <f>'Tab. 6E - Administracja'!E223</f>
        <v>102459</v>
      </c>
      <c r="G240" s="3428">
        <f>'Tab. 6E - Administracja'!F223</f>
        <v>799298</v>
      </c>
      <c r="H240" s="3428">
        <f>'Tab. 6E - Administracja'!G223</f>
        <v>3294044</v>
      </c>
      <c r="I240" s="3428">
        <f>'Tab. 6E - Administracja'!H223</f>
        <v>0</v>
      </c>
      <c r="J240" s="3428">
        <f>'Tab. 6E - Administracja'!I223</f>
        <v>0</v>
      </c>
      <c r="K240" s="3428">
        <f>'Tab. 6E - Administracja'!J223</f>
        <v>0</v>
      </c>
      <c r="L240" s="3428">
        <f>'Tab. 6E - Administracja'!K223</f>
        <v>0</v>
      </c>
      <c r="M240" s="3428">
        <f>'Tab. 6E - Administracja'!L223</f>
        <v>0</v>
      </c>
      <c r="N240" s="3428"/>
      <c r="O240" s="3428"/>
      <c r="P240" s="3428"/>
      <c r="Q240" s="3428"/>
      <c r="R240" s="3429"/>
      <c r="S240" s="3429"/>
      <c r="T240" s="3429"/>
      <c r="U240" s="3429"/>
      <c r="V240" s="3429"/>
    </row>
    <row r="241" spans="1:22" ht="36.75" customHeight="1">
      <c r="A241" s="4549" t="s">
        <v>91</v>
      </c>
      <c r="B241" s="3398" t="str">
        <f>'Tab. 6G - Roln i ochrona środ.'!B43</f>
        <v>Pomoc Techniczna  w ramach PROW 2014 - 2020 (2015-2023)</v>
      </c>
      <c r="C241" s="3399" t="s">
        <v>358</v>
      </c>
      <c r="D241" s="3400">
        <f>E244/E242%</f>
        <v>63.630699206525151</v>
      </c>
      <c r="E241" s="3401"/>
      <c r="F241" s="3402"/>
      <c r="G241" s="3403"/>
      <c r="H241" s="3402"/>
      <c r="I241" s="3402"/>
      <c r="J241" s="3402"/>
      <c r="K241" s="3403"/>
      <c r="L241" s="3403"/>
      <c r="M241" s="3402"/>
      <c r="N241" s="3402"/>
      <c r="O241" s="3402"/>
      <c r="P241" s="3402"/>
      <c r="Q241" s="3402"/>
      <c r="R241" s="3404"/>
      <c r="S241" s="3405"/>
      <c r="T241" s="3405"/>
      <c r="U241" s="3405"/>
      <c r="V241" s="3405"/>
    </row>
    <row r="242" spans="1:22" ht="13.5" customHeight="1">
      <c r="A242" s="4544"/>
      <c r="B242" s="3406" t="s">
        <v>205</v>
      </c>
      <c r="C242" s="3407"/>
      <c r="D242" s="3408"/>
      <c r="E242" s="3409">
        <f>+F242+G242+H242+I242+J242+K242+L242+M242</f>
        <v>32711308</v>
      </c>
      <c r="F242" s="3410">
        <f>'Tab. 6G - Roln i ochrona środ.'!E44</f>
        <v>5960282</v>
      </c>
      <c r="G242" s="3410">
        <f>'Tab. 6G - Roln i ochrona środ.'!F44</f>
        <v>3712693</v>
      </c>
      <c r="H242" s="3410">
        <f>'Tab. 6G - Roln i ochrona środ.'!G44</f>
        <v>5500000</v>
      </c>
      <c r="I242" s="3410">
        <f>'Tab. 6G - Roln i ochrona środ.'!H44</f>
        <v>6500000</v>
      </c>
      <c r="J242" s="3410">
        <f>'Tab. 6G - Roln i ochrona środ.'!I44</f>
        <v>6000000</v>
      </c>
      <c r="K242" s="3410">
        <f>'Tab. 6G - Roln i ochrona środ.'!J44</f>
        <v>1883242</v>
      </c>
      <c r="L242" s="3410">
        <f>'Tab. 6G - Roln i ochrona środ.'!K44</f>
        <v>1607578</v>
      </c>
      <c r="M242" s="3410">
        <f>'Tab. 6G - Roln i ochrona środ.'!L44</f>
        <v>1547513</v>
      </c>
      <c r="N242" s="3410"/>
      <c r="O242" s="3410"/>
      <c r="P242" s="3410"/>
      <c r="Q242" s="3410"/>
      <c r="R242" s="3411"/>
      <c r="S242" s="3412"/>
      <c r="T242" s="3412"/>
      <c r="U242" s="3412"/>
      <c r="V242" s="3412"/>
    </row>
    <row r="243" spans="1:22">
      <c r="A243" s="4544"/>
      <c r="B243" s="3413" t="s">
        <v>367</v>
      </c>
      <c r="C243" s="2794"/>
      <c r="D243" s="3414"/>
      <c r="E243" s="3175">
        <f>+F243+G243+H243+I243+J243+K243+L243+M243</f>
        <v>11896874</v>
      </c>
      <c r="F243" s="3415">
        <f>'Tab. 6G - Roln i ochrona środ.'!E45</f>
        <v>2167756</v>
      </c>
      <c r="G243" s="3415">
        <f>'Tab. 6G - Roln i ochrona środ.'!F45</f>
        <v>1350307</v>
      </c>
      <c r="H243" s="3415">
        <f>'Tab. 6G - Roln i ochrona środ.'!G45</f>
        <v>2000000</v>
      </c>
      <c r="I243" s="3415">
        <f>'Tab. 6G - Roln i ochrona środ.'!H45</f>
        <v>2364000</v>
      </c>
      <c r="J243" s="3415">
        <f>'Tab. 6G - Roln i ochrona środ.'!I45</f>
        <v>2182000</v>
      </c>
      <c r="K243" s="3415">
        <f>'Tab. 6G - Roln i ochrona środ.'!J45</f>
        <v>685335</v>
      </c>
      <c r="L243" s="3415">
        <f>'Tab. 6G - Roln i ochrona środ.'!K45</f>
        <v>585076</v>
      </c>
      <c r="M243" s="3415">
        <f>'Tab. 6G - Roln i ochrona środ.'!L45</f>
        <v>562400</v>
      </c>
      <c r="N243" s="3415"/>
      <c r="O243" s="3415"/>
      <c r="P243" s="3415"/>
      <c r="Q243" s="3415"/>
      <c r="R243" s="3416"/>
      <c r="S243" s="3416"/>
      <c r="T243" s="3416"/>
      <c r="U243" s="3416"/>
      <c r="V243" s="3416"/>
    </row>
    <row r="244" spans="1:22" ht="14.25" customHeight="1" thickBot="1">
      <c r="A244" s="4544"/>
      <c r="B244" s="3417" t="s">
        <v>207</v>
      </c>
      <c r="C244" s="3430">
        <f>E244-E245</f>
        <v>0</v>
      </c>
      <c r="D244" s="3419"/>
      <c r="E244" s="3420">
        <f>+F244+G244+H244+I244+J244+K244+L244+M244</f>
        <v>20814434</v>
      </c>
      <c r="F244" s="3421">
        <f>'Tab. 6G - Roln i ochrona środ.'!E49</f>
        <v>3792526</v>
      </c>
      <c r="G244" s="3421">
        <f>'Tab. 6G - Roln i ochrona środ.'!F49</f>
        <v>2362386</v>
      </c>
      <c r="H244" s="3421">
        <f>'Tab. 6G - Roln i ochrona środ.'!G49</f>
        <v>3500000</v>
      </c>
      <c r="I244" s="3421">
        <f>'Tab. 6G - Roln i ochrona środ.'!H49</f>
        <v>4136000</v>
      </c>
      <c r="J244" s="3421">
        <f>'Tab. 6G - Roln i ochrona środ.'!I49</f>
        <v>3818000</v>
      </c>
      <c r="K244" s="3421">
        <f>'Tab. 6G - Roln i ochrona środ.'!J49</f>
        <v>1197907</v>
      </c>
      <c r="L244" s="3421">
        <f>'Tab. 6G - Roln i ochrona środ.'!K49</f>
        <v>1022502</v>
      </c>
      <c r="M244" s="3421">
        <f>'Tab. 6G - Roln i ochrona środ.'!L49</f>
        <v>985113</v>
      </c>
      <c r="N244" s="3421"/>
      <c r="O244" s="3421"/>
      <c r="P244" s="3421"/>
      <c r="Q244" s="3421"/>
      <c r="R244" s="3422"/>
      <c r="S244" s="3423"/>
      <c r="T244" s="3423"/>
      <c r="U244" s="3423"/>
      <c r="V244" s="3423"/>
    </row>
    <row r="245" spans="1:22" ht="13.5" customHeight="1" thickBot="1">
      <c r="A245" s="4545"/>
      <c r="B245" s="3424" t="s">
        <v>335</v>
      </c>
      <c r="C245" s="3425"/>
      <c r="D245" s="3426"/>
      <c r="E245" s="3427">
        <f>F245+G245+H245+I245+J245+K245+L245+M245</f>
        <v>20814434</v>
      </c>
      <c r="F245" s="3428">
        <f>'Tab. 6G - Roln i ochrona środ.'!E54</f>
        <v>3792526</v>
      </c>
      <c r="G245" s="3428">
        <f>'Tab. 6G - Roln i ochrona środ.'!F54</f>
        <v>2362386</v>
      </c>
      <c r="H245" s="3428">
        <f>'Tab. 6G - Roln i ochrona środ.'!G54</f>
        <v>3500000</v>
      </c>
      <c r="I245" s="3428">
        <f>'Tab. 6G - Roln i ochrona środ.'!H54</f>
        <v>4136000</v>
      </c>
      <c r="J245" s="3428">
        <f>'Tab. 6G - Roln i ochrona środ.'!I54</f>
        <v>3818000</v>
      </c>
      <c r="K245" s="3428">
        <f>'Tab. 6G - Roln i ochrona środ.'!J54</f>
        <v>1197907</v>
      </c>
      <c r="L245" s="3428">
        <f>'Tab. 6G - Roln i ochrona środ.'!K54</f>
        <v>1022502</v>
      </c>
      <c r="M245" s="3428">
        <f>'Tab. 6G - Roln i ochrona środ.'!L54</f>
        <v>985113</v>
      </c>
      <c r="N245" s="3428"/>
      <c r="O245" s="3428"/>
      <c r="P245" s="3428"/>
      <c r="Q245" s="3428"/>
      <c r="R245" s="3429"/>
      <c r="S245" s="3429"/>
      <c r="T245" s="3429"/>
      <c r="U245" s="3429"/>
      <c r="V245" s="3429"/>
    </row>
    <row r="246" spans="1:22" ht="48.75" customHeight="1">
      <c r="A246" s="4550" t="s">
        <v>92</v>
      </c>
      <c r="B246" s="3472" t="str">
        <f>'Tab. 6G - Roln i ochrona środ.'!B77</f>
        <v xml:space="preserve">Wzmacnianie ochrony bociana białego i nietoperzy oraz realizacja zadań czynnej ochrony w rezerwatach przyrody na obszarach parków krajobrazowych województwa zachodniopomorskiego- bieżące" w ramach Osi IV RPO (2016-2020) </v>
      </c>
      <c r="C246" s="3399" t="s">
        <v>733</v>
      </c>
      <c r="D246" s="3400"/>
      <c r="E246" s="3401"/>
      <c r="F246" s="3402"/>
      <c r="G246" s="3403"/>
      <c r="H246" s="3402"/>
      <c r="I246" s="3402"/>
      <c r="J246" s="3402"/>
      <c r="K246" s="3403"/>
      <c r="L246" s="3403"/>
      <c r="M246" s="3402"/>
      <c r="N246" s="3402"/>
      <c r="O246" s="3402"/>
      <c r="P246" s="3402"/>
      <c r="Q246" s="3402"/>
      <c r="R246" s="3404"/>
      <c r="S246" s="3405"/>
      <c r="T246" s="3405"/>
      <c r="U246" s="3405"/>
      <c r="V246" s="3405"/>
    </row>
    <row r="247" spans="1:22" ht="13.5" customHeight="1">
      <c r="A247" s="4551"/>
      <c r="B247" s="3406" t="s">
        <v>205</v>
      </c>
      <c r="C247" s="3407"/>
      <c r="D247" s="3408"/>
      <c r="E247" s="3409">
        <f>+F247+G247+H247+I247+J247+K247+L247+M247</f>
        <v>9980</v>
      </c>
      <c r="F247" s="3410">
        <f>'Tab. 6G - Roln i ochrona środ.'!E78</f>
        <v>0</v>
      </c>
      <c r="G247" s="3410">
        <f>'Tab. 6G - Roln i ochrona środ.'!F78</f>
        <v>0</v>
      </c>
      <c r="H247" s="3410">
        <f>'Tab. 6G - Roln i ochrona środ.'!G78</f>
        <v>6680</v>
      </c>
      <c r="I247" s="3410">
        <f>'Tab. 6G - Roln i ochrona środ.'!H78</f>
        <v>3300</v>
      </c>
      <c r="J247" s="3410">
        <f>'Tab. 6G - Roln i ochrona środ.'!I78</f>
        <v>0</v>
      </c>
      <c r="K247" s="3410">
        <f>'Tab. 6G - Roln i ochrona środ.'!J78</f>
        <v>0</v>
      </c>
      <c r="L247" s="3410">
        <f>'Tab. 6G - Roln i ochrona środ.'!K78</f>
        <v>0</v>
      </c>
      <c r="M247" s="3410">
        <f>'Tab. 6G - Roln i ochrona środ.'!L78</f>
        <v>0</v>
      </c>
      <c r="N247" s="3410"/>
      <c r="O247" s="3410"/>
      <c r="P247" s="3410"/>
      <c r="Q247" s="3410"/>
      <c r="R247" s="3411"/>
      <c r="S247" s="3412"/>
      <c r="T247" s="3412"/>
      <c r="U247" s="3412"/>
      <c r="V247" s="3412"/>
    </row>
    <row r="248" spans="1:22" ht="13.5" customHeight="1">
      <c r="A248" s="4551"/>
      <c r="B248" s="3413" t="s">
        <v>338</v>
      </c>
      <c r="C248" s="2794"/>
      <c r="D248" s="3414"/>
      <c r="E248" s="3175">
        <f>+F248+G248+H248+I248+J248+K248+L248+M248</f>
        <v>1497</v>
      </c>
      <c r="F248" s="3415">
        <f>'Tab. 6G - Roln i ochrona środ.'!E79</f>
        <v>0</v>
      </c>
      <c r="G248" s="3415">
        <f>'Tab. 6G - Roln i ochrona środ.'!F79</f>
        <v>0</v>
      </c>
      <c r="H248" s="3415">
        <f>'Tab. 6G - Roln i ochrona środ.'!G79</f>
        <v>1002</v>
      </c>
      <c r="I248" s="3415">
        <f>'Tab. 6G - Roln i ochrona środ.'!H79</f>
        <v>495</v>
      </c>
      <c r="J248" s="3415">
        <f>'Tab. 6G - Roln i ochrona środ.'!I79</f>
        <v>0</v>
      </c>
      <c r="K248" s="3415">
        <f>'Tab. 6G - Roln i ochrona środ.'!J79</f>
        <v>0</v>
      </c>
      <c r="L248" s="3415">
        <f>'Tab. 6G - Roln i ochrona środ.'!K79</f>
        <v>0</v>
      </c>
      <c r="M248" s="3415">
        <f>'Tab. 6G - Roln i ochrona środ.'!L79</f>
        <v>0</v>
      </c>
      <c r="N248" s="3415"/>
      <c r="O248" s="3415"/>
      <c r="P248" s="3415"/>
      <c r="Q248" s="3415"/>
      <c r="R248" s="3416"/>
      <c r="S248" s="3416"/>
      <c r="T248" s="3416"/>
      <c r="U248" s="3416"/>
      <c r="V248" s="3416"/>
    </row>
    <row r="249" spans="1:22" ht="13.5" customHeight="1" thickBot="1">
      <c r="A249" s="4551"/>
      <c r="B249" s="3417" t="s">
        <v>207</v>
      </c>
      <c r="C249" s="3430">
        <f>E249-E250</f>
        <v>0</v>
      </c>
      <c r="D249" s="3419"/>
      <c r="E249" s="3420">
        <f>+F249+G249+H249+I249+J249+K249+L249+M249</f>
        <v>8483</v>
      </c>
      <c r="F249" s="3421">
        <f>'Tab. 6G - Roln i ochrona środ.'!E81</f>
        <v>0</v>
      </c>
      <c r="G249" s="3421">
        <f>'Tab. 6G - Roln i ochrona środ.'!F81</f>
        <v>0</v>
      </c>
      <c r="H249" s="3421">
        <f>'Tab. 6G - Roln i ochrona środ.'!G81</f>
        <v>5678</v>
      </c>
      <c r="I249" s="3421">
        <f>'Tab. 6G - Roln i ochrona środ.'!H81</f>
        <v>2805</v>
      </c>
      <c r="J249" s="3421">
        <f>'Tab. 6G - Roln i ochrona środ.'!I81</f>
        <v>0</v>
      </c>
      <c r="K249" s="3421">
        <f>'Tab. 6G - Roln i ochrona środ.'!J81</f>
        <v>0</v>
      </c>
      <c r="L249" s="3421">
        <f>'Tab. 6G - Roln i ochrona środ.'!K81</f>
        <v>0</v>
      </c>
      <c r="M249" s="3421">
        <f>'Tab. 6G - Roln i ochrona środ.'!L81</f>
        <v>0</v>
      </c>
      <c r="N249" s="3421"/>
      <c r="O249" s="3421"/>
      <c r="P249" s="3421"/>
      <c r="Q249" s="3421"/>
      <c r="R249" s="3422"/>
      <c r="S249" s="3423"/>
      <c r="T249" s="3423"/>
      <c r="U249" s="3423"/>
      <c r="V249" s="3423"/>
    </row>
    <row r="250" spans="1:22" ht="13.5" customHeight="1" thickBot="1">
      <c r="A250" s="4552"/>
      <c r="B250" s="3424" t="s">
        <v>335</v>
      </c>
      <c r="C250" s="3425"/>
      <c r="D250" s="3426"/>
      <c r="E250" s="3427">
        <f>F250+G250+H250+I250+J250+K250+L250+M250</f>
        <v>8483</v>
      </c>
      <c r="F250" s="3428">
        <f>'Tab. 6G - Roln i ochrona środ.'!E84</f>
        <v>0</v>
      </c>
      <c r="G250" s="3428">
        <f>'Tab. 6G - Roln i ochrona środ.'!F84</f>
        <v>0</v>
      </c>
      <c r="H250" s="3428">
        <f>'Tab. 6G - Roln i ochrona środ.'!G84</f>
        <v>5678</v>
      </c>
      <c r="I250" s="3428">
        <f>'Tab. 6G - Roln i ochrona środ.'!H84</f>
        <v>2805</v>
      </c>
      <c r="J250" s="3428">
        <f>'Tab. 6G - Roln i ochrona środ.'!I84</f>
        <v>0</v>
      </c>
      <c r="K250" s="3428">
        <f>'Tab. 6G - Roln i ochrona środ.'!J84</f>
        <v>0</v>
      </c>
      <c r="L250" s="3428">
        <f>'Tab. 6G - Roln i ochrona środ.'!K84</f>
        <v>0</v>
      </c>
      <c r="M250" s="3428">
        <f>'Tab. 6G - Roln i ochrona środ.'!L84</f>
        <v>0</v>
      </c>
      <c r="N250" s="3428"/>
      <c r="O250" s="3428"/>
      <c r="P250" s="3428"/>
      <c r="Q250" s="3428"/>
      <c r="R250" s="3429"/>
      <c r="S250" s="3429"/>
      <c r="T250" s="3429"/>
      <c r="U250" s="3429"/>
      <c r="V250" s="3429"/>
    </row>
    <row r="251" spans="1:22" ht="24">
      <c r="A251" s="4549" t="s">
        <v>93</v>
      </c>
      <c r="B251" s="3398" t="str">
        <f>'Tab.6I - Planow. przestrz.'!B24</f>
        <v>Bałtyckie Obszary Energii - Perspektywa Planistyczna BEA-APP w ramach programu EWT Region Morza Bałtyckiego (2016-2019)</v>
      </c>
      <c r="C251" s="3399" t="s">
        <v>355</v>
      </c>
      <c r="D251" s="3400">
        <f>E254/E252%</f>
        <v>85.000343505967635</v>
      </c>
      <c r="E251" s="3401"/>
      <c r="F251" s="3402"/>
      <c r="G251" s="3403"/>
      <c r="H251" s="3402"/>
      <c r="I251" s="3402"/>
      <c r="J251" s="3402"/>
      <c r="K251" s="3403"/>
      <c r="L251" s="3403"/>
      <c r="M251" s="3402"/>
      <c r="N251" s="3402"/>
      <c r="O251" s="3402"/>
      <c r="P251" s="3402"/>
      <c r="Q251" s="3402"/>
      <c r="R251" s="3404"/>
      <c r="S251" s="3405"/>
      <c r="T251" s="3405"/>
      <c r="U251" s="3405"/>
      <c r="V251" s="3405"/>
    </row>
    <row r="252" spans="1:22" ht="13.5" customHeight="1">
      <c r="A252" s="4544"/>
      <c r="B252" s="3406" t="s">
        <v>205</v>
      </c>
      <c r="C252" s="3407"/>
      <c r="D252" s="3408"/>
      <c r="E252" s="3409">
        <f>+F252+G252+H252+I252+J252+K252+L252+M252</f>
        <v>960682</v>
      </c>
      <c r="F252" s="3410">
        <f>'Tab.6I - Planow. przestrz.'!E25</f>
        <v>184963</v>
      </c>
      <c r="G252" s="3410">
        <f>'Tab.6I - Planow. przestrz.'!F25</f>
        <v>332518</v>
      </c>
      <c r="H252" s="3410">
        <f>'Tab.6I - Planow. przestrz.'!G25</f>
        <v>408671</v>
      </c>
      <c r="I252" s="3410">
        <f>'Tab.6I - Planow. przestrz.'!H25</f>
        <v>34530</v>
      </c>
      <c r="J252" s="3410">
        <f>'Tab.6I - Planow. przestrz.'!I25</f>
        <v>0</v>
      </c>
      <c r="K252" s="3410">
        <f>'Tab.6I - Planow. przestrz.'!J25</f>
        <v>0</v>
      </c>
      <c r="L252" s="3410">
        <f>'Tab.6I - Planow. przestrz.'!K25</f>
        <v>0</v>
      </c>
      <c r="M252" s="3410"/>
      <c r="N252" s="3410"/>
      <c r="O252" s="3410"/>
      <c r="P252" s="3410"/>
      <c r="Q252" s="3410"/>
      <c r="R252" s="3411"/>
      <c r="S252" s="3412"/>
      <c r="T252" s="3412"/>
      <c r="U252" s="3412"/>
      <c r="V252" s="3412"/>
    </row>
    <row r="253" spans="1:22" ht="13.5" customHeight="1">
      <c r="A253" s="4544"/>
      <c r="B253" s="3413" t="s">
        <v>338</v>
      </c>
      <c r="C253" s="2794"/>
      <c r="D253" s="3414"/>
      <c r="E253" s="3175">
        <f>+F253+G253+H253+I253+J253+K253+L253+M253</f>
        <v>144099</v>
      </c>
      <c r="F253" s="3415">
        <f>'Tab.6I - Planow. przestrz.'!E26</f>
        <v>27744</v>
      </c>
      <c r="G253" s="3415">
        <f>'Tab.6I - Planow. przestrz.'!F26</f>
        <v>49876</v>
      </c>
      <c r="H253" s="3415">
        <f>'Tab.6I - Planow. przestrz.'!G26</f>
        <v>61298</v>
      </c>
      <c r="I253" s="3415">
        <f>'Tab.6I - Planow. przestrz.'!H26</f>
        <v>5181</v>
      </c>
      <c r="J253" s="3415">
        <f>'Tab.6I - Planow. przestrz.'!I26</f>
        <v>0</v>
      </c>
      <c r="K253" s="3415">
        <f>'Tab.6I - Planow. przestrz.'!J26</f>
        <v>0</v>
      </c>
      <c r="L253" s="3415">
        <f>'Tab.6I - Planow. przestrz.'!K26</f>
        <v>0</v>
      </c>
      <c r="M253" s="3415"/>
      <c r="N253" s="3415"/>
      <c r="O253" s="3415"/>
      <c r="P253" s="3415"/>
      <c r="Q253" s="3415"/>
      <c r="R253" s="3416"/>
      <c r="S253" s="3416"/>
      <c r="T253" s="3416"/>
      <c r="U253" s="3416"/>
      <c r="V253" s="3416"/>
    </row>
    <row r="254" spans="1:22" ht="13.5" customHeight="1" thickBot="1">
      <c r="A254" s="4544"/>
      <c r="B254" s="3417" t="s">
        <v>207</v>
      </c>
      <c r="C254" s="3430">
        <f>E254-E255</f>
        <v>0</v>
      </c>
      <c r="D254" s="3419"/>
      <c r="E254" s="3420">
        <f>+F254+G254+H254+I254+J254+K254+L254+M254</f>
        <v>816583</v>
      </c>
      <c r="F254" s="3421">
        <f>'Tab.6I - Planow. przestrz.'!E28</f>
        <v>157219</v>
      </c>
      <c r="G254" s="3421">
        <f>'Tab.6I - Planow. przestrz.'!F28</f>
        <v>282642</v>
      </c>
      <c r="H254" s="3421">
        <f>'Tab.6I - Planow. przestrz.'!G28</f>
        <v>347373</v>
      </c>
      <c r="I254" s="3421">
        <f>'Tab.6I - Planow. przestrz.'!H28</f>
        <v>29349</v>
      </c>
      <c r="J254" s="3421">
        <f>'Tab.6I - Planow. przestrz.'!I28</f>
        <v>0</v>
      </c>
      <c r="K254" s="3421">
        <f>'Tab.6I - Planow. przestrz.'!J28</f>
        <v>0</v>
      </c>
      <c r="L254" s="3421">
        <f>'Tab.6I - Planow. przestrz.'!K28</f>
        <v>0</v>
      </c>
      <c r="M254" s="3421"/>
      <c r="N254" s="3421"/>
      <c r="O254" s="3421"/>
      <c r="P254" s="3421"/>
      <c r="Q254" s="3421"/>
      <c r="R254" s="3422"/>
      <c r="S254" s="3423"/>
      <c r="T254" s="3423"/>
      <c r="U254" s="3423"/>
      <c r="V254" s="3423"/>
    </row>
    <row r="255" spans="1:22" ht="13.5" customHeight="1" thickBot="1">
      <c r="A255" s="4545"/>
      <c r="B255" s="3424" t="s">
        <v>335</v>
      </c>
      <c r="C255" s="3425"/>
      <c r="D255" s="3426"/>
      <c r="E255" s="3427">
        <f>F255+G255+H255+I255+J255+K255+L255+M255</f>
        <v>816583</v>
      </c>
      <c r="F255" s="3428">
        <f>'Tab.6I - Planow. przestrz.'!E31</f>
        <v>0</v>
      </c>
      <c r="G255" s="3428">
        <f>'Tab.6I - Planow. przestrz.'!F31</f>
        <v>183266</v>
      </c>
      <c r="H255" s="3428">
        <f>'Tab.6I - Planow. przestrz.'!G31</f>
        <v>328844</v>
      </c>
      <c r="I255" s="3428">
        <f>'Tab.6I - Planow. przestrz.'!H31</f>
        <v>294473</v>
      </c>
      <c r="J255" s="3428">
        <f>'Tab.6I - Planow. przestrz.'!I31</f>
        <v>10000</v>
      </c>
      <c r="K255" s="3428">
        <f>'Tab.6I - Planow. przestrz.'!J31</f>
        <v>0</v>
      </c>
      <c r="L255" s="3428">
        <f>'Tab.6I - Planow. przestrz.'!K31</f>
        <v>0</v>
      </c>
      <c r="M255" s="3428"/>
      <c r="N255" s="3428"/>
      <c r="O255" s="3428"/>
      <c r="P255" s="3428"/>
      <c r="Q255" s="3428"/>
      <c r="R255" s="3429"/>
      <c r="S255" s="3429"/>
      <c r="T255" s="3429"/>
      <c r="U255" s="3429"/>
      <c r="V255" s="3429"/>
    </row>
    <row r="256" spans="1:22" ht="39" customHeight="1">
      <c r="A256" s="4549" t="s">
        <v>94</v>
      </c>
      <c r="B256" s="3398" t="str">
        <f>'Tab.6I - Planow. przestrz.'!B33</f>
        <v>Zrównoważona mobilność na obszarze ostatniej mili w regionach turystycznych (LAST MILE) w ramach programu EWT Region Morza Bałtyckiego (2016-2020)</v>
      </c>
      <c r="C256" s="3399" t="s">
        <v>356</v>
      </c>
      <c r="D256" s="3400">
        <f>E259/E257%</f>
        <v>85.092573660612032</v>
      </c>
      <c r="E256" s="3401"/>
      <c r="F256" s="3402"/>
      <c r="G256" s="3403"/>
      <c r="H256" s="3402"/>
      <c r="I256" s="3402"/>
      <c r="J256" s="3402"/>
      <c r="K256" s="3403"/>
      <c r="L256" s="3403"/>
      <c r="M256" s="3402"/>
      <c r="N256" s="3402"/>
      <c r="O256" s="3402"/>
      <c r="P256" s="3402"/>
      <c r="Q256" s="3402"/>
      <c r="R256" s="3404"/>
      <c r="S256" s="3405"/>
      <c r="T256" s="3405"/>
      <c r="U256" s="3405"/>
      <c r="V256" s="3405"/>
    </row>
    <row r="257" spans="1:22" ht="13.5" customHeight="1">
      <c r="A257" s="4544"/>
      <c r="B257" s="3406" t="s">
        <v>205</v>
      </c>
      <c r="C257" s="3407"/>
      <c r="D257" s="3408"/>
      <c r="E257" s="3409">
        <f>+F257+G257+H257+I257+J257+K257+L257+M257</f>
        <v>895017</v>
      </c>
      <c r="F257" s="3410">
        <f>'Tab.6I - Planow. przestrz.'!E34</f>
        <v>164812</v>
      </c>
      <c r="G257" s="3410">
        <f>'Tab.6I - Planow. przestrz.'!F34</f>
        <v>323767</v>
      </c>
      <c r="H257" s="3410">
        <f>'Tab.6I - Planow. przestrz.'!G34</f>
        <v>305828</v>
      </c>
      <c r="I257" s="3410">
        <f>'Tab.6I - Planow. przestrz.'!H34</f>
        <v>43185</v>
      </c>
      <c r="J257" s="3410">
        <f>'Tab.6I - Planow. przestrz.'!I34</f>
        <v>57425</v>
      </c>
      <c r="K257" s="3410">
        <f>'Tab.6I - Planow. przestrz.'!J34</f>
        <v>0</v>
      </c>
      <c r="L257" s="3410">
        <f>'Tab.6I - Planow. przestrz.'!K34</f>
        <v>0</v>
      </c>
      <c r="M257" s="3410">
        <f>'Tab.6I - Planow. przestrz.'!L34</f>
        <v>0</v>
      </c>
      <c r="N257" s="3410"/>
      <c r="O257" s="3410"/>
      <c r="P257" s="3410"/>
      <c r="Q257" s="3410"/>
      <c r="R257" s="3411"/>
      <c r="S257" s="3412"/>
      <c r="T257" s="3412"/>
      <c r="U257" s="3412"/>
      <c r="V257" s="3412"/>
    </row>
    <row r="258" spans="1:22" ht="13.5" customHeight="1">
      <c r="A258" s="4544"/>
      <c r="B258" s="3413" t="s">
        <v>338</v>
      </c>
      <c r="C258" s="2794"/>
      <c r="D258" s="3414"/>
      <c r="E258" s="3175">
        <f>+F258+G258+H258+I258+J258+K258+L258+M258</f>
        <v>133424</v>
      </c>
      <c r="F258" s="3415">
        <f>'Tab.6I - Planow. przestrz.'!E35</f>
        <v>23893</v>
      </c>
      <c r="G258" s="3415">
        <f>'Tab.6I - Planow. przestrz.'!F35</f>
        <v>48565</v>
      </c>
      <c r="H258" s="3415">
        <f>'Tab.6I - Planow. przestrz.'!G35</f>
        <v>46007</v>
      </c>
      <c r="I258" s="3415">
        <f>'Tab.6I - Planow. przestrz.'!H35</f>
        <v>6345</v>
      </c>
      <c r="J258" s="3415">
        <f>'Tab.6I - Planow. przestrz.'!I35</f>
        <v>8614</v>
      </c>
      <c r="K258" s="3415">
        <f>'Tab.6I - Planow. przestrz.'!J35</f>
        <v>0</v>
      </c>
      <c r="L258" s="3415">
        <f>'Tab.6I - Planow. przestrz.'!K35</f>
        <v>0</v>
      </c>
      <c r="M258" s="3415">
        <f>'Tab.6I - Planow. przestrz.'!L35</f>
        <v>0</v>
      </c>
      <c r="N258" s="3415"/>
      <c r="O258" s="3415"/>
      <c r="P258" s="3415"/>
      <c r="Q258" s="3415"/>
      <c r="R258" s="3416"/>
      <c r="S258" s="3416"/>
      <c r="T258" s="3416"/>
      <c r="U258" s="3416"/>
      <c r="V258" s="3416"/>
    </row>
    <row r="259" spans="1:22" ht="13.5" customHeight="1" thickBot="1">
      <c r="A259" s="4544"/>
      <c r="B259" s="3417" t="s">
        <v>207</v>
      </c>
      <c r="C259" s="3430">
        <f>E259-E260</f>
        <v>0</v>
      </c>
      <c r="D259" s="3419"/>
      <c r="E259" s="3420">
        <f>+F259+G259+H259+I259+J259+K259+L259+M259</f>
        <v>761593</v>
      </c>
      <c r="F259" s="3421">
        <f>'Tab.6I - Planow. przestrz.'!E37</f>
        <v>140919</v>
      </c>
      <c r="G259" s="3421">
        <f>'Tab.6I - Planow. przestrz.'!F37</f>
        <v>275202</v>
      </c>
      <c r="H259" s="3421">
        <f>'Tab.6I - Planow. przestrz.'!G37</f>
        <v>259821</v>
      </c>
      <c r="I259" s="3421">
        <f>'Tab.6I - Planow. przestrz.'!H37</f>
        <v>36840</v>
      </c>
      <c r="J259" s="3421">
        <f>'Tab.6I - Planow. przestrz.'!I37</f>
        <v>48811</v>
      </c>
      <c r="K259" s="3421">
        <f>'Tab.6I - Planow. przestrz.'!J37</f>
        <v>0</v>
      </c>
      <c r="L259" s="3421">
        <f>'Tab.6I - Planow. przestrz.'!K37</f>
        <v>0</v>
      </c>
      <c r="M259" s="3421">
        <f>'Tab.6I - Planow. przestrz.'!L37</f>
        <v>0</v>
      </c>
      <c r="N259" s="3421"/>
      <c r="O259" s="3421"/>
      <c r="P259" s="3421"/>
      <c r="Q259" s="3421"/>
      <c r="R259" s="3422"/>
      <c r="S259" s="3423"/>
      <c r="T259" s="3423"/>
      <c r="U259" s="3423"/>
      <c r="V259" s="3423"/>
    </row>
    <row r="260" spans="1:22" ht="13.5" customHeight="1" thickBot="1">
      <c r="A260" s="4545"/>
      <c r="B260" s="3424" t="s">
        <v>335</v>
      </c>
      <c r="C260" s="3425"/>
      <c r="D260" s="3426"/>
      <c r="E260" s="3427">
        <f>F260+G260+H260+I260+J260+K260+L260+M260</f>
        <v>761593</v>
      </c>
      <c r="F260" s="3428">
        <f>'Tab.6I - Planow. przestrz.'!E40</f>
        <v>0</v>
      </c>
      <c r="G260" s="3428">
        <f>'Tab.6I - Planow. przestrz.'!F40</f>
        <v>206519</v>
      </c>
      <c r="H260" s="3428">
        <f>'Tab.6I - Planow. przestrz.'!G40</f>
        <v>296984</v>
      </c>
      <c r="I260" s="3428">
        <f>'Tab.6I - Planow. przestrz.'!H40</f>
        <v>238090</v>
      </c>
      <c r="J260" s="3428">
        <f>'Tab.6I - Planow. przestrz.'!I40</f>
        <v>10000</v>
      </c>
      <c r="K260" s="3428">
        <f>'Tab.6I - Planow. przestrz.'!J40</f>
        <v>10000</v>
      </c>
      <c r="L260" s="3428">
        <f>'Tab.6I - Planow. przestrz.'!K40</f>
        <v>0</v>
      </c>
      <c r="M260" s="3428">
        <f>'Tab.6I - Planow. przestrz.'!L40</f>
        <v>0</v>
      </c>
      <c r="N260" s="3428"/>
      <c r="O260" s="3428"/>
      <c r="P260" s="3428"/>
      <c r="Q260" s="3428"/>
      <c r="R260" s="3429"/>
      <c r="S260" s="3429"/>
      <c r="T260" s="3429"/>
      <c r="U260" s="3429"/>
      <c r="V260" s="3429"/>
    </row>
    <row r="261" spans="1:22" ht="27" customHeight="1">
      <c r="A261" s="4549" t="s">
        <v>95</v>
      </c>
      <c r="B261" s="3398" t="str">
        <f>'Tab.6I - Planow. przestrz.'!B53</f>
        <v>Wsparcie techniczne Interreg VA Południowy Bałtyk - wydatki bieżące (2015-2020)</v>
      </c>
      <c r="C261" s="3399" t="s">
        <v>353</v>
      </c>
      <c r="D261" s="3400">
        <f>E264/E262%</f>
        <v>74.790608509548449</v>
      </c>
      <c r="E261" s="3401"/>
      <c r="F261" s="3402"/>
      <c r="G261" s="3403"/>
      <c r="H261" s="3402"/>
      <c r="I261" s="3402"/>
      <c r="J261" s="3402"/>
      <c r="K261" s="3403"/>
      <c r="L261" s="3403"/>
      <c r="M261" s="3402"/>
      <c r="N261" s="3402"/>
      <c r="O261" s="3402"/>
      <c r="P261" s="3402"/>
      <c r="Q261" s="3402"/>
      <c r="R261" s="3404"/>
      <c r="S261" s="3405"/>
      <c r="T261" s="3405"/>
      <c r="U261" s="3405"/>
      <c r="V261" s="3405"/>
    </row>
    <row r="262" spans="1:22" ht="13.5" customHeight="1">
      <c r="A262" s="4544"/>
      <c r="B262" s="3406" t="s">
        <v>205</v>
      </c>
      <c r="C262" s="3407"/>
      <c r="D262" s="3408"/>
      <c r="E262" s="3409">
        <f>+F262+G262+H262+I262+J262+K262+L262+M262</f>
        <v>394357</v>
      </c>
      <c r="F262" s="3410">
        <f>'Tab.6I - Planow. przestrz.'!E54</f>
        <v>88043</v>
      </c>
      <c r="G262" s="3410">
        <f>'Tab.6I - Planow. przestrz.'!F54</f>
        <v>54732</v>
      </c>
      <c r="H262" s="3410">
        <f>'Tab.6I - Planow. przestrz.'!G54</f>
        <v>101301</v>
      </c>
      <c r="I262" s="3410">
        <f>'Tab.6I - Planow. przestrz.'!H54</f>
        <v>75142</v>
      </c>
      <c r="J262" s="3410">
        <f>'Tab.6I - Planow. przestrz.'!I54</f>
        <v>75139</v>
      </c>
      <c r="K262" s="3410">
        <f>'Tab.6I - Planow. przestrz.'!J54</f>
        <v>0</v>
      </c>
      <c r="L262" s="3410">
        <f>'Tab.6I - Planow. przestrz.'!K54</f>
        <v>0</v>
      </c>
      <c r="M262" s="3410">
        <f>'Tab.6I - Planow. przestrz.'!L54</f>
        <v>0</v>
      </c>
      <c r="N262" s="3410"/>
      <c r="O262" s="3410"/>
      <c r="P262" s="3410"/>
      <c r="Q262" s="3410"/>
      <c r="R262" s="3411"/>
      <c r="S262" s="3412"/>
      <c r="T262" s="3412"/>
      <c r="U262" s="3412"/>
      <c r="V262" s="3412"/>
    </row>
    <row r="263" spans="1:22" ht="30" customHeight="1">
      <c r="A263" s="4544"/>
      <c r="B263" s="3413" t="s">
        <v>370</v>
      </c>
      <c r="C263" s="2794"/>
      <c r="D263" s="3414"/>
      <c r="E263" s="3175">
        <f>+F263+G263+H263+I263+J263+K263+L263+M263</f>
        <v>99415</v>
      </c>
      <c r="F263" s="3415">
        <f>'Tab.6I - Planow. przestrz.'!E55</f>
        <v>22177</v>
      </c>
      <c r="G263" s="3415">
        <f>'Tab.6I - Planow. przestrz.'!F55</f>
        <v>13783</v>
      </c>
      <c r="H263" s="3415">
        <f>'Tab.6I - Planow. przestrz.'!G55</f>
        <v>25583</v>
      </c>
      <c r="I263" s="3415">
        <f>'Tab.6I - Planow. przestrz.'!H55</f>
        <v>18937</v>
      </c>
      <c r="J263" s="3415">
        <f>'Tab.6I - Planow. przestrz.'!I55</f>
        <v>18935</v>
      </c>
      <c r="K263" s="3415">
        <f>'Tab.6I - Planow. przestrz.'!J55</f>
        <v>0</v>
      </c>
      <c r="L263" s="3415">
        <f>'Tab.6I - Planow. przestrz.'!K55</f>
        <v>0</v>
      </c>
      <c r="M263" s="3415">
        <f>'Tab.6I - Planow. przestrz.'!L55</f>
        <v>0</v>
      </c>
      <c r="N263" s="3415"/>
      <c r="O263" s="3415"/>
      <c r="P263" s="3415"/>
      <c r="Q263" s="3415"/>
      <c r="R263" s="3416"/>
      <c r="S263" s="3416"/>
      <c r="T263" s="3416"/>
      <c r="U263" s="3416"/>
      <c r="V263" s="3416"/>
    </row>
    <row r="264" spans="1:22" ht="13.5" customHeight="1" thickBot="1">
      <c r="A264" s="4544"/>
      <c r="B264" s="3417" t="s">
        <v>207</v>
      </c>
      <c r="C264" s="3430">
        <f>E264-E265</f>
        <v>0</v>
      </c>
      <c r="D264" s="3419"/>
      <c r="E264" s="3420">
        <f>+F264+G264+H264+I264+J264+K264+L264+M264</f>
        <v>294942</v>
      </c>
      <c r="F264" s="3421">
        <f>'Tab.6I - Planow. przestrz.'!E61</f>
        <v>65866</v>
      </c>
      <c r="G264" s="3421">
        <f>'Tab.6I - Planow. przestrz.'!F61</f>
        <v>40949</v>
      </c>
      <c r="H264" s="3421">
        <f>'Tab.6I - Planow. przestrz.'!G61</f>
        <v>75718</v>
      </c>
      <c r="I264" s="3421">
        <f>'Tab.6I - Planow. przestrz.'!H61</f>
        <v>56205</v>
      </c>
      <c r="J264" s="3421">
        <f>'Tab.6I - Planow. przestrz.'!I61</f>
        <v>56204</v>
      </c>
      <c r="K264" s="3421">
        <f>'Tab.6I - Planow. przestrz.'!J61</f>
        <v>0</v>
      </c>
      <c r="L264" s="3421">
        <f>'Tab.6I - Planow. przestrz.'!K61</f>
        <v>0</v>
      </c>
      <c r="M264" s="3421">
        <f>'Tab.6I - Planow. przestrz.'!L61</f>
        <v>0</v>
      </c>
      <c r="N264" s="3421"/>
      <c r="O264" s="3421"/>
      <c r="P264" s="3421"/>
      <c r="Q264" s="3421"/>
      <c r="R264" s="3422"/>
      <c r="S264" s="3423"/>
      <c r="T264" s="3423"/>
      <c r="U264" s="3423"/>
      <c r="V264" s="3423"/>
    </row>
    <row r="265" spans="1:22" ht="13.5" customHeight="1" thickBot="1">
      <c r="A265" s="4545"/>
      <c r="B265" s="3424" t="s">
        <v>335</v>
      </c>
      <c r="C265" s="3425"/>
      <c r="D265" s="3426"/>
      <c r="E265" s="3427">
        <f>F265+G265+H265+I265+J265+K265+L265+M265</f>
        <v>294942</v>
      </c>
      <c r="F265" s="3428">
        <f>'Tab.6I - Planow. przestrz.'!E69</f>
        <v>0</v>
      </c>
      <c r="G265" s="3428">
        <f>'Tab.6I - Planow. przestrz.'!F69</f>
        <v>69335</v>
      </c>
      <c r="H265" s="3428">
        <f>'Tab.6I - Planow. przestrz.'!G69</f>
        <v>56409</v>
      </c>
      <c r="I265" s="3428">
        <f>'Tab.6I - Planow. przestrz.'!H69</f>
        <v>70838</v>
      </c>
      <c r="J265" s="3428">
        <f>'Tab.6I - Planow. przestrz.'!I69</f>
        <v>56207</v>
      </c>
      <c r="K265" s="3428">
        <f>'Tab.6I - Planow. przestrz.'!J69</f>
        <v>42153</v>
      </c>
      <c r="L265" s="3428">
        <f>'Tab.6I - Planow. przestrz.'!K69</f>
        <v>0</v>
      </c>
      <c r="M265" s="3428">
        <f>'Tab.6I - Planow. przestrz.'!L69</f>
        <v>0</v>
      </c>
      <c r="N265" s="3428"/>
      <c r="O265" s="3428"/>
      <c r="P265" s="3428"/>
      <c r="Q265" s="3428"/>
      <c r="R265" s="3429"/>
      <c r="S265" s="3429"/>
      <c r="T265" s="3429"/>
      <c r="U265" s="3429"/>
      <c r="V265" s="3429"/>
    </row>
    <row r="266" spans="1:22" ht="26.25" customHeight="1">
      <c r="A266" s="4549" t="s">
        <v>96</v>
      </c>
      <c r="B266" s="3398" t="str">
        <f>'Tab. 6A -Drogi'!B419</f>
        <v>TENTacle – wykorzystanie korytarzy sieci bazowej TEN-T w ramach PW INTERREG VB (2016-2019)</v>
      </c>
      <c r="C266" s="3399" t="s">
        <v>373</v>
      </c>
      <c r="D266" s="3400">
        <f>E269/E267%</f>
        <v>84.54315915419231</v>
      </c>
      <c r="E266" s="3401"/>
      <c r="F266" s="3402"/>
      <c r="G266" s="3403"/>
      <c r="H266" s="3402"/>
      <c r="I266" s="3402"/>
      <c r="J266" s="3402"/>
      <c r="K266" s="3403"/>
      <c r="L266" s="3403"/>
      <c r="M266" s="3402"/>
      <c r="N266" s="3402"/>
      <c r="O266" s="3402"/>
      <c r="P266" s="3402"/>
      <c r="Q266" s="3402"/>
      <c r="R266" s="3404"/>
      <c r="S266" s="3405"/>
      <c r="T266" s="3405"/>
      <c r="U266" s="3405"/>
      <c r="V266" s="3405"/>
    </row>
    <row r="267" spans="1:22" ht="13.5" customHeight="1">
      <c r="A267" s="4544"/>
      <c r="B267" s="3406" t="s">
        <v>205</v>
      </c>
      <c r="C267" s="3407"/>
      <c r="D267" s="3408"/>
      <c r="E267" s="3409">
        <f>+F267+G267+H267+I267+J267+K267+L267+M267</f>
        <v>454666</v>
      </c>
      <c r="F267" s="3410">
        <f>'Tab. 6A -Drogi'!E420</f>
        <v>48374</v>
      </c>
      <c r="G267" s="3410">
        <f>'Tab. 6A -Drogi'!F420</f>
        <v>130976</v>
      </c>
      <c r="H267" s="3410">
        <f>'Tab. 6A -Drogi'!G420</f>
        <v>247072</v>
      </c>
      <c r="I267" s="3410">
        <f>'Tab. 6A -Drogi'!H420</f>
        <v>28244</v>
      </c>
      <c r="J267" s="3410">
        <f>'Tab. 6A -Drogi'!I420</f>
        <v>0</v>
      </c>
      <c r="K267" s="3410">
        <f>'Tab. 6A -Drogi'!J420</f>
        <v>0</v>
      </c>
      <c r="L267" s="3410">
        <f>'Tab. 6A -Drogi'!K420</f>
        <v>0</v>
      </c>
      <c r="M267" s="3410">
        <f>'Tab. 6A -Drogi'!L420</f>
        <v>0</v>
      </c>
      <c r="N267" s="3410"/>
      <c r="O267" s="3410"/>
      <c r="P267" s="3410"/>
      <c r="Q267" s="3410"/>
      <c r="R267" s="3411"/>
      <c r="S267" s="3412"/>
      <c r="T267" s="3412"/>
      <c r="U267" s="3412"/>
      <c r="V267" s="3412"/>
    </row>
    <row r="268" spans="1:22">
      <c r="A268" s="4544"/>
      <c r="B268" s="3413" t="s">
        <v>338</v>
      </c>
      <c r="C268" s="2794"/>
      <c r="D268" s="3414"/>
      <c r="E268" s="3175">
        <f>+F268+G268+H268+I268+J268+K268+L268+M268</f>
        <v>70277</v>
      </c>
      <c r="F268" s="3415">
        <f>'Tab. 6A -Drogi'!E421</f>
        <v>7548</v>
      </c>
      <c r="G268" s="3415">
        <f>'Tab. 6A -Drogi'!F421</f>
        <v>19763</v>
      </c>
      <c r="H268" s="3415">
        <f>'Tab. 6A -Drogi'!G421</f>
        <v>38305</v>
      </c>
      <c r="I268" s="3415">
        <f>'Tab. 6A -Drogi'!H421</f>
        <v>4661</v>
      </c>
      <c r="J268" s="3415">
        <f>'Tab. 6A -Drogi'!I421</f>
        <v>0</v>
      </c>
      <c r="K268" s="3415">
        <f>'Tab. 6A -Drogi'!J421</f>
        <v>0</v>
      </c>
      <c r="L268" s="3415">
        <f>'Tab. 6A -Drogi'!K421</f>
        <v>0</v>
      </c>
      <c r="M268" s="3415">
        <f>'Tab. 6A -Drogi'!L421</f>
        <v>0</v>
      </c>
      <c r="N268" s="3415"/>
      <c r="O268" s="3415"/>
      <c r="P268" s="3415"/>
      <c r="Q268" s="3415"/>
      <c r="R268" s="3416"/>
      <c r="S268" s="3416"/>
      <c r="T268" s="3416"/>
      <c r="U268" s="3416"/>
      <c r="V268" s="3416"/>
    </row>
    <row r="269" spans="1:22" ht="13.5" customHeight="1" thickBot="1">
      <c r="A269" s="4544"/>
      <c r="B269" s="3417" t="s">
        <v>207</v>
      </c>
      <c r="C269" s="3430">
        <f>E269-E270</f>
        <v>0</v>
      </c>
      <c r="D269" s="3419"/>
      <c r="E269" s="3420">
        <f>+F269+G269+H269+I269+J269+K269+L269+M269</f>
        <v>384389</v>
      </c>
      <c r="F269" s="3421">
        <f>'Tab. 6A -Drogi'!E426</f>
        <v>40826</v>
      </c>
      <c r="G269" s="3421">
        <f>'Tab. 6A -Drogi'!F426</f>
        <v>111213</v>
      </c>
      <c r="H269" s="3421">
        <f>'Tab. 6A -Drogi'!G426</f>
        <v>208767</v>
      </c>
      <c r="I269" s="3421">
        <f>'Tab. 6A -Drogi'!H426</f>
        <v>23583</v>
      </c>
      <c r="J269" s="3421">
        <f>'Tab. 6A -Drogi'!I426</f>
        <v>0</v>
      </c>
      <c r="K269" s="3421">
        <f>'Tab. 6A -Drogi'!J426</f>
        <v>0</v>
      </c>
      <c r="L269" s="3421">
        <f>'Tab. 6A -Drogi'!K426</f>
        <v>0</v>
      </c>
      <c r="M269" s="3421">
        <f>'Tab. 6A -Drogi'!L426</f>
        <v>0</v>
      </c>
      <c r="N269" s="3421"/>
      <c r="O269" s="3421"/>
      <c r="P269" s="3421"/>
      <c r="Q269" s="3421"/>
      <c r="R269" s="3422"/>
      <c r="S269" s="3423"/>
      <c r="T269" s="3423"/>
      <c r="U269" s="3423"/>
      <c r="V269" s="3423"/>
    </row>
    <row r="270" spans="1:22" ht="13.5" customHeight="1" thickBot="1">
      <c r="A270" s="4545"/>
      <c r="B270" s="3424" t="s">
        <v>335</v>
      </c>
      <c r="C270" s="3425"/>
      <c r="D270" s="3426"/>
      <c r="E270" s="3427">
        <f>F270+G270+H270+I270+J270+K270+L270+M270</f>
        <v>384389</v>
      </c>
      <c r="F270" s="3428">
        <f>'Tab. 6A -Drogi'!E432</f>
        <v>0</v>
      </c>
      <c r="G270" s="3428">
        <f>'Tab. 6A -Drogi'!F432</f>
        <v>45734</v>
      </c>
      <c r="H270" s="3428">
        <f>'Tab. 6A -Drogi'!G432</f>
        <v>164775</v>
      </c>
      <c r="I270" s="3428">
        <f>'Tab. 6A -Drogi'!H432</f>
        <v>173880</v>
      </c>
      <c r="J270" s="3428">
        <f>'Tab. 6A -Drogi'!I432</f>
        <v>0</v>
      </c>
      <c r="K270" s="3428">
        <f>'Tab. 6A -Drogi'!J432</f>
        <v>0</v>
      </c>
      <c r="L270" s="3428">
        <f>'Tab. 6A -Drogi'!K432</f>
        <v>0</v>
      </c>
      <c r="M270" s="3428">
        <f>'Tab. 6A -Drogi'!L432</f>
        <v>0</v>
      </c>
      <c r="N270" s="3428"/>
      <c r="O270" s="3428"/>
      <c r="P270" s="3428"/>
      <c r="Q270" s="3428"/>
      <c r="R270" s="3429"/>
      <c r="S270" s="3429"/>
      <c r="T270" s="3429"/>
      <c r="U270" s="3429"/>
      <c r="V270" s="3429"/>
    </row>
    <row r="271" spans="1:22" ht="28.5" customHeight="1">
      <c r="A271" s="4549" t="s">
        <v>97</v>
      </c>
      <c r="B271" s="3398" t="str">
        <f>'Tab. 6E - Administracja'!B26</f>
        <v>Wspólny Sekretariat - Pomoc Techniczna w ramach  Programu Współpracy INTERREG VA (2016-2022)**</v>
      </c>
      <c r="C271" s="3399" t="s">
        <v>395</v>
      </c>
      <c r="D271" s="3400">
        <f>E274/E272%</f>
        <v>99.898309910716108</v>
      </c>
      <c r="E271" s="3401"/>
      <c r="F271" s="3402"/>
      <c r="G271" s="3403"/>
      <c r="H271" s="3402"/>
      <c r="I271" s="3402"/>
      <c r="J271" s="3402"/>
      <c r="K271" s="3403"/>
      <c r="L271" s="3403"/>
      <c r="M271" s="3402"/>
      <c r="N271" s="3402"/>
      <c r="O271" s="3402"/>
      <c r="P271" s="3402"/>
      <c r="Q271" s="3402"/>
      <c r="R271" s="3404"/>
      <c r="S271" s="3405"/>
      <c r="T271" s="3405"/>
      <c r="U271" s="3405"/>
      <c r="V271" s="3405"/>
    </row>
    <row r="272" spans="1:22">
      <c r="A272" s="4544"/>
      <c r="B272" s="3406" t="s">
        <v>205</v>
      </c>
      <c r="C272" s="3407"/>
      <c r="D272" s="3408"/>
      <c r="E272" s="3409">
        <f>+F272+G272+H272+I272+J272+K272+L272+M272</f>
        <v>1966760</v>
      </c>
      <c r="F272" s="3410">
        <f>'Tab. 6E - Administracja'!E27</f>
        <v>192432</v>
      </c>
      <c r="G272" s="3410">
        <f>'Tab. 6E - Administracja'!F27</f>
        <v>190282</v>
      </c>
      <c r="H272" s="3410">
        <f>'Tab. 6E - Administracja'!G27</f>
        <v>310701</v>
      </c>
      <c r="I272" s="3410">
        <f>'Tab. 6E - Administracja'!H27</f>
        <v>281170</v>
      </c>
      <c r="J272" s="3410">
        <f>'Tab. 6E - Administracja'!I27</f>
        <v>281170</v>
      </c>
      <c r="K272" s="3410">
        <f>'Tab. 6E - Administracja'!J27</f>
        <v>280970</v>
      </c>
      <c r="L272" s="3410">
        <f>'Tab. 6E - Administracja'!K27</f>
        <v>430035</v>
      </c>
      <c r="M272" s="3410">
        <f>'Tab. 6E - Administracja'!L27</f>
        <v>0</v>
      </c>
      <c r="N272" s="3410"/>
      <c r="O272" s="3410"/>
      <c r="P272" s="3410"/>
      <c r="Q272" s="3410"/>
      <c r="R272" s="3411"/>
      <c r="S272" s="3412"/>
      <c r="T272" s="3412"/>
      <c r="U272" s="3412"/>
      <c r="V272" s="3412"/>
    </row>
    <row r="273" spans="1:22" ht="16.5" customHeight="1">
      <c r="A273" s="4544"/>
      <c r="B273" s="3413" t="s">
        <v>338</v>
      </c>
      <c r="C273" s="2794"/>
      <c r="D273" s="3414"/>
      <c r="E273" s="3175">
        <f>+F273+G273+H273+I273+J273+K273+L273+M273</f>
        <v>2000</v>
      </c>
      <c r="F273" s="3415">
        <f>'Tab. 6E - Administracja'!E28</f>
        <v>10</v>
      </c>
      <c r="G273" s="3415">
        <f>'Tab. 6E - Administracja'!F28</f>
        <v>0</v>
      </c>
      <c r="H273" s="3415">
        <f>'Tab. 6E - Administracja'!G28</f>
        <v>790</v>
      </c>
      <c r="I273" s="3415">
        <f>'Tab. 6E - Administracja'!H28</f>
        <v>400</v>
      </c>
      <c r="J273" s="3415">
        <f>'Tab. 6E - Administracja'!I28</f>
        <v>400</v>
      </c>
      <c r="K273" s="3415">
        <f>'Tab. 6E - Administracja'!J28</f>
        <v>200</v>
      </c>
      <c r="L273" s="3415">
        <f>'Tab. 6E - Administracja'!K28</f>
        <v>200</v>
      </c>
      <c r="M273" s="3415">
        <f>'Tab. 6E - Administracja'!L28</f>
        <v>0</v>
      </c>
      <c r="N273" s="3415"/>
      <c r="O273" s="3415"/>
      <c r="P273" s="3415"/>
      <c r="Q273" s="3415"/>
      <c r="R273" s="3416"/>
      <c r="S273" s="3416"/>
      <c r="T273" s="3416"/>
      <c r="U273" s="3416"/>
      <c r="V273" s="3416"/>
    </row>
    <row r="274" spans="1:22" ht="13.5" customHeight="1" thickBot="1">
      <c r="A274" s="4544"/>
      <c r="B274" s="3417" t="s">
        <v>207</v>
      </c>
      <c r="C274" s="3430">
        <f>E274-E275</f>
        <v>0</v>
      </c>
      <c r="D274" s="3419"/>
      <c r="E274" s="3420">
        <f>+F274+G274+H274+I274+J274+K274+L274+M274</f>
        <v>1964760</v>
      </c>
      <c r="F274" s="3421">
        <f>'Tab. 6E - Administracja'!E30</f>
        <v>192422</v>
      </c>
      <c r="G274" s="3421">
        <f>'Tab. 6E - Administracja'!F30</f>
        <v>190282</v>
      </c>
      <c r="H274" s="3421">
        <f>'Tab. 6E - Administracja'!G30</f>
        <v>309911</v>
      </c>
      <c r="I274" s="3421">
        <f>'Tab. 6E - Administracja'!H30</f>
        <v>280770</v>
      </c>
      <c r="J274" s="3421">
        <f>'Tab. 6E - Administracja'!I30</f>
        <v>280770</v>
      </c>
      <c r="K274" s="3421">
        <f>'Tab. 6E - Administracja'!J30</f>
        <v>280770</v>
      </c>
      <c r="L274" s="3421">
        <f>'Tab. 6E - Administracja'!K30</f>
        <v>429835</v>
      </c>
      <c r="M274" s="3421">
        <f>'Tab. 6E - Administracja'!L30</f>
        <v>0</v>
      </c>
      <c r="N274" s="3421"/>
      <c r="O274" s="3421"/>
      <c r="P274" s="3421"/>
      <c r="Q274" s="3421"/>
      <c r="R274" s="3422"/>
      <c r="S274" s="3423"/>
      <c r="T274" s="3423"/>
      <c r="U274" s="3423"/>
      <c r="V274" s="3423"/>
    </row>
    <row r="275" spans="1:22" ht="13.5" customHeight="1" thickBot="1">
      <c r="A275" s="4545"/>
      <c r="B275" s="3424" t="s">
        <v>335</v>
      </c>
      <c r="C275" s="3425"/>
      <c r="D275" s="3426"/>
      <c r="E275" s="3427">
        <f>F275+G275+H275+I275+J275+K275+L275+M275</f>
        <v>1964760</v>
      </c>
      <c r="F275" s="3428"/>
      <c r="G275" s="3428">
        <f>'Tab. 6E - Administracja'!F36</f>
        <v>0</v>
      </c>
      <c r="H275" s="3428">
        <f>'Tab. 6E - Administracja'!G36</f>
        <v>473192</v>
      </c>
      <c r="I275" s="3428">
        <f>'Tab. 6E - Administracja'!H36</f>
        <v>288223</v>
      </c>
      <c r="J275" s="3428">
        <f>'Tab. 6E - Administracja'!I36</f>
        <v>280770</v>
      </c>
      <c r="K275" s="3428">
        <f>'Tab. 6E - Administracja'!J36</f>
        <v>280770</v>
      </c>
      <c r="L275" s="3428">
        <f>'Tab. 6E - Administracja'!K36</f>
        <v>280770</v>
      </c>
      <c r="M275" s="3428">
        <f>'Tab. 6E - Administracja'!L36</f>
        <v>361035</v>
      </c>
      <c r="N275" s="3527"/>
      <c r="O275" s="3527"/>
      <c r="P275" s="3527"/>
      <c r="Q275" s="3527"/>
      <c r="R275" s="3429"/>
      <c r="S275" s="3429"/>
      <c r="T275" s="3429"/>
      <c r="U275" s="3429"/>
      <c r="V275" s="3429"/>
    </row>
    <row r="276" spans="1:22" ht="38.25" customHeight="1">
      <c r="A276" s="4544">
        <v>17</v>
      </c>
      <c r="B276" s="3457" t="str">
        <f>'Tab. 6H - Kultura fiz. i turyst'!B79</f>
        <v>Budowa infrastruktury turystycznej w Parkach Krajobrazowych województwa zachodniopomorskiego w celu zmniejszenia antropopresji - II etap w ramach RPO WZ, Osi IV (2016-2018)</v>
      </c>
      <c r="C276" s="3399" t="s">
        <v>401</v>
      </c>
      <c r="D276" s="3577">
        <f>E279/E277%</f>
        <v>85</v>
      </c>
      <c r="E276" s="3578"/>
      <c r="F276" s="3579"/>
      <c r="G276" s="3580"/>
      <c r="H276" s="3579"/>
      <c r="I276" s="3579"/>
      <c r="J276" s="3579"/>
      <c r="K276" s="3579"/>
      <c r="L276" s="3579"/>
      <c r="M276" s="3579"/>
      <c r="N276" s="3579"/>
      <c r="O276" s="3579"/>
      <c r="P276" s="3579"/>
      <c r="Q276" s="3579"/>
      <c r="R276" s="3582"/>
      <c r="S276" s="3468"/>
      <c r="T276" s="3468"/>
      <c r="U276" s="3468"/>
      <c r="V276" s="3468"/>
    </row>
    <row r="277" spans="1:22" ht="13.5" customHeight="1">
      <c r="A277" s="4544"/>
      <c r="B277" s="3459" t="s">
        <v>205</v>
      </c>
      <c r="C277" s="3407"/>
      <c r="D277" s="3408"/>
      <c r="E277" s="3409">
        <f>+F277+G277+H277+I277+J277+K277+L277+M277</f>
        <v>119600</v>
      </c>
      <c r="F277" s="3410"/>
      <c r="G277" s="3410">
        <f>'Tab. 6H - Kultura fiz. i turyst'!F80</f>
        <v>0</v>
      </c>
      <c r="H277" s="3410">
        <f>'Tab. 6H - Kultura fiz. i turyst'!G80</f>
        <v>119600</v>
      </c>
      <c r="I277" s="3410">
        <f>'Tab. 6H - Kultura fiz. i turyst'!H80</f>
        <v>0</v>
      </c>
      <c r="J277" s="3410">
        <f>'Tab. 6H - Kultura fiz. i turyst'!I80</f>
        <v>0</v>
      </c>
      <c r="K277" s="3410"/>
      <c r="L277" s="3410"/>
      <c r="M277" s="3410"/>
      <c r="N277" s="3410"/>
      <c r="O277" s="3410"/>
      <c r="P277" s="3410"/>
      <c r="Q277" s="3410"/>
      <c r="R277" s="3411"/>
      <c r="S277" s="3412"/>
      <c r="T277" s="3412"/>
      <c r="U277" s="3412"/>
      <c r="V277" s="3412"/>
    </row>
    <row r="278" spans="1:22">
      <c r="A278" s="4544"/>
      <c r="B278" s="3460" t="s">
        <v>338</v>
      </c>
      <c r="C278" s="2794"/>
      <c r="D278" s="3414"/>
      <c r="E278" s="3175">
        <f>+F278+G278+H278+I278+J278+K278+L278+M278</f>
        <v>17940</v>
      </c>
      <c r="F278" s="3415"/>
      <c r="G278" s="3415">
        <f>'Tab. 6H - Kultura fiz. i turyst'!F81</f>
        <v>0</v>
      </c>
      <c r="H278" s="3415">
        <f>'Tab. 6H - Kultura fiz. i turyst'!G81</f>
        <v>17940</v>
      </c>
      <c r="I278" s="3415">
        <f>'Tab. 6H - Kultura fiz. i turyst'!H81</f>
        <v>0</v>
      </c>
      <c r="J278" s="3415">
        <f>'Tab. 6H - Kultura fiz. i turyst'!I81</f>
        <v>0</v>
      </c>
      <c r="K278" s="3415"/>
      <c r="L278" s="3415"/>
      <c r="M278" s="3415"/>
      <c r="N278" s="3415"/>
      <c r="O278" s="3415"/>
      <c r="P278" s="3415"/>
      <c r="Q278" s="3415"/>
      <c r="R278" s="3416"/>
      <c r="S278" s="3416"/>
      <c r="T278" s="3416"/>
      <c r="U278" s="3416"/>
      <c r="V278" s="3416"/>
    </row>
    <row r="279" spans="1:22" ht="13.5" customHeight="1" thickBot="1">
      <c r="A279" s="4544"/>
      <c r="B279" s="3461" t="s">
        <v>207</v>
      </c>
      <c r="C279" s="3430">
        <f>E279-E280</f>
        <v>0</v>
      </c>
      <c r="D279" s="3419"/>
      <c r="E279" s="3420">
        <f>+F279+G279+H279+I279+J279+K279+L279+M279</f>
        <v>101660</v>
      </c>
      <c r="F279" s="3421"/>
      <c r="G279" s="3421">
        <f>'Tab. 6H - Kultura fiz. i turyst'!F83</f>
        <v>0</v>
      </c>
      <c r="H279" s="3421">
        <f>'Tab. 6H - Kultura fiz. i turyst'!G83</f>
        <v>101660</v>
      </c>
      <c r="I279" s="3421">
        <f>'Tab. 6H - Kultura fiz. i turyst'!H83</f>
        <v>0</v>
      </c>
      <c r="J279" s="3421">
        <f>'Tab. 6H - Kultura fiz. i turyst'!I83</f>
        <v>0</v>
      </c>
      <c r="K279" s="3421"/>
      <c r="L279" s="3421"/>
      <c r="M279" s="3421"/>
      <c r="N279" s="3421"/>
      <c r="O279" s="3421"/>
      <c r="P279" s="3421"/>
      <c r="Q279" s="3421"/>
      <c r="R279" s="3422"/>
      <c r="S279" s="3423"/>
      <c r="T279" s="3423"/>
      <c r="U279" s="3423"/>
      <c r="V279" s="3423"/>
    </row>
    <row r="280" spans="1:22" ht="13.5" customHeight="1" thickBot="1">
      <c r="A280" s="4545"/>
      <c r="B280" s="3462" t="s">
        <v>335</v>
      </c>
      <c r="C280" s="3425"/>
      <c r="D280" s="3426"/>
      <c r="E280" s="3427">
        <f>F280+G280+H280+I280+J280+K280+L280+M280</f>
        <v>101660</v>
      </c>
      <c r="F280" s="3428"/>
      <c r="G280" s="3428">
        <f>'Tab. 6H - Kultura fiz. i turyst'!F86</f>
        <v>0</v>
      </c>
      <c r="H280" s="3428">
        <f>'Tab. 6H - Kultura fiz. i turyst'!G86</f>
        <v>101660</v>
      </c>
      <c r="I280" s="3428">
        <f>'Tab. 6H - Kultura fiz. i turyst'!H86</f>
        <v>0</v>
      </c>
      <c r="J280" s="3428">
        <f>'Tab. 6H - Kultura fiz. i turyst'!I86</f>
        <v>0</v>
      </c>
      <c r="K280" s="3428"/>
      <c r="L280" s="3428"/>
      <c r="M280" s="3428"/>
      <c r="N280" s="3428"/>
      <c r="O280" s="3428"/>
      <c r="P280" s="3428"/>
      <c r="Q280" s="3428"/>
      <c r="R280" s="3429"/>
      <c r="S280" s="3429"/>
      <c r="T280" s="3429"/>
      <c r="U280" s="3429"/>
      <c r="V280" s="3429"/>
    </row>
    <row r="281" spans="1:22" ht="38.25" customHeight="1">
      <c r="A281" s="4544" t="s">
        <v>100</v>
      </c>
      <c r="B281" s="3457" t="str">
        <f>'Tab. 6H - Kultura fiz. i turyst'!B100</f>
        <v>Biking South Baltic! Promocja i rozwój Trasy Rowerowej Morza Bałtyckiego (EuroVelo 10) w Danii, Niemczech, Litwie, Polsce i Szwecji w ramach Programu Interreg Południowy Bałtyk (2017-2019)</v>
      </c>
      <c r="C281" s="3399" t="s">
        <v>488</v>
      </c>
      <c r="D281" s="3577">
        <f>E284/E282%</f>
        <v>84.999751970376508</v>
      </c>
      <c r="E281" s="3578"/>
      <c r="F281" s="3579"/>
      <c r="G281" s="3580"/>
      <c r="H281" s="3579"/>
      <c r="I281" s="3579"/>
      <c r="J281" s="3579"/>
      <c r="K281" s="3579"/>
      <c r="L281" s="3579"/>
      <c r="M281" s="3579"/>
      <c r="N281" s="3579"/>
      <c r="O281" s="3579"/>
      <c r="P281" s="3579"/>
      <c r="Q281" s="3579"/>
      <c r="R281" s="3582"/>
      <c r="S281" s="3468"/>
      <c r="T281" s="3468"/>
      <c r="U281" s="3468"/>
      <c r="V281" s="3468"/>
    </row>
    <row r="282" spans="1:22" ht="15" customHeight="1">
      <c r="A282" s="4544"/>
      <c r="B282" s="3459" t="s">
        <v>205</v>
      </c>
      <c r="C282" s="3407"/>
      <c r="D282" s="3408"/>
      <c r="E282" s="3409">
        <f>+F282+G282+H282+I282+J282+K282+L282+M282</f>
        <v>342701</v>
      </c>
      <c r="F282" s="3410"/>
      <c r="G282" s="3410">
        <f>'Tab. 6H - Kultura fiz. i turyst'!F101</f>
        <v>21322</v>
      </c>
      <c r="H282" s="3410">
        <f>'Tab. 6H - Kultura fiz. i turyst'!G101</f>
        <v>146351</v>
      </c>
      <c r="I282" s="3410">
        <f>'Tab. 6H - Kultura fiz. i turyst'!H101</f>
        <v>175028</v>
      </c>
      <c r="J282" s="3410">
        <f>'Tab. 6H - Kultura fiz. i turyst'!I101</f>
        <v>0</v>
      </c>
      <c r="K282" s="3410">
        <f>'Tab. 6H - Kultura fiz. i turyst'!J101</f>
        <v>0</v>
      </c>
      <c r="L282" s="3410">
        <f>'Tab. 6H - Kultura fiz. i turyst'!K101</f>
        <v>0</v>
      </c>
      <c r="M282" s="3410">
        <f>'Tab. 6H - Kultura fiz. i turyst'!L101</f>
        <v>0</v>
      </c>
      <c r="N282" s="3410"/>
      <c r="O282" s="3410"/>
      <c r="P282" s="3410"/>
      <c r="Q282" s="3410"/>
      <c r="R282" s="3411"/>
      <c r="S282" s="3412"/>
      <c r="T282" s="3412"/>
      <c r="U282" s="3412"/>
      <c r="V282" s="3412"/>
    </row>
    <row r="283" spans="1:22" ht="15" customHeight="1">
      <c r="A283" s="4544"/>
      <c r="B283" s="3460" t="s">
        <v>338</v>
      </c>
      <c r="C283" s="2794"/>
      <c r="D283" s="3414"/>
      <c r="E283" s="3175">
        <f>+F283+G283+H283+I283+J283+K283+L283+M283</f>
        <v>51406</v>
      </c>
      <c r="F283" s="3415"/>
      <c r="G283" s="3415">
        <f>'Tab. 6H - Kultura fiz. i turyst'!F102</f>
        <v>3199</v>
      </c>
      <c r="H283" s="3415">
        <f>'Tab. 6H - Kultura fiz. i turyst'!G102</f>
        <v>21952</v>
      </c>
      <c r="I283" s="3415">
        <f>'Tab. 6H - Kultura fiz. i turyst'!H102</f>
        <v>26255</v>
      </c>
      <c r="J283" s="3415">
        <f>'Tab. 6H - Kultura fiz. i turyst'!I102</f>
        <v>0</v>
      </c>
      <c r="K283" s="3415">
        <f>'Tab. 6H - Kultura fiz. i turyst'!J102</f>
        <v>0</v>
      </c>
      <c r="L283" s="3415">
        <f>'Tab. 6H - Kultura fiz. i turyst'!K102</f>
        <v>0</v>
      </c>
      <c r="M283" s="3415">
        <f>'Tab. 6H - Kultura fiz. i turyst'!L102</f>
        <v>0</v>
      </c>
      <c r="N283" s="3415"/>
      <c r="O283" s="3415"/>
      <c r="P283" s="3415"/>
      <c r="Q283" s="3415"/>
      <c r="R283" s="3416"/>
      <c r="S283" s="3416"/>
      <c r="T283" s="3416"/>
      <c r="U283" s="3416"/>
      <c r="V283" s="3416"/>
    </row>
    <row r="284" spans="1:22" ht="15" customHeight="1" thickBot="1">
      <c r="A284" s="4544"/>
      <c r="B284" s="3461" t="s">
        <v>207</v>
      </c>
      <c r="C284" s="3430">
        <f>E284-E285</f>
        <v>0</v>
      </c>
      <c r="D284" s="3419"/>
      <c r="E284" s="3420">
        <f>+F284+G284+H284+I284+J284+K284+L284+M284</f>
        <v>291295</v>
      </c>
      <c r="F284" s="3421"/>
      <c r="G284" s="3421">
        <f>'Tab. 6H - Kultura fiz. i turyst'!F106</f>
        <v>18123</v>
      </c>
      <c r="H284" s="3421">
        <f>'Tab. 6H - Kultura fiz. i turyst'!G106</f>
        <v>124399</v>
      </c>
      <c r="I284" s="3421">
        <f>'Tab. 6H - Kultura fiz. i turyst'!H106</f>
        <v>148773</v>
      </c>
      <c r="J284" s="3421">
        <f>'Tab. 6H - Kultura fiz. i turyst'!I106</f>
        <v>0</v>
      </c>
      <c r="K284" s="3421">
        <f>'Tab. 6H - Kultura fiz. i turyst'!J106</f>
        <v>0</v>
      </c>
      <c r="L284" s="3421">
        <f>'Tab. 6H - Kultura fiz. i turyst'!K106</f>
        <v>0</v>
      </c>
      <c r="M284" s="3421">
        <f>'Tab. 6H - Kultura fiz. i turyst'!L106</f>
        <v>0</v>
      </c>
      <c r="N284" s="3421"/>
      <c r="O284" s="3421"/>
      <c r="P284" s="3421"/>
      <c r="Q284" s="3421"/>
      <c r="R284" s="3422"/>
      <c r="S284" s="3423"/>
      <c r="T284" s="3423"/>
      <c r="U284" s="3423"/>
      <c r="V284" s="3423"/>
    </row>
    <row r="285" spans="1:22" ht="15" customHeight="1" thickBot="1">
      <c r="A285" s="4545"/>
      <c r="B285" s="3462" t="s">
        <v>335</v>
      </c>
      <c r="C285" s="3425"/>
      <c r="D285" s="3426"/>
      <c r="E285" s="3427">
        <f>F285+G285+H285+I285+J285+K285+L285+M285</f>
        <v>291295</v>
      </c>
      <c r="F285" s="3428"/>
      <c r="G285" s="3428">
        <f>'Tab. 6H - Kultura fiz. i turyst'!F111</f>
        <v>977</v>
      </c>
      <c r="H285" s="3428">
        <f>'Tab. 6H - Kultura fiz. i turyst'!G111</f>
        <v>14906</v>
      </c>
      <c r="I285" s="3428">
        <f>'Tab. 6H - Kultura fiz. i turyst'!H111</f>
        <v>113937</v>
      </c>
      <c r="J285" s="3428">
        <f>'Tab. 6H - Kultura fiz. i turyst'!I111</f>
        <v>161475</v>
      </c>
      <c r="K285" s="3428">
        <f>'Tab. 6H - Kultura fiz. i turyst'!J111</f>
        <v>0</v>
      </c>
      <c r="L285" s="3428">
        <f>'Tab. 6H - Kultura fiz. i turyst'!K111</f>
        <v>0</v>
      </c>
      <c r="M285" s="3428">
        <f>'Tab. 6H - Kultura fiz. i turyst'!L111</f>
        <v>0</v>
      </c>
      <c r="N285" s="3428"/>
      <c r="O285" s="3428"/>
      <c r="P285" s="3428"/>
      <c r="Q285" s="3428"/>
      <c r="R285" s="3429"/>
      <c r="S285" s="3429"/>
      <c r="T285" s="3429"/>
      <c r="U285" s="3429"/>
      <c r="V285" s="3429"/>
    </row>
    <row r="286" spans="1:22" ht="50.25" customHeight="1">
      <c r="A286" s="4544" t="s">
        <v>302</v>
      </c>
      <c r="B286" s="3457" t="str">
        <f>'Tab. 6B Polit społ i rozwój prz'!B122</f>
        <v>Zintegrowane wsparcie dla rodzin i pieczy zastępczej na terenie województwa zachodniopomorskiego w ramach działania 7.6 RPO WZ (2017-2018)</v>
      </c>
      <c r="C286" s="3399" t="s">
        <v>487</v>
      </c>
      <c r="D286" s="3577">
        <f>E289/E287%</f>
        <v>84.99997644764548</v>
      </c>
      <c r="E286" s="3578"/>
      <c r="F286" s="3579"/>
      <c r="G286" s="3580"/>
      <c r="H286" s="3579"/>
      <c r="I286" s="3579"/>
      <c r="J286" s="3579"/>
      <c r="K286" s="3579"/>
      <c r="L286" s="3579"/>
      <c r="M286" s="3579"/>
      <c r="N286" s="3579"/>
      <c r="O286" s="3579"/>
      <c r="P286" s="3579"/>
      <c r="Q286" s="3579"/>
      <c r="R286" s="3582"/>
      <c r="S286" s="3468"/>
      <c r="T286" s="3468"/>
      <c r="U286" s="3468"/>
      <c r="V286" s="3468"/>
    </row>
    <row r="287" spans="1:22" ht="13.5" customHeight="1">
      <c r="A287" s="4544"/>
      <c r="B287" s="3459" t="s">
        <v>205</v>
      </c>
      <c r="C287" s="3407"/>
      <c r="D287" s="3408"/>
      <c r="E287" s="3409">
        <f>+F287+G287+H287+I287+J287+K287+L287+M287</f>
        <v>1698344</v>
      </c>
      <c r="F287" s="3410"/>
      <c r="G287" s="3410">
        <f>'Tab. 6B Polit społ i rozwój prz'!F123</f>
        <v>667359</v>
      </c>
      <c r="H287" s="3410">
        <f>'Tab. 6B Polit społ i rozwój prz'!G123</f>
        <v>1030985</v>
      </c>
      <c r="I287" s="3410">
        <f>'Tab. 6B Polit społ i rozwój prz'!H123</f>
        <v>0</v>
      </c>
      <c r="J287" s="3410">
        <f>'Tab. 6B Polit społ i rozwój prz'!I123</f>
        <v>0</v>
      </c>
      <c r="K287" s="3410"/>
      <c r="L287" s="3410"/>
      <c r="M287" s="3410"/>
      <c r="N287" s="3410"/>
      <c r="O287" s="3410"/>
      <c r="P287" s="3410"/>
      <c r="Q287" s="3410"/>
      <c r="R287" s="3411"/>
      <c r="S287" s="3412"/>
      <c r="T287" s="3412"/>
      <c r="U287" s="3412"/>
      <c r="V287" s="3412"/>
    </row>
    <row r="288" spans="1:22">
      <c r="A288" s="4544"/>
      <c r="B288" s="3460" t="s">
        <v>338</v>
      </c>
      <c r="C288" s="2794"/>
      <c r="D288" s="3414"/>
      <c r="E288" s="3175">
        <f>+F288+G288+H288+I288+J288+K288+L288+M288</f>
        <v>254752</v>
      </c>
      <c r="F288" s="3415"/>
      <c r="G288" s="3415">
        <f>'Tab. 6B Polit społ i rozwój prz'!F124</f>
        <v>100104</v>
      </c>
      <c r="H288" s="3415">
        <f>'Tab. 6B Polit społ i rozwój prz'!G124</f>
        <v>154648</v>
      </c>
      <c r="I288" s="3415">
        <f>'Tab. 6B Polit społ i rozwój prz'!H124</f>
        <v>0</v>
      </c>
      <c r="J288" s="3415">
        <f>'Tab. 6B Polit społ i rozwój prz'!I124</f>
        <v>0</v>
      </c>
      <c r="K288" s="3415"/>
      <c r="L288" s="3415"/>
      <c r="M288" s="3415"/>
      <c r="N288" s="3415"/>
      <c r="O288" s="3415"/>
      <c r="P288" s="3415"/>
      <c r="Q288" s="3415"/>
      <c r="R288" s="3416"/>
      <c r="S288" s="3416"/>
      <c r="T288" s="3416"/>
      <c r="U288" s="3416"/>
      <c r="V288" s="3416"/>
    </row>
    <row r="289" spans="1:22" ht="13.5" customHeight="1" thickBot="1">
      <c r="A289" s="4544"/>
      <c r="B289" s="3461" t="s">
        <v>207</v>
      </c>
      <c r="C289" s="3430">
        <f>E289-E290</f>
        <v>0</v>
      </c>
      <c r="D289" s="3419"/>
      <c r="E289" s="3420">
        <f>+F289+G289+H289+I289+J289+K289+L289+M289</f>
        <v>1443592</v>
      </c>
      <c r="F289" s="3421"/>
      <c r="G289" s="3421">
        <f>'Tab. 6B Polit społ i rozwój prz'!F129</f>
        <v>567255</v>
      </c>
      <c r="H289" s="3421">
        <f>'Tab. 6B Polit społ i rozwój prz'!G129</f>
        <v>876337</v>
      </c>
      <c r="I289" s="3421">
        <f>'Tab. 6B Polit społ i rozwój prz'!H129</f>
        <v>0</v>
      </c>
      <c r="J289" s="3421">
        <f>'Tab. 6B Polit społ i rozwój prz'!I129</f>
        <v>0</v>
      </c>
      <c r="K289" s="3421"/>
      <c r="L289" s="3421"/>
      <c r="M289" s="3421"/>
      <c r="N289" s="3421"/>
      <c r="O289" s="3421"/>
      <c r="P289" s="3421"/>
      <c r="Q289" s="3421"/>
      <c r="R289" s="3422"/>
      <c r="S289" s="3423"/>
      <c r="T289" s="3423"/>
      <c r="U289" s="3423"/>
      <c r="V289" s="3423"/>
    </row>
    <row r="290" spans="1:22" ht="13.5" customHeight="1" thickBot="1">
      <c r="A290" s="4545"/>
      <c r="B290" s="3462" t="s">
        <v>335</v>
      </c>
      <c r="C290" s="3425"/>
      <c r="D290" s="3426"/>
      <c r="E290" s="3427">
        <f>F290+G290+H290+I290+J290+K290+L290+M290</f>
        <v>1443592</v>
      </c>
      <c r="F290" s="3428"/>
      <c r="G290" s="3428">
        <f>'Tab. 6B Polit społ i rozwój prz'!F133</f>
        <v>669848</v>
      </c>
      <c r="H290" s="3428">
        <f>'Tab. 6B Polit społ i rozwój prz'!G133</f>
        <v>773744</v>
      </c>
      <c r="I290" s="3428">
        <f>'Tab. 6B Polit społ i rozwój prz'!H133</f>
        <v>0</v>
      </c>
      <c r="J290" s="3428">
        <f>'Tab. 6B Polit społ i rozwój prz'!I133</f>
        <v>0</v>
      </c>
      <c r="K290" s="3428"/>
      <c r="L290" s="3428"/>
      <c r="M290" s="3428"/>
      <c r="N290" s="3428"/>
      <c r="O290" s="3428"/>
      <c r="P290" s="3428"/>
      <c r="Q290" s="3428"/>
      <c r="R290" s="3429"/>
      <c r="S290" s="3429"/>
      <c r="T290" s="3429"/>
      <c r="U290" s="3429"/>
      <c r="V290" s="3429"/>
    </row>
    <row r="291" spans="1:22" ht="30" customHeight="1">
      <c r="A291" s="4551" t="s">
        <v>105</v>
      </c>
      <c r="B291" s="3583" t="str">
        <f>'Tab. 6E - Administracja'!B38</f>
        <v>Regionalny Punkt Kontaktowy - Pomoc Techniczna w ramach Programu Współpracy INTERREG VA - wydatki bieżące (2016-2020)</v>
      </c>
      <c r="C291" s="3399" t="s">
        <v>595</v>
      </c>
      <c r="D291" s="3577">
        <f>E294/E292%</f>
        <v>84.904264799872777</v>
      </c>
      <c r="E291" s="3578"/>
      <c r="F291" s="3579"/>
      <c r="G291" s="3580"/>
      <c r="H291" s="3579"/>
      <c r="I291" s="3579"/>
      <c r="J291" s="3579"/>
      <c r="K291" s="3579"/>
      <c r="L291" s="3579"/>
      <c r="M291" s="3579"/>
      <c r="N291" s="3579"/>
      <c r="O291" s="3579"/>
      <c r="P291" s="3579"/>
      <c r="Q291" s="3579"/>
      <c r="R291" s="3582"/>
      <c r="S291" s="3468"/>
      <c r="T291" s="3468"/>
      <c r="U291" s="3468"/>
      <c r="V291" s="3468"/>
    </row>
    <row r="292" spans="1:22" ht="13.5" customHeight="1">
      <c r="A292" s="4551"/>
      <c r="B292" s="3459" t="s">
        <v>205</v>
      </c>
      <c r="C292" s="3407"/>
      <c r="D292" s="3408"/>
      <c r="E292" s="3409">
        <f>+F292+G292+H292+I292+J292+K292+L292+M292</f>
        <v>1333052</v>
      </c>
      <c r="F292" s="3410">
        <f>'Tab. 6E - Administracja'!E39</f>
        <v>83853</v>
      </c>
      <c r="G292" s="3410">
        <f>'Tab. 6E - Administracja'!F39</f>
        <v>248327</v>
      </c>
      <c r="H292" s="3410">
        <f>'Tab. 6E - Administracja'!G39</f>
        <v>467622</v>
      </c>
      <c r="I292" s="3410">
        <f>'Tab. 6E - Administracja'!H39</f>
        <v>266680</v>
      </c>
      <c r="J292" s="3410">
        <f>'Tab. 6E - Administracja'!I39</f>
        <v>266570</v>
      </c>
      <c r="K292" s="3410">
        <f>'Tab. 6E - Administracja'!J39</f>
        <v>0</v>
      </c>
      <c r="L292" s="3410">
        <f>'Tab. 6E - Administracja'!K39</f>
        <v>0</v>
      </c>
      <c r="M292" s="3410">
        <f>'Tab. 6E - Administracja'!L39</f>
        <v>0</v>
      </c>
      <c r="N292" s="3410"/>
      <c r="O292" s="3410"/>
      <c r="P292" s="3410"/>
      <c r="Q292" s="3410"/>
      <c r="R292" s="3411"/>
      <c r="S292" s="3412"/>
      <c r="T292" s="3412"/>
      <c r="U292" s="3412"/>
      <c r="V292" s="3412"/>
    </row>
    <row r="293" spans="1:22">
      <c r="A293" s="4551"/>
      <c r="B293" s="3460" t="s">
        <v>338</v>
      </c>
      <c r="C293" s="2794"/>
      <c r="D293" s="3414"/>
      <c r="E293" s="3175">
        <f>+F293+G293+H293+I293+J293+K293+L293+M293</f>
        <v>201234</v>
      </c>
      <c r="F293" s="3415">
        <f>'Tab. 6E - Administracja'!E40</f>
        <v>12587</v>
      </c>
      <c r="G293" s="3415">
        <f>'Tab. 6E - Administracja'!F40</f>
        <v>37319</v>
      </c>
      <c r="H293" s="3415">
        <f>'Tab. 6E - Administracja'!G40</f>
        <v>70754</v>
      </c>
      <c r="I293" s="3415">
        <f>'Tab. 6E - Administracja'!H40</f>
        <v>40342</v>
      </c>
      <c r="J293" s="3415">
        <f>'Tab. 6E - Administracja'!I40</f>
        <v>40232</v>
      </c>
      <c r="K293" s="3415">
        <f>'Tab. 6E - Administracja'!J40</f>
        <v>0</v>
      </c>
      <c r="L293" s="3415">
        <f>'Tab. 6E - Administracja'!K40</f>
        <v>0</v>
      </c>
      <c r="M293" s="3415">
        <f>'Tab. 6E - Administracja'!L40</f>
        <v>0</v>
      </c>
      <c r="N293" s="3415"/>
      <c r="O293" s="3415"/>
      <c r="P293" s="3415"/>
      <c r="Q293" s="3415"/>
      <c r="R293" s="3416"/>
      <c r="S293" s="3416"/>
      <c r="T293" s="3416"/>
      <c r="U293" s="3416"/>
      <c r="V293" s="3416"/>
    </row>
    <row r="294" spans="1:22" ht="13.5" customHeight="1" thickBot="1">
      <c r="A294" s="4551"/>
      <c r="B294" s="3461" t="s">
        <v>207</v>
      </c>
      <c r="C294" s="3430">
        <f>E294-E295</f>
        <v>0</v>
      </c>
      <c r="D294" s="3419"/>
      <c r="E294" s="3420">
        <f>+F294+G294+H294+I294+J294+K294+L294+M294</f>
        <v>1131818</v>
      </c>
      <c r="F294" s="3421">
        <f>'Tab. 6E - Administracja'!E49</f>
        <v>71266</v>
      </c>
      <c r="G294" s="3421">
        <f>'Tab. 6E - Administracja'!F49</f>
        <v>211008</v>
      </c>
      <c r="H294" s="3421">
        <f>'Tab. 6E - Administracja'!G49</f>
        <v>396868</v>
      </c>
      <c r="I294" s="3421">
        <f>'Tab. 6E - Administracja'!H49</f>
        <v>226338</v>
      </c>
      <c r="J294" s="3421">
        <f>'Tab. 6E - Administracja'!I49</f>
        <v>226338</v>
      </c>
      <c r="K294" s="3421">
        <f>'Tab. 6E - Administracja'!J49</f>
        <v>0</v>
      </c>
      <c r="L294" s="3421">
        <f>'Tab. 6E - Administracja'!K49</f>
        <v>0</v>
      </c>
      <c r="M294" s="3421">
        <f>'Tab. 6E - Administracja'!L49</f>
        <v>0</v>
      </c>
      <c r="N294" s="3421"/>
      <c r="O294" s="3421"/>
      <c r="P294" s="3421"/>
      <c r="Q294" s="3421"/>
      <c r="R294" s="3422"/>
      <c r="S294" s="3423"/>
      <c r="T294" s="3423"/>
      <c r="U294" s="3423"/>
      <c r="V294" s="3423"/>
    </row>
    <row r="295" spans="1:22" ht="13.5" customHeight="1" thickBot="1">
      <c r="A295" s="4552"/>
      <c r="B295" s="3462" t="s">
        <v>335</v>
      </c>
      <c r="C295" s="3425"/>
      <c r="D295" s="3426"/>
      <c r="E295" s="3427">
        <f>F295+G295+H295+I295+J295+K295+L295+M295</f>
        <v>1131818</v>
      </c>
      <c r="F295" s="3428"/>
      <c r="G295" s="3428">
        <f>'Tab. 6E - Administracja'!F57</f>
        <v>0</v>
      </c>
      <c r="H295" s="3428">
        <f>'Tab. 6E - Administracja'!G57</f>
        <v>480192</v>
      </c>
      <c r="I295" s="3428">
        <f>'Tab. 6E - Administracja'!H57</f>
        <v>312119</v>
      </c>
      <c r="J295" s="3428">
        <f>'Tab. 6E - Administracja'!I57</f>
        <v>226338</v>
      </c>
      <c r="K295" s="3428">
        <f>'Tab. 6E - Administracja'!J57</f>
        <v>113169</v>
      </c>
      <c r="L295" s="3428">
        <f>'Tab. 6E - Administracja'!K57</f>
        <v>0</v>
      </c>
      <c r="M295" s="3428">
        <f>'Tab. 6E - Administracja'!L57</f>
        <v>0</v>
      </c>
      <c r="N295" s="3428"/>
      <c r="O295" s="3428"/>
      <c r="P295" s="3428"/>
      <c r="Q295" s="3428"/>
      <c r="R295" s="3429"/>
      <c r="S295" s="3429"/>
      <c r="T295" s="3429"/>
      <c r="U295" s="3429"/>
      <c r="V295" s="3429"/>
    </row>
    <row r="296" spans="1:22" ht="43.5" customHeight="1">
      <c r="A296" s="4551" t="s">
        <v>303</v>
      </c>
      <c r="B296" s="3583" t="str">
        <f>'Tab. 6H - Kultura fiz. i turyst'!B175</f>
        <v>BALTIC STORIES - Rozwój turystyki poprzez profesjonalizację wydarzeń w regionie południowego bałtyku w ramach Programu Interreg Południowy Bałtyk (2017-2020)</v>
      </c>
      <c r="C296" s="3499" t="s">
        <v>614</v>
      </c>
      <c r="D296" s="3577">
        <f>E299/E297%</f>
        <v>84.9668625146886</v>
      </c>
      <c r="E296" s="3578"/>
      <c r="F296" s="3579"/>
      <c r="G296" s="3580"/>
      <c r="H296" s="3579"/>
      <c r="I296" s="3579"/>
      <c r="J296" s="3579"/>
      <c r="K296" s="3579"/>
      <c r="L296" s="3579"/>
      <c r="M296" s="3579"/>
      <c r="N296" s="3579"/>
      <c r="O296" s="3579"/>
      <c r="P296" s="3579"/>
      <c r="Q296" s="3579"/>
      <c r="R296" s="3582"/>
      <c r="S296" s="3468"/>
      <c r="T296" s="3468"/>
      <c r="U296" s="3468"/>
      <c r="V296" s="3468"/>
    </row>
    <row r="297" spans="1:22" ht="13.5" customHeight="1">
      <c r="A297" s="4551"/>
      <c r="B297" s="3459" t="s">
        <v>205</v>
      </c>
      <c r="C297" s="3584"/>
      <c r="D297" s="3408"/>
      <c r="E297" s="3409">
        <f>+F297+G297+H297+I297+J297+K297+L297+M297</f>
        <v>1276500</v>
      </c>
      <c r="F297" s="3410">
        <f>'Tab. 6H - Kultura fiz. i turyst'!E176</f>
        <v>0</v>
      </c>
      <c r="G297" s="3410">
        <f>'Tab. 6H - Kultura fiz. i turyst'!F176</f>
        <v>25422</v>
      </c>
      <c r="H297" s="3410">
        <f>'Tab. 6H - Kultura fiz. i turyst'!G176</f>
        <v>545621</v>
      </c>
      <c r="I297" s="3410">
        <f>'Tab. 6H - Kultura fiz. i turyst'!H176</f>
        <v>671780</v>
      </c>
      <c r="J297" s="3410">
        <f>'Tab. 6H - Kultura fiz. i turyst'!I176</f>
        <v>33677</v>
      </c>
      <c r="K297" s="3410">
        <f>'Tab. 6H - Kultura fiz. i turyst'!J176</f>
        <v>0</v>
      </c>
      <c r="L297" s="3410">
        <f>'Tab. 6H - Kultura fiz. i turyst'!K176</f>
        <v>0</v>
      </c>
      <c r="M297" s="3410">
        <f>'Tab. 6H - Kultura fiz. i turyst'!L176</f>
        <v>0</v>
      </c>
      <c r="N297" s="3410"/>
      <c r="O297" s="3410"/>
      <c r="P297" s="3410"/>
      <c r="Q297" s="3410"/>
      <c r="R297" s="3411"/>
      <c r="S297" s="3412"/>
      <c r="T297" s="3412"/>
      <c r="U297" s="3412"/>
      <c r="V297" s="3412"/>
    </row>
    <row r="298" spans="1:22">
      <c r="A298" s="4551"/>
      <c r="B298" s="3460" t="s">
        <v>338</v>
      </c>
      <c r="C298" s="3585"/>
      <c r="D298" s="3414"/>
      <c r="E298" s="3175">
        <f>+F298+G298+H298+I298+J298+K298+L298+M298</f>
        <v>191898</v>
      </c>
      <c r="F298" s="3415">
        <f>'Tab. 6H - Kultura fiz. i turyst'!E177</f>
        <v>0</v>
      </c>
      <c r="G298" s="3415">
        <f>'Tab. 6H - Kultura fiz. i turyst'!F177</f>
        <v>3813</v>
      </c>
      <c r="H298" s="3415">
        <f>'Tab. 6H - Kultura fiz. i turyst'!G177</f>
        <v>82013</v>
      </c>
      <c r="I298" s="3415">
        <f>'Tab. 6H - Kultura fiz. i turyst'!H177</f>
        <v>100937</v>
      </c>
      <c r="J298" s="3415">
        <f>'Tab. 6H - Kultura fiz. i turyst'!I177</f>
        <v>5135</v>
      </c>
      <c r="K298" s="3415">
        <f>'Tab. 6H - Kultura fiz. i turyst'!J177</f>
        <v>0</v>
      </c>
      <c r="L298" s="3415">
        <f>'Tab. 6H - Kultura fiz. i turyst'!K177</f>
        <v>0</v>
      </c>
      <c r="M298" s="3415">
        <f>'Tab. 6H - Kultura fiz. i turyst'!L177</f>
        <v>0</v>
      </c>
      <c r="N298" s="3415"/>
      <c r="O298" s="3415"/>
      <c r="P298" s="3415"/>
      <c r="Q298" s="3415"/>
      <c r="R298" s="3416"/>
      <c r="S298" s="3416"/>
      <c r="T298" s="3416"/>
      <c r="U298" s="3416"/>
      <c r="V298" s="3416"/>
    </row>
    <row r="299" spans="1:22" ht="13.5" customHeight="1" thickBot="1">
      <c r="A299" s="4551"/>
      <c r="B299" s="3461" t="s">
        <v>207</v>
      </c>
      <c r="C299" s="3430">
        <f>E299-E300</f>
        <v>0</v>
      </c>
      <c r="D299" s="3419"/>
      <c r="E299" s="3420">
        <f>+F299+G299+H299+I299+J299+K299+L299+M299</f>
        <v>1084602</v>
      </c>
      <c r="F299" s="3421">
        <f>'Tab. 6H - Kultura fiz. i turyst'!E181</f>
        <v>0</v>
      </c>
      <c r="G299" s="3421">
        <f>'Tab. 6H - Kultura fiz. i turyst'!F181</f>
        <v>21609</v>
      </c>
      <c r="H299" s="3421">
        <f>'Tab. 6H - Kultura fiz. i turyst'!G181</f>
        <v>463608</v>
      </c>
      <c r="I299" s="3421">
        <f>'Tab. 6H - Kultura fiz. i turyst'!H181</f>
        <v>570843</v>
      </c>
      <c r="J299" s="3421">
        <f>'Tab. 6H - Kultura fiz. i turyst'!I181</f>
        <v>28542</v>
      </c>
      <c r="K299" s="3421">
        <f>'Tab. 6H - Kultura fiz. i turyst'!J181</f>
        <v>0</v>
      </c>
      <c r="L299" s="3421">
        <f>'Tab. 6H - Kultura fiz. i turyst'!K181</f>
        <v>0</v>
      </c>
      <c r="M299" s="3421">
        <f>'Tab. 6H - Kultura fiz. i turyst'!L181</f>
        <v>0</v>
      </c>
      <c r="N299" s="3421"/>
      <c r="O299" s="3421"/>
      <c r="P299" s="3421"/>
      <c r="Q299" s="3421"/>
      <c r="R299" s="3422"/>
      <c r="S299" s="3423"/>
      <c r="T299" s="3423"/>
      <c r="U299" s="3423"/>
      <c r="V299" s="3423"/>
    </row>
    <row r="300" spans="1:22" ht="13.5" customHeight="1" thickBot="1">
      <c r="A300" s="4552"/>
      <c r="B300" s="3462" t="s">
        <v>335</v>
      </c>
      <c r="C300" s="3586"/>
      <c r="D300" s="3426"/>
      <c r="E300" s="3427">
        <f>F300+G300+H300+I300+J300+K300+L300+M300</f>
        <v>1084602</v>
      </c>
      <c r="F300" s="3428">
        <f>'Tab. 6H - Kultura fiz. i turyst'!E186</f>
        <v>0</v>
      </c>
      <c r="G300" s="3428">
        <f>'Tab. 6H - Kultura fiz. i turyst'!F186</f>
        <v>0</v>
      </c>
      <c r="H300" s="3428">
        <f>'Tab. 6H - Kultura fiz. i turyst'!G186</f>
        <v>253586</v>
      </c>
      <c r="I300" s="3428">
        <f>'Tab. 6H - Kultura fiz. i turyst'!H186</f>
        <v>517052</v>
      </c>
      <c r="J300" s="3428">
        <f>'Tab. 6H - Kultura fiz. i turyst'!I186</f>
        <v>313964</v>
      </c>
      <c r="K300" s="3428">
        <f>'Tab. 6H - Kultura fiz. i turyst'!J186</f>
        <v>0</v>
      </c>
      <c r="L300" s="3428">
        <f>'Tab. 6H - Kultura fiz. i turyst'!K186</f>
        <v>0</v>
      </c>
      <c r="M300" s="3428">
        <f>'Tab. 6H - Kultura fiz. i turyst'!L186</f>
        <v>0</v>
      </c>
      <c r="N300" s="3428"/>
      <c r="O300" s="3428"/>
      <c r="P300" s="3428"/>
      <c r="Q300" s="3428"/>
      <c r="R300" s="3429"/>
      <c r="S300" s="3429"/>
      <c r="T300" s="3429"/>
      <c r="U300" s="3429"/>
      <c r="V300" s="3429"/>
    </row>
    <row r="301" spans="1:22" ht="27.75" customHeight="1">
      <c r="A301" s="4551" t="s">
        <v>229</v>
      </c>
      <c r="B301" s="3583" t="str">
        <f>'Tab. 6H - Kultura fiz. i turyst'!B153</f>
        <v>Bałtyckie trasy dziedzictwa w ramach Programu Interreg Południowy Bałtyk (2017-2020)</v>
      </c>
      <c r="C301" s="3499" t="s">
        <v>647</v>
      </c>
      <c r="D301" s="3577">
        <f>E304/E302%</f>
        <v>84.863246554364466</v>
      </c>
      <c r="E301" s="3578"/>
      <c r="F301" s="3579"/>
      <c r="G301" s="3580"/>
      <c r="H301" s="3579"/>
      <c r="I301" s="3579"/>
      <c r="J301" s="3579"/>
      <c r="K301" s="3579"/>
      <c r="L301" s="3579"/>
      <c r="M301" s="3579"/>
      <c r="N301" s="3579"/>
      <c r="O301" s="3579"/>
      <c r="P301" s="3579"/>
      <c r="Q301" s="3579"/>
      <c r="R301" s="3582"/>
      <c r="S301" s="3468"/>
      <c r="T301" s="3468"/>
      <c r="U301" s="3468"/>
      <c r="V301" s="3468"/>
    </row>
    <row r="302" spans="1:22" ht="13.5" customHeight="1">
      <c r="A302" s="4551"/>
      <c r="B302" s="3459" t="s">
        <v>205</v>
      </c>
      <c r="C302" s="3584"/>
      <c r="D302" s="3408"/>
      <c r="E302" s="3409">
        <f>+F302+G302+H302+I302+J302+K302+L302+M302</f>
        <v>653000</v>
      </c>
      <c r="F302" s="3410">
        <f>'Tab. 6H - Kultura fiz. i turyst'!E154</f>
        <v>0</v>
      </c>
      <c r="G302" s="3410">
        <f>'Tab. 6H - Kultura fiz. i turyst'!F154</f>
        <v>915</v>
      </c>
      <c r="H302" s="3410">
        <f>'Tab. 6H - Kultura fiz. i turyst'!G154</f>
        <v>214292</v>
      </c>
      <c r="I302" s="3410">
        <f>'Tab. 6H - Kultura fiz. i turyst'!H154</f>
        <v>372867</v>
      </c>
      <c r="J302" s="3410">
        <f>'Tab. 6H - Kultura fiz. i turyst'!I154</f>
        <v>64926</v>
      </c>
      <c r="K302" s="3410">
        <f>'Tab. 6H - Kultura fiz. i turyst'!J154</f>
        <v>0</v>
      </c>
      <c r="L302" s="3410">
        <f>'Tab. 6H - Kultura fiz. i turyst'!K154</f>
        <v>0</v>
      </c>
      <c r="M302" s="3410">
        <f>'Tab. 6H - Kultura fiz. i turyst'!L154</f>
        <v>0</v>
      </c>
      <c r="N302" s="3410"/>
      <c r="O302" s="3410"/>
      <c r="P302" s="3410"/>
      <c r="Q302" s="3410"/>
      <c r="R302" s="3411"/>
      <c r="S302" s="3412"/>
      <c r="T302" s="3412"/>
      <c r="U302" s="3412"/>
      <c r="V302" s="3412"/>
    </row>
    <row r="303" spans="1:22">
      <c r="A303" s="4551"/>
      <c r="B303" s="3460" t="s">
        <v>338</v>
      </c>
      <c r="C303" s="3585"/>
      <c r="D303" s="3414"/>
      <c r="E303" s="3175">
        <f>+F303+G303+H303+I303+J303+K303+L303+M303</f>
        <v>98843</v>
      </c>
      <c r="F303" s="3415">
        <f>'Tab. 6H - Kultura fiz. i turyst'!E155</f>
        <v>0</v>
      </c>
      <c r="G303" s="3415">
        <f>'Tab. 6H - Kultura fiz. i turyst'!F155</f>
        <v>137</v>
      </c>
      <c r="H303" s="3415">
        <f>'Tab. 6H - Kultura fiz. i turyst'!G155</f>
        <v>32442</v>
      </c>
      <c r="I303" s="3415">
        <f>'Tab. 6H - Kultura fiz. i turyst'!H155</f>
        <v>56227</v>
      </c>
      <c r="J303" s="3415">
        <f>'Tab. 6H - Kultura fiz. i turyst'!I155</f>
        <v>10037</v>
      </c>
      <c r="K303" s="3415">
        <f>'Tab. 6H - Kultura fiz. i turyst'!J155</f>
        <v>0</v>
      </c>
      <c r="L303" s="3415">
        <f>'Tab. 6H - Kultura fiz. i turyst'!K155</f>
        <v>0</v>
      </c>
      <c r="M303" s="3415">
        <f>'Tab. 6H - Kultura fiz. i turyst'!L155</f>
        <v>0</v>
      </c>
      <c r="N303" s="3415"/>
      <c r="O303" s="3415"/>
      <c r="P303" s="3415"/>
      <c r="Q303" s="3415"/>
      <c r="R303" s="3416"/>
      <c r="S303" s="3416"/>
      <c r="T303" s="3416"/>
      <c r="U303" s="3416"/>
      <c r="V303" s="3416"/>
    </row>
    <row r="304" spans="1:22" ht="13.5" customHeight="1" thickBot="1">
      <c r="A304" s="4551"/>
      <c r="B304" s="3461" t="s">
        <v>207</v>
      </c>
      <c r="C304" s="3430">
        <f>E304-E305</f>
        <v>0</v>
      </c>
      <c r="D304" s="3419"/>
      <c r="E304" s="3420">
        <f>+F304+G304+H304+I304+J304+K304+L304+M304</f>
        <v>554157</v>
      </c>
      <c r="F304" s="3421">
        <f>'Tab. 6H - Kultura fiz. i turyst'!E160</f>
        <v>0</v>
      </c>
      <c r="G304" s="3421">
        <f>'Tab. 6H - Kultura fiz. i turyst'!F160</f>
        <v>778</v>
      </c>
      <c r="H304" s="3421">
        <f>'Tab. 6H - Kultura fiz. i turyst'!G160</f>
        <v>181850</v>
      </c>
      <c r="I304" s="3421">
        <f>'Tab. 6H - Kultura fiz. i turyst'!H160</f>
        <v>316640</v>
      </c>
      <c r="J304" s="3421">
        <f>'Tab. 6H - Kultura fiz. i turyst'!I160</f>
        <v>54889</v>
      </c>
      <c r="K304" s="3421">
        <f>'Tab. 6H - Kultura fiz. i turyst'!J160</f>
        <v>0</v>
      </c>
      <c r="L304" s="3421">
        <f>'Tab. 6H - Kultura fiz. i turyst'!K160</f>
        <v>0</v>
      </c>
      <c r="M304" s="3421">
        <f>'Tab. 6H - Kultura fiz. i turyst'!L160</f>
        <v>0</v>
      </c>
      <c r="N304" s="3421"/>
      <c r="O304" s="3421"/>
      <c r="P304" s="3421"/>
      <c r="Q304" s="3421"/>
      <c r="R304" s="3422"/>
      <c r="S304" s="3423"/>
      <c r="T304" s="3423"/>
      <c r="U304" s="3423"/>
      <c r="V304" s="3423"/>
    </row>
    <row r="305" spans="1:22" ht="13.5" customHeight="1" thickBot="1">
      <c r="A305" s="4552"/>
      <c r="B305" s="3462" t="s">
        <v>335</v>
      </c>
      <c r="C305" s="3586"/>
      <c r="D305" s="3426"/>
      <c r="E305" s="3427">
        <f>F305+G305+H305+I305+J305+K305+L305+M305</f>
        <v>554157</v>
      </c>
      <c r="F305" s="3428">
        <f>'Tab. 6H - Kultura fiz. i turyst'!E164</f>
        <v>0</v>
      </c>
      <c r="G305" s="3428">
        <f>'Tab. 6H - Kultura fiz. i turyst'!F164</f>
        <v>0</v>
      </c>
      <c r="H305" s="3428">
        <f>'Tab. 6H - Kultura fiz. i turyst'!G164</f>
        <v>69700</v>
      </c>
      <c r="I305" s="3428">
        <f>'Tab. 6H - Kultura fiz. i turyst'!H164</f>
        <v>367384</v>
      </c>
      <c r="J305" s="3428">
        <f>'Tab. 6H - Kultura fiz. i turyst'!I164</f>
        <v>117073</v>
      </c>
      <c r="K305" s="3428">
        <f>'Tab. 6H - Kultura fiz. i turyst'!J164</f>
        <v>0</v>
      </c>
      <c r="L305" s="3428">
        <f>'Tab. 6H - Kultura fiz. i turyst'!K164</f>
        <v>0</v>
      </c>
      <c r="M305" s="3428">
        <f>'Tab. 6H - Kultura fiz. i turyst'!L164</f>
        <v>0</v>
      </c>
      <c r="N305" s="3428"/>
      <c r="O305" s="3428"/>
      <c r="P305" s="3428"/>
      <c r="Q305" s="3428"/>
      <c r="R305" s="3429"/>
      <c r="S305" s="3429"/>
      <c r="T305" s="3429"/>
      <c r="U305" s="3429"/>
      <c r="V305" s="3429"/>
    </row>
    <row r="306" spans="1:22" ht="27.75" customHeight="1">
      <c r="A306" s="4551" t="s">
        <v>230</v>
      </c>
      <c r="B306" s="3583" t="str">
        <f>'Tab. 6B Polit społ i rozwój prz'!B44</f>
        <v>Ekonomia społeczna kluczem do sukcesu - II w ramach działania 7.5 RPO WZ (2018-2019)</v>
      </c>
      <c r="C306" s="3499" t="s">
        <v>677</v>
      </c>
      <c r="D306" s="3577">
        <f>E309/E307%</f>
        <v>85.000015101542772</v>
      </c>
      <c r="E306" s="3578"/>
      <c r="F306" s="3579"/>
      <c r="G306" s="3580"/>
      <c r="H306" s="3579"/>
      <c r="I306" s="3579"/>
      <c r="J306" s="3579"/>
      <c r="K306" s="3579"/>
      <c r="L306" s="3579"/>
      <c r="M306" s="3579"/>
      <c r="N306" s="3579"/>
      <c r="O306" s="3579"/>
      <c r="P306" s="3579"/>
      <c r="Q306" s="3579"/>
      <c r="R306" s="3582"/>
      <c r="S306" s="3468"/>
      <c r="T306" s="3468"/>
      <c r="U306" s="3468"/>
      <c r="V306" s="3468"/>
    </row>
    <row r="307" spans="1:22" ht="13.5" customHeight="1">
      <c r="A307" s="4551"/>
      <c r="B307" s="3459" t="s">
        <v>205</v>
      </c>
      <c r="C307" s="3584"/>
      <c r="D307" s="3408"/>
      <c r="E307" s="3409">
        <f>+F307+G307+H307+I307+J307+K307+L307+M307</f>
        <v>1324368</v>
      </c>
      <c r="F307" s="3410">
        <f>'Tab. 6B Polit społ i rozwój prz'!E45</f>
        <v>0</v>
      </c>
      <c r="G307" s="3410">
        <f>'Tab. 6B Polit społ i rozwój prz'!F45</f>
        <v>0</v>
      </c>
      <c r="H307" s="3410">
        <f>'Tab. 6B Polit społ i rozwój prz'!G45</f>
        <v>689604</v>
      </c>
      <c r="I307" s="3410">
        <f>'Tab. 6B Polit społ i rozwój prz'!H45</f>
        <v>634764</v>
      </c>
      <c r="J307" s="3410">
        <f>'Tab. 6B Polit społ i rozwój prz'!I45</f>
        <v>0</v>
      </c>
      <c r="K307" s="3410">
        <f>'Tab. 6B Polit społ i rozwój prz'!J45</f>
        <v>0</v>
      </c>
      <c r="L307" s="3410">
        <f>'Tab. 6B Polit społ i rozwój prz'!K45</f>
        <v>0</v>
      </c>
      <c r="M307" s="3410">
        <f>'Tab. 6B Polit społ i rozwój prz'!L45</f>
        <v>0</v>
      </c>
      <c r="N307" s="3410"/>
      <c r="O307" s="3410"/>
      <c r="P307" s="3410"/>
      <c r="Q307" s="3410"/>
      <c r="R307" s="3411"/>
      <c r="S307" s="3412"/>
      <c r="T307" s="3412"/>
      <c r="U307" s="3412"/>
      <c r="V307" s="3412"/>
    </row>
    <row r="308" spans="1:22">
      <c r="A308" s="4551"/>
      <c r="B308" s="3460" t="s">
        <v>338</v>
      </c>
      <c r="C308" s="3585"/>
      <c r="D308" s="3414"/>
      <c r="E308" s="3175">
        <f>+F308+G308+H308+I308+J308+K308+L308+M308</f>
        <v>198655</v>
      </c>
      <c r="F308" s="3415">
        <f>'Tab. 6B Polit społ i rozwój prz'!E46</f>
        <v>0</v>
      </c>
      <c r="G308" s="3415">
        <f>'Tab. 6B Polit społ i rozwój prz'!F46</f>
        <v>0</v>
      </c>
      <c r="H308" s="3415">
        <f>'Tab. 6B Polit społ i rozwój prz'!G46</f>
        <v>103441</v>
      </c>
      <c r="I308" s="3415">
        <f>'Tab. 6B Polit społ i rozwój prz'!H46</f>
        <v>95214</v>
      </c>
      <c r="J308" s="3415">
        <f>'Tab. 6B Polit społ i rozwój prz'!I46</f>
        <v>0</v>
      </c>
      <c r="K308" s="3415">
        <f>'Tab. 6B Polit społ i rozwój prz'!J46</f>
        <v>0</v>
      </c>
      <c r="L308" s="3415">
        <f>'Tab. 6B Polit społ i rozwój prz'!K46</f>
        <v>0</v>
      </c>
      <c r="M308" s="3415">
        <f>'Tab. 6B Polit społ i rozwój prz'!L46</f>
        <v>0</v>
      </c>
      <c r="N308" s="3415"/>
      <c r="O308" s="3415"/>
      <c r="P308" s="3415"/>
      <c r="Q308" s="3415"/>
      <c r="R308" s="3416"/>
      <c r="S308" s="3416"/>
      <c r="T308" s="3416"/>
      <c r="U308" s="3416"/>
      <c r="V308" s="3416"/>
    </row>
    <row r="309" spans="1:22" ht="13.5" customHeight="1" thickBot="1">
      <c r="A309" s="4551"/>
      <c r="B309" s="3461" t="s">
        <v>207</v>
      </c>
      <c r="C309" s="3430">
        <f>E309-E310</f>
        <v>0</v>
      </c>
      <c r="D309" s="3419"/>
      <c r="E309" s="3420">
        <f>+F309+G309+H309+I309+J309+K309+L309+M309</f>
        <v>1125713</v>
      </c>
      <c r="F309" s="3421">
        <f>'Tab. 6B Polit społ i rozwój prz'!E52</f>
        <v>0</v>
      </c>
      <c r="G309" s="3421">
        <f>'Tab. 6B Polit społ i rozwój prz'!F52</f>
        <v>0</v>
      </c>
      <c r="H309" s="3421">
        <f>'Tab. 6B Polit społ i rozwój prz'!G52</f>
        <v>586163</v>
      </c>
      <c r="I309" s="3421">
        <f>'Tab. 6B Polit społ i rozwój prz'!H52</f>
        <v>539550</v>
      </c>
      <c r="J309" s="3421">
        <f>'Tab. 6B Polit społ i rozwój prz'!I52</f>
        <v>0</v>
      </c>
      <c r="K309" s="3421">
        <f>'Tab. 6B Polit społ i rozwój prz'!J52</f>
        <v>0</v>
      </c>
      <c r="L309" s="3421">
        <f>'Tab. 6B Polit społ i rozwój prz'!K52</f>
        <v>0</v>
      </c>
      <c r="M309" s="3421">
        <f>'Tab. 6B Polit społ i rozwój prz'!L52</f>
        <v>0</v>
      </c>
      <c r="N309" s="3421"/>
      <c r="O309" s="3421"/>
      <c r="P309" s="3421"/>
      <c r="Q309" s="3421"/>
      <c r="R309" s="3422"/>
      <c r="S309" s="3423"/>
      <c r="T309" s="3423"/>
      <c r="U309" s="3423"/>
      <c r="V309" s="3423"/>
    </row>
    <row r="310" spans="1:22" ht="16.5" customHeight="1" thickBot="1">
      <c r="A310" s="4552"/>
      <c r="B310" s="3462" t="s">
        <v>335</v>
      </c>
      <c r="C310" s="3586"/>
      <c r="D310" s="3426"/>
      <c r="E310" s="3427">
        <f>F310+G310+H310+I310+J310+K310+L310+M310</f>
        <v>1125713</v>
      </c>
      <c r="F310" s="3428">
        <f>'Tab. 6B Polit społ i rozwój prz'!E58</f>
        <v>0</v>
      </c>
      <c r="G310" s="3428">
        <f>'Tab. 6B Polit społ i rozwój prz'!F58</f>
        <v>0</v>
      </c>
      <c r="H310" s="3428">
        <f>'Tab. 6B Polit społ i rozwój prz'!G58</f>
        <v>586163</v>
      </c>
      <c r="I310" s="3428">
        <f>'Tab. 6B Polit społ i rozwój prz'!H58</f>
        <v>539550</v>
      </c>
      <c r="J310" s="3428">
        <f>'Tab. 6B Polit społ i rozwój prz'!I58</f>
        <v>0</v>
      </c>
      <c r="K310" s="3428">
        <f>'Tab. 6B Polit społ i rozwój prz'!J58</f>
        <v>0</v>
      </c>
      <c r="L310" s="3428">
        <f>'Tab. 6B Polit społ i rozwój prz'!K58</f>
        <v>0</v>
      </c>
      <c r="M310" s="3428">
        <f>'Tab. 6B Polit społ i rozwój prz'!L58</f>
        <v>0</v>
      </c>
      <c r="N310" s="3428"/>
      <c r="O310" s="3428"/>
      <c r="P310" s="3428"/>
      <c r="Q310" s="3428"/>
      <c r="R310" s="3429"/>
      <c r="S310" s="3429"/>
      <c r="T310" s="3429"/>
      <c r="U310" s="3429"/>
      <c r="V310" s="3429"/>
    </row>
    <row r="311" spans="1:22" ht="27.75" customHeight="1" thickBot="1">
      <c r="A311" s="4551" t="s">
        <v>293</v>
      </c>
      <c r="B311" s="3583" t="str">
        <f>'Tab. 6B Polit społ i rozwój prz'!B157</f>
        <v>Dobre Wsparcie - system lokalnych usług społecznych w ramach działania 7.6 RPO WZ - wydatki bieżące (2018-2019)</v>
      </c>
      <c r="C311" s="3474" t="s">
        <v>646</v>
      </c>
      <c r="D311" s="3577">
        <f>E314/E312%</f>
        <v>85</v>
      </c>
      <c r="E311" s="3578"/>
      <c r="F311" s="3579"/>
      <c r="G311" s="3580"/>
      <c r="H311" s="3579"/>
      <c r="I311" s="3579"/>
      <c r="J311" s="3579"/>
      <c r="K311" s="3579"/>
      <c r="L311" s="3579"/>
      <c r="M311" s="3579"/>
      <c r="N311" s="3579"/>
      <c r="O311" s="3579"/>
      <c r="P311" s="3579"/>
      <c r="Q311" s="3579"/>
      <c r="R311" s="3582"/>
      <c r="S311" s="3468"/>
      <c r="T311" s="3468"/>
      <c r="U311" s="3468"/>
      <c r="V311" s="3468"/>
    </row>
    <row r="312" spans="1:22" ht="13.5" customHeight="1" thickTop="1">
      <c r="A312" s="4551"/>
      <c r="B312" s="3459" t="s">
        <v>205</v>
      </c>
      <c r="C312" s="3584"/>
      <c r="D312" s="3408"/>
      <c r="E312" s="3409">
        <f>+F312+G312+H312+I312+J312+K312+L312+M312</f>
        <v>1154280</v>
      </c>
      <c r="F312" s="3410">
        <f>'Tab. 6B Polit społ i rozwój prz'!E158</f>
        <v>0</v>
      </c>
      <c r="G312" s="3410">
        <f>'Tab. 6B Polit społ i rozwój prz'!F158</f>
        <v>0</v>
      </c>
      <c r="H312" s="3410">
        <f>'Tab. 6B Polit społ i rozwój prz'!G158</f>
        <v>624754</v>
      </c>
      <c r="I312" s="3410">
        <f>'Tab. 6B Polit społ i rozwój prz'!H158</f>
        <v>529526</v>
      </c>
      <c r="J312" s="3410">
        <f>'Tab. 6B Polit społ i rozwój prz'!I158</f>
        <v>0</v>
      </c>
      <c r="K312" s="3410">
        <f>'Tab. 6B Polit społ i rozwój prz'!J158</f>
        <v>0</v>
      </c>
      <c r="L312" s="3410">
        <f>'Tab. 6B Polit społ i rozwój prz'!K158</f>
        <v>0</v>
      </c>
      <c r="M312" s="3410">
        <f>'Tab. 6B Polit społ i rozwój prz'!L158</f>
        <v>0</v>
      </c>
      <c r="N312" s="3410"/>
      <c r="O312" s="3410"/>
      <c r="P312" s="3410"/>
      <c r="Q312" s="3410"/>
      <c r="R312" s="3411"/>
      <c r="S312" s="3412"/>
      <c r="T312" s="3412"/>
      <c r="U312" s="3412"/>
      <c r="V312" s="3412"/>
    </row>
    <row r="313" spans="1:22">
      <c r="A313" s="4551"/>
      <c r="B313" s="3460" t="s">
        <v>338</v>
      </c>
      <c r="C313" s="3585"/>
      <c r="D313" s="3414"/>
      <c r="E313" s="3175">
        <f>+F313+G313+H313+I313+J313+K313+L313+M313</f>
        <v>173142</v>
      </c>
      <c r="F313" s="3415">
        <f>'Tab. 6B Polit społ i rozwój prz'!E159</f>
        <v>0</v>
      </c>
      <c r="G313" s="3415">
        <f>'Tab. 6B Polit społ i rozwój prz'!F159</f>
        <v>0</v>
      </c>
      <c r="H313" s="3415">
        <f>'Tab. 6B Polit społ i rozwój prz'!G159</f>
        <v>93713</v>
      </c>
      <c r="I313" s="3415">
        <f>'Tab. 6B Polit społ i rozwój prz'!H159</f>
        <v>79429</v>
      </c>
      <c r="J313" s="3415">
        <f>'Tab. 6B Polit społ i rozwój prz'!I159</f>
        <v>0</v>
      </c>
      <c r="K313" s="3415">
        <f>'Tab. 6B Polit społ i rozwój prz'!J159</f>
        <v>0</v>
      </c>
      <c r="L313" s="3415">
        <f>'Tab. 6B Polit społ i rozwój prz'!K159</f>
        <v>0</v>
      </c>
      <c r="M313" s="3415">
        <f>'Tab. 6B Polit społ i rozwój prz'!L159</f>
        <v>0</v>
      </c>
      <c r="N313" s="3415"/>
      <c r="O313" s="3415"/>
      <c r="P313" s="3415"/>
      <c r="Q313" s="3415"/>
      <c r="R313" s="3416"/>
      <c r="S313" s="3416"/>
      <c r="T313" s="3416"/>
      <c r="U313" s="3416"/>
      <c r="V313" s="3416"/>
    </row>
    <row r="314" spans="1:22" ht="13.5" customHeight="1" thickBot="1">
      <c r="A314" s="4551"/>
      <c r="B314" s="3461" t="s">
        <v>207</v>
      </c>
      <c r="C314" s="3430">
        <f>E314-E315</f>
        <v>0</v>
      </c>
      <c r="D314" s="3419"/>
      <c r="E314" s="3420">
        <f>+F314+G314+H314+I314+J314+K314+L314+M314</f>
        <v>981138</v>
      </c>
      <c r="F314" s="3421">
        <f>'Tab. 6B Polit społ i rozwój prz'!E167</f>
        <v>0</v>
      </c>
      <c r="G314" s="3421">
        <f>'Tab. 6B Polit społ i rozwój prz'!F167</f>
        <v>0</v>
      </c>
      <c r="H314" s="3421">
        <f>'Tab. 6B Polit społ i rozwój prz'!G167</f>
        <v>531041</v>
      </c>
      <c r="I314" s="3421">
        <f>'Tab. 6B Polit społ i rozwój prz'!H167</f>
        <v>450097</v>
      </c>
      <c r="J314" s="3421">
        <f>'Tab. 6B Polit społ i rozwój prz'!I167</f>
        <v>0</v>
      </c>
      <c r="K314" s="3421">
        <f>'Tab. 6B Polit społ i rozwój prz'!J167</f>
        <v>0</v>
      </c>
      <c r="L314" s="3421">
        <f>'Tab. 6B Polit społ i rozwój prz'!K167</f>
        <v>0</v>
      </c>
      <c r="M314" s="3421">
        <f>'Tab. 6B Polit społ i rozwój prz'!L167</f>
        <v>0</v>
      </c>
      <c r="N314" s="3421"/>
      <c r="O314" s="3421"/>
      <c r="P314" s="3421"/>
      <c r="Q314" s="3421"/>
      <c r="R314" s="3422"/>
      <c r="S314" s="3423"/>
      <c r="T314" s="3423"/>
      <c r="U314" s="3423"/>
      <c r="V314" s="3423"/>
    </row>
    <row r="315" spans="1:22" ht="16.5" customHeight="1" thickBot="1">
      <c r="A315" s="4552"/>
      <c r="B315" s="3462" t="s">
        <v>335</v>
      </c>
      <c r="C315" s="3586"/>
      <c r="D315" s="3426"/>
      <c r="E315" s="3427">
        <f>F315+G315+H315+I315+J315+K315+L315+M315</f>
        <v>981138</v>
      </c>
      <c r="F315" s="3428">
        <f>'Tab. 6B Polit społ i rozwój prz'!E173</f>
        <v>0</v>
      </c>
      <c r="G315" s="3428">
        <f>'Tab. 6B Polit społ i rozwój prz'!F173</f>
        <v>0</v>
      </c>
      <c r="H315" s="3428">
        <f>'Tab. 6B Polit społ i rozwój prz'!G173</f>
        <v>531041</v>
      </c>
      <c r="I315" s="3428">
        <f>'Tab. 6B Polit społ i rozwój prz'!H173</f>
        <v>450097</v>
      </c>
      <c r="J315" s="3428">
        <f>'Tab. 6B Polit społ i rozwój prz'!I173</f>
        <v>0</v>
      </c>
      <c r="K315" s="3428">
        <f>'Tab. 6B Polit społ i rozwój prz'!J173</f>
        <v>0</v>
      </c>
      <c r="L315" s="3428">
        <f>'Tab. 6B Polit społ i rozwój prz'!K173</f>
        <v>0</v>
      </c>
      <c r="M315" s="3428">
        <f>'Tab. 6B Polit społ i rozwój prz'!L173</f>
        <v>0</v>
      </c>
      <c r="N315" s="3428"/>
      <c r="O315" s="3428"/>
      <c r="P315" s="3428"/>
      <c r="Q315" s="3428"/>
      <c r="R315" s="3429"/>
      <c r="S315" s="3429"/>
      <c r="T315" s="3429"/>
      <c r="U315" s="3429"/>
      <c r="V315" s="3429"/>
    </row>
    <row r="316" spans="1:22" ht="39.75" customHeight="1">
      <c r="A316" s="4551" t="s">
        <v>574</v>
      </c>
      <c r="B316" s="3583" t="str">
        <f>'Tab. 6B Polit społ i rozwój prz'!B187</f>
        <v>Akademia Rodzica Zastępczego w ramach działania 7.6 RPO WZ (2018-2019)</v>
      </c>
      <c r="C316" s="3499" t="s">
        <v>642</v>
      </c>
      <c r="D316" s="3577">
        <f>E319/E317%</f>
        <v>85.000030186856648</v>
      </c>
      <c r="E316" s="3578"/>
      <c r="F316" s="3579"/>
      <c r="G316" s="3580"/>
      <c r="H316" s="3579"/>
      <c r="I316" s="3579"/>
      <c r="J316" s="3579"/>
      <c r="K316" s="3579"/>
      <c r="L316" s="3579"/>
      <c r="M316" s="3579"/>
      <c r="N316" s="3579"/>
      <c r="O316" s="3579"/>
      <c r="P316" s="3579"/>
      <c r="Q316" s="3579"/>
      <c r="R316" s="3582"/>
      <c r="S316" s="3468"/>
      <c r="T316" s="3468"/>
      <c r="U316" s="3468"/>
      <c r="V316" s="3468"/>
    </row>
    <row r="317" spans="1:22" ht="13.5" customHeight="1">
      <c r="A317" s="4551"/>
      <c r="B317" s="3459" t="s">
        <v>205</v>
      </c>
      <c r="C317" s="3584"/>
      <c r="D317" s="3408"/>
      <c r="E317" s="3409">
        <f>+F317+G317+H317+I317+J317+K317+L317+M317</f>
        <v>828175</v>
      </c>
      <c r="F317" s="3410">
        <f>'Tab. 6B Polit społ i rozwój prz'!E188</f>
        <v>0</v>
      </c>
      <c r="G317" s="3410">
        <f>'Tab. 6B Polit społ i rozwój prz'!F188</f>
        <v>0</v>
      </c>
      <c r="H317" s="3410">
        <f>'Tab. 6B Polit społ i rozwój prz'!G188</f>
        <v>407100</v>
      </c>
      <c r="I317" s="3410">
        <f>'Tab. 6B Polit społ i rozwój prz'!H188</f>
        <v>421075</v>
      </c>
      <c r="J317" s="3410">
        <f>'Tab. 6B Polit społ i rozwój prz'!I188</f>
        <v>0</v>
      </c>
      <c r="K317" s="3410">
        <f>'Tab. 6B Polit społ i rozwój prz'!J188</f>
        <v>0</v>
      </c>
      <c r="L317" s="3410">
        <f>'Tab. 6B Polit społ i rozwój prz'!K188</f>
        <v>0</v>
      </c>
      <c r="M317" s="3410"/>
      <c r="N317" s="3410"/>
      <c r="O317" s="3410"/>
      <c r="P317" s="3410"/>
      <c r="Q317" s="3410"/>
      <c r="R317" s="3411"/>
      <c r="S317" s="3412"/>
      <c r="T317" s="3412"/>
      <c r="U317" s="3412"/>
      <c r="V317" s="3412"/>
    </row>
    <row r="318" spans="1:22">
      <c r="A318" s="4551"/>
      <c r="B318" s="3460" t="s">
        <v>338</v>
      </c>
      <c r="C318" s="3585"/>
      <c r="D318" s="3414"/>
      <c r="E318" s="3175">
        <f>+F318+G318+H318+I318+J318+K318+L318+M318</f>
        <v>124226</v>
      </c>
      <c r="F318" s="3415">
        <f>'Tab. 6B Polit społ i rozwój prz'!E189</f>
        <v>0</v>
      </c>
      <c r="G318" s="3415">
        <f>'Tab. 6B Polit społ i rozwój prz'!F189</f>
        <v>0</v>
      </c>
      <c r="H318" s="3415">
        <f>'Tab. 6B Polit społ i rozwój prz'!G189</f>
        <v>61065</v>
      </c>
      <c r="I318" s="3415">
        <f>'Tab. 6B Polit społ i rozwój prz'!H189</f>
        <v>63161</v>
      </c>
      <c r="J318" s="3415">
        <f>'Tab. 6B Polit społ i rozwój prz'!I189</f>
        <v>0</v>
      </c>
      <c r="K318" s="3415">
        <f>'Tab. 6B Polit społ i rozwój prz'!J189</f>
        <v>0</v>
      </c>
      <c r="L318" s="3415">
        <f>'Tab. 6B Polit społ i rozwój prz'!K189</f>
        <v>0</v>
      </c>
      <c r="M318" s="3415"/>
      <c r="N318" s="3415"/>
      <c r="O318" s="3415"/>
      <c r="P318" s="3415"/>
      <c r="Q318" s="3415"/>
      <c r="R318" s="3416"/>
      <c r="S318" s="3416"/>
      <c r="T318" s="3416"/>
      <c r="U318" s="3416"/>
      <c r="V318" s="3416"/>
    </row>
    <row r="319" spans="1:22" ht="13.5" customHeight="1" thickBot="1">
      <c r="A319" s="4551"/>
      <c r="B319" s="3461" t="s">
        <v>207</v>
      </c>
      <c r="C319" s="3430">
        <f>E319-E320</f>
        <v>0</v>
      </c>
      <c r="D319" s="3419"/>
      <c r="E319" s="3420">
        <f>+F319+G319+H319+I319+J319+K319+L319+M319</f>
        <v>703949</v>
      </c>
      <c r="F319" s="3421">
        <f>'Tab. 6B Polit społ i rozwój prz'!E196</f>
        <v>0</v>
      </c>
      <c r="G319" s="3421">
        <f>'Tab. 6B Polit społ i rozwój prz'!F196</f>
        <v>0</v>
      </c>
      <c r="H319" s="3421">
        <f>'Tab. 6B Polit społ i rozwój prz'!G196</f>
        <v>346035</v>
      </c>
      <c r="I319" s="3421">
        <f>'Tab. 6B Polit społ i rozwój prz'!H196</f>
        <v>357914</v>
      </c>
      <c r="J319" s="3421">
        <f>'Tab. 6B Polit społ i rozwój prz'!I196</f>
        <v>0</v>
      </c>
      <c r="K319" s="3421">
        <f>'Tab. 6B Polit społ i rozwój prz'!J196</f>
        <v>0</v>
      </c>
      <c r="L319" s="3421">
        <f>'Tab. 6B Polit społ i rozwój prz'!K196</f>
        <v>0</v>
      </c>
      <c r="M319" s="3421"/>
      <c r="N319" s="3421"/>
      <c r="O319" s="3421"/>
      <c r="P319" s="3421"/>
      <c r="Q319" s="3421"/>
      <c r="R319" s="3422"/>
      <c r="S319" s="3423"/>
      <c r="T319" s="3423"/>
      <c r="U319" s="3423"/>
      <c r="V319" s="3423"/>
    </row>
    <row r="320" spans="1:22" ht="16.5" customHeight="1" thickBot="1">
      <c r="A320" s="4552"/>
      <c r="B320" s="3462" t="s">
        <v>335</v>
      </c>
      <c r="C320" s="3586"/>
      <c r="D320" s="3426"/>
      <c r="E320" s="3427">
        <f>F320+G320+H320+I320+J320+K320+L320+M320</f>
        <v>703949</v>
      </c>
      <c r="F320" s="3428">
        <f>'Tab. 6B Polit społ i rozwój prz'!E203</f>
        <v>0</v>
      </c>
      <c r="G320" s="3428">
        <f>'Tab. 6B Polit społ i rozwój prz'!F203</f>
        <v>0</v>
      </c>
      <c r="H320" s="3428">
        <f>'Tab. 6B Polit społ i rozwój prz'!G203</f>
        <v>346035</v>
      </c>
      <c r="I320" s="3428">
        <f>'Tab. 6B Polit społ i rozwój prz'!H203</f>
        <v>357914</v>
      </c>
      <c r="J320" s="3428">
        <f>'Tab. 6B Polit społ i rozwój prz'!I203</f>
        <v>0</v>
      </c>
      <c r="K320" s="3428">
        <f>'Tab. 6B Polit społ i rozwój prz'!J203</f>
        <v>0</v>
      </c>
      <c r="L320" s="3428">
        <f>'Tab. 6B Polit społ i rozwój prz'!K203</f>
        <v>0</v>
      </c>
      <c r="M320" s="3428"/>
      <c r="N320" s="3428"/>
      <c r="O320" s="3428"/>
      <c r="P320" s="3428"/>
      <c r="Q320" s="3428"/>
      <c r="R320" s="3429"/>
      <c r="S320" s="3429"/>
      <c r="T320" s="3429"/>
      <c r="U320" s="3429"/>
      <c r="V320" s="3429"/>
    </row>
    <row r="321" spans="1:22" ht="38.25" customHeight="1">
      <c r="A321" s="4551" t="s">
        <v>640</v>
      </c>
      <c r="B321" s="3583" t="str">
        <f>'Tab. 6B Polit społ i rozwój prz'!B205</f>
        <v>Azymut-Samodzielność w ramach, Osi II, działania 2.8 PO WER (2018-2022)</v>
      </c>
      <c r="C321" s="3499" t="s">
        <v>641</v>
      </c>
      <c r="D321" s="3577">
        <f>E324/E322%</f>
        <v>84.280000809753048</v>
      </c>
      <c r="E321" s="3578"/>
      <c r="F321" s="3579"/>
      <c r="G321" s="3580"/>
      <c r="H321" s="3579"/>
      <c r="I321" s="3579"/>
      <c r="J321" s="3579"/>
      <c r="K321" s="3579"/>
      <c r="L321" s="3579"/>
      <c r="M321" s="3579"/>
      <c r="N321" s="3579"/>
      <c r="O321" s="3579"/>
      <c r="P321" s="3579"/>
      <c r="Q321" s="3579"/>
      <c r="R321" s="3582"/>
      <c r="S321" s="3468"/>
      <c r="T321" s="3468"/>
      <c r="U321" s="3468"/>
      <c r="V321" s="3468"/>
    </row>
    <row r="322" spans="1:22" ht="13.5" customHeight="1">
      <c r="A322" s="4551"/>
      <c r="B322" s="3459" t="s">
        <v>205</v>
      </c>
      <c r="C322" s="3584"/>
      <c r="D322" s="3408"/>
      <c r="E322" s="3409">
        <f>+F322+G322+H322+I322+J322+K322+L322+M322</f>
        <v>10175942</v>
      </c>
      <c r="F322" s="3410">
        <f>'Tab. 6B Polit społ i rozwój prz'!E206</f>
        <v>0</v>
      </c>
      <c r="G322" s="3410">
        <f>'Tab. 6B Polit społ i rozwój prz'!F206</f>
        <v>0</v>
      </c>
      <c r="H322" s="3410">
        <f>'Tab. 6B Polit społ i rozwój prz'!G206</f>
        <v>550000</v>
      </c>
      <c r="I322" s="3410">
        <f>'Tab. 6B Polit społ i rozwój prz'!H206</f>
        <v>4122312</v>
      </c>
      <c r="J322" s="3410">
        <f>'Tab. 6B Polit społ i rozwój prz'!I206</f>
        <v>2739330</v>
      </c>
      <c r="K322" s="3410">
        <f>'Tab. 6B Polit społ i rozwój prz'!J206</f>
        <v>2327050</v>
      </c>
      <c r="L322" s="3410">
        <f>'Tab. 6B Polit społ i rozwój prz'!K206</f>
        <v>437250</v>
      </c>
      <c r="M322" s="3410">
        <f>'Tab. 6B Polit społ i rozwój prz'!L206</f>
        <v>0</v>
      </c>
      <c r="N322" s="3410"/>
      <c r="O322" s="3410"/>
      <c r="P322" s="3410"/>
      <c r="Q322" s="3410"/>
      <c r="R322" s="3411"/>
      <c r="S322" s="3412"/>
      <c r="T322" s="3412"/>
      <c r="U322" s="3412"/>
      <c r="V322" s="3412"/>
    </row>
    <row r="323" spans="1:22">
      <c r="A323" s="4551"/>
      <c r="B323" s="3460" t="s">
        <v>338</v>
      </c>
      <c r="C323" s="3585"/>
      <c r="D323" s="3414"/>
      <c r="E323" s="3175">
        <f>+F323+G323+H323+I323+J323+K323+L323+M323</f>
        <v>1599658</v>
      </c>
      <c r="F323" s="3415">
        <f>'Tab. 6B Polit społ i rozwój prz'!E207</f>
        <v>0</v>
      </c>
      <c r="G323" s="3415">
        <f>'Tab. 6B Polit społ i rozwój prz'!F207</f>
        <v>0</v>
      </c>
      <c r="H323" s="3415">
        <f>'Tab. 6B Polit społ i rozwój prz'!G207</f>
        <v>86460</v>
      </c>
      <c r="I323" s="3415">
        <f>'Tab. 6B Polit społ i rozwój prz'!H207</f>
        <v>648027</v>
      </c>
      <c r="J323" s="3415">
        <f>'Tab. 6B Polit społ i rozwój prz'!I207</f>
        <v>430623</v>
      </c>
      <c r="K323" s="3415">
        <f>'Tab. 6B Polit społ i rozwój prz'!J207</f>
        <v>365812</v>
      </c>
      <c r="L323" s="3415">
        <f>'Tab. 6B Polit społ i rozwój prz'!K207</f>
        <v>68736</v>
      </c>
      <c r="M323" s="3415">
        <f>'Tab. 6B Polit społ i rozwój prz'!L207</f>
        <v>0</v>
      </c>
      <c r="N323" s="3415"/>
      <c r="O323" s="3415"/>
      <c r="P323" s="3415"/>
      <c r="Q323" s="3415"/>
      <c r="R323" s="3416"/>
      <c r="S323" s="3416"/>
      <c r="T323" s="3416"/>
      <c r="U323" s="3416"/>
      <c r="V323" s="3416"/>
    </row>
    <row r="324" spans="1:22" ht="13.5" customHeight="1" thickBot="1">
      <c r="A324" s="4551"/>
      <c r="B324" s="3461" t="s">
        <v>207</v>
      </c>
      <c r="C324" s="3430">
        <f>E324-E325</f>
        <v>0</v>
      </c>
      <c r="D324" s="3419"/>
      <c r="E324" s="3420">
        <f>+F324+G324+H324+I324+J324+K324+L324+M324</f>
        <v>8576284</v>
      </c>
      <c r="F324" s="3421">
        <f>'Tab. 6B Polit społ i rozwój prz'!E211</f>
        <v>0</v>
      </c>
      <c r="G324" s="3421">
        <f>'Tab. 6B Polit społ i rozwój prz'!F211</f>
        <v>0</v>
      </c>
      <c r="H324" s="3421">
        <f>'Tab. 6B Polit społ i rozwój prz'!G211</f>
        <v>463540</v>
      </c>
      <c r="I324" s="3421">
        <f>'Tab. 6B Polit społ i rozwój prz'!H211</f>
        <v>3474285</v>
      </c>
      <c r="J324" s="3421">
        <f>'Tab. 6B Polit społ i rozwój prz'!I211</f>
        <v>2308707</v>
      </c>
      <c r="K324" s="3421">
        <f>'Tab. 6B Polit społ i rozwój prz'!J211</f>
        <v>1961238</v>
      </c>
      <c r="L324" s="3421">
        <f>'Tab. 6B Polit społ i rozwój prz'!K211</f>
        <v>368514</v>
      </c>
      <c r="M324" s="3421">
        <f>'Tab. 6B Polit społ i rozwój prz'!L211</f>
        <v>0</v>
      </c>
      <c r="N324" s="3421"/>
      <c r="O324" s="3421"/>
      <c r="P324" s="3421"/>
      <c r="Q324" s="3421"/>
      <c r="R324" s="3422"/>
      <c r="S324" s="3423"/>
      <c r="T324" s="3423"/>
      <c r="U324" s="3423"/>
      <c r="V324" s="3423"/>
    </row>
    <row r="325" spans="1:22" ht="16.5" customHeight="1" thickBot="1">
      <c r="A325" s="4552"/>
      <c r="B325" s="3462" t="s">
        <v>335</v>
      </c>
      <c r="C325" s="3586"/>
      <c r="D325" s="3426"/>
      <c r="E325" s="3427">
        <f>F325+G325+H325+I325+J325+K325+L325+M325</f>
        <v>8576284</v>
      </c>
      <c r="F325" s="3428">
        <f>'Tab. 6B Polit społ i rozwój prz'!E218</f>
        <v>0</v>
      </c>
      <c r="G325" s="3428">
        <f>'Tab. 6B Polit społ i rozwój prz'!F218</f>
        <v>0</v>
      </c>
      <c r="H325" s="3428">
        <f>'Tab. 6B Polit społ i rozwój prz'!G218</f>
        <v>463540</v>
      </c>
      <c r="I325" s="3428">
        <f>'Tab. 6B Polit społ i rozwój prz'!H218</f>
        <v>3474285</v>
      </c>
      <c r="J325" s="3428">
        <f>'Tab. 6B Polit społ i rozwój prz'!I218</f>
        <v>2308707</v>
      </c>
      <c r="K325" s="3428">
        <f>'Tab. 6B Polit społ i rozwój prz'!J218</f>
        <v>1961238</v>
      </c>
      <c r="L325" s="3428">
        <f>'Tab. 6B Polit społ i rozwój prz'!K218</f>
        <v>368514</v>
      </c>
      <c r="M325" s="3428">
        <f>'Tab. 6B Polit społ i rozwój prz'!L218</f>
        <v>0</v>
      </c>
      <c r="N325" s="3428"/>
      <c r="O325" s="3428"/>
      <c r="P325" s="3428"/>
      <c r="Q325" s="3428"/>
      <c r="R325" s="3429"/>
      <c r="S325" s="3429"/>
      <c r="T325" s="3429"/>
      <c r="U325" s="3429"/>
      <c r="V325" s="3429"/>
    </row>
    <row r="326" spans="1:22" ht="30" customHeight="1">
      <c r="A326" s="4551" t="s">
        <v>643</v>
      </c>
      <c r="B326" s="3583" t="str">
        <f>'Tab. 6B Polit społ i rozwój prz'!B220</f>
        <v>Kurs na Rodzinę w ramach działania 7.6 RPO WZ (2018-2020)</v>
      </c>
      <c r="C326" s="3499" t="s">
        <v>644</v>
      </c>
      <c r="D326" s="3577">
        <f>E329/E327%</f>
        <v>85.000008458037698</v>
      </c>
      <c r="E326" s="3578"/>
      <c r="F326" s="3579"/>
      <c r="G326" s="3580"/>
      <c r="H326" s="3579"/>
      <c r="I326" s="3579"/>
      <c r="J326" s="3579"/>
      <c r="K326" s="3579"/>
      <c r="L326" s="3579"/>
      <c r="M326" s="3579"/>
      <c r="N326" s="3579"/>
      <c r="O326" s="3579"/>
      <c r="P326" s="3579"/>
      <c r="Q326" s="3579"/>
      <c r="R326" s="3582"/>
      <c r="S326" s="3468"/>
      <c r="T326" s="3468"/>
      <c r="U326" s="3468"/>
      <c r="V326" s="3468"/>
    </row>
    <row r="327" spans="1:22" ht="13.5" customHeight="1">
      <c r="A327" s="4551"/>
      <c r="B327" s="3459" t="s">
        <v>205</v>
      </c>
      <c r="C327" s="3584"/>
      <c r="D327" s="3408"/>
      <c r="E327" s="3409">
        <f>+F327+G327+H327+I327+J327+K327+L327+M327</f>
        <v>3546922</v>
      </c>
      <c r="F327" s="3410">
        <f>'Tab. 6B Polit społ i rozwój prz'!E221</f>
        <v>0</v>
      </c>
      <c r="G327" s="3410">
        <f>'Tab. 6B Polit społ i rozwój prz'!F221</f>
        <v>0</v>
      </c>
      <c r="H327" s="3410">
        <f>'Tab. 6B Polit społ i rozwój prz'!G221</f>
        <v>1133912</v>
      </c>
      <c r="I327" s="3410">
        <f>'Tab. 6B Polit społ i rozwój prz'!H221</f>
        <v>1207224</v>
      </c>
      <c r="J327" s="3410">
        <f>'Tab. 6B Polit społ i rozwój prz'!I221</f>
        <v>1205786</v>
      </c>
      <c r="K327" s="3410">
        <f>'Tab. 6B Polit społ i rozwój prz'!J221</f>
        <v>0</v>
      </c>
      <c r="L327" s="3410">
        <f>'Tab. 6B Polit społ i rozwój prz'!K221</f>
        <v>0</v>
      </c>
      <c r="M327" s="3410">
        <f>'Tab. 6B Polit społ i rozwój prz'!L221</f>
        <v>0</v>
      </c>
      <c r="N327" s="3410"/>
      <c r="O327" s="3410"/>
      <c r="P327" s="3410"/>
      <c r="Q327" s="3410"/>
      <c r="R327" s="3411"/>
      <c r="S327" s="3412"/>
      <c r="T327" s="3412"/>
      <c r="U327" s="3412"/>
      <c r="V327" s="3412"/>
    </row>
    <row r="328" spans="1:22">
      <c r="A328" s="4551"/>
      <c r="B328" s="3460" t="s">
        <v>338</v>
      </c>
      <c r="C328" s="3585"/>
      <c r="D328" s="3414"/>
      <c r="E328" s="3175">
        <f>+F328+G328+H328+I328+J328+K328+L328+M328</f>
        <v>532038</v>
      </c>
      <c r="F328" s="3415">
        <f>'Tab. 6B Polit społ i rozwój prz'!E222</f>
        <v>0</v>
      </c>
      <c r="G328" s="3415">
        <f>'Tab. 6B Polit społ i rozwój prz'!F222</f>
        <v>0</v>
      </c>
      <c r="H328" s="3415">
        <f>'Tab. 6B Polit społ i rozwój prz'!G222</f>
        <v>170087</v>
      </c>
      <c r="I328" s="3415">
        <f>'Tab. 6B Polit społ i rozwój prz'!H222</f>
        <v>181083</v>
      </c>
      <c r="J328" s="3415">
        <f>'Tab. 6B Polit społ i rozwój prz'!I222</f>
        <v>180868</v>
      </c>
      <c r="K328" s="3415">
        <f>'Tab. 6B Polit społ i rozwój prz'!J222</f>
        <v>0</v>
      </c>
      <c r="L328" s="3415">
        <f>'Tab. 6B Polit społ i rozwój prz'!K222</f>
        <v>0</v>
      </c>
      <c r="M328" s="3415">
        <f>'Tab. 6B Polit społ i rozwój prz'!L222</f>
        <v>0</v>
      </c>
      <c r="N328" s="3415"/>
      <c r="O328" s="3415"/>
      <c r="P328" s="3415"/>
      <c r="Q328" s="3415"/>
      <c r="R328" s="3416"/>
      <c r="S328" s="3416"/>
      <c r="T328" s="3416"/>
      <c r="U328" s="3416"/>
      <c r="V328" s="3416"/>
    </row>
    <row r="329" spans="1:22" ht="13.5" customHeight="1" thickBot="1">
      <c r="A329" s="4551"/>
      <c r="B329" s="3461" t="s">
        <v>207</v>
      </c>
      <c r="C329" s="3430">
        <f>E329-E330</f>
        <v>0</v>
      </c>
      <c r="D329" s="3419"/>
      <c r="E329" s="3420">
        <f>+F329+G329+H329+I329+J329+K329+L329+M329</f>
        <v>3014884</v>
      </c>
      <c r="F329" s="3421">
        <f>'Tab. 6B Polit społ i rozwój prz'!E229</f>
        <v>0</v>
      </c>
      <c r="G329" s="3421">
        <f>'Tab. 6B Polit społ i rozwój prz'!F229</f>
        <v>0</v>
      </c>
      <c r="H329" s="3421">
        <f>'Tab. 6B Polit społ i rozwój prz'!G229</f>
        <v>963825</v>
      </c>
      <c r="I329" s="3421">
        <f>'Tab. 6B Polit społ i rozwój prz'!H229</f>
        <v>1026141</v>
      </c>
      <c r="J329" s="3421">
        <f>'Tab. 6B Polit społ i rozwój prz'!I229</f>
        <v>1024918</v>
      </c>
      <c r="K329" s="3421">
        <f>'Tab. 6B Polit społ i rozwój prz'!J229</f>
        <v>0</v>
      </c>
      <c r="L329" s="3421">
        <f>'Tab. 6B Polit społ i rozwój prz'!K229</f>
        <v>0</v>
      </c>
      <c r="M329" s="3421">
        <f>'Tab. 6B Polit społ i rozwój prz'!L229</f>
        <v>0</v>
      </c>
      <c r="N329" s="3421"/>
      <c r="O329" s="3421"/>
      <c r="P329" s="3421"/>
      <c r="Q329" s="3421"/>
      <c r="R329" s="3422"/>
      <c r="S329" s="3423"/>
      <c r="T329" s="3423"/>
      <c r="U329" s="3423"/>
      <c r="V329" s="3423"/>
    </row>
    <row r="330" spans="1:22" ht="16.5" customHeight="1" thickBot="1">
      <c r="A330" s="4552"/>
      <c r="B330" s="3462" t="s">
        <v>335</v>
      </c>
      <c r="C330" s="3586"/>
      <c r="D330" s="3426"/>
      <c r="E330" s="3427">
        <f>F330+G330+H330+I330+J330+K330+L330+M330</f>
        <v>3014884</v>
      </c>
      <c r="F330" s="3428">
        <f>'Tab. 6B Polit społ i rozwój prz'!E236</f>
        <v>0</v>
      </c>
      <c r="G330" s="3428">
        <f>'Tab. 6B Polit społ i rozwój prz'!F236</f>
        <v>0</v>
      </c>
      <c r="H330" s="3428">
        <f>'Tab. 6B Polit społ i rozwój prz'!G236</f>
        <v>963825</v>
      </c>
      <c r="I330" s="3428">
        <f>'Tab. 6B Polit społ i rozwój prz'!H236</f>
        <v>1026141</v>
      </c>
      <c r="J330" s="3428">
        <f>'Tab. 6B Polit społ i rozwój prz'!I236</f>
        <v>1024918</v>
      </c>
      <c r="K330" s="3428">
        <f>'Tab. 6B Polit społ i rozwój prz'!J236</f>
        <v>0</v>
      </c>
      <c r="L330" s="3428">
        <f>'Tab. 6B Polit społ i rozwój prz'!K236</f>
        <v>0</v>
      </c>
      <c r="M330" s="3428">
        <f>'Tab. 6B Polit społ i rozwój prz'!L236</f>
        <v>0</v>
      </c>
      <c r="N330" s="3428"/>
      <c r="O330" s="3428"/>
      <c r="P330" s="3428"/>
      <c r="Q330" s="3428"/>
      <c r="R330" s="3429"/>
      <c r="S330" s="3429"/>
      <c r="T330" s="3429"/>
      <c r="U330" s="3429"/>
      <c r="V330" s="3429"/>
    </row>
    <row r="331" spans="1:22" ht="30" customHeight="1">
      <c r="A331" s="4551" t="s">
        <v>645</v>
      </c>
      <c r="B331" s="3583" t="str">
        <f>'Tab. 6B Polit społ i rozwój prz'!B238</f>
        <v>Nawigator Samodzielności w ramach działania 7.6 RPO WZ (2018-2020)</v>
      </c>
      <c r="C331" s="3499" t="s">
        <v>644</v>
      </c>
      <c r="D331" s="3577">
        <f>E334/E332%</f>
        <v>97.153120504088434</v>
      </c>
      <c r="E331" s="3578"/>
      <c r="F331" s="3579"/>
      <c r="G331" s="3580"/>
      <c r="H331" s="3579"/>
      <c r="I331" s="3579"/>
      <c r="J331" s="3579"/>
      <c r="K331" s="3579"/>
      <c r="L331" s="3579"/>
      <c r="M331" s="3579"/>
      <c r="N331" s="3579"/>
      <c r="O331" s="3579"/>
      <c r="P331" s="3579"/>
      <c r="Q331" s="3579"/>
      <c r="R331" s="3582"/>
      <c r="S331" s="3468"/>
      <c r="T331" s="3468"/>
      <c r="U331" s="3468"/>
      <c r="V331" s="3468"/>
    </row>
    <row r="332" spans="1:22" ht="13.5" customHeight="1">
      <c r="A332" s="4551"/>
      <c r="B332" s="3459" t="s">
        <v>205</v>
      </c>
      <c r="C332" s="3584"/>
      <c r="D332" s="3408"/>
      <c r="E332" s="3409">
        <f>+F332+G332+H332+I332+J332+K332+L332+M332</f>
        <v>2855372</v>
      </c>
      <c r="F332" s="3410">
        <f>'Tab. 6B Polit społ i rozwój prz'!E239</f>
        <v>0</v>
      </c>
      <c r="G332" s="3410">
        <f>'Tab. 6B Polit społ i rozwój prz'!F239</f>
        <v>0</v>
      </c>
      <c r="H332" s="3410">
        <f>'Tab. 6B Polit społ i rozwój prz'!G239</f>
        <v>1013826</v>
      </c>
      <c r="I332" s="3410">
        <f>'Tab. 6B Polit społ i rozwój prz'!H239</f>
        <v>1052185</v>
      </c>
      <c r="J332" s="3410">
        <f>'Tab. 6B Polit społ i rozwój prz'!I239</f>
        <v>789361</v>
      </c>
      <c r="K332" s="3410">
        <f>'Tab. 6B Polit społ i rozwój prz'!J239</f>
        <v>0</v>
      </c>
      <c r="L332" s="3410">
        <f>'Tab. 6B Polit społ i rozwój prz'!K239</f>
        <v>0</v>
      </c>
      <c r="M332" s="3410">
        <f>'Tab. 6B Polit społ i rozwój prz'!L239</f>
        <v>0</v>
      </c>
      <c r="N332" s="3410"/>
      <c r="O332" s="3410"/>
      <c r="P332" s="3410"/>
      <c r="Q332" s="3410"/>
      <c r="R332" s="3411"/>
      <c r="S332" s="3412"/>
      <c r="T332" s="3412"/>
      <c r="U332" s="3412"/>
      <c r="V332" s="3412"/>
    </row>
    <row r="333" spans="1:22">
      <c r="A333" s="4551"/>
      <c r="B333" s="3460" t="s">
        <v>338</v>
      </c>
      <c r="C333" s="3585"/>
      <c r="D333" s="3414"/>
      <c r="E333" s="3175">
        <f>+F333+G333+H333+I333+J333+K333+L333+M333</f>
        <v>81289</v>
      </c>
      <c r="F333" s="3415">
        <f>'Tab. 6B Polit społ i rozwój prz'!E240</f>
        <v>0</v>
      </c>
      <c r="G333" s="3415">
        <f>'Tab. 6B Polit społ i rozwój prz'!F240</f>
        <v>0</v>
      </c>
      <c r="H333" s="3415">
        <f>'Tab. 6B Polit społ i rozwój prz'!G240</f>
        <v>28894</v>
      </c>
      <c r="I333" s="3415">
        <f>'Tab. 6B Polit społ i rozwój prz'!H240</f>
        <v>29987</v>
      </c>
      <c r="J333" s="3415">
        <f>'Tab. 6B Polit społ i rozwój prz'!I240</f>
        <v>22408</v>
      </c>
      <c r="K333" s="3415">
        <f>'Tab. 6B Polit społ i rozwój prz'!J240</f>
        <v>0</v>
      </c>
      <c r="L333" s="3415">
        <f>'Tab. 6B Polit społ i rozwój prz'!K240</f>
        <v>0</v>
      </c>
      <c r="M333" s="3415">
        <f>'Tab. 6B Polit społ i rozwój prz'!L240</f>
        <v>0</v>
      </c>
      <c r="N333" s="3415"/>
      <c r="O333" s="3415"/>
      <c r="P333" s="3415"/>
      <c r="Q333" s="3415"/>
      <c r="R333" s="3416"/>
      <c r="S333" s="3416"/>
      <c r="T333" s="3416"/>
      <c r="U333" s="3416"/>
      <c r="V333" s="3416"/>
    </row>
    <row r="334" spans="1:22" ht="13.5" customHeight="1" thickBot="1">
      <c r="A334" s="4551"/>
      <c r="B334" s="3461" t="s">
        <v>207</v>
      </c>
      <c r="C334" s="3430">
        <f>E334-E335</f>
        <v>0</v>
      </c>
      <c r="D334" s="3419"/>
      <c r="E334" s="3420">
        <f>+F334+G334+H334+I334+J334+K334+L334+M334</f>
        <v>2774083</v>
      </c>
      <c r="F334" s="3421">
        <f>'Tab. 6B Polit społ i rozwój prz'!E244</f>
        <v>0</v>
      </c>
      <c r="G334" s="3421">
        <f>'Tab. 6B Polit społ i rozwój prz'!F244</f>
        <v>0</v>
      </c>
      <c r="H334" s="3421">
        <f>'Tab. 6B Polit społ i rozwój prz'!G244</f>
        <v>984932</v>
      </c>
      <c r="I334" s="3421">
        <f>'Tab. 6B Polit społ i rozwój prz'!H244</f>
        <v>1022198</v>
      </c>
      <c r="J334" s="3421">
        <f>'Tab. 6B Polit społ i rozwój prz'!I244</f>
        <v>766953</v>
      </c>
      <c r="K334" s="3421">
        <f>'Tab. 6B Polit społ i rozwój prz'!J244</f>
        <v>0</v>
      </c>
      <c r="L334" s="3421">
        <f>'Tab. 6B Polit społ i rozwój prz'!K244</f>
        <v>0</v>
      </c>
      <c r="M334" s="3421">
        <f>'Tab. 6B Polit społ i rozwój prz'!L244</f>
        <v>0</v>
      </c>
      <c r="N334" s="3421"/>
      <c r="O334" s="3421"/>
      <c r="P334" s="3421"/>
      <c r="Q334" s="3421"/>
      <c r="R334" s="3422"/>
      <c r="S334" s="3423"/>
      <c r="T334" s="3423"/>
      <c r="U334" s="3423"/>
      <c r="V334" s="3423"/>
    </row>
    <row r="335" spans="1:22" ht="16.5" customHeight="1" thickBot="1">
      <c r="A335" s="4552"/>
      <c r="B335" s="3462" t="s">
        <v>335</v>
      </c>
      <c r="C335" s="3586"/>
      <c r="D335" s="3426"/>
      <c r="E335" s="3427">
        <f>F335+G335+H335+I335+J335+K335+L335+M335</f>
        <v>2774083</v>
      </c>
      <c r="F335" s="3428">
        <f>'Tab. 6B Polit społ i rozwój prz'!E251</f>
        <v>0</v>
      </c>
      <c r="G335" s="3428">
        <f>'Tab. 6B Polit społ i rozwój prz'!F251</f>
        <v>0</v>
      </c>
      <c r="H335" s="3428">
        <f>'Tab. 6B Polit społ i rozwój prz'!G251</f>
        <v>984932</v>
      </c>
      <c r="I335" s="3428">
        <f>'Tab. 6B Polit społ i rozwój prz'!H251</f>
        <v>1022198</v>
      </c>
      <c r="J335" s="3428">
        <f>'Tab. 6B Polit społ i rozwój prz'!I251</f>
        <v>766953</v>
      </c>
      <c r="K335" s="3428">
        <f>'Tab. 6B Polit społ i rozwój prz'!J251</f>
        <v>0</v>
      </c>
      <c r="L335" s="3428">
        <f>'Tab. 6B Polit społ i rozwój prz'!K251</f>
        <v>0</v>
      </c>
      <c r="M335" s="3428">
        <f>'Tab. 6B Polit społ i rozwój prz'!L251</f>
        <v>0</v>
      </c>
      <c r="N335" s="3428"/>
      <c r="O335" s="3428"/>
      <c r="P335" s="3428"/>
      <c r="Q335" s="3428"/>
      <c r="R335" s="3429"/>
      <c r="S335" s="3429"/>
      <c r="T335" s="3429"/>
      <c r="U335" s="3429"/>
      <c r="V335" s="3429"/>
    </row>
    <row r="336" spans="1:22" ht="39.75" customHeight="1">
      <c r="A336" s="4551" t="s">
        <v>653</v>
      </c>
      <c r="B336" s="3583" t="str">
        <f>'Tab. 6H - Kultura fiz. i turyst'!B122</f>
        <v>Fish Markets - dziedzictwo rybołówstwa przybrzeżnego jako potencjał rozwoju turystyki w ramach Programu INTERREG Południowy Bałtyk 2014-2020 (2017-2019)</v>
      </c>
      <c r="C336" s="3499" t="s">
        <v>615</v>
      </c>
      <c r="D336" s="3577">
        <f>E339/E337%</f>
        <v>82.790774185728381</v>
      </c>
      <c r="E336" s="3578"/>
      <c r="F336" s="3579"/>
      <c r="G336" s="3580"/>
      <c r="H336" s="3579"/>
      <c r="I336" s="3579"/>
      <c r="J336" s="3579"/>
      <c r="K336" s="3579"/>
      <c r="L336" s="3579"/>
      <c r="M336" s="3579"/>
      <c r="N336" s="3579"/>
      <c r="O336" s="3579"/>
      <c r="P336" s="3579"/>
      <c r="Q336" s="3579"/>
      <c r="R336" s="3582"/>
      <c r="S336" s="3468"/>
      <c r="T336" s="3468"/>
      <c r="U336" s="3468"/>
      <c r="V336" s="3468"/>
    </row>
    <row r="337" spans="1:22" ht="13.5" customHeight="1">
      <c r="A337" s="4551"/>
      <c r="B337" s="3459" t="s">
        <v>205</v>
      </c>
      <c r="C337" s="3584"/>
      <c r="D337" s="3408"/>
      <c r="E337" s="3409">
        <f>+F337+G337+H337+I337+J337+K337+L337+M337</f>
        <v>693012</v>
      </c>
      <c r="F337" s="3410">
        <f>'Tab. 6H - Kultura fiz. i turyst'!E123</f>
        <v>0</v>
      </c>
      <c r="G337" s="3410">
        <f>'Tab. 6H - Kultura fiz. i turyst'!F123</f>
        <v>32378</v>
      </c>
      <c r="H337" s="3410">
        <f>'Tab. 6H - Kultura fiz. i turyst'!G123</f>
        <v>384634</v>
      </c>
      <c r="I337" s="3410">
        <f>'Tab. 6H - Kultura fiz. i turyst'!H123</f>
        <v>276000</v>
      </c>
      <c r="J337" s="3410">
        <f>'Tab. 6H - Kultura fiz. i turyst'!I123</f>
        <v>0</v>
      </c>
      <c r="K337" s="3410">
        <f>'Tab. 6H - Kultura fiz. i turyst'!J123</f>
        <v>0</v>
      </c>
      <c r="L337" s="3410">
        <f>'Tab. 6H - Kultura fiz. i turyst'!K123</f>
        <v>0</v>
      </c>
      <c r="M337" s="3410">
        <f>'Tab. 6H - Kultura fiz. i turyst'!L123</f>
        <v>0</v>
      </c>
      <c r="N337" s="3410"/>
      <c r="O337" s="3410"/>
      <c r="P337" s="3410"/>
      <c r="Q337" s="3410"/>
      <c r="R337" s="3411"/>
      <c r="S337" s="3412"/>
      <c r="T337" s="3412"/>
      <c r="U337" s="3412"/>
      <c r="V337" s="3412"/>
    </row>
    <row r="338" spans="1:22">
      <c r="A338" s="4551"/>
      <c r="B338" s="3460" t="s">
        <v>338</v>
      </c>
      <c r="C338" s="3585"/>
      <c r="D338" s="3414"/>
      <c r="E338" s="3175">
        <f>+F338+G338+H338+I338+J338+K338+L338+M338</f>
        <v>119262</v>
      </c>
      <c r="F338" s="3415">
        <f>'Tab. 6H - Kultura fiz. i turyst'!E124</f>
        <v>0</v>
      </c>
      <c r="G338" s="3415">
        <f>'Tab. 6H - Kultura fiz. i turyst'!F124</f>
        <v>4857</v>
      </c>
      <c r="H338" s="3415">
        <f>'Tab. 6H - Kultura fiz. i turyst'!G124</f>
        <v>73005</v>
      </c>
      <c r="I338" s="3415">
        <f>'Tab. 6H - Kultura fiz. i turyst'!H124</f>
        <v>41400</v>
      </c>
      <c r="J338" s="3415">
        <f>'Tab. 6H - Kultura fiz. i turyst'!I124</f>
        <v>0</v>
      </c>
      <c r="K338" s="3415">
        <f>'Tab. 6H - Kultura fiz. i turyst'!J124</f>
        <v>0</v>
      </c>
      <c r="L338" s="3415">
        <f>'Tab. 6H - Kultura fiz. i turyst'!K124</f>
        <v>0</v>
      </c>
      <c r="M338" s="3415">
        <f>'Tab. 6H - Kultura fiz. i turyst'!L124</f>
        <v>0</v>
      </c>
      <c r="N338" s="3415"/>
      <c r="O338" s="3415"/>
      <c r="P338" s="3415"/>
      <c r="Q338" s="3415"/>
      <c r="R338" s="3416"/>
      <c r="S338" s="3416"/>
      <c r="T338" s="3416"/>
      <c r="U338" s="3416"/>
      <c r="V338" s="3416"/>
    </row>
    <row r="339" spans="1:22" ht="13.5" customHeight="1" thickBot="1">
      <c r="A339" s="4551"/>
      <c r="B339" s="3461" t="s">
        <v>207</v>
      </c>
      <c r="C339" s="3430">
        <f>E339-E340</f>
        <v>0</v>
      </c>
      <c r="D339" s="3419"/>
      <c r="E339" s="3420">
        <f>+F339+G339+H339+I339+J339+K339+L339+M339</f>
        <v>573750</v>
      </c>
      <c r="F339" s="3421">
        <f>'Tab. 6H - Kultura fiz. i turyst'!E128</f>
        <v>0</v>
      </c>
      <c r="G339" s="3421">
        <f>'Tab. 6H - Kultura fiz. i turyst'!F128</f>
        <v>27521</v>
      </c>
      <c r="H339" s="3421">
        <f>'Tab. 6H - Kultura fiz. i turyst'!G128</f>
        <v>311629</v>
      </c>
      <c r="I339" s="3421">
        <f>'Tab. 6H - Kultura fiz. i turyst'!H128</f>
        <v>234600</v>
      </c>
      <c r="J339" s="3421">
        <f>'Tab. 6H - Kultura fiz. i turyst'!I128</f>
        <v>0</v>
      </c>
      <c r="K339" s="3421">
        <f>'Tab. 6H - Kultura fiz. i turyst'!J128</f>
        <v>0</v>
      </c>
      <c r="L339" s="3421">
        <f>'Tab. 6H - Kultura fiz. i turyst'!K128</f>
        <v>0</v>
      </c>
      <c r="M339" s="3421">
        <f>'Tab. 6H - Kultura fiz. i turyst'!L128</f>
        <v>0</v>
      </c>
      <c r="N339" s="3421"/>
      <c r="O339" s="3421"/>
      <c r="P339" s="3421"/>
      <c r="Q339" s="3421"/>
      <c r="R339" s="3422"/>
      <c r="S339" s="3423"/>
      <c r="T339" s="3423"/>
      <c r="U339" s="3423"/>
      <c r="V339" s="3423"/>
    </row>
    <row r="340" spans="1:22" ht="16.5" customHeight="1" thickBot="1">
      <c r="A340" s="4552"/>
      <c r="B340" s="3462" t="s">
        <v>335</v>
      </c>
      <c r="C340" s="3586"/>
      <c r="D340" s="3426"/>
      <c r="E340" s="3427">
        <f>F340+G340+H340+I340+J340+K340+L340+M340</f>
        <v>573750</v>
      </c>
      <c r="F340" s="3428">
        <f>'Tab. 6H - Kultura fiz. i turyst'!E133</f>
        <v>0</v>
      </c>
      <c r="G340" s="3428">
        <f>'Tab. 6H - Kultura fiz. i turyst'!F133</f>
        <v>0</v>
      </c>
      <c r="H340" s="3428">
        <f>'Tab. 6H - Kultura fiz. i turyst'!G133</f>
        <v>178482</v>
      </c>
      <c r="I340" s="3428">
        <f>'Tab. 6H - Kultura fiz. i turyst'!H133</f>
        <v>308586</v>
      </c>
      <c r="J340" s="3428">
        <f>'Tab. 6H - Kultura fiz. i turyst'!I133</f>
        <v>86682</v>
      </c>
      <c r="K340" s="3428">
        <f>'Tab. 6H - Kultura fiz. i turyst'!J133</f>
        <v>0</v>
      </c>
      <c r="L340" s="3428">
        <f>'Tab. 6H - Kultura fiz. i turyst'!K133</f>
        <v>0</v>
      </c>
      <c r="M340" s="3428">
        <f>'Tab. 6H - Kultura fiz. i turyst'!L133</f>
        <v>0</v>
      </c>
      <c r="N340" s="3428"/>
      <c r="O340" s="3428"/>
      <c r="P340" s="3428"/>
      <c r="Q340" s="3428"/>
      <c r="R340" s="3429"/>
      <c r="S340" s="3429"/>
      <c r="T340" s="3429"/>
      <c r="U340" s="3429"/>
      <c r="V340" s="3429"/>
    </row>
    <row r="341" spans="1:22" ht="29.25" customHeight="1">
      <c r="A341" s="4551" t="s">
        <v>653</v>
      </c>
      <c r="B341" s="3583" t="str">
        <f>'Tab. 6A -Drogi'!B434</f>
        <v>TalkNET - Sieć zainteresowanych podmiotów z sektora transportu i logistyki w ramach PW INTERREG VB (2017-2020)</v>
      </c>
      <c r="C341" s="3499" t="s">
        <v>668</v>
      </c>
      <c r="D341" s="3577">
        <f>E344/E342%</f>
        <v>84.653035897624306</v>
      </c>
      <c r="E341" s="3578"/>
      <c r="F341" s="3579"/>
      <c r="G341" s="3580"/>
      <c r="H341" s="3579"/>
      <c r="I341" s="3579"/>
      <c r="J341" s="3579"/>
      <c r="K341" s="3579"/>
      <c r="L341" s="3579"/>
      <c r="M341" s="3579"/>
      <c r="N341" s="3579"/>
      <c r="O341" s="3579"/>
      <c r="P341" s="3579"/>
      <c r="Q341" s="3579"/>
      <c r="R341" s="3582"/>
      <c r="S341" s="3468"/>
      <c r="T341" s="3468"/>
      <c r="U341" s="3468"/>
      <c r="V341" s="3468"/>
    </row>
    <row r="342" spans="1:22" ht="15.75" customHeight="1">
      <c r="A342" s="4551"/>
      <c r="B342" s="3459" t="s">
        <v>205</v>
      </c>
      <c r="C342" s="3584"/>
      <c r="D342" s="3408"/>
      <c r="E342" s="3409">
        <f>+F342+G342+H342+I342+J342+K342+L342+M342</f>
        <v>489921</v>
      </c>
      <c r="F342" s="3410">
        <f>'Tab. 6A -Drogi'!E435</f>
        <v>0</v>
      </c>
      <c r="G342" s="3410">
        <f>'Tab. 6A -Drogi'!F435</f>
        <v>19734</v>
      </c>
      <c r="H342" s="3410">
        <f>'Tab. 6A -Drogi'!G435</f>
        <v>220024</v>
      </c>
      <c r="I342" s="3410">
        <f>'Tab. 6A -Drogi'!H435</f>
        <v>167991</v>
      </c>
      <c r="J342" s="3410">
        <f>'Tab. 6A -Drogi'!I435</f>
        <v>82172</v>
      </c>
      <c r="K342" s="3410">
        <f>'Tab. 6A -Drogi'!J435</f>
        <v>0</v>
      </c>
      <c r="L342" s="3410">
        <f>'Tab. 6A -Drogi'!K435</f>
        <v>0</v>
      </c>
      <c r="M342" s="3410">
        <f>'Tab. 6A -Drogi'!L435</f>
        <v>0</v>
      </c>
      <c r="N342" s="3410"/>
      <c r="O342" s="3410"/>
      <c r="P342" s="3410"/>
      <c r="Q342" s="3410"/>
      <c r="R342" s="3411"/>
      <c r="S342" s="3412"/>
      <c r="T342" s="3412"/>
      <c r="U342" s="3412"/>
      <c r="V342" s="3412"/>
    </row>
    <row r="343" spans="1:22">
      <c r="A343" s="4551"/>
      <c r="B343" s="3460" t="s">
        <v>391</v>
      </c>
      <c r="C343" s="3585"/>
      <c r="D343" s="3414"/>
      <c r="E343" s="3175">
        <f>+F343+G343+H343+I343+J343+K343+L343+M343</f>
        <v>75188</v>
      </c>
      <c r="F343" s="3415">
        <f>'Tab. 6A -Drogi'!E436</f>
        <v>0</v>
      </c>
      <c r="G343" s="3415">
        <f>'Tab. 6A -Drogi'!F436</f>
        <v>2988</v>
      </c>
      <c r="H343" s="3415">
        <f>'Tab. 6A -Drogi'!G436</f>
        <v>33825</v>
      </c>
      <c r="I343" s="3415">
        <f>'Tab. 6A -Drogi'!H436</f>
        <v>25709</v>
      </c>
      <c r="J343" s="3415">
        <f>'Tab. 6A -Drogi'!I436</f>
        <v>12666</v>
      </c>
      <c r="K343" s="3415">
        <f>'Tab. 6A -Drogi'!J436</f>
        <v>0</v>
      </c>
      <c r="L343" s="3415">
        <f>'Tab. 6A -Drogi'!K436</f>
        <v>0</v>
      </c>
      <c r="M343" s="3415">
        <f>'Tab. 6A -Drogi'!L436</f>
        <v>0</v>
      </c>
      <c r="N343" s="3415"/>
      <c r="O343" s="3415"/>
      <c r="P343" s="3415"/>
      <c r="Q343" s="3415"/>
      <c r="R343" s="3416"/>
      <c r="S343" s="3416"/>
      <c r="T343" s="3416"/>
      <c r="U343" s="3416"/>
      <c r="V343" s="3416"/>
    </row>
    <row r="344" spans="1:22" ht="13.5" customHeight="1" thickBot="1">
      <c r="A344" s="4551"/>
      <c r="B344" s="3461" t="s">
        <v>207</v>
      </c>
      <c r="C344" s="3430">
        <f>E344-E345</f>
        <v>0</v>
      </c>
      <c r="D344" s="3419"/>
      <c r="E344" s="3420">
        <f>+F344+G344+H344+I344+J344+K344+L344+M344</f>
        <v>414733</v>
      </c>
      <c r="F344" s="3421">
        <f>'Tab. 6A -Drogi'!E441</f>
        <v>0</v>
      </c>
      <c r="G344" s="3421">
        <f>'Tab. 6A -Drogi'!F441</f>
        <v>16746</v>
      </c>
      <c r="H344" s="3421">
        <f>'Tab. 6A -Drogi'!G441</f>
        <v>186199</v>
      </c>
      <c r="I344" s="3421">
        <f>'Tab. 6A -Drogi'!H441</f>
        <v>142282</v>
      </c>
      <c r="J344" s="3421">
        <f>'Tab. 6A -Drogi'!I441</f>
        <v>69506</v>
      </c>
      <c r="K344" s="3421">
        <f>'Tab. 6A -Drogi'!J441</f>
        <v>0</v>
      </c>
      <c r="L344" s="3421">
        <f>'Tab. 6A -Drogi'!K441</f>
        <v>0</v>
      </c>
      <c r="M344" s="3421">
        <f>'Tab. 6A -Drogi'!L441</f>
        <v>0</v>
      </c>
      <c r="N344" s="3421"/>
      <c r="O344" s="3421"/>
      <c r="P344" s="3421"/>
      <c r="Q344" s="3421"/>
      <c r="R344" s="3422"/>
      <c r="S344" s="3423"/>
      <c r="T344" s="3423"/>
      <c r="U344" s="3423"/>
      <c r="V344" s="3423"/>
    </row>
    <row r="345" spans="1:22" ht="16.5" customHeight="1" thickBot="1">
      <c r="A345" s="4552"/>
      <c r="B345" s="3462" t="s">
        <v>335</v>
      </c>
      <c r="C345" s="3586"/>
      <c r="D345" s="3426"/>
      <c r="E345" s="3427">
        <f>F345+G345+H345+I345+J345+K345+L345+M345</f>
        <v>414733</v>
      </c>
      <c r="F345" s="3428">
        <f>'Tab. 6A -Drogi'!E447</f>
        <v>0</v>
      </c>
      <c r="G345" s="3428">
        <f>'Tab. 6A -Drogi'!F447</f>
        <v>0</v>
      </c>
      <c r="H345" s="3428">
        <f>'Tab. 6A -Drogi'!G447</f>
        <v>94329</v>
      </c>
      <c r="I345" s="3428">
        <f>'Tab. 6A -Drogi'!H447</f>
        <v>167900</v>
      </c>
      <c r="J345" s="3428">
        <f>'Tab. 6A -Drogi'!I447</f>
        <v>152504</v>
      </c>
      <c r="K345" s="3428">
        <f>'Tab. 6A -Drogi'!J447</f>
        <v>0</v>
      </c>
      <c r="L345" s="3428">
        <f>'Tab. 6A -Drogi'!K447</f>
        <v>0</v>
      </c>
      <c r="M345" s="3428">
        <f>'Tab. 6A -Drogi'!L447</f>
        <v>0</v>
      </c>
      <c r="N345" s="3428"/>
      <c r="O345" s="3428"/>
      <c r="P345" s="3428"/>
      <c r="Q345" s="3428"/>
      <c r="R345" s="3429"/>
      <c r="S345" s="3429"/>
      <c r="T345" s="3429"/>
      <c r="U345" s="3429"/>
      <c r="V345" s="3429"/>
    </row>
    <row r="346" spans="1:22" ht="29.25" customHeight="1">
      <c r="A346" s="4551" t="s">
        <v>654</v>
      </c>
      <c r="B346" s="3583" t="str">
        <f>'Tab. 6B Polit społ i rozwój prz'!B264</f>
        <v>Kooperacja - efektywna i skuteczna w ramach działania 2.5. PO WER (2018-2021)</v>
      </c>
      <c r="C346" s="3499" t="s">
        <v>687</v>
      </c>
      <c r="D346" s="3577">
        <f>E349/E347%</f>
        <v>84.280009164132309</v>
      </c>
      <c r="E346" s="3578"/>
      <c r="F346" s="3579"/>
      <c r="G346" s="3580"/>
      <c r="H346" s="3579"/>
      <c r="I346" s="3579"/>
      <c r="J346" s="3579"/>
      <c r="K346" s="3579"/>
      <c r="L346" s="3579"/>
      <c r="M346" s="3579"/>
      <c r="N346" s="3579"/>
      <c r="O346" s="3579"/>
      <c r="P346" s="3579"/>
      <c r="Q346" s="3579"/>
      <c r="R346" s="3582"/>
      <c r="S346" s="3468"/>
      <c r="T346" s="3468"/>
      <c r="U346" s="3468"/>
      <c r="V346" s="3468"/>
    </row>
    <row r="347" spans="1:22" ht="15.75" customHeight="1">
      <c r="A347" s="4551"/>
      <c r="B347" s="3459" t="s">
        <v>205</v>
      </c>
      <c r="C347" s="3584"/>
      <c r="D347" s="3408"/>
      <c r="E347" s="3409">
        <f>+F347+G347+H347+I347+J347+K347+L347+M347</f>
        <v>1113035</v>
      </c>
      <c r="F347" s="3410">
        <f>'Tab. 6B Polit społ i rozwój prz'!E265</f>
        <v>0</v>
      </c>
      <c r="G347" s="3410">
        <f>'Tab. 6B Polit społ i rozwój prz'!F265</f>
        <v>0</v>
      </c>
      <c r="H347" s="3410">
        <f>'Tab. 6B Polit społ i rozwój prz'!G265</f>
        <v>294044</v>
      </c>
      <c r="I347" s="3410">
        <f>'Tab. 6B Polit społ i rozwój prz'!H265</f>
        <v>392447</v>
      </c>
      <c r="J347" s="3410">
        <f>'Tab. 6B Polit społ i rozwój prz'!I265</f>
        <v>351828</v>
      </c>
      <c r="K347" s="3410">
        <f>'Tab. 6B Polit społ i rozwój prz'!J265</f>
        <v>74716</v>
      </c>
      <c r="L347" s="3410">
        <f>'Tab. 6B Polit społ i rozwój prz'!K265</f>
        <v>0</v>
      </c>
      <c r="M347" s="3410">
        <f>'Tab. 6B Polit społ i rozwój prz'!L265</f>
        <v>0</v>
      </c>
      <c r="N347" s="3410"/>
      <c r="O347" s="3410"/>
      <c r="P347" s="3410"/>
      <c r="Q347" s="3410"/>
      <c r="R347" s="3411"/>
      <c r="S347" s="3412"/>
      <c r="T347" s="3412"/>
      <c r="U347" s="3412"/>
      <c r="V347" s="3412"/>
    </row>
    <row r="348" spans="1:22">
      <c r="A348" s="4551"/>
      <c r="B348" s="3460" t="s">
        <v>391</v>
      </c>
      <c r="C348" s="3585"/>
      <c r="D348" s="3414"/>
      <c r="E348" s="3175">
        <f>+F348+G348+H348+I348+J348+K348+L348+M348</f>
        <v>174969</v>
      </c>
      <c r="F348" s="3415">
        <f>'Tab. 6B Polit społ i rozwój prz'!E266</f>
        <v>0</v>
      </c>
      <c r="G348" s="3415">
        <f>'Tab. 6B Polit społ i rozwój prz'!F266</f>
        <v>0</v>
      </c>
      <c r="H348" s="3415">
        <f>'Tab. 6B Polit społ i rozwój prz'!G266</f>
        <v>46224</v>
      </c>
      <c r="I348" s="3415">
        <f>'Tab. 6B Polit społ i rozwój prz'!H266</f>
        <v>61693</v>
      </c>
      <c r="J348" s="3415">
        <f>'Tab. 6B Polit społ i rozwój prz'!I266</f>
        <v>55307</v>
      </c>
      <c r="K348" s="3415">
        <f>'Tab. 6B Polit społ i rozwój prz'!J266</f>
        <v>11745</v>
      </c>
      <c r="L348" s="3415">
        <f>'Tab. 6B Polit społ i rozwój prz'!K266</f>
        <v>0</v>
      </c>
      <c r="M348" s="3415">
        <f>'Tab. 6B Polit społ i rozwój prz'!L266</f>
        <v>0</v>
      </c>
      <c r="N348" s="3415"/>
      <c r="O348" s="3415"/>
      <c r="P348" s="3415"/>
      <c r="Q348" s="3415"/>
      <c r="R348" s="3416"/>
      <c r="S348" s="3416"/>
      <c r="T348" s="3416"/>
      <c r="U348" s="3416"/>
      <c r="V348" s="3416"/>
    </row>
    <row r="349" spans="1:22" ht="13.5" customHeight="1" thickBot="1">
      <c r="A349" s="4551"/>
      <c r="B349" s="3461" t="s">
        <v>207</v>
      </c>
      <c r="C349" s="3430">
        <f>E349-E350</f>
        <v>0</v>
      </c>
      <c r="D349" s="3419"/>
      <c r="E349" s="3420">
        <f>+F349+G349+H349+I349+J349+K349+L349+M349</f>
        <v>938066</v>
      </c>
      <c r="F349" s="3421">
        <f>'Tab. 6B Polit społ i rozwój prz'!E274</f>
        <v>0</v>
      </c>
      <c r="G349" s="3421">
        <f>'Tab. 6B Polit społ i rozwój prz'!F274</f>
        <v>0</v>
      </c>
      <c r="H349" s="3421">
        <f>'Tab. 6B Polit społ i rozwój prz'!G274</f>
        <v>247820</v>
      </c>
      <c r="I349" s="3421">
        <f>'Tab. 6B Polit społ i rozwój prz'!H274</f>
        <v>330754</v>
      </c>
      <c r="J349" s="3421">
        <f>'Tab. 6B Polit społ i rozwój prz'!I274</f>
        <v>296521</v>
      </c>
      <c r="K349" s="3421">
        <f>'Tab. 6B Polit społ i rozwój prz'!J274</f>
        <v>62971</v>
      </c>
      <c r="L349" s="3421">
        <f>'Tab. 6B Polit społ i rozwój prz'!K274</f>
        <v>0</v>
      </c>
      <c r="M349" s="3421">
        <f>'Tab. 6B Polit społ i rozwój prz'!L274</f>
        <v>0</v>
      </c>
      <c r="N349" s="3421"/>
      <c r="O349" s="3421"/>
      <c r="P349" s="3421"/>
      <c r="Q349" s="3421"/>
      <c r="R349" s="3422"/>
      <c r="S349" s="3423"/>
      <c r="T349" s="3423"/>
      <c r="U349" s="3423"/>
      <c r="V349" s="3423"/>
    </row>
    <row r="350" spans="1:22" ht="16.5" customHeight="1" thickBot="1">
      <c r="A350" s="4552"/>
      <c r="B350" s="3462" t="s">
        <v>335</v>
      </c>
      <c r="C350" s="3586"/>
      <c r="D350" s="3426"/>
      <c r="E350" s="3427">
        <f>F350+G350+H350+I350+J350+K350+L350+M350</f>
        <v>938066</v>
      </c>
      <c r="F350" s="3428">
        <f>'Tab. 6B Polit społ i rozwój prz'!E280</f>
        <v>0</v>
      </c>
      <c r="G350" s="3428">
        <f>'Tab. 6B Polit społ i rozwój prz'!F280</f>
        <v>0</v>
      </c>
      <c r="H350" s="3428">
        <f>'Tab. 6B Polit społ i rozwój prz'!G280</f>
        <v>247820</v>
      </c>
      <c r="I350" s="3428">
        <f>'Tab. 6B Polit społ i rozwój prz'!H280</f>
        <v>330754</v>
      </c>
      <c r="J350" s="3428">
        <f>'Tab. 6B Polit społ i rozwój prz'!I280</f>
        <v>296521</v>
      </c>
      <c r="K350" s="3428">
        <f>'Tab. 6B Polit społ i rozwój prz'!J280</f>
        <v>62971</v>
      </c>
      <c r="L350" s="3428">
        <f>'Tab. 6B Polit społ i rozwój prz'!K280</f>
        <v>0</v>
      </c>
      <c r="M350" s="3428">
        <f>'Tab. 6B Polit społ i rozwój prz'!L280</f>
        <v>0</v>
      </c>
      <c r="N350" s="3428"/>
      <c r="O350" s="3428"/>
      <c r="P350" s="3428"/>
      <c r="Q350" s="3428"/>
      <c r="R350" s="3429"/>
      <c r="S350" s="3429"/>
      <c r="T350" s="3429"/>
      <c r="U350" s="3429"/>
      <c r="V350" s="3429"/>
    </row>
    <row r="351" spans="1:22" ht="49.5" customHeight="1">
      <c r="A351" s="4551" t="s">
        <v>655</v>
      </c>
      <c r="B351" s="3583" t="str">
        <f>'Tab. 6G - Roln i ochrona środ.'!B57</f>
        <v>Pomoc Techniczna Programu Operacyjnego „Rybactwo i Morze 2014-2020” (2016-2023)</v>
      </c>
      <c r="C351" s="3399" t="s">
        <v>702</v>
      </c>
      <c r="D351" s="3577">
        <f>E354/E352%</f>
        <v>74.999991633650254</v>
      </c>
      <c r="E351" s="3578"/>
      <c r="F351" s="3579"/>
      <c r="G351" s="3580"/>
      <c r="H351" s="3579"/>
      <c r="I351" s="3579"/>
      <c r="J351" s="3579"/>
      <c r="K351" s="3579"/>
      <c r="L351" s="3579"/>
      <c r="M351" s="3579"/>
      <c r="N351" s="3579"/>
      <c r="O351" s="3579"/>
      <c r="P351" s="3579"/>
      <c r="Q351" s="3579"/>
      <c r="R351" s="3582"/>
      <c r="S351" s="3468"/>
      <c r="T351" s="3468"/>
      <c r="U351" s="3468"/>
      <c r="V351" s="3468"/>
    </row>
    <row r="352" spans="1:22" ht="15.75" customHeight="1">
      <c r="A352" s="4551"/>
      <c r="B352" s="3459" t="s">
        <v>205</v>
      </c>
      <c r="C352" s="3584"/>
      <c r="D352" s="3408"/>
      <c r="E352" s="3409">
        <f>+F352+G352+H352+I352+J352+K352+L352+M352</f>
        <v>5976322</v>
      </c>
      <c r="F352" s="3410">
        <f>'Tab. 6G - Roln i ochrona środ.'!E58</f>
        <v>1484321</v>
      </c>
      <c r="G352" s="3410">
        <f>'Tab. 6G - Roln i ochrona środ.'!F58</f>
        <v>1170222</v>
      </c>
      <c r="H352" s="3410">
        <f>'Tab. 6G - Roln i ochrona środ.'!G58</f>
        <v>1400000</v>
      </c>
      <c r="I352" s="3410">
        <f>'Tab. 6G - Roln i ochrona środ.'!H58</f>
        <v>1200000</v>
      </c>
      <c r="J352" s="3410">
        <f>'Tab. 6G - Roln i ochrona środ.'!I58</f>
        <v>600000</v>
      </c>
      <c r="K352" s="3410">
        <f>'Tab. 6G - Roln i ochrona środ.'!J58</f>
        <v>50000</v>
      </c>
      <c r="L352" s="3410">
        <f>'Tab. 6G - Roln i ochrona środ.'!K58</f>
        <v>50000</v>
      </c>
      <c r="M352" s="3410">
        <f>'Tab. 6G - Roln i ochrona środ.'!L58</f>
        <v>21779</v>
      </c>
      <c r="N352" s="3410"/>
      <c r="O352" s="3410"/>
      <c r="P352" s="3410"/>
      <c r="Q352" s="3410"/>
      <c r="R352" s="3411"/>
      <c r="S352" s="3412"/>
      <c r="T352" s="3412"/>
      <c r="U352" s="3412"/>
      <c r="V352" s="3412"/>
    </row>
    <row r="353" spans="1:22">
      <c r="A353" s="4551"/>
      <c r="B353" s="3460" t="s">
        <v>391</v>
      </c>
      <c r="C353" s="3585"/>
      <c r="D353" s="3414"/>
      <c r="E353" s="3175">
        <f>+F353+G353+H353+I353+J353+K353+L353+M353</f>
        <v>1494081</v>
      </c>
      <c r="F353" s="3415">
        <f>'Tab. 6G - Roln i ochrona środ.'!E59</f>
        <v>371080</v>
      </c>
      <c r="G353" s="3415">
        <f>'Tab. 6G - Roln i ochrona środ.'!F59</f>
        <v>292555</v>
      </c>
      <c r="H353" s="3415">
        <f>'Tab. 6G - Roln i ochrona środ.'!G59</f>
        <v>350000</v>
      </c>
      <c r="I353" s="3415">
        <f>'Tab. 6G - Roln i ochrona środ.'!H59</f>
        <v>300000</v>
      </c>
      <c r="J353" s="3415">
        <f>'Tab. 6G - Roln i ochrona środ.'!I59</f>
        <v>150000</v>
      </c>
      <c r="K353" s="3415">
        <f>'Tab. 6G - Roln i ochrona środ.'!J59</f>
        <v>12500</v>
      </c>
      <c r="L353" s="3415">
        <f>'Tab. 6G - Roln i ochrona środ.'!K59</f>
        <v>12500</v>
      </c>
      <c r="M353" s="3415">
        <f>'Tab. 6G - Roln i ochrona środ.'!L59</f>
        <v>5446</v>
      </c>
      <c r="N353" s="3415"/>
      <c r="O353" s="3415"/>
      <c r="P353" s="3415"/>
      <c r="Q353" s="3415"/>
      <c r="R353" s="3416"/>
      <c r="S353" s="3416"/>
      <c r="T353" s="3416"/>
      <c r="U353" s="3416"/>
      <c r="V353" s="3416"/>
    </row>
    <row r="354" spans="1:22" ht="13.5" customHeight="1" thickBot="1">
      <c r="A354" s="4551"/>
      <c r="B354" s="3461" t="s">
        <v>207</v>
      </c>
      <c r="C354" s="3430">
        <f>E354-E355</f>
        <v>0</v>
      </c>
      <c r="D354" s="3419"/>
      <c r="E354" s="3420">
        <f>+F354+G354+H354+I354+J354+K354+L354+M354</f>
        <v>4482241</v>
      </c>
      <c r="F354" s="3421">
        <f>'Tab. 6G - Roln i ochrona środ.'!E62</f>
        <v>1113241</v>
      </c>
      <c r="G354" s="3421">
        <f>'Tab. 6G - Roln i ochrona środ.'!F62</f>
        <v>877667</v>
      </c>
      <c r="H354" s="3421">
        <f>'Tab. 6G - Roln i ochrona środ.'!G62</f>
        <v>1050000</v>
      </c>
      <c r="I354" s="3421">
        <f>'Tab. 6G - Roln i ochrona środ.'!H62</f>
        <v>900000</v>
      </c>
      <c r="J354" s="3421">
        <f>'Tab. 6G - Roln i ochrona środ.'!I62</f>
        <v>450000</v>
      </c>
      <c r="K354" s="3421">
        <f>'Tab. 6G - Roln i ochrona środ.'!J62</f>
        <v>37500</v>
      </c>
      <c r="L354" s="3421">
        <f>'Tab. 6G - Roln i ochrona środ.'!K62</f>
        <v>37500</v>
      </c>
      <c r="M354" s="3421">
        <f>'Tab. 6G - Roln i ochrona środ.'!L62</f>
        <v>16333</v>
      </c>
      <c r="N354" s="3421"/>
      <c r="O354" s="3421"/>
      <c r="P354" s="3421"/>
      <c r="Q354" s="3421"/>
      <c r="R354" s="3422"/>
      <c r="S354" s="3423"/>
      <c r="T354" s="3423"/>
      <c r="U354" s="3423"/>
      <c r="V354" s="3423"/>
    </row>
    <row r="355" spans="1:22" ht="16.5" customHeight="1" thickBot="1">
      <c r="A355" s="4552"/>
      <c r="B355" s="3462" t="s">
        <v>335</v>
      </c>
      <c r="C355" s="3586"/>
      <c r="D355" s="3426"/>
      <c r="E355" s="3427">
        <f>F355+G355+H355+I355+J355+K355+L355+M355</f>
        <v>4482241</v>
      </c>
      <c r="F355" s="3428">
        <f>'Tab. 6G - Roln i ochrona środ.'!E66</f>
        <v>1113241</v>
      </c>
      <c r="G355" s="3428">
        <f>'Tab. 6G - Roln i ochrona środ.'!F66</f>
        <v>877667</v>
      </c>
      <c r="H355" s="3428">
        <f>'Tab. 6G - Roln i ochrona środ.'!G66</f>
        <v>1050000</v>
      </c>
      <c r="I355" s="3428">
        <f>'Tab. 6G - Roln i ochrona środ.'!H66</f>
        <v>900000</v>
      </c>
      <c r="J355" s="3428">
        <f>'Tab. 6G - Roln i ochrona środ.'!I66</f>
        <v>450000</v>
      </c>
      <c r="K355" s="3428">
        <f>'Tab. 6G - Roln i ochrona środ.'!J66</f>
        <v>37500</v>
      </c>
      <c r="L355" s="3428">
        <f>'Tab. 6G - Roln i ochrona środ.'!K66</f>
        <v>37500</v>
      </c>
      <c r="M355" s="3428">
        <f>'Tab. 6G - Roln i ochrona środ.'!L66</f>
        <v>16333</v>
      </c>
      <c r="N355" s="3428"/>
      <c r="O355" s="3428"/>
      <c r="P355" s="3428"/>
      <c r="Q355" s="3428"/>
      <c r="R355" s="3429"/>
      <c r="S355" s="3429"/>
      <c r="T355" s="3429"/>
      <c r="U355" s="3429"/>
      <c r="V355" s="3429"/>
    </row>
    <row r="356" spans="1:22" ht="28.5" customHeight="1">
      <c r="A356" s="4551" t="s">
        <v>703</v>
      </c>
      <c r="B356" s="3583" t="str">
        <f>'Tab. 6G - Roln i ochrona środ.'!B86</f>
        <v xml:space="preserve">Edukacja przyrodnicza w parkach krajobrazowych województwa zachodniopomorskiego w ramach działania 4.5 RPO WZ (2018-2020) </v>
      </c>
      <c r="C356" s="3399" t="s">
        <v>732</v>
      </c>
      <c r="D356" s="3577">
        <f>E359/E357%</f>
        <v>85</v>
      </c>
      <c r="E356" s="3578"/>
      <c r="F356" s="3579"/>
      <c r="G356" s="3580"/>
      <c r="H356" s="3579"/>
      <c r="I356" s="3579"/>
      <c r="J356" s="3579"/>
      <c r="K356" s="3579"/>
      <c r="L356" s="3579"/>
      <c r="M356" s="3579"/>
      <c r="N356" s="3579"/>
      <c r="O356" s="3579"/>
      <c r="P356" s="3579"/>
      <c r="Q356" s="3579"/>
      <c r="R356" s="3582"/>
      <c r="S356" s="3468"/>
      <c r="T356" s="3468"/>
      <c r="U356" s="3468"/>
      <c r="V356" s="3468"/>
    </row>
    <row r="357" spans="1:22" ht="15.75" customHeight="1">
      <c r="A357" s="4551"/>
      <c r="B357" s="3459" t="s">
        <v>205</v>
      </c>
      <c r="C357" s="3584"/>
      <c r="D357" s="3408"/>
      <c r="E357" s="3409">
        <f>+F357+G357+H357+I357+J357+K357+L357+M357</f>
        <v>320000</v>
      </c>
      <c r="F357" s="3410">
        <f>'Tab. 6G - Roln i ochrona środ.'!E87</f>
        <v>0</v>
      </c>
      <c r="G357" s="3410">
        <f>'Tab. 6G - Roln i ochrona środ.'!F87</f>
        <v>0</v>
      </c>
      <c r="H357" s="3410">
        <f>'Tab. 6G - Roln i ochrona środ.'!G87</f>
        <v>183700</v>
      </c>
      <c r="I357" s="3410">
        <f>'Tab. 6G - Roln i ochrona środ.'!H87</f>
        <v>109000</v>
      </c>
      <c r="J357" s="3410">
        <f>'Tab. 6G - Roln i ochrona środ.'!I87</f>
        <v>27300</v>
      </c>
      <c r="K357" s="3410">
        <f>'Tab. 6G - Roln i ochrona środ.'!J87</f>
        <v>0</v>
      </c>
      <c r="L357" s="3410">
        <f>'Tab. 6G - Roln i ochrona środ.'!K87</f>
        <v>0</v>
      </c>
      <c r="M357" s="3410">
        <f>'Tab. 6G - Roln i ochrona środ.'!L87</f>
        <v>0</v>
      </c>
      <c r="N357" s="3410"/>
      <c r="O357" s="3410"/>
      <c r="P357" s="3410"/>
      <c r="Q357" s="3410"/>
      <c r="R357" s="3411"/>
      <c r="S357" s="3412"/>
      <c r="T357" s="3412"/>
      <c r="U357" s="3412"/>
      <c r="V357" s="3412"/>
    </row>
    <row r="358" spans="1:22">
      <c r="A358" s="4551"/>
      <c r="B358" s="3460" t="s">
        <v>391</v>
      </c>
      <c r="C358" s="3585"/>
      <c r="D358" s="3414"/>
      <c r="E358" s="3175">
        <f>+F358+G358+H358+I358+J358+K358+L358+M358</f>
        <v>48000</v>
      </c>
      <c r="F358" s="3415">
        <f>'Tab. 6G - Roln i ochrona środ.'!E88</f>
        <v>0</v>
      </c>
      <c r="G358" s="3415">
        <f>'Tab. 6G - Roln i ochrona środ.'!F88</f>
        <v>0</v>
      </c>
      <c r="H358" s="3415">
        <f>'Tab. 6G - Roln i ochrona środ.'!G88</f>
        <v>27555</v>
      </c>
      <c r="I358" s="3415">
        <f>'Tab. 6G - Roln i ochrona środ.'!H88</f>
        <v>16350</v>
      </c>
      <c r="J358" s="3415">
        <f>'Tab. 6G - Roln i ochrona środ.'!I88</f>
        <v>4095</v>
      </c>
      <c r="K358" s="3415">
        <f>'Tab. 6G - Roln i ochrona środ.'!J88</f>
        <v>0</v>
      </c>
      <c r="L358" s="3415">
        <f>'Tab. 6G - Roln i ochrona środ.'!K88</f>
        <v>0</v>
      </c>
      <c r="M358" s="3415">
        <f>'Tab. 6G - Roln i ochrona środ.'!L88</f>
        <v>0</v>
      </c>
      <c r="N358" s="3415"/>
      <c r="O358" s="3415"/>
      <c r="P358" s="3415"/>
      <c r="Q358" s="3415"/>
      <c r="R358" s="3416"/>
      <c r="S358" s="3416"/>
      <c r="T358" s="3416"/>
      <c r="U358" s="3416"/>
      <c r="V358" s="3416"/>
    </row>
    <row r="359" spans="1:22" ht="13.5" customHeight="1" thickBot="1">
      <c r="A359" s="4551"/>
      <c r="B359" s="3461" t="s">
        <v>207</v>
      </c>
      <c r="C359" s="3430">
        <f>E359-E360</f>
        <v>0</v>
      </c>
      <c r="D359" s="3419"/>
      <c r="E359" s="3420">
        <f>+F359+G359+H359+I359+J359+K359+L359+M359</f>
        <v>272000</v>
      </c>
      <c r="F359" s="3421">
        <f>'Tab. 6G - Roln i ochrona środ.'!E91</f>
        <v>0</v>
      </c>
      <c r="G359" s="3421">
        <f>'Tab. 6G - Roln i ochrona środ.'!F91</f>
        <v>0</v>
      </c>
      <c r="H359" s="3421">
        <f>'Tab. 6G - Roln i ochrona środ.'!G91</f>
        <v>156145</v>
      </c>
      <c r="I359" s="3421">
        <f>'Tab. 6G - Roln i ochrona środ.'!H91</f>
        <v>92650</v>
      </c>
      <c r="J359" s="3421">
        <f>'Tab. 6G - Roln i ochrona środ.'!I91</f>
        <v>23205</v>
      </c>
      <c r="K359" s="3421">
        <f>'Tab. 6G - Roln i ochrona środ.'!J91</f>
        <v>0</v>
      </c>
      <c r="L359" s="3421">
        <f>'Tab. 6G - Roln i ochrona środ.'!K91</f>
        <v>0</v>
      </c>
      <c r="M359" s="3421">
        <f>'Tab. 6G - Roln i ochrona środ.'!L91</f>
        <v>0</v>
      </c>
      <c r="N359" s="3421"/>
      <c r="O359" s="3421"/>
      <c r="P359" s="3421"/>
      <c r="Q359" s="3421"/>
      <c r="R359" s="3422"/>
      <c r="S359" s="3423"/>
      <c r="T359" s="3423"/>
      <c r="U359" s="3423"/>
      <c r="V359" s="3423"/>
    </row>
    <row r="360" spans="1:22" ht="16.5" customHeight="1" thickBot="1">
      <c r="A360" s="4552"/>
      <c r="B360" s="3462" t="s">
        <v>335</v>
      </c>
      <c r="C360" s="3586"/>
      <c r="D360" s="3426"/>
      <c r="E360" s="3427">
        <f>F360+G360+H360+I360+J360+K360+L360+M360</f>
        <v>272000</v>
      </c>
      <c r="F360" s="3428">
        <f>'Tab. 6G - Roln i ochrona środ.'!E94</f>
        <v>0</v>
      </c>
      <c r="G360" s="3428">
        <f>'Tab. 6G - Roln i ochrona środ.'!F94</f>
        <v>0</v>
      </c>
      <c r="H360" s="3428">
        <f>'Tab. 6G - Roln i ochrona środ.'!G94</f>
        <v>156145</v>
      </c>
      <c r="I360" s="3428">
        <f>'Tab. 6G - Roln i ochrona środ.'!H94</f>
        <v>92650</v>
      </c>
      <c r="J360" s="3428">
        <f>'Tab. 6G - Roln i ochrona środ.'!I94</f>
        <v>23205</v>
      </c>
      <c r="K360" s="3428">
        <f>'Tab. 6G - Roln i ochrona środ.'!J94</f>
        <v>0</v>
      </c>
      <c r="L360" s="3428">
        <f>'Tab. 6G - Roln i ochrona środ.'!K94</f>
        <v>0</v>
      </c>
      <c r="M360" s="3428">
        <f>'Tab. 6G - Roln i ochrona środ.'!L94</f>
        <v>0</v>
      </c>
      <c r="N360" s="3428"/>
      <c r="O360" s="3428"/>
      <c r="P360" s="3428"/>
      <c r="Q360" s="3428"/>
      <c r="R360" s="3429"/>
      <c r="S360" s="3429"/>
      <c r="T360" s="3429"/>
      <c r="U360" s="3429"/>
      <c r="V360" s="3429"/>
    </row>
    <row r="361" spans="1:22" ht="14.25">
      <c r="A361" s="4581" t="s">
        <v>736</v>
      </c>
      <c r="B361" s="3587"/>
      <c r="C361" s="3399"/>
      <c r="D361" s="3400" t="e">
        <f>E364/E362%</f>
        <v>#DIV/0!</v>
      </c>
      <c r="E361" s="3401"/>
      <c r="F361" s="3402"/>
      <c r="G361" s="3403"/>
      <c r="H361" s="3402"/>
      <c r="I361" s="3402"/>
      <c r="J361" s="3402"/>
      <c r="K361" s="3403"/>
      <c r="L361" s="3403"/>
      <c r="M361" s="3402"/>
      <c r="N361" s="3402"/>
      <c r="O361" s="3402"/>
      <c r="P361" s="3402"/>
      <c r="Q361" s="3402"/>
      <c r="R361" s="3404"/>
      <c r="S361" s="3405"/>
      <c r="T361" s="3405"/>
      <c r="U361" s="3405"/>
      <c r="V361" s="3405"/>
    </row>
    <row r="362" spans="1:22" ht="13.5" customHeight="1">
      <c r="A362" s="4582"/>
      <c r="B362" s="3406" t="s">
        <v>205</v>
      </c>
      <c r="C362" s="3588"/>
      <c r="D362" s="3408"/>
      <c r="E362" s="3409">
        <f>+F362+G362+H362+I362+J362+K362+L362+M362</f>
        <v>0</v>
      </c>
      <c r="F362" s="3410"/>
      <c r="G362" s="3410"/>
      <c r="H362" s="3410"/>
      <c r="I362" s="3410"/>
      <c r="J362" s="3410"/>
      <c r="K362" s="3410"/>
      <c r="L362" s="3410"/>
      <c r="M362" s="3410"/>
      <c r="N362" s="3410"/>
      <c r="O362" s="3410"/>
      <c r="P362" s="3410"/>
      <c r="Q362" s="3410"/>
      <c r="R362" s="3411"/>
      <c r="S362" s="3412"/>
      <c r="T362" s="3412"/>
      <c r="U362" s="3412"/>
      <c r="V362" s="3412"/>
    </row>
    <row r="363" spans="1:22" ht="18" customHeight="1">
      <c r="A363" s="4582"/>
      <c r="B363" s="3413" t="s">
        <v>391</v>
      </c>
      <c r="C363" s="3458"/>
      <c r="D363" s="3414"/>
      <c r="E363" s="3175">
        <f>+F363+G363+H363+I363+J363+K363+L363+M363</f>
        <v>0</v>
      </c>
      <c r="F363" s="3415"/>
      <c r="G363" s="3415"/>
      <c r="H363" s="3415"/>
      <c r="I363" s="3415"/>
      <c r="J363" s="3415"/>
      <c r="K363" s="3415"/>
      <c r="L363" s="3415"/>
      <c r="M363" s="3415"/>
      <c r="N363" s="3415"/>
      <c r="O363" s="3415"/>
      <c r="P363" s="3415"/>
      <c r="Q363" s="3415"/>
      <c r="R363" s="3416"/>
      <c r="S363" s="3416"/>
      <c r="T363" s="3416"/>
      <c r="U363" s="3416"/>
      <c r="V363" s="3416"/>
    </row>
    <row r="364" spans="1:22" ht="13.5" customHeight="1" thickBot="1">
      <c r="A364" s="4582"/>
      <c r="B364" s="3417" t="s">
        <v>207</v>
      </c>
      <c r="C364" s="3430">
        <f>E364-E365</f>
        <v>0</v>
      </c>
      <c r="D364" s="3419"/>
      <c r="E364" s="3420">
        <f>+F364+G364+H364+I364+J364+K364+L364+M364</f>
        <v>0</v>
      </c>
      <c r="F364" s="3421"/>
      <c r="G364" s="3421"/>
      <c r="H364" s="3421"/>
      <c r="I364" s="3421"/>
      <c r="J364" s="3421"/>
      <c r="K364" s="3421"/>
      <c r="L364" s="3421"/>
      <c r="M364" s="3421"/>
      <c r="N364" s="3421"/>
      <c r="O364" s="3421"/>
      <c r="P364" s="3421"/>
      <c r="Q364" s="3421"/>
      <c r="R364" s="3422"/>
      <c r="S364" s="3423"/>
      <c r="T364" s="3423"/>
      <c r="U364" s="3423"/>
      <c r="V364" s="3423"/>
    </row>
    <row r="365" spans="1:22" ht="15" customHeight="1" thickBot="1">
      <c r="A365" s="4583"/>
      <c r="B365" s="3424" t="s">
        <v>335</v>
      </c>
      <c r="C365" s="3425"/>
      <c r="D365" s="3426"/>
      <c r="E365" s="3427">
        <f>F365+G365+H365+I365+J365+K365+L365+M365</f>
        <v>0</v>
      </c>
      <c r="F365" s="3428"/>
      <c r="G365" s="3428"/>
      <c r="H365" s="3428"/>
      <c r="I365" s="3428"/>
      <c r="J365" s="3428"/>
      <c r="K365" s="3428"/>
      <c r="L365" s="3428"/>
      <c r="M365" s="3428"/>
      <c r="N365" s="3428"/>
      <c r="O365" s="3428"/>
      <c r="P365" s="3428"/>
      <c r="Q365" s="3428"/>
      <c r="R365" s="3429"/>
      <c r="S365" s="3429"/>
      <c r="T365" s="3429"/>
      <c r="U365" s="3429"/>
      <c r="V365" s="3429"/>
    </row>
    <row r="366" spans="1:22" s="3389" customFormat="1" ht="13.5" customHeight="1">
      <c r="A366" s="3477"/>
      <c r="B366" s="3502"/>
      <c r="C366" s="3503"/>
      <c r="D366" s="3504"/>
      <c r="E366" s="3540"/>
      <c r="F366" s="3541"/>
      <c r="G366" s="3508"/>
      <c r="H366" s="3540"/>
      <c r="I366" s="3541"/>
      <c r="J366" s="3541"/>
      <c r="K366" s="3508"/>
      <c r="L366" s="3508"/>
      <c r="M366" s="3541"/>
      <c r="N366" s="3541"/>
      <c r="O366" s="3541"/>
      <c r="P366" s="3541"/>
      <c r="Q366" s="3541"/>
      <c r="R366" s="3509"/>
      <c r="S366" s="3509"/>
      <c r="T366" s="3509"/>
      <c r="U366" s="3509"/>
      <c r="V366" s="3509"/>
    </row>
    <row r="367" spans="1:22" s="3389" customFormat="1" ht="32.25" customHeight="1">
      <c r="A367" s="3510"/>
      <c r="B367" s="3511" t="s">
        <v>365</v>
      </c>
      <c r="C367" s="3512"/>
      <c r="D367" s="3513"/>
      <c r="E367" s="3514"/>
      <c r="F367" s="3515"/>
      <c r="G367" s="3518"/>
      <c r="H367" s="3514"/>
      <c r="I367" s="3515"/>
      <c r="J367" s="3515"/>
      <c r="K367" s="3518"/>
      <c r="L367" s="3518"/>
      <c r="M367" s="3515"/>
      <c r="N367" s="3515"/>
      <c r="O367" s="3515"/>
      <c r="P367" s="3515"/>
      <c r="Q367" s="3515"/>
      <c r="R367" s="3519"/>
      <c r="S367" s="3519"/>
      <c r="T367" s="3519"/>
      <c r="U367" s="3519"/>
      <c r="V367" s="3519"/>
    </row>
    <row r="368" spans="1:22" s="3389" customFormat="1" ht="8.25" customHeight="1" thickBot="1">
      <c r="A368" s="3477"/>
      <c r="B368" s="3589"/>
      <c r="C368" s="3503"/>
      <c r="D368" s="3504"/>
      <c r="E368" s="3540"/>
      <c r="F368" s="3541"/>
      <c r="G368" s="3508"/>
      <c r="H368" s="3590"/>
      <c r="I368" s="3541"/>
      <c r="J368" s="3541"/>
      <c r="K368" s="3508"/>
      <c r="L368" s="3508"/>
      <c r="M368" s="3541"/>
      <c r="N368" s="3541"/>
      <c r="O368" s="3541"/>
      <c r="P368" s="3541"/>
      <c r="Q368" s="3541"/>
      <c r="R368" s="3509"/>
      <c r="S368" s="3509"/>
      <c r="T368" s="3509"/>
      <c r="U368" s="3509"/>
      <c r="V368" s="3509"/>
    </row>
    <row r="369" spans="1:22" ht="48.75" customHeight="1">
      <c r="A369" s="4549" t="s">
        <v>737</v>
      </c>
      <c r="B369" s="3398" t="str">
        <f>'Tab. 6D - Oświata'!B37</f>
        <v>Prowadzenie Punktu Informacji Europejskiej Europe Direct - Szczecin w ramach środków Komisji Europejskiej (2013-2020)</v>
      </c>
      <c r="C369" s="3399" t="s">
        <v>371</v>
      </c>
      <c r="D369" s="3528">
        <f>E372/E370%</f>
        <v>52.057152397658982</v>
      </c>
      <c r="E369" s="3401"/>
      <c r="F369" s="3402"/>
      <c r="G369" s="3403"/>
      <c r="H369" s="3402"/>
      <c r="I369" s="3402"/>
      <c r="J369" s="3402"/>
      <c r="K369" s="3403"/>
      <c r="L369" s="3403"/>
      <c r="M369" s="3402"/>
      <c r="N369" s="3402"/>
      <c r="O369" s="3402"/>
      <c r="P369" s="3402"/>
      <c r="Q369" s="3402"/>
      <c r="R369" s="3404"/>
      <c r="S369" s="3405"/>
      <c r="T369" s="3405"/>
      <c r="U369" s="3405"/>
      <c r="V369" s="3405"/>
    </row>
    <row r="370" spans="1:22" ht="13.5" customHeight="1">
      <c r="A370" s="4544"/>
      <c r="B370" s="3406" t="s">
        <v>205</v>
      </c>
      <c r="C370" s="3407"/>
      <c r="D370" s="3408"/>
      <c r="E370" s="3409">
        <f>+F370+G370+H370+I370+J370+K370+L370+M370</f>
        <v>1335657</v>
      </c>
      <c r="F370" s="3410">
        <f>'Tab. 6D - Oświata'!E38</f>
        <v>593887</v>
      </c>
      <c r="G370" s="3410">
        <f>'Tab. 6D - Oświata'!F38</f>
        <v>144526</v>
      </c>
      <c r="H370" s="3410">
        <f>'Tab. 6D - Oświata'!G38</f>
        <v>199080</v>
      </c>
      <c r="I370" s="3410">
        <f>'Tab. 6D - Oświata'!H38</f>
        <v>199084</v>
      </c>
      <c r="J370" s="3410">
        <f>'Tab. 6D - Oświata'!I38</f>
        <v>199080</v>
      </c>
      <c r="K370" s="3410">
        <f>'Tab. 6D - Oświata'!J38</f>
        <v>0</v>
      </c>
      <c r="L370" s="3410">
        <f>'Tab. 6D - Oświata'!K38</f>
        <v>0</v>
      </c>
      <c r="M370" s="3410">
        <f>'Tab. 6D - Oświata'!L38</f>
        <v>0</v>
      </c>
      <c r="N370" s="3410"/>
      <c r="O370" s="3410"/>
      <c r="P370" s="3410"/>
      <c r="Q370" s="3410"/>
      <c r="R370" s="3411"/>
      <c r="S370" s="3412"/>
      <c r="T370" s="3412"/>
      <c r="U370" s="3412"/>
      <c r="V370" s="3412"/>
    </row>
    <row r="371" spans="1:22" ht="13.5" customHeight="1">
      <c r="A371" s="4544"/>
      <c r="B371" s="3413" t="s">
        <v>338</v>
      </c>
      <c r="C371" s="2794"/>
      <c r="D371" s="3414"/>
      <c r="E371" s="3175">
        <f>+F371+G371+H371+I371+J371+K371+L371+M371</f>
        <v>640352</v>
      </c>
      <c r="F371" s="3415">
        <f>'Tab. 6D - Oświata'!E39</f>
        <v>274500</v>
      </c>
      <c r="G371" s="3415">
        <f>'Tab. 6D - Oświata'!F39</f>
        <v>67232</v>
      </c>
      <c r="H371" s="3415">
        <f>'Tab. 6D - Oświata'!G39</f>
        <v>99540</v>
      </c>
      <c r="I371" s="3415">
        <f>'Tab. 6D - Oświata'!H39</f>
        <v>99540</v>
      </c>
      <c r="J371" s="3415">
        <f>'Tab. 6D - Oświata'!I39</f>
        <v>99540</v>
      </c>
      <c r="K371" s="3415">
        <f>'Tab. 6D - Oświata'!J39</f>
        <v>0</v>
      </c>
      <c r="L371" s="3415">
        <f>'Tab. 6D - Oświata'!K39</f>
        <v>0</v>
      </c>
      <c r="M371" s="3415">
        <f>'Tab. 6D - Oświata'!L39</f>
        <v>0</v>
      </c>
      <c r="N371" s="3415"/>
      <c r="O371" s="3415"/>
      <c r="P371" s="3415"/>
      <c r="Q371" s="3415"/>
      <c r="R371" s="3416"/>
      <c r="S371" s="3416"/>
      <c r="T371" s="3416"/>
      <c r="U371" s="3416"/>
      <c r="V371" s="3416"/>
    </row>
    <row r="372" spans="1:22" ht="13.5" customHeight="1" thickBot="1">
      <c r="A372" s="4544"/>
      <c r="B372" s="3417" t="s">
        <v>207</v>
      </c>
      <c r="C372" s="3430">
        <f>E372-E373</f>
        <v>0</v>
      </c>
      <c r="D372" s="3419"/>
      <c r="E372" s="3420">
        <f>+F372+G372+H372+I372+J372+K372+L372+M372</f>
        <v>695305</v>
      </c>
      <c r="F372" s="3421">
        <f>'Tab. 6D - Oświata'!E42</f>
        <v>319387</v>
      </c>
      <c r="G372" s="3421">
        <f>'Tab. 6D - Oświata'!F42</f>
        <v>77294</v>
      </c>
      <c r="H372" s="3421">
        <f>'Tab. 6D - Oświata'!G42</f>
        <v>99540</v>
      </c>
      <c r="I372" s="3421">
        <f>'Tab. 6D - Oświata'!H42</f>
        <v>99544</v>
      </c>
      <c r="J372" s="3421">
        <f>'Tab. 6D - Oświata'!I42</f>
        <v>99540</v>
      </c>
      <c r="K372" s="3421">
        <f>'Tab. 6D - Oświata'!J42</f>
        <v>0</v>
      </c>
      <c r="L372" s="3421">
        <f>'Tab. 6D - Oświata'!K42</f>
        <v>0</v>
      </c>
      <c r="M372" s="3421">
        <f>'Tab. 6D - Oświata'!L42</f>
        <v>0</v>
      </c>
      <c r="N372" s="3421"/>
      <c r="O372" s="3421"/>
      <c r="P372" s="3421"/>
      <c r="Q372" s="3421"/>
      <c r="R372" s="3422"/>
      <c r="S372" s="3423"/>
      <c r="T372" s="3423"/>
      <c r="U372" s="3423"/>
      <c r="V372" s="3423"/>
    </row>
    <row r="373" spans="1:22" ht="15.75" customHeight="1" thickBot="1">
      <c r="A373" s="4545"/>
      <c r="B373" s="3424" t="s">
        <v>335</v>
      </c>
      <c r="C373" s="3425"/>
      <c r="D373" s="3426"/>
      <c r="E373" s="3427">
        <f>F373+G373+H373+I373+J373+K373+L373+M373</f>
        <v>695305</v>
      </c>
      <c r="F373" s="3428">
        <f>'Tab. 6D - Oświata'!E47</f>
        <v>291312</v>
      </c>
      <c r="G373" s="3428">
        <f>'Tab. 6D - Oświata'!F47</f>
        <v>79154</v>
      </c>
      <c r="H373" s="3428">
        <f>'Tab. 6D - Oświata'!G47</f>
        <v>95897</v>
      </c>
      <c r="I373" s="3428">
        <f>'Tab. 6D - Oświata'!H47</f>
        <v>99540</v>
      </c>
      <c r="J373" s="3428">
        <f>'Tab. 6D - Oświata'!I47</f>
        <v>99540</v>
      </c>
      <c r="K373" s="3428">
        <f>'Tab. 6D - Oświata'!J47</f>
        <v>29862</v>
      </c>
      <c r="L373" s="3428">
        <f>'Tab. 6D - Oświata'!K47</f>
        <v>0</v>
      </c>
      <c r="M373" s="3428">
        <f>'Tab. 6D - Oświata'!L47</f>
        <v>0</v>
      </c>
      <c r="N373" s="3428"/>
      <c r="O373" s="3428"/>
      <c r="P373" s="3428"/>
      <c r="Q373" s="3428"/>
      <c r="R373" s="3429"/>
      <c r="S373" s="3429"/>
      <c r="T373" s="3429"/>
      <c r="U373" s="3429"/>
      <c r="V373" s="3429"/>
    </row>
    <row r="374" spans="1:22" s="3389" customFormat="1" ht="8.25" customHeight="1">
      <c r="A374" s="3477"/>
      <c r="B374" s="3589"/>
      <c r="C374" s="3503"/>
      <c r="D374" s="3504"/>
      <c r="E374" s="3540"/>
      <c r="F374" s="3541"/>
      <c r="G374" s="3508"/>
      <c r="H374" s="3541"/>
      <c r="I374" s="3541"/>
      <c r="J374" s="3541"/>
      <c r="K374" s="3508"/>
      <c r="L374" s="3508"/>
      <c r="M374" s="3541"/>
      <c r="N374" s="3541"/>
      <c r="O374" s="3541"/>
      <c r="P374" s="3541"/>
      <c r="Q374" s="3541"/>
      <c r="R374" s="3509"/>
      <c r="S374" s="3509"/>
      <c r="T374" s="3509"/>
      <c r="U374" s="3509"/>
      <c r="V374" s="3509"/>
    </row>
    <row r="375" spans="1:22" s="3389" customFormat="1" ht="20.25" customHeight="1" thickBot="1">
      <c r="A375" s="3510"/>
      <c r="B375" s="3529" t="s">
        <v>362</v>
      </c>
      <c r="C375" s="3512"/>
      <c r="D375" s="3513"/>
      <c r="E375" s="3514"/>
      <c r="F375" s="3515"/>
      <c r="G375" s="3518"/>
      <c r="H375" s="3515"/>
      <c r="I375" s="3515"/>
      <c r="J375" s="3515"/>
      <c r="K375" s="3518"/>
      <c r="L375" s="3518"/>
      <c r="M375" s="3515"/>
      <c r="N375" s="3515"/>
      <c r="O375" s="3515"/>
      <c r="P375" s="3515"/>
      <c r="Q375" s="3515"/>
      <c r="R375" s="3519"/>
      <c r="S375" s="3519"/>
      <c r="T375" s="3519"/>
      <c r="U375" s="3519"/>
      <c r="V375" s="3519"/>
    </row>
    <row r="376" spans="1:22" ht="14.25">
      <c r="A376" s="4549" t="s">
        <v>738</v>
      </c>
      <c r="B376" s="3591"/>
      <c r="C376" s="3399"/>
      <c r="D376" s="3400" t="e">
        <f>E379/E377%</f>
        <v>#DIV/0!</v>
      </c>
      <c r="E376" s="3401"/>
      <c r="F376" s="3402"/>
      <c r="G376" s="3403"/>
      <c r="H376" s="3402"/>
      <c r="I376" s="3402"/>
      <c r="J376" s="3402"/>
      <c r="K376" s="3403"/>
      <c r="L376" s="3403"/>
      <c r="M376" s="3402"/>
      <c r="N376" s="3402"/>
      <c r="O376" s="3402"/>
      <c r="P376" s="3402"/>
      <c r="Q376" s="3402"/>
      <c r="R376" s="3404"/>
      <c r="S376" s="3405"/>
      <c r="T376" s="3405"/>
      <c r="U376" s="3405"/>
      <c r="V376" s="3405"/>
    </row>
    <row r="377" spans="1:22" ht="16.5" customHeight="1">
      <c r="A377" s="4544"/>
      <c r="B377" s="3406" t="s">
        <v>205</v>
      </c>
      <c r="C377" s="3407"/>
      <c r="D377" s="3408"/>
      <c r="E377" s="3409">
        <f>+F377+G377+H377+I377+J377+K377+L377+M377</f>
        <v>0</v>
      </c>
      <c r="F377" s="3410"/>
      <c r="G377" s="3481"/>
      <c r="H377" s="3410"/>
      <c r="I377" s="3410"/>
      <c r="J377" s="3410"/>
      <c r="K377" s="3410"/>
      <c r="L377" s="3410"/>
      <c r="M377" s="3410"/>
      <c r="N377" s="3410"/>
      <c r="O377" s="3410"/>
      <c r="P377" s="3410"/>
      <c r="Q377" s="3410"/>
      <c r="R377" s="3411"/>
      <c r="S377" s="3412"/>
      <c r="T377" s="3412"/>
      <c r="U377" s="3412"/>
      <c r="V377" s="3412"/>
    </row>
    <row r="378" spans="1:22" ht="25.5" customHeight="1">
      <c r="A378" s="4544"/>
      <c r="B378" s="3413" t="s">
        <v>369</v>
      </c>
      <c r="C378" s="2794"/>
      <c r="D378" s="3414"/>
      <c r="E378" s="3175">
        <f>+F378+G378+H378+I378+J378+K378+L378+M378</f>
        <v>0</v>
      </c>
      <c r="F378" s="3415"/>
      <c r="G378" s="3482"/>
      <c r="H378" s="3415"/>
      <c r="I378" s="3415"/>
      <c r="J378" s="3415"/>
      <c r="K378" s="3415"/>
      <c r="L378" s="3415"/>
      <c r="M378" s="3415"/>
      <c r="N378" s="3415"/>
      <c r="O378" s="3415"/>
      <c r="P378" s="3415"/>
      <c r="Q378" s="3415"/>
      <c r="R378" s="3416"/>
      <c r="S378" s="3416"/>
      <c r="T378" s="3416"/>
      <c r="U378" s="3416"/>
      <c r="V378" s="3416"/>
    </row>
    <row r="379" spans="1:22" ht="13.5" customHeight="1" thickBot="1">
      <c r="A379" s="4544"/>
      <c r="B379" s="3417" t="s">
        <v>207</v>
      </c>
      <c r="C379" s="3430">
        <f>E379-E380</f>
        <v>0</v>
      </c>
      <c r="D379" s="3419"/>
      <c r="E379" s="3420">
        <f>+F379+G379+H379+I379+J379+K379+L379+M379</f>
        <v>0</v>
      </c>
      <c r="F379" s="3421"/>
      <c r="G379" s="3485"/>
      <c r="H379" s="3421"/>
      <c r="I379" s="3421"/>
      <c r="J379" s="3421"/>
      <c r="K379" s="3421"/>
      <c r="L379" s="3421"/>
      <c r="M379" s="3421"/>
      <c r="N379" s="3421"/>
      <c r="O379" s="3421"/>
      <c r="P379" s="3421"/>
      <c r="Q379" s="3421"/>
      <c r="R379" s="3422"/>
      <c r="S379" s="3423"/>
      <c r="T379" s="3423"/>
      <c r="U379" s="3423"/>
      <c r="V379" s="3423"/>
    </row>
    <row r="380" spans="1:22" ht="13.5" thickBot="1">
      <c r="A380" s="4545"/>
      <c r="B380" s="3424" t="s">
        <v>335</v>
      </c>
      <c r="C380" s="3425"/>
      <c r="D380" s="3426"/>
      <c r="E380" s="3427">
        <f>F380+G380+H380+I380+J380+K380+L380+M380</f>
        <v>0</v>
      </c>
      <c r="F380" s="3428"/>
      <c r="G380" s="3487"/>
      <c r="H380" s="3428"/>
      <c r="I380" s="3428"/>
      <c r="J380" s="3428"/>
      <c r="K380" s="3428"/>
      <c r="L380" s="3428"/>
      <c r="M380" s="3428"/>
      <c r="N380" s="3428"/>
      <c r="O380" s="3428"/>
      <c r="P380" s="3428"/>
      <c r="Q380" s="3428"/>
      <c r="R380" s="3429"/>
      <c r="S380" s="3429"/>
      <c r="T380" s="3429"/>
      <c r="U380" s="3429"/>
      <c r="V380" s="3429"/>
    </row>
    <row r="381" spans="1:22" ht="13.5" thickBot="1"/>
    <row r="382" spans="1:22" s="3599" customFormat="1" ht="40.5" customHeight="1" thickBot="1">
      <c r="A382" s="3592" t="s">
        <v>340</v>
      </c>
      <c r="B382" s="3593" t="s">
        <v>697</v>
      </c>
      <c r="C382" s="3594"/>
      <c r="D382" s="3595"/>
      <c r="E382" s="3596"/>
      <c r="F382" s="3596"/>
      <c r="G382" s="3596"/>
      <c r="H382" s="3596"/>
      <c r="I382" s="3596"/>
      <c r="J382" s="3596"/>
      <c r="K382" s="3596"/>
      <c r="L382" s="3596"/>
      <c r="M382" s="3596"/>
      <c r="N382" s="3596"/>
      <c r="O382" s="3596"/>
      <c r="P382" s="3596"/>
      <c r="Q382" s="3596"/>
      <c r="R382" s="3597"/>
      <c r="S382" s="3598"/>
      <c r="T382" s="3598"/>
      <c r="U382" s="3598"/>
      <c r="V382" s="3598"/>
    </row>
    <row r="383" spans="1:22" s="3367" customFormat="1" ht="22.5" customHeight="1" thickBot="1">
      <c r="A383" s="3545"/>
      <c r="B383" s="3600" t="s">
        <v>516</v>
      </c>
      <c r="C383" s="3601"/>
      <c r="D383" s="3602"/>
      <c r="E383" s="3550"/>
      <c r="F383" s="3550"/>
      <c r="G383" s="3550"/>
      <c r="H383" s="3550"/>
      <c r="I383" s="3550"/>
      <c r="J383" s="3550"/>
      <c r="K383" s="3550"/>
      <c r="L383" s="3550"/>
      <c r="M383" s="3550"/>
      <c r="N383" s="3550"/>
      <c r="O383" s="3550"/>
      <c r="P383" s="3603"/>
      <c r="Q383" s="3603"/>
      <c r="R383" s="3604"/>
      <c r="S383" s="3603"/>
      <c r="T383" s="3603"/>
      <c r="U383" s="3603"/>
      <c r="V383" s="3603"/>
    </row>
    <row r="384" spans="1:22" s="3611" customFormat="1" ht="19.5" customHeight="1" thickBot="1">
      <c r="A384" s="3605" t="s">
        <v>409</v>
      </c>
      <c r="B384" s="3606" t="s">
        <v>419</v>
      </c>
      <c r="C384" s="3607"/>
      <c r="D384" s="3608"/>
      <c r="E384" s="3609">
        <f>E462+E387+E392+E467+E472+E397+E488+E402+E407+E412+E417+E422+E427+E483+E432+E477+E437+E442+E447+E493+E452+E457</f>
        <v>294070275</v>
      </c>
      <c r="F384" s="3609">
        <f t="shared" ref="F384:L384" si="7">F462+F387+F392+F467+F472+F397+F488+F402+F407+F412+F417+F422+F427+F483+F432+F477+F437+F442+F447+F493+F452+F457</f>
        <v>2164191</v>
      </c>
      <c r="G384" s="3609">
        <f>G462+G387+G392+G467+G472+G397+G488+G402+G407+G412+G417+G422+G427+G483+G432+G477+G437+G442+G447+G493+G452+G457</f>
        <v>16603849</v>
      </c>
      <c r="H384" s="3609">
        <f t="shared" si="7"/>
        <v>132190153</v>
      </c>
      <c r="I384" s="3609">
        <f>I462+I387+I392+I467+I472+I397+I488+I402+I407+I412+I417+I422+I427+I483+I432+I477+I437+I442+I447+I493+I452+I457</f>
        <v>102003266</v>
      </c>
      <c r="J384" s="3609">
        <f t="shared" si="7"/>
        <v>41108816</v>
      </c>
      <c r="K384" s="3609">
        <f t="shared" si="7"/>
        <v>0</v>
      </c>
      <c r="L384" s="3609">
        <f t="shared" si="7"/>
        <v>0</v>
      </c>
      <c r="M384" s="3609">
        <f>M462+M387+M392+M467+M472+M397+M488+M402+M407+M412+M417+M422+M427+M483+M432+M477+M437+M442+M447+M493+M452+M457</f>
        <v>0</v>
      </c>
      <c r="N384" s="3609"/>
      <c r="O384" s="3609"/>
      <c r="P384" s="3609"/>
      <c r="Q384" s="3609"/>
      <c r="R384" s="3610"/>
      <c r="S384" s="3395"/>
      <c r="T384" s="3395"/>
      <c r="U384" s="3395"/>
      <c r="V384" s="3395"/>
    </row>
    <row r="385" spans="1:22" s="3611" customFormat="1" ht="19.5" customHeight="1" thickBot="1">
      <c r="A385" s="3612" t="s">
        <v>410</v>
      </c>
      <c r="B385" s="3613" t="s">
        <v>420</v>
      </c>
      <c r="C385" s="3614"/>
      <c r="D385" s="3615"/>
      <c r="E385" s="3616">
        <f>E465+E390+E395+E470+E475+E400+E491+E405+E410+E415+E420+E425+E430+E486+E435+E480+E440+E445+E496+E450+E455+E460</f>
        <v>228143937</v>
      </c>
      <c r="F385" s="3616">
        <f>F465+F390+F395+F470+F475+F400+F491+F405+F410+F415+F420+F425+F430+F486+F435+F480+F440+F445+F496+F450+F455+F460</f>
        <v>0</v>
      </c>
      <c r="G385" s="3616">
        <f>G465+G390+G395+G470+G475+G400+G491+G405+G410+G415+G420+G425+G430+G486+G435+G480+G440+G445+G496+G450+G455+G460</f>
        <v>0</v>
      </c>
      <c r="H385" s="3616">
        <f>H465+H390+H395+H470+H475+H400+H491+H405+H410+H415+H420+H425+H430+H486+H435+H480+H440+H445+H496+H450+H455+H460</f>
        <v>110612300</v>
      </c>
      <c r="I385" s="3616">
        <f t="shared" ref="I385:L385" si="8">I465+I390+I395+I470+I475+I400+I491+I405+I410+I415+I420+I425+I430+I486+I435+I480+I440+I445+I496+I450+I455+I460</f>
        <v>79778871</v>
      </c>
      <c r="J385" s="3616">
        <f t="shared" si="8"/>
        <v>32811373</v>
      </c>
      <c r="K385" s="3616">
        <f t="shared" si="8"/>
        <v>4941393</v>
      </c>
      <c r="L385" s="3616">
        <f t="shared" si="8"/>
        <v>0</v>
      </c>
      <c r="M385" s="3616">
        <f>M465+M390+M395+M470+M475+M400+M491+M405+M410+M415+M420+M425+M430+M486+M435+M480+M440+M445+M496+M450+M455+M460</f>
        <v>0</v>
      </c>
      <c r="N385" s="3616"/>
      <c r="O385" s="3616"/>
      <c r="P385" s="3616"/>
      <c r="Q385" s="3616"/>
      <c r="R385" s="3617"/>
      <c r="S385" s="3395"/>
      <c r="T385" s="3395"/>
      <c r="U385" s="3395"/>
      <c r="V385" s="3395"/>
    </row>
    <row r="386" spans="1:22" ht="25.5" customHeight="1">
      <c r="A386" s="4550">
        <v>1</v>
      </c>
      <c r="B386" s="3472" t="str">
        <f>'Tab. 6A -Drogi'!B252</f>
        <v>Przebudowa drogi wojewódzkiej nr 109 na odcinku Trzebiatów - Płoty w ramach Osi V RPO (2017-2019)</v>
      </c>
      <c r="C386" s="3399" t="s">
        <v>336</v>
      </c>
      <c r="D386" s="3400">
        <f>E389/E387%</f>
        <v>84.894497092463993</v>
      </c>
      <c r="E386" s="3401"/>
      <c r="F386" s="3402"/>
      <c r="G386" s="3403"/>
      <c r="H386" s="3402"/>
      <c r="I386" s="3402"/>
      <c r="J386" s="3402"/>
      <c r="K386" s="3402"/>
      <c r="L386" s="3402"/>
      <c r="M386" s="3402"/>
      <c r="N386" s="3402"/>
      <c r="O386" s="3402"/>
      <c r="P386" s="3402"/>
      <c r="Q386" s="3402"/>
      <c r="R386" s="3404"/>
      <c r="S386" s="3405"/>
      <c r="T386" s="3405"/>
      <c r="U386" s="3405"/>
      <c r="V386" s="3405"/>
    </row>
    <row r="387" spans="1:22" ht="13.5" customHeight="1">
      <c r="A387" s="4551"/>
      <c r="B387" s="3406" t="s">
        <v>205</v>
      </c>
      <c r="C387" s="3407"/>
      <c r="D387" s="3408"/>
      <c r="E387" s="3409">
        <f>+F387+G387+H387+I387+J387+K387+L387+M387</f>
        <v>80566500</v>
      </c>
      <c r="F387" s="3410">
        <f>'Tab. 6A -Drogi'!E253</f>
        <v>0</v>
      </c>
      <c r="G387" s="3410">
        <f>'Tab. 6A -Drogi'!F253</f>
        <v>500918</v>
      </c>
      <c r="H387" s="3410">
        <f>'Tab. 6A -Drogi'!G253</f>
        <v>49035982</v>
      </c>
      <c r="I387" s="3410">
        <f>'Tab. 6A -Drogi'!H253</f>
        <v>31029600</v>
      </c>
      <c r="J387" s="3410">
        <f>'Tab. 6A -Drogi'!I253</f>
        <v>0</v>
      </c>
      <c r="K387" s="3410">
        <f>'Tab. 6A -Drogi'!J253</f>
        <v>0</v>
      </c>
      <c r="L387" s="3410">
        <f>'Tab. 6A -Drogi'!K253</f>
        <v>0</v>
      </c>
      <c r="M387" s="3410">
        <f>'Tab. 6A -Drogi'!L253</f>
        <v>0</v>
      </c>
      <c r="N387" s="3410"/>
      <c r="O387" s="3410"/>
      <c r="P387" s="3410"/>
      <c r="Q387" s="3410"/>
      <c r="R387" s="3411"/>
      <c r="S387" s="3412"/>
      <c r="T387" s="3412"/>
      <c r="U387" s="3412"/>
      <c r="V387" s="3412"/>
    </row>
    <row r="388" spans="1:22" ht="13.5" customHeight="1">
      <c r="A388" s="4551"/>
      <c r="B388" s="3413" t="s">
        <v>338</v>
      </c>
      <c r="C388" s="2794"/>
      <c r="D388" s="3414"/>
      <c r="E388" s="3175">
        <f>+F388+G388+H388+I388+J388+K388+L388+M388</f>
        <v>12169975</v>
      </c>
      <c r="F388" s="3415">
        <f>'Tab. 6A -Drogi'!E254</f>
        <v>0</v>
      </c>
      <c r="G388" s="3415">
        <f>'Tab. 6A -Drogi'!F254</f>
        <v>75138</v>
      </c>
      <c r="H388" s="3415">
        <f>'Tab. 6A -Drogi'!G254</f>
        <v>7440397</v>
      </c>
      <c r="I388" s="3415">
        <f>'Tab. 6A -Drogi'!H254</f>
        <v>4654440</v>
      </c>
      <c r="J388" s="3415">
        <f>'Tab. 6A -Drogi'!I254</f>
        <v>0</v>
      </c>
      <c r="K388" s="3415">
        <f>'Tab. 6A -Drogi'!J254</f>
        <v>0</v>
      </c>
      <c r="L388" s="3415">
        <f>'Tab. 6A -Drogi'!K254</f>
        <v>0</v>
      </c>
      <c r="M388" s="3415">
        <f>'Tab. 6A -Drogi'!L254</f>
        <v>0</v>
      </c>
      <c r="N388" s="3415"/>
      <c r="O388" s="3415"/>
      <c r="P388" s="3415"/>
      <c r="Q388" s="3415"/>
      <c r="R388" s="3416"/>
      <c r="S388" s="3416"/>
      <c r="T388" s="3416"/>
      <c r="U388" s="3416"/>
      <c r="V388" s="3416"/>
    </row>
    <row r="389" spans="1:22" ht="13.5" customHeight="1" thickBot="1">
      <c r="A389" s="4551"/>
      <c r="B389" s="3417" t="s">
        <v>207</v>
      </c>
      <c r="C389" s="3430">
        <f>E389-E390</f>
        <v>0</v>
      </c>
      <c r="D389" s="3419"/>
      <c r="E389" s="3420">
        <f>+F389+G389+H389+I389+J389+K389+L389+M389</f>
        <v>68396525</v>
      </c>
      <c r="F389" s="3421">
        <f>'Tab. 6A -Drogi'!E257</f>
        <v>0</v>
      </c>
      <c r="G389" s="3421">
        <f>'Tab. 6A -Drogi'!F257</f>
        <v>425780</v>
      </c>
      <c r="H389" s="3421">
        <f>'Tab. 6A -Drogi'!G257</f>
        <v>41595585</v>
      </c>
      <c r="I389" s="3421">
        <f>'Tab. 6A -Drogi'!H257</f>
        <v>26375160</v>
      </c>
      <c r="J389" s="3421">
        <f>'Tab. 6A -Drogi'!I257</f>
        <v>0</v>
      </c>
      <c r="K389" s="3421">
        <f>'Tab. 6A -Drogi'!J257</f>
        <v>0</v>
      </c>
      <c r="L389" s="3421">
        <f>'Tab. 6A -Drogi'!K257</f>
        <v>0</v>
      </c>
      <c r="M389" s="3421">
        <f>'Tab. 6A -Drogi'!L257</f>
        <v>0</v>
      </c>
      <c r="N389" s="3421"/>
      <c r="O389" s="3421"/>
      <c r="P389" s="3421"/>
      <c r="Q389" s="3421"/>
      <c r="R389" s="3422"/>
      <c r="S389" s="3423"/>
      <c r="T389" s="3423"/>
      <c r="U389" s="3423"/>
      <c r="V389" s="3423"/>
    </row>
    <row r="390" spans="1:22" ht="13.5" customHeight="1" thickBot="1">
      <c r="A390" s="4552"/>
      <c r="B390" s="3424" t="s">
        <v>335</v>
      </c>
      <c r="C390" s="3425"/>
      <c r="D390" s="3426"/>
      <c r="E390" s="3427">
        <f>F390+G390+H390+I390+J390+K390+L390+M390</f>
        <v>68396525</v>
      </c>
      <c r="F390" s="3428">
        <f>'Tab. 6A -Drogi'!E262</f>
        <v>0</v>
      </c>
      <c r="G390" s="3428">
        <f>'Tab. 6A -Drogi'!F262</f>
        <v>0</v>
      </c>
      <c r="H390" s="3428">
        <f>'Tab. 6A -Drogi'!G262</f>
        <v>38021365</v>
      </c>
      <c r="I390" s="3428">
        <f>'Tab. 6A -Drogi'!H262</f>
        <v>30375160</v>
      </c>
      <c r="J390" s="3428">
        <f>'Tab. 6A -Drogi'!I262</f>
        <v>0</v>
      </c>
      <c r="K390" s="3428">
        <f>'Tab. 6A -Drogi'!J262</f>
        <v>0</v>
      </c>
      <c r="L390" s="3428">
        <f>'Tab. 6A -Drogi'!K262</f>
        <v>0</v>
      </c>
      <c r="M390" s="3428">
        <f>'Tab. 6A -Drogi'!L262</f>
        <v>0</v>
      </c>
      <c r="N390" s="3428"/>
      <c r="O390" s="3428"/>
      <c r="P390" s="3428"/>
      <c r="Q390" s="3428"/>
      <c r="R390" s="3429"/>
      <c r="S390" s="3429"/>
      <c r="T390" s="3429"/>
      <c r="U390" s="3429"/>
      <c r="V390" s="3429"/>
    </row>
    <row r="391" spans="1:22" ht="27" customHeight="1">
      <c r="A391" s="4549">
        <v>2</v>
      </c>
      <c r="B391" s="3398" t="str">
        <f>'Tab. 6A -Drogi'!B180</f>
        <v>Przebudowa drogi wojewódzkiej nr 102 na odcinku Łukęcin - Lędzin w ramach Osi V RPO (2017-2018)</v>
      </c>
      <c r="C391" s="3399" t="s">
        <v>336</v>
      </c>
      <c r="D391" s="3400">
        <f>E394/E392%</f>
        <v>80.168711962138474</v>
      </c>
      <c r="E391" s="3401"/>
      <c r="F391" s="3402"/>
      <c r="G391" s="3403"/>
      <c r="H391" s="3402"/>
      <c r="I391" s="3402"/>
      <c r="J391" s="3402"/>
      <c r="K391" s="3402"/>
      <c r="L391" s="3402"/>
      <c r="M391" s="3402"/>
      <c r="N391" s="3402"/>
      <c r="O391" s="3402"/>
      <c r="P391" s="3402"/>
      <c r="Q391" s="3402"/>
      <c r="R391" s="3404"/>
      <c r="S391" s="3405"/>
      <c r="T391" s="3405"/>
      <c r="U391" s="3405"/>
      <c r="V391" s="3405"/>
    </row>
    <row r="392" spans="1:22" ht="13.5" customHeight="1">
      <c r="A392" s="4544"/>
      <c r="B392" s="3406" t="s">
        <v>205</v>
      </c>
      <c r="C392" s="3407"/>
      <c r="D392" s="3408"/>
      <c r="E392" s="3409">
        <f>+F392+G392+H392+I392+J392+K392+L392+M392</f>
        <v>52780964</v>
      </c>
      <c r="F392" s="3410">
        <f>'Tab. 6A -Drogi'!E181</f>
        <v>0</v>
      </c>
      <c r="G392" s="3410">
        <f>'Tab. 6A -Drogi'!F181</f>
        <v>14408172</v>
      </c>
      <c r="H392" s="3410">
        <f>'Tab. 6A -Drogi'!G181</f>
        <v>38372792</v>
      </c>
      <c r="I392" s="3410">
        <f>'Tab. 6A -Drogi'!H181</f>
        <v>0</v>
      </c>
      <c r="J392" s="3410">
        <f>'Tab. 6A -Drogi'!I181</f>
        <v>0</v>
      </c>
      <c r="K392" s="3410"/>
      <c r="L392" s="3410"/>
      <c r="M392" s="3410"/>
      <c r="N392" s="3410"/>
      <c r="O392" s="3410"/>
      <c r="P392" s="3410"/>
      <c r="Q392" s="3410"/>
      <c r="R392" s="3411"/>
      <c r="S392" s="3412"/>
      <c r="T392" s="3412"/>
      <c r="U392" s="3412"/>
      <c r="V392" s="3412"/>
    </row>
    <row r="393" spans="1:22" ht="13.5" customHeight="1">
      <c r="A393" s="4544"/>
      <c r="B393" s="3413" t="s">
        <v>338</v>
      </c>
      <c r="C393" s="2794"/>
      <c r="D393" s="3414"/>
      <c r="E393" s="3175">
        <f>+F393+G393+H393+I393+J393+K393+L393+M393</f>
        <v>10467145</v>
      </c>
      <c r="F393" s="3415">
        <f>'Tab. 6A -Drogi'!E182</f>
        <v>0</v>
      </c>
      <c r="G393" s="3415">
        <f>'Tab. 6A -Drogi'!F182</f>
        <v>2611259</v>
      </c>
      <c r="H393" s="3415">
        <f>'Tab. 6A -Drogi'!G182</f>
        <v>7855886</v>
      </c>
      <c r="I393" s="3415">
        <f>'Tab. 6A -Drogi'!H182</f>
        <v>0</v>
      </c>
      <c r="J393" s="3415">
        <f>'Tab. 6A -Drogi'!I182</f>
        <v>0</v>
      </c>
      <c r="K393" s="3415"/>
      <c r="L393" s="3415"/>
      <c r="M393" s="3415"/>
      <c r="N393" s="3415"/>
      <c r="O393" s="3415"/>
      <c r="P393" s="3415"/>
      <c r="Q393" s="3415"/>
      <c r="R393" s="3416"/>
      <c r="S393" s="3416"/>
      <c r="T393" s="3416"/>
      <c r="U393" s="3416"/>
      <c r="V393" s="3416"/>
    </row>
    <row r="394" spans="1:22" ht="13.5" customHeight="1" thickBot="1">
      <c r="A394" s="4544"/>
      <c r="B394" s="3417" t="s">
        <v>207</v>
      </c>
      <c r="C394" s="3430">
        <f>E394-E395</f>
        <v>0</v>
      </c>
      <c r="D394" s="3419"/>
      <c r="E394" s="3420">
        <f>+F394+G394+H394+I394+J394+K394+L394+M394</f>
        <v>42313819</v>
      </c>
      <c r="F394" s="3421">
        <f>'Tab. 6A -Drogi'!E185</f>
        <v>0</v>
      </c>
      <c r="G394" s="3421">
        <f>'Tab. 6A -Drogi'!F185</f>
        <v>11796913</v>
      </c>
      <c r="H394" s="3421">
        <f>'Tab. 6A -Drogi'!G185</f>
        <v>30516906</v>
      </c>
      <c r="I394" s="3421">
        <f>'Tab. 6A -Drogi'!H185</f>
        <v>0</v>
      </c>
      <c r="J394" s="3421">
        <f>'Tab. 6A -Drogi'!I185</f>
        <v>0</v>
      </c>
      <c r="K394" s="3421"/>
      <c r="L394" s="3421"/>
      <c r="M394" s="3421"/>
      <c r="N394" s="3421"/>
      <c r="O394" s="3421"/>
      <c r="P394" s="3421"/>
      <c r="Q394" s="3421"/>
      <c r="R394" s="3422"/>
      <c r="S394" s="3423"/>
      <c r="T394" s="3423"/>
      <c r="U394" s="3423"/>
      <c r="V394" s="3423"/>
    </row>
    <row r="395" spans="1:22" ht="13.5" customHeight="1" thickBot="1">
      <c r="A395" s="4545"/>
      <c r="B395" s="3424" t="s">
        <v>335</v>
      </c>
      <c r="C395" s="3425"/>
      <c r="D395" s="3426"/>
      <c r="E395" s="3427">
        <f>F395+G395+H395+I395+J395+K395+L395+M395</f>
        <v>42313819</v>
      </c>
      <c r="F395" s="3428">
        <f>'Tab. 6A -Drogi'!E190</f>
        <v>0</v>
      </c>
      <c r="G395" s="3428">
        <f>'Tab. 6A -Drogi'!F190</f>
        <v>0</v>
      </c>
      <c r="H395" s="3428">
        <f>'Tab. 6A -Drogi'!G190</f>
        <v>42313819</v>
      </c>
      <c r="I395" s="3428">
        <f>'Tab. 6A -Drogi'!H190</f>
        <v>0</v>
      </c>
      <c r="J395" s="3428">
        <f>'Tab. 6A -Drogi'!I190</f>
        <v>0</v>
      </c>
      <c r="K395" s="3428"/>
      <c r="L395" s="3428"/>
      <c r="M395" s="3428"/>
      <c r="N395" s="3428"/>
      <c r="O395" s="3428"/>
      <c r="P395" s="3428"/>
      <c r="Q395" s="3428"/>
      <c r="R395" s="3429"/>
      <c r="S395" s="3429"/>
      <c r="T395" s="3429"/>
      <c r="U395" s="3429"/>
      <c r="V395" s="3429"/>
    </row>
    <row r="396" spans="1:22" ht="27" customHeight="1">
      <c r="A396" s="4549">
        <v>3</v>
      </c>
      <c r="B396" s="3398" t="str">
        <f>'Tab. 6A -Drogi'!B288</f>
        <v>Dokumentacje techniczne na drogowe zadania inwestycyjne w ramach Osi V RPO (2017-2020)</v>
      </c>
      <c r="C396" s="3399" t="s">
        <v>336</v>
      </c>
      <c r="D396" s="3618">
        <f>E399/E397%</f>
        <v>8.101865168757211</v>
      </c>
      <c r="E396" s="3401"/>
      <c r="F396" s="3402"/>
      <c r="G396" s="3403"/>
      <c r="H396" s="3402"/>
      <c r="I396" s="3402"/>
      <c r="J396" s="3402"/>
      <c r="K396" s="3402"/>
      <c r="L396" s="3402"/>
      <c r="M396" s="3402"/>
      <c r="N396" s="3402"/>
      <c r="O396" s="3402"/>
      <c r="P396" s="3402"/>
      <c r="Q396" s="3402"/>
      <c r="R396" s="3404"/>
      <c r="S396" s="3405"/>
      <c r="T396" s="3405"/>
      <c r="U396" s="3405"/>
      <c r="V396" s="3405"/>
    </row>
    <row r="397" spans="1:22" ht="15.75" customHeight="1">
      <c r="A397" s="4544"/>
      <c r="B397" s="3406" t="s">
        <v>205</v>
      </c>
      <c r="C397" s="3407"/>
      <c r="D397" s="3408"/>
      <c r="E397" s="3409">
        <f>+F397+G397+H397+I397+J397+K397+L397+M397</f>
        <v>9282270</v>
      </c>
      <c r="F397" s="3410">
        <f>'Tab. 6A -Drogi'!E289</f>
        <v>0</v>
      </c>
      <c r="G397" s="3410">
        <f>'Tab. 6A -Drogi'!F289</f>
        <v>322280</v>
      </c>
      <c r="H397" s="3410">
        <f>'Tab. 6A -Drogi'!G289</f>
        <v>8539990</v>
      </c>
      <c r="I397" s="3410">
        <f>'Tab. 6A -Drogi'!H289</f>
        <v>0</v>
      </c>
      <c r="J397" s="3410">
        <f>'Tab. 6A -Drogi'!I289</f>
        <v>420000</v>
      </c>
      <c r="K397" s="3410"/>
      <c r="L397" s="3410"/>
      <c r="M397" s="3410"/>
      <c r="N397" s="3410"/>
      <c r="O397" s="3410"/>
      <c r="P397" s="3410"/>
      <c r="Q397" s="3410"/>
      <c r="R397" s="3411"/>
      <c r="S397" s="3412"/>
      <c r="T397" s="3412"/>
      <c r="U397" s="3412"/>
      <c r="V397" s="3412"/>
    </row>
    <row r="398" spans="1:22" ht="13.5" customHeight="1">
      <c r="A398" s="4544"/>
      <c r="B398" s="3413" t="s">
        <v>338</v>
      </c>
      <c r="C398" s="2794"/>
      <c r="D398" s="3414"/>
      <c r="E398" s="3175">
        <f>+F398+G398+H398+I398+J398+K398+L398+M398</f>
        <v>8530233</v>
      </c>
      <c r="F398" s="3415">
        <f>'Tab. 6A -Drogi'!E290</f>
        <v>0</v>
      </c>
      <c r="G398" s="3415">
        <f>'Tab. 6A -Drogi'!F290</f>
        <v>48342</v>
      </c>
      <c r="H398" s="3415">
        <f>'Tab. 6A -Drogi'!G290</f>
        <v>8061891</v>
      </c>
      <c r="I398" s="3415">
        <f>'Tab. 6A -Drogi'!H290</f>
        <v>0</v>
      </c>
      <c r="J398" s="3415">
        <f>'Tab. 6A -Drogi'!I290</f>
        <v>420000</v>
      </c>
      <c r="K398" s="3415"/>
      <c r="L398" s="3415"/>
      <c r="M398" s="3415"/>
      <c r="N398" s="3415"/>
      <c r="O398" s="3415"/>
      <c r="P398" s="3415"/>
      <c r="Q398" s="3415"/>
      <c r="R398" s="3416"/>
      <c r="S398" s="3416"/>
      <c r="T398" s="3416"/>
      <c r="U398" s="3416"/>
      <c r="V398" s="3416"/>
    </row>
    <row r="399" spans="1:22" ht="13.5" customHeight="1" thickBot="1">
      <c r="A399" s="4544"/>
      <c r="B399" s="3417" t="s">
        <v>207</v>
      </c>
      <c r="C399" s="3430">
        <f>E399-E400</f>
        <v>0</v>
      </c>
      <c r="D399" s="3419"/>
      <c r="E399" s="3420">
        <f>+F399+G399+H399+I399+J399+K399+L399+M399</f>
        <v>752037</v>
      </c>
      <c r="F399" s="3421">
        <f>'Tab. 6A -Drogi'!E294</f>
        <v>0</v>
      </c>
      <c r="G399" s="3421">
        <f>'Tab. 6A -Drogi'!F294</f>
        <v>273938</v>
      </c>
      <c r="H399" s="3421">
        <f>'Tab. 6A -Drogi'!G294</f>
        <v>478099</v>
      </c>
      <c r="I399" s="3421">
        <f>'Tab. 6A -Drogi'!H294</f>
        <v>0</v>
      </c>
      <c r="J399" s="3421">
        <f>'Tab. 6A -Drogi'!I294</f>
        <v>0</v>
      </c>
      <c r="K399" s="3421"/>
      <c r="L399" s="3421"/>
      <c r="M399" s="3421"/>
      <c r="N399" s="3421"/>
      <c r="O399" s="3421"/>
      <c r="P399" s="3421"/>
      <c r="Q399" s="3421"/>
      <c r="R399" s="3422"/>
      <c r="S399" s="3423"/>
      <c r="T399" s="3423"/>
      <c r="U399" s="3423"/>
      <c r="V399" s="3423"/>
    </row>
    <row r="400" spans="1:22" ht="15.75" customHeight="1" thickBot="1">
      <c r="A400" s="4545"/>
      <c r="B400" s="3424" t="s">
        <v>335</v>
      </c>
      <c r="C400" s="3425"/>
      <c r="D400" s="3426"/>
      <c r="E400" s="3427">
        <f>F400+G400+H400+I400+J400+K400+L400+M400</f>
        <v>752037</v>
      </c>
      <c r="F400" s="3428">
        <f>'Tab. 6A -Drogi'!E298</f>
        <v>0</v>
      </c>
      <c r="G400" s="3428">
        <f>'Tab. 6A -Drogi'!F298</f>
        <v>0</v>
      </c>
      <c r="H400" s="3428">
        <f>'Tab. 6A -Drogi'!G298</f>
        <v>752037</v>
      </c>
      <c r="I400" s="3428">
        <f>'Tab. 6A -Drogi'!H298</f>
        <v>0</v>
      </c>
      <c r="J400" s="3428">
        <f>'Tab. 6A -Drogi'!I298</f>
        <v>0</v>
      </c>
      <c r="K400" s="3428"/>
      <c r="L400" s="3428"/>
      <c r="M400" s="3428"/>
      <c r="N400" s="3428"/>
      <c r="O400" s="3428"/>
      <c r="P400" s="3428"/>
      <c r="Q400" s="3428"/>
      <c r="R400" s="3429"/>
      <c r="S400" s="3429"/>
      <c r="T400" s="3429"/>
      <c r="U400" s="3429"/>
      <c r="V400" s="3429"/>
    </row>
    <row r="401" spans="1:22" ht="15" hidden="1" thickBot="1">
      <c r="A401" s="4581">
        <v>4</v>
      </c>
      <c r="B401" s="3433"/>
      <c r="C401" s="3399" t="s">
        <v>336</v>
      </c>
      <c r="D401" s="3528" t="e">
        <f>E404/E402%</f>
        <v>#DIV/0!</v>
      </c>
      <c r="E401" s="3401"/>
      <c r="F401" s="3402"/>
      <c r="G401" s="3403"/>
      <c r="H401" s="3402"/>
      <c r="I401" s="3402"/>
      <c r="J401" s="3402"/>
      <c r="K401" s="3402"/>
      <c r="L401" s="3402"/>
      <c r="M401" s="3402"/>
      <c r="N401" s="3402"/>
      <c r="O401" s="3402"/>
      <c r="P401" s="3402"/>
      <c r="Q401" s="3402"/>
      <c r="R401" s="3404"/>
      <c r="S401" s="3405"/>
      <c r="T401" s="3405"/>
      <c r="U401" s="3405"/>
      <c r="V401" s="3405"/>
    </row>
    <row r="402" spans="1:22" ht="13.5" hidden="1" customHeight="1">
      <c r="A402" s="4582"/>
      <c r="B402" s="3406" t="s">
        <v>205</v>
      </c>
      <c r="C402" s="3407"/>
      <c r="D402" s="3408"/>
      <c r="E402" s="3409">
        <f>+F402+G402+H402+I402+J402+K402+L402+M402</f>
        <v>0</v>
      </c>
      <c r="F402" s="3410"/>
      <c r="G402" s="3410"/>
      <c r="H402" s="3410"/>
      <c r="I402" s="3410"/>
      <c r="J402" s="3410"/>
      <c r="K402" s="3410"/>
      <c r="L402" s="3410"/>
      <c r="M402" s="3410"/>
      <c r="N402" s="3410"/>
      <c r="O402" s="3410"/>
      <c r="P402" s="3410"/>
      <c r="Q402" s="3410"/>
      <c r="R402" s="3411"/>
      <c r="S402" s="3412"/>
      <c r="T402" s="3412"/>
      <c r="U402" s="3412"/>
      <c r="V402" s="3412"/>
    </row>
    <row r="403" spans="1:22" ht="16.5" hidden="1" customHeight="1">
      <c r="A403" s="4582"/>
      <c r="B403" s="3413" t="s">
        <v>339</v>
      </c>
      <c r="C403" s="2794"/>
      <c r="D403" s="3414"/>
      <c r="E403" s="3175">
        <f>+F403+G403+H403+I403+J403+K403+L403+M403</f>
        <v>0</v>
      </c>
      <c r="F403" s="3415"/>
      <c r="G403" s="3415"/>
      <c r="H403" s="3415"/>
      <c r="I403" s="3415"/>
      <c r="J403" s="3415"/>
      <c r="K403" s="3415"/>
      <c r="L403" s="3415"/>
      <c r="M403" s="3415"/>
      <c r="N403" s="3415"/>
      <c r="O403" s="3415"/>
      <c r="P403" s="3415"/>
      <c r="Q403" s="3415"/>
      <c r="R403" s="3416"/>
      <c r="S403" s="3416"/>
      <c r="T403" s="3416"/>
      <c r="U403" s="3416"/>
      <c r="V403" s="3416"/>
    </row>
    <row r="404" spans="1:22" ht="13.5" hidden="1" customHeight="1" thickBot="1">
      <c r="A404" s="4582"/>
      <c r="B404" s="3417" t="s">
        <v>207</v>
      </c>
      <c r="C404" s="3430">
        <f>E404-E405</f>
        <v>0</v>
      </c>
      <c r="D404" s="3419"/>
      <c r="E404" s="3420">
        <f>+F404+G404+H404+I404+J404+K404+L404+M404</f>
        <v>0</v>
      </c>
      <c r="F404" s="3421"/>
      <c r="G404" s="3421"/>
      <c r="H404" s="3421"/>
      <c r="I404" s="3421"/>
      <c r="J404" s="3421"/>
      <c r="K404" s="3421"/>
      <c r="L404" s="3421"/>
      <c r="M404" s="3421"/>
      <c r="N404" s="3421"/>
      <c r="O404" s="3421"/>
      <c r="P404" s="3421"/>
      <c r="Q404" s="3421"/>
      <c r="R404" s="3422"/>
      <c r="S404" s="3423"/>
      <c r="T404" s="3423"/>
      <c r="U404" s="3423"/>
      <c r="V404" s="3423"/>
    </row>
    <row r="405" spans="1:22" ht="15" hidden="1" customHeight="1" thickBot="1">
      <c r="A405" s="4583"/>
      <c r="B405" s="3424" t="s">
        <v>335</v>
      </c>
      <c r="C405" s="3425"/>
      <c r="D405" s="3426"/>
      <c r="E405" s="3427">
        <f>F405+G405+H405+I405+J405+K405+L405+M405</f>
        <v>0</v>
      </c>
      <c r="F405" s="3428"/>
      <c r="G405" s="3428"/>
      <c r="H405" s="3428"/>
      <c r="I405" s="3428"/>
      <c r="J405" s="3428"/>
      <c r="K405" s="3428"/>
      <c r="L405" s="3428"/>
      <c r="M405" s="3428"/>
      <c r="N405" s="3428"/>
      <c r="O405" s="3428"/>
      <c r="P405" s="3428"/>
      <c r="Q405" s="3428"/>
      <c r="R405" s="3429"/>
      <c r="S405" s="3429"/>
      <c r="T405" s="3429"/>
      <c r="U405" s="3429"/>
      <c r="V405" s="3429"/>
    </row>
    <row r="406" spans="1:22" ht="15" hidden="1" thickBot="1">
      <c r="A406" s="4581">
        <v>5</v>
      </c>
      <c r="B406" s="3433"/>
      <c r="C406" s="3399" t="s">
        <v>336</v>
      </c>
      <c r="D406" s="3400" t="e">
        <f>E409/E407%</f>
        <v>#DIV/0!</v>
      </c>
      <c r="E406" s="3401"/>
      <c r="F406" s="3402"/>
      <c r="G406" s="3403"/>
      <c r="H406" s="3402"/>
      <c r="I406" s="3402"/>
      <c r="J406" s="3402"/>
      <c r="K406" s="3402"/>
      <c r="L406" s="3402"/>
      <c r="M406" s="3402"/>
      <c r="N406" s="3402"/>
      <c r="O406" s="3402"/>
      <c r="P406" s="3402"/>
      <c r="Q406" s="3402"/>
      <c r="R406" s="3404"/>
      <c r="S406" s="3405"/>
      <c r="T406" s="3405"/>
      <c r="U406" s="3405"/>
      <c r="V406" s="3405"/>
    </row>
    <row r="407" spans="1:22" ht="13.5" hidden="1" customHeight="1">
      <c r="A407" s="4582"/>
      <c r="B407" s="3406" t="s">
        <v>205</v>
      </c>
      <c r="C407" s="3407"/>
      <c r="D407" s="3408"/>
      <c r="E407" s="3409">
        <f>+F407+G407+H407+I407+J407+K407+L407+M407</f>
        <v>0</v>
      </c>
      <c r="F407" s="3410"/>
      <c r="G407" s="3410"/>
      <c r="H407" s="3410"/>
      <c r="I407" s="3410"/>
      <c r="J407" s="3410"/>
      <c r="K407" s="3410"/>
      <c r="L407" s="3410"/>
      <c r="M407" s="3410"/>
      <c r="N407" s="3410"/>
      <c r="O407" s="3410"/>
      <c r="P407" s="3410"/>
      <c r="Q407" s="3410"/>
      <c r="R407" s="3411"/>
      <c r="S407" s="3412"/>
      <c r="T407" s="3412"/>
      <c r="U407" s="3412"/>
      <c r="V407" s="3412"/>
    </row>
    <row r="408" spans="1:22" ht="13.5" hidden="1" thickBot="1">
      <c r="A408" s="4582"/>
      <c r="B408" s="3413" t="s">
        <v>339</v>
      </c>
      <c r="C408" s="2794"/>
      <c r="D408" s="3414"/>
      <c r="E408" s="3175">
        <f>+F408+G408+H408+I408+J408+K408+L408+M408</f>
        <v>0</v>
      </c>
      <c r="F408" s="3415"/>
      <c r="G408" s="3415"/>
      <c r="H408" s="3415"/>
      <c r="I408" s="3415"/>
      <c r="J408" s="3415"/>
      <c r="K408" s="3415"/>
      <c r="L408" s="3415"/>
      <c r="M408" s="3415"/>
      <c r="N408" s="3415"/>
      <c r="O408" s="3415"/>
      <c r="P408" s="3415"/>
      <c r="Q408" s="3415"/>
      <c r="R408" s="3416"/>
      <c r="S408" s="3416"/>
      <c r="T408" s="3416"/>
      <c r="U408" s="3416"/>
      <c r="V408" s="3416"/>
    </row>
    <row r="409" spans="1:22" ht="13.5" hidden="1" customHeight="1" thickBot="1">
      <c r="A409" s="4582"/>
      <c r="B409" s="3417" t="s">
        <v>207</v>
      </c>
      <c r="C409" s="3430">
        <f>E409-E410</f>
        <v>0</v>
      </c>
      <c r="D409" s="3419"/>
      <c r="E409" s="3420">
        <f>+F409+G409+H409+I409+J409+K409+L409+M409</f>
        <v>0</v>
      </c>
      <c r="F409" s="3421"/>
      <c r="G409" s="3421"/>
      <c r="H409" s="3421"/>
      <c r="I409" s="3421"/>
      <c r="J409" s="3421"/>
      <c r="K409" s="3421"/>
      <c r="L409" s="3421"/>
      <c r="M409" s="3421"/>
      <c r="N409" s="3421"/>
      <c r="O409" s="3421"/>
      <c r="P409" s="3421"/>
      <c r="Q409" s="3421"/>
      <c r="R409" s="3422"/>
      <c r="S409" s="3423"/>
      <c r="T409" s="3423"/>
      <c r="U409" s="3423"/>
      <c r="V409" s="3423"/>
    </row>
    <row r="410" spans="1:22" ht="15" hidden="1" customHeight="1" thickBot="1">
      <c r="A410" s="4583"/>
      <c r="B410" s="3424" t="s">
        <v>335</v>
      </c>
      <c r="C410" s="3425"/>
      <c r="D410" s="3426"/>
      <c r="E410" s="3427">
        <f>F410+G410+H410+I410+J410+K410+L410+M410</f>
        <v>0</v>
      </c>
      <c r="F410" s="3428"/>
      <c r="G410" s="3428"/>
      <c r="H410" s="3428"/>
      <c r="I410" s="3428"/>
      <c r="J410" s="3428"/>
      <c r="K410" s="3428"/>
      <c r="L410" s="3428"/>
      <c r="M410" s="3428"/>
      <c r="N410" s="3428"/>
      <c r="O410" s="3428"/>
      <c r="P410" s="3428"/>
      <c r="Q410" s="3428"/>
      <c r="R410" s="3429"/>
      <c r="S410" s="3429"/>
      <c r="T410" s="3429"/>
      <c r="U410" s="3429"/>
      <c r="V410" s="3429"/>
    </row>
    <row r="411" spans="1:22" ht="29.25" customHeight="1">
      <c r="A411" s="4549">
        <v>6</v>
      </c>
      <c r="B411" s="3398">
        <f>'Tab. 6A -Drogi'!B383</f>
        <v>0</v>
      </c>
      <c r="C411" s="3399" t="s">
        <v>336</v>
      </c>
      <c r="D411" s="3400" t="e">
        <f>E414/E412%</f>
        <v>#DIV/0!</v>
      </c>
      <c r="E411" s="3401"/>
      <c r="F411" s="3402"/>
      <c r="G411" s="3403"/>
      <c r="H411" s="3402"/>
      <c r="I411" s="3402"/>
      <c r="J411" s="3402"/>
      <c r="K411" s="3402"/>
      <c r="L411" s="3402"/>
      <c r="M411" s="3402"/>
      <c r="N411" s="3402"/>
      <c r="O411" s="3402"/>
      <c r="P411" s="3402"/>
      <c r="Q411" s="3402"/>
      <c r="R411" s="3404"/>
      <c r="S411" s="3405"/>
      <c r="T411" s="3405"/>
      <c r="U411" s="3405"/>
      <c r="V411" s="3405"/>
    </row>
    <row r="412" spans="1:22" ht="15" customHeight="1">
      <c r="A412" s="4544"/>
      <c r="B412" s="3406" t="s">
        <v>205</v>
      </c>
      <c r="C412" s="3407"/>
      <c r="D412" s="3408"/>
      <c r="E412" s="3409">
        <f>+F412+G412+H412+I412+J412+K412+L412+M412</f>
        <v>0</v>
      </c>
      <c r="F412" s="3410">
        <f>'Tab. 6A -Drogi'!E384</f>
        <v>0</v>
      </c>
      <c r="G412" s="3410">
        <f>'Tab. 6A -Drogi'!F384</f>
        <v>0</v>
      </c>
      <c r="H412" s="3410">
        <f>'Tab. 6A -Drogi'!G384</f>
        <v>0</v>
      </c>
      <c r="I412" s="3410">
        <f>'Tab. 6A -Drogi'!H384</f>
        <v>0</v>
      </c>
      <c r="J412" s="3410">
        <f>'Tab. 6A -Drogi'!I384</f>
        <v>0</v>
      </c>
      <c r="K412" s="3410">
        <f>'Tab. 6A -Drogi'!J384</f>
        <v>0</v>
      </c>
      <c r="L412" s="3410">
        <f>'Tab. 6A -Drogi'!K384</f>
        <v>0</v>
      </c>
      <c r="M412" s="3410">
        <f>'Tab. 6A -Drogi'!L384</f>
        <v>0</v>
      </c>
      <c r="N412" s="3410"/>
      <c r="O412" s="3410"/>
      <c r="P412" s="3410"/>
      <c r="Q412" s="3410"/>
      <c r="R412" s="3411"/>
      <c r="S412" s="3412"/>
      <c r="T412" s="3412"/>
      <c r="U412" s="3412"/>
      <c r="V412" s="3412"/>
    </row>
    <row r="413" spans="1:22" ht="15" customHeight="1">
      <c r="A413" s="4544"/>
      <c r="B413" s="3413" t="s">
        <v>339</v>
      </c>
      <c r="C413" s="2794"/>
      <c r="D413" s="3414"/>
      <c r="E413" s="3175">
        <f>+F413+G413+H413+I413+J413+K413+L413+M413</f>
        <v>0</v>
      </c>
      <c r="F413" s="3415">
        <f>'Tab. 6A -Drogi'!E385</f>
        <v>0</v>
      </c>
      <c r="G413" s="3415">
        <f>'Tab. 6A -Drogi'!F385</f>
        <v>0</v>
      </c>
      <c r="H413" s="3415">
        <f>'Tab. 6A -Drogi'!G385</f>
        <v>0</v>
      </c>
      <c r="I413" s="3415">
        <f>'Tab. 6A -Drogi'!H385</f>
        <v>0</v>
      </c>
      <c r="J413" s="3415">
        <f>'Tab. 6A -Drogi'!I385</f>
        <v>0</v>
      </c>
      <c r="K413" s="3415">
        <f>'Tab. 6A -Drogi'!J385</f>
        <v>0</v>
      </c>
      <c r="L413" s="3415">
        <f>'Tab. 6A -Drogi'!K385</f>
        <v>0</v>
      </c>
      <c r="M413" s="3415">
        <f>'Tab. 6A -Drogi'!L385</f>
        <v>0</v>
      </c>
      <c r="N413" s="3415"/>
      <c r="O413" s="3415"/>
      <c r="P413" s="3415"/>
      <c r="Q413" s="3415"/>
      <c r="R413" s="3416"/>
      <c r="S413" s="3416"/>
      <c r="T413" s="3416"/>
      <c r="U413" s="3416"/>
      <c r="V413" s="3416"/>
    </row>
    <row r="414" spans="1:22" ht="15" customHeight="1" thickBot="1">
      <c r="A414" s="4544"/>
      <c r="B414" s="3417" t="s">
        <v>207</v>
      </c>
      <c r="C414" s="3430">
        <f>E414-E415</f>
        <v>0</v>
      </c>
      <c r="D414" s="3419"/>
      <c r="E414" s="3420">
        <f>+F414+G414+H414+I414+J414+K414+L414+M414</f>
        <v>0</v>
      </c>
      <c r="F414" s="3421">
        <f>'Tab. 6A -Drogi'!E387</f>
        <v>0</v>
      </c>
      <c r="G414" s="3421">
        <f>'Tab. 6A -Drogi'!F387</f>
        <v>0</v>
      </c>
      <c r="H414" s="3421">
        <f>'Tab. 6A -Drogi'!G387</f>
        <v>0</v>
      </c>
      <c r="I414" s="3421">
        <f>'Tab. 6A -Drogi'!H387</f>
        <v>0</v>
      </c>
      <c r="J414" s="3421">
        <f>'Tab. 6A -Drogi'!I387</f>
        <v>0</v>
      </c>
      <c r="K414" s="3421">
        <f>'Tab. 6A -Drogi'!J387</f>
        <v>0</v>
      </c>
      <c r="L414" s="3421">
        <f>'Tab. 6A -Drogi'!K387</f>
        <v>0</v>
      </c>
      <c r="M414" s="3421">
        <f>'Tab. 6A -Drogi'!L387</f>
        <v>0</v>
      </c>
      <c r="N414" s="3421"/>
      <c r="O414" s="3421"/>
      <c r="P414" s="3421"/>
      <c r="Q414" s="3421"/>
      <c r="R414" s="3422"/>
      <c r="S414" s="3423"/>
      <c r="T414" s="3423"/>
      <c r="U414" s="3423"/>
      <c r="V414" s="3423"/>
    </row>
    <row r="415" spans="1:22" ht="15" customHeight="1" thickBot="1">
      <c r="A415" s="4545"/>
      <c r="B415" s="3424" t="s">
        <v>335</v>
      </c>
      <c r="C415" s="3425"/>
      <c r="D415" s="3426"/>
      <c r="E415" s="3427">
        <f>F415+G415+H415+I415+J415+K415+L415+M415</f>
        <v>0</v>
      </c>
      <c r="F415" s="3428">
        <f>'Tab. 6A -Drogi'!E389</f>
        <v>0</v>
      </c>
      <c r="G415" s="3428">
        <f>'Tab. 6A -Drogi'!F389</f>
        <v>0</v>
      </c>
      <c r="H415" s="3428">
        <f>'Tab. 6A -Drogi'!G389</f>
        <v>0</v>
      </c>
      <c r="I415" s="3428">
        <f>'Tab. 6A -Drogi'!H389</f>
        <v>0</v>
      </c>
      <c r="J415" s="3428">
        <f>'Tab. 6A -Drogi'!I389</f>
        <v>0</v>
      </c>
      <c r="K415" s="3428">
        <f>'Tab. 6A -Drogi'!J389</f>
        <v>0</v>
      </c>
      <c r="L415" s="3428">
        <f>'Tab. 6A -Drogi'!K389</f>
        <v>0</v>
      </c>
      <c r="M415" s="3428">
        <f>'Tab. 6A -Drogi'!L389</f>
        <v>0</v>
      </c>
      <c r="N415" s="3428"/>
      <c r="O415" s="3428"/>
      <c r="P415" s="3428"/>
      <c r="Q415" s="3428"/>
      <c r="R415" s="3429"/>
      <c r="S415" s="3429"/>
      <c r="T415" s="3429"/>
      <c r="U415" s="3429"/>
      <c r="V415" s="3429"/>
    </row>
    <row r="416" spans="1:22" ht="25.5" hidden="1" customHeight="1">
      <c r="A416" s="4581">
        <v>7</v>
      </c>
      <c r="B416" s="3433"/>
      <c r="C416" s="3399" t="s">
        <v>336</v>
      </c>
      <c r="D416" s="3400" t="e">
        <f>E419/E417%</f>
        <v>#DIV/0!</v>
      </c>
      <c r="E416" s="3401"/>
      <c r="F416" s="3402"/>
      <c r="G416" s="3403"/>
      <c r="H416" s="3402"/>
      <c r="I416" s="3402"/>
      <c r="J416" s="3402"/>
      <c r="K416" s="3402"/>
      <c r="L416" s="3402"/>
      <c r="M416" s="3402"/>
      <c r="N416" s="3402"/>
      <c r="O416" s="3402"/>
      <c r="P416" s="3402"/>
      <c r="Q416" s="3402"/>
      <c r="R416" s="3404"/>
      <c r="S416" s="3405"/>
      <c r="T416" s="3405"/>
      <c r="U416" s="3405"/>
      <c r="V416" s="3405"/>
    </row>
    <row r="417" spans="1:22" ht="15" hidden="1" customHeight="1">
      <c r="A417" s="4582"/>
      <c r="B417" s="3406" t="s">
        <v>205</v>
      </c>
      <c r="C417" s="3407"/>
      <c r="D417" s="3408"/>
      <c r="E417" s="3409">
        <f>+F417+G417+H417+I417+J417+K417+L417+M417</f>
        <v>0</v>
      </c>
      <c r="F417" s="3410"/>
      <c r="G417" s="3410"/>
      <c r="H417" s="3410"/>
      <c r="I417" s="3410"/>
      <c r="J417" s="3410"/>
      <c r="K417" s="3410"/>
      <c r="L417" s="3410"/>
      <c r="M417" s="3410"/>
      <c r="N417" s="3410"/>
      <c r="O417" s="3410"/>
      <c r="P417" s="3410"/>
      <c r="Q417" s="3410"/>
      <c r="R417" s="3411"/>
      <c r="S417" s="3412"/>
      <c r="T417" s="3412"/>
      <c r="U417" s="3412"/>
      <c r="V417" s="3412"/>
    </row>
    <row r="418" spans="1:22" ht="15" hidden="1" customHeight="1">
      <c r="A418" s="4582"/>
      <c r="B418" s="3413" t="s">
        <v>339</v>
      </c>
      <c r="C418" s="2794"/>
      <c r="D418" s="3414"/>
      <c r="E418" s="3175">
        <f>+F418+G418+H418+I418+J418+K418+L418+M418</f>
        <v>0</v>
      </c>
      <c r="F418" s="3415"/>
      <c r="G418" s="3415"/>
      <c r="H418" s="3415"/>
      <c r="I418" s="3415"/>
      <c r="J418" s="3415"/>
      <c r="K418" s="3415"/>
      <c r="L418" s="3415"/>
      <c r="M418" s="3415"/>
      <c r="N418" s="3415"/>
      <c r="O418" s="3415"/>
      <c r="P418" s="3415"/>
      <c r="Q418" s="3415"/>
      <c r="R418" s="3416"/>
      <c r="S418" s="3416"/>
      <c r="T418" s="3416"/>
      <c r="U418" s="3416"/>
      <c r="V418" s="3416"/>
    </row>
    <row r="419" spans="1:22" ht="15" hidden="1" customHeight="1" thickBot="1">
      <c r="A419" s="4582"/>
      <c r="B419" s="3417" t="s">
        <v>207</v>
      </c>
      <c r="C419" s="3430">
        <f>E419-E420</f>
        <v>0</v>
      </c>
      <c r="D419" s="3419"/>
      <c r="E419" s="3420">
        <f>+F419+G419+H419+I419+J419+K419+L419+M419</f>
        <v>0</v>
      </c>
      <c r="F419" s="3421"/>
      <c r="G419" s="3421"/>
      <c r="H419" s="3421"/>
      <c r="I419" s="3421"/>
      <c r="J419" s="3421"/>
      <c r="K419" s="3421"/>
      <c r="L419" s="3421"/>
      <c r="M419" s="3421"/>
      <c r="N419" s="3421"/>
      <c r="O419" s="3421"/>
      <c r="P419" s="3421"/>
      <c r="Q419" s="3421"/>
      <c r="R419" s="3422"/>
      <c r="S419" s="3423"/>
      <c r="T419" s="3423"/>
      <c r="U419" s="3423"/>
      <c r="V419" s="3423"/>
    </row>
    <row r="420" spans="1:22" ht="15" hidden="1" customHeight="1" thickBot="1">
      <c r="A420" s="4583"/>
      <c r="B420" s="3424" t="s">
        <v>335</v>
      </c>
      <c r="C420" s="3425"/>
      <c r="D420" s="3426"/>
      <c r="E420" s="3427">
        <f>F420+G420+H420+I420+J420+K420+L420+M420</f>
        <v>0</v>
      </c>
      <c r="F420" s="3428"/>
      <c r="G420" s="3428"/>
      <c r="H420" s="3428"/>
      <c r="I420" s="3428"/>
      <c r="J420" s="3428"/>
      <c r="K420" s="3428"/>
      <c r="L420" s="3428"/>
      <c r="M420" s="3428"/>
      <c r="N420" s="3428"/>
      <c r="O420" s="3428"/>
      <c r="P420" s="3428"/>
      <c r="Q420" s="3428"/>
      <c r="R420" s="3429"/>
      <c r="S420" s="3429"/>
      <c r="T420" s="3429"/>
      <c r="U420" s="3429"/>
      <c r="V420" s="3429"/>
    </row>
    <row r="421" spans="1:22" ht="26.25" customHeight="1">
      <c r="A421" s="4549" t="s">
        <v>88</v>
      </c>
      <c r="B421" s="3398" t="str">
        <f>'Tab. 6A -Drogi'!B401</f>
        <v>Przebudowa i rozbudowa przejścia drogi woj. nr 122 przez m. Krzywin (etap II) w ramach PW INTERREG V A (2019-2020)</v>
      </c>
      <c r="C421" s="3399" t="s">
        <v>336</v>
      </c>
      <c r="D421" s="3619">
        <f>E424/E422%</f>
        <v>47.695434518323594</v>
      </c>
      <c r="E421" s="3401"/>
      <c r="F421" s="3402"/>
      <c r="G421" s="3403"/>
      <c r="H421" s="3402"/>
      <c r="I421" s="3402"/>
      <c r="J421" s="3402"/>
      <c r="K421" s="3402"/>
      <c r="L421" s="3402"/>
      <c r="M421" s="3402"/>
      <c r="N421" s="3402"/>
      <c r="O421" s="3402"/>
      <c r="P421" s="3402"/>
      <c r="Q421" s="3402"/>
      <c r="R421" s="3404"/>
      <c r="S421" s="3405"/>
      <c r="T421" s="3405"/>
      <c r="U421" s="3405"/>
      <c r="V421" s="3405"/>
    </row>
    <row r="422" spans="1:22" ht="15" customHeight="1">
      <c r="A422" s="4544"/>
      <c r="B422" s="3406" t="s">
        <v>205</v>
      </c>
      <c r="C422" s="3407"/>
      <c r="D422" s="3408"/>
      <c r="E422" s="3409">
        <f>+F422+G422+H422+I422+J422+K422+L422+M422</f>
        <v>11037981</v>
      </c>
      <c r="F422" s="3410">
        <f>'Tab. 6A -Drogi'!E402</f>
        <v>0</v>
      </c>
      <c r="G422" s="3410">
        <f>'Tab. 6A -Drogi'!F402</f>
        <v>0</v>
      </c>
      <c r="H422" s="3410">
        <f>'Tab. 6A -Drogi'!G402</f>
        <v>0</v>
      </c>
      <c r="I422" s="3410">
        <f>'Tab. 6A -Drogi'!H402</f>
        <v>6622789</v>
      </c>
      <c r="J422" s="3410">
        <f>'Tab. 6A -Drogi'!I402</f>
        <v>4415192</v>
      </c>
      <c r="K422" s="3410">
        <f>'Tab. 6A -Drogi'!J402</f>
        <v>0</v>
      </c>
      <c r="L422" s="3410">
        <f>'Tab. 6A -Drogi'!K402</f>
        <v>0</v>
      </c>
      <c r="M422" s="3410">
        <f>'Tab. 6A -Drogi'!L402</f>
        <v>0</v>
      </c>
      <c r="N422" s="3410"/>
      <c r="O422" s="3410"/>
      <c r="P422" s="3410"/>
      <c r="Q422" s="3410"/>
      <c r="R422" s="3411"/>
      <c r="S422" s="3412"/>
      <c r="T422" s="3412"/>
      <c r="U422" s="3412"/>
      <c r="V422" s="3412"/>
    </row>
    <row r="423" spans="1:22" ht="15" customHeight="1">
      <c r="A423" s="4544"/>
      <c r="B423" s="3413" t="s">
        <v>339</v>
      </c>
      <c r="C423" s="2794"/>
      <c r="D423" s="3414"/>
      <c r="E423" s="3175">
        <f>+F423+G423+H423+I423+J423+K423+L423+M423</f>
        <v>5773368</v>
      </c>
      <c r="F423" s="3415">
        <f>'Tab. 6A -Drogi'!E403</f>
        <v>0</v>
      </c>
      <c r="G423" s="3415">
        <f>'Tab. 6A -Drogi'!F403</f>
        <v>0</v>
      </c>
      <c r="H423" s="3415">
        <f>'Tab. 6A -Drogi'!G403</f>
        <v>0</v>
      </c>
      <c r="I423" s="3415">
        <f>'Tab. 6A -Drogi'!H403</f>
        <v>3311394</v>
      </c>
      <c r="J423" s="3415">
        <f>'Tab. 6A -Drogi'!I403</f>
        <v>2461974</v>
      </c>
      <c r="K423" s="3415">
        <f>'Tab. 6A -Drogi'!J403</f>
        <v>0</v>
      </c>
      <c r="L423" s="3415">
        <f>'Tab. 6A -Drogi'!K403</f>
        <v>0</v>
      </c>
      <c r="M423" s="3415">
        <f>'Tab. 6A -Drogi'!L403</f>
        <v>0</v>
      </c>
      <c r="N423" s="3415"/>
      <c r="O423" s="3415"/>
      <c r="P423" s="3415"/>
      <c r="Q423" s="3415"/>
      <c r="R423" s="3416"/>
      <c r="S423" s="3416"/>
      <c r="T423" s="3416"/>
      <c r="U423" s="3416"/>
      <c r="V423" s="3416"/>
    </row>
    <row r="424" spans="1:22" ht="15" customHeight="1" thickBot="1">
      <c r="A424" s="4544"/>
      <c r="B424" s="3417" t="s">
        <v>207</v>
      </c>
      <c r="C424" s="3430">
        <f>E424-E425</f>
        <v>0</v>
      </c>
      <c r="D424" s="3419"/>
      <c r="E424" s="3420">
        <f>+F424+G424+H424+I424+J424+K424+L424+M424</f>
        <v>5264613</v>
      </c>
      <c r="F424" s="3421">
        <f>'Tab. 6A -Drogi'!E405</f>
        <v>0</v>
      </c>
      <c r="G424" s="3421">
        <f>'Tab. 6A -Drogi'!F405</f>
        <v>0</v>
      </c>
      <c r="H424" s="3421">
        <f>'Tab. 6A -Drogi'!G405</f>
        <v>0</v>
      </c>
      <c r="I424" s="3421">
        <f>'Tab. 6A -Drogi'!H405</f>
        <v>3311395</v>
      </c>
      <c r="J424" s="3421">
        <f>'Tab. 6A -Drogi'!I405</f>
        <v>1953218</v>
      </c>
      <c r="K424" s="3421">
        <f>'Tab. 6A -Drogi'!J405</f>
        <v>0</v>
      </c>
      <c r="L424" s="3421">
        <f>'Tab. 6A -Drogi'!K405</f>
        <v>0</v>
      </c>
      <c r="M424" s="3421">
        <f>'Tab. 6A -Drogi'!L405</f>
        <v>0</v>
      </c>
      <c r="N424" s="3421"/>
      <c r="O424" s="3421"/>
      <c r="P424" s="3421"/>
      <c r="Q424" s="3421"/>
      <c r="R424" s="3422"/>
      <c r="S424" s="3423"/>
      <c r="T424" s="3423"/>
      <c r="U424" s="3423"/>
      <c r="V424" s="3423"/>
    </row>
    <row r="425" spans="1:22" ht="15" customHeight="1" thickBot="1">
      <c r="A425" s="4545"/>
      <c r="B425" s="3424" t="s">
        <v>335</v>
      </c>
      <c r="C425" s="3425"/>
      <c r="D425" s="3426"/>
      <c r="E425" s="3427">
        <f>F425+G425+H425+I425+J425+K425+L425+M425</f>
        <v>5264613</v>
      </c>
      <c r="F425" s="3428">
        <f>'Tab. 6A -Drogi'!E408</f>
        <v>0</v>
      </c>
      <c r="G425" s="3428">
        <f>'Tab. 6A -Drogi'!F408</f>
        <v>0</v>
      </c>
      <c r="H425" s="3428">
        <f>'Tab. 6A -Drogi'!G408</f>
        <v>0</v>
      </c>
      <c r="I425" s="3428">
        <f>'Tab. 6A -Drogi'!H408</f>
        <v>1052923</v>
      </c>
      <c r="J425" s="3428">
        <f>'Tab. 6A -Drogi'!I408</f>
        <v>3158768</v>
      </c>
      <c r="K425" s="3428">
        <f>'Tab. 6A -Drogi'!J408</f>
        <v>1052922</v>
      </c>
      <c r="L425" s="3428">
        <f>'Tab. 6A -Drogi'!K408</f>
        <v>0</v>
      </c>
      <c r="M425" s="3428">
        <f>'Tab. 6A -Drogi'!L408</f>
        <v>0</v>
      </c>
      <c r="N425" s="3428"/>
      <c r="O425" s="3428"/>
      <c r="P425" s="3428"/>
      <c r="Q425" s="3428"/>
      <c r="R425" s="3429"/>
      <c r="S425" s="3429"/>
      <c r="T425" s="3429"/>
      <c r="U425" s="3429"/>
      <c r="V425" s="3429"/>
    </row>
    <row r="426" spans="1:22" ht="26.25" customHeight="1">
      <c r="A426" s="4549" t="s">
        <v>89</v>
      </c>
      <c r="B426" s="3398" t="str">
        <f>'Tab. 6A -Drogi'!B410</f>
        <v>Przebudowa i rozbudowa przejścia drogi woj. nr 125 przez m. Moryń i m. Bielin w ramach PW INTERREG V A (2019-2020)</v>
      </c>
      <c r="C426" s="3399" t="s">
        <v>336</v>
      </c>
      <c r="D426" s="3619">
        <f>E429/E427%</f>
        <v>47.247933724392304</v>
      </c>
      <c r="E426" s="3401"/>
      <c r="F426" s="3402"/>
      <c r="G426" s="3403"/>
      <c r="H426" s="3402"/>
      <c r="I426" s="3402"/>
      <c r="J426" s="3402"/>
      <c r="K426" s="3402"/>
      <c r="L426" s="3402"/>
      <c r="M426" s="3402"/>
      <c r="N426" s="3402"/>
      <c r="O426" s="3402"/>
      <c r="P426" s="3402"/>
      <c r="Q426" s="3402"/>
      <c r="R426" s="3404"/>
      <c r="S426" s="3405"/>
      <c r="T426" s="3405"/>
      <c r="U426" s="3405"/>
      <c r="V426" s="3405"/>
    </row>
    <row r="427" spans="1:22" ht="15" customHeight="1">
      <c r="A427" s="4544"/>
      <c r="B427" s="3406" t="s">
        <v>205</v>
      </c>
      <c r="C427" s="3407"/>
      <c r="D427" s="3408"/>
      <c r="E427" s="3409">
        <f>+F427+G427+H427+I427+J427+K427+L427+M427</f>
        <v>9147981</v>
      </c>
      <c r="F427" s="3410">
        <f>'Tab. 6A -Drogi'!E411</f>
        <v>0</v>
      </c>
      <c r="G427" s="3410">
        <f>'Tab. 6A -Drogi'!F411</f>
        <v>0</v>
      </c>
      <c r="H427" s="3410">
        <f>'Tab. 6A -Drogi'!G411</f>
        <v>0</v>
      </c>
      <c r="I427" s="3410">
        <f>'Tab. 6A -Drogi'!H411</f>
        <v>5488789</v>
      </c>
      <c r="J427" s="3410">
        <f>'Tab. 6A -Drogi'!I411</f>
        <v>3659192</v>
      </c>
      <c r="K427" s="3410">
        <f>'Tab. 6A -Drogi'!J411</f>
        <v>0</v>
      </c>
      <c r="L427" s="3410">
        <f>'Tab. 6A -Drogi'!K411</f>
        <v>0</v>
      </c>
      <c r="M427" s="3410">
        <f>'Tab. 6A -Drogi'!L411</f>
        <v>0</v>
      </c>
      <c r="N427" s="3410"/>
      <c r="O427" s="3410"/>
      <c r="P427" s="3410"/>
      <c r="Q427" s="3410"/>
      <c r="R427" s="3411"/>
      <c r="S427" s="3412"/>
      <c r="T427" s="3412"/>
      <c r="U427" s="3412"/>
      <c r="V427" s="3412"/>
    </row>
    <row r="428" spans="1:22" ht="15" customHeight="1">
      <c r="A428" s="4544"/>
      <c r="B428" s="3413" t="s">
        <v>339</v>
      </c>
      <c r="C428" s="2794"/>
      <c r="D428" s="3414"/>
      <c r="E428" s="3175">
        <f>+F428+G428+H428+I428+J428+K428+L428+M428</f>
        <v>4825749</v>
      </c>
      <c r="F428" s="3415">
        <f>'Tab. 6A -Drogi'!E412</f>
        <v>0</v>
      </c>
      <c r="G428" s="3415">
        <f>'Tab. 6A -Drogi'!F412</f>
        <v>0</v>
      </c>
      <c r="H428" s="3415">
        <f>'Tab. 6A -Drogi'!G412</f>
        <v>0</v>
      </c>
      <c r="I428" s="3415">
        <f>'Tab. 6A -Drogi'!H412</f>
        <v>2744394</v>
      </c>
      <c r="J428" s="3415">
        <f>'Tab. 6A -Drogi'!I412</f>
        <v>2081355</v>
      </c>
      <c r="K428" s="3415">
        <f>'Tab. 6A -Drogi'!J412</f>
        <v>0</v>
      </c>
      <c r="L428" s="3415">
        <f>'Tab. 6A -Drogi'!K412</f>
        <v>0</v>
      </c>
      <c r="M428" s="3415">
        <f>'Tab. 6A -Drogi'!L412</f>
        <v>0</v>
      </c>
      <c r="N428" s="3415"/>
      <c r="O428" s="3415"/>
      <c r="P428" s="3415"/>
      <c r="Q428" s="3415"/>
      <c r="R428" s="3416"/>
      <c r="S428" s="3416"/>
      <c r="T428" s="3416"/>
      <c r="U428" s="3416"/>
      <c r="V428" s="3416"/>
    </row>
    <row r="429" spans="1:22" ht="15" customHeight="1" thickBot="1">
      <c r="A429" s="4544"/>
      <c r="B429" s="3417" t="s">
        <v>207</v>
      </c>
      <c r="C429" s="3430">
        <f>E429-E430</f>
        <v>0</v>
      </c>
      <c r="D429" s="3419"/>
      <c r="E429" s="3420">
        <f>+F429+G429+H429+I429+J429+K429+L429+M429</f>
        <v>4322232</v>
      </c>
      <c r="F429" s="3421">
        <f>'Tab. 6A -Drogi'!E414</f>
        <v>0</v>
      </c>
      <c r="G429" s="3421">
        <f>'Tab. 6A -Drogi'!F414</f>
        <v>0</v>
      </c>
      <c r="H429" s="3421">
        <f>'Tab. 6A -Drogi'!G414</f>
        <v>0</v>
      </c>
      <c r="I429" s="3421">
        <f>'Tab. 6A -Drogi'!H414</f>
        <v>2744395</v>
      </c>
      <c r="J429" s="3421">
        <f>'Tab. 6A -Drogi'!I414</f>
        <v>1577837</v>
      </c>
      <c r="K429" s="3421">
        <f>'Tab. 6A -Drogi'!J414</f>
        <v>0</v>
      </c>
      <c r="L429" s="3421">
        <f>'Tab. 6A -Drogi'!K414</f>
        <v>0</v>
      </c>
      <c r="M429" s="3421">
        <f>'Tab. 6A -Drogi'!L414</f>
        <v>0</v>
      </c>
      <c r="N429" s="3421"/>
      <c r="O429" s="3421"/>
      <c r="P429" s="3421"/>
      <c r="Q429" s="3421"/>
      <c r="R429" s="3422"/>
      <c r="S429" s="3423"/>
      <c r="T429" s="3423"/>
      <c r="U429" s="3423"/>
      <c r="V429" s="3423"/>
    </row>
    <row r="430" spans="1:22" ht="15" customHeight="1" thickBot="1">
      <c r="A430" s="4545"/>
      <c r="B430" s="3424" t="s">
        <v>335</v>
      </c>
      <c r="C430" s="3425"/>
      <c r="D430" s="3426"/>
      <c r="E430" s="3427">
        <f>F430+G430+H430+I430+J430+K430+L430+M430</f>
        <v>4322232</v>
      </c>
      <c r="F430" s="3428">
        <f>'Tab. 6A -Drogi'!E417</f>
        <v>0</v>
      </c>
      <c r="G430" s="3428">
        <f>'Tab. 6A -Drogi'!F417</f>
        <v>0</v>
      </c>
      <c r="H430" s="3428">
        <f>'Tab. 6A -Drogi'!G417</f>
        <v>0</v>
      </c>
      <c r="I430" s="3428">
        <f>'Tab. 6A -Drogi'!H417</f>
        <v>864447</v>
      </c>
      <c r="J430" s="3428">
        <f>'Tab. 6A -Drogi'!I417</f>
        <v>2593339</v>
      </c>
      <c r="K430" s="3428">
        <f>'Tab. 6A -Drogi'!J417</f>
        <v>864446</v>
      </c>
      <c r="L430" s="3428">
        <f>'Tab. 6A -Drogi'!K417</f>
        <v>0</v>
      </c>
      <c r="M430" s="3428">
        <f>'Tab. 6A -Drogi'!L417</f>
        <v>0</v>
      </c>
      <c r="N430" s="3428"/>
      <c r="O430" s="3428"/>
      <c r="P430" s="3428"/>
      <c r="Q430" s="3428"/>
      <c r="R430" s="3429"/>
      <c r="S430" s="3429"/>
      <c r="T430" s="3429"/>
      <c r="U430" s="3429"/>
      <c r="V430" s="3429"/>
    </row>
    <row r="431" spans="1:22" ht="37.5" customHeight="1">
      <c r="A431" s="4549" t="s">
        <v>90</v>
      </c>
      <c r="B431" s="3398" t="str">
        <f>'Tab. 6A -Drogi'!B216</f>
        <v>Przebudowa ul. Jagiełły w ciągu drogi wojewódzkiej nr 160 i ul. Dąbrowszczaków w ciągu drogi wojewódzkiej nr 175 w m. Choszczno w ramach Osi V RPO (2016-2019)</v>
      </c>
      <c r="C431" s="3399" t="s">
        <v>336</v>
      </c>
      <c r="D431" s="3400">
        <f>E434/E432%</f>
        <v>81.00411450099574</v>
      </c>
      <c r="E431" s="3401"/>
      <c r="F431" s="3402"/>
      <c r="G431" s="3403"/>
      <c r="H431" s="3402"/>
      <c r="I431" s="3402"/>
      <c r="J431" s="3402"/>
      <c r="K431" s="3402"/>
      <c r="L431" s="3402"/>
      <c r="M431" s="3402"/>
      <c r="N431" s="3402"/>
      <c r="O431" s="3402"/>
      <c r="P431" s="3402"/>
      <c r="Q431" s="3402"/>
      <c r="R431" s="3404"/>
      <c r="S431" s="3405"/>
      <c r="T431" s="3405"/>
      <c r="U431" s="3405"/>
      <c r="V431" s="3405"/>
    </row>
    <row r="432" spans="1:22" ht="15" customHeight="1">
      <c r="A432" s="4544"/>
      <c r="B432" s="3406" t="s">
        <v>205</v>
      </c>
      <c r="C432" s="3407"/>
      <c r="D432" s="3408"/>
      <c r="E432" s="3409">
        <f>+F432+G432+H432+I432+J432+K432+L432+M432</f>
        <v>27754763</v>
      </c>
      <c r="F432" s="3410">
        <f>'Tab. 6A -Drogi'!E217</f>
        <v>813504</v>
      </c>
      <c r="G432" s="3410">
        <f>'Tab. 6A -Drogi'!F217</f>
        <v>635700</v>
      </c>
      <c r="H432" s="3410">
        <f>'Tab. 6A -Drogi'!G217</f>
        <v>19850000</v>
      </c>
      <c r="I432" s="3410">
        <f>'Tab. 6A -Drogi'!H217</f>
        <v>6455559</v>
      </c>
      <c r="J432" s="3410">
        <f>'Tab. 6A -Drogi'!I217</f>
        <v>0</v>
      </c>
      <c r="K432" s="3410">
        <f>'Tab. 6A -Drogi'!J217</f>
        <v>0</v>
      </c>
      <c r="L432" s="3410">
        <f>'Tab. 6A -Drogi'!K217</f>
        <v>0</v>
      </c>
      <c r="M432" s="3410">
        <f>'Tab. 6A -Drogi'!L217</f>
        <v>0</v>
      </c>
      <c r="N432" s="3410"/>
      <c r="O432" s="3410"/>
      <c r="P432" s="3410"/>
      <c r="Q432" s="3410"/>
      <c r="R432" s="3411"/>
      <c r="S432" s="3412"/>
      <c r="T432" s="3412"/>
      <c r="U432" s="3412"/>
      <c r="V432" s="3412"/>
    </row>
    <row r="433" spans="1:22" ht="15" customHeight="1">
      <c r="A433" s="4544"/>
      <c r="B433" s="3413" t="s">
        <v>426</v>
      </c>
      <c r="C433" s="2794"/>
      <c r="D433" s="3414"/>
      <c r="E433" s="3175">
        <f>+F433+G433+H433+I433+J433+K433+L433+M433</f>
        <v>5272263</v>
      </c>
      <c r="F433" s="3415">
        <f>'Tab. 6A -Drogi'!E218</f>
        <v>813504</v>
      </c>
      <c r="G433" s="3415">
        <f>'Tab. 6A -Drogi'!F218</f>
        <v>430085</v>
      </c>
      <c r="H433" s="3415">
        <f>'Tab. 6A -Drogi'!G218</f>
        <v>2977500</v>
      </c>
      <c r="I433" s="3415">
        <f>'Tab. 6A -Drogi'!H218</f>
        <v>1051174</v>
      </c>
      <c r="J433" s="3415">
        <f>'Tab. 6A -Drogi'!I218</f>
        <v>0</v>
      </c>
      <c r="K433" s="3415">
        <f>'Tab. 6A -Drogi'!J218</f>
        <v>0</v>
      </c>
      <c r="L433" s="3415">
        <f>'Tab. 6A -Drogi'!K218</f>
        <v>0</v>
      </c>
      <c r="M433" s="3415">
        <f>'Tab. 6A -Drogi'!L218</f>
        <v>0</v>
      </c>
      <c r="N433" s="3415"/>
      <c r="O433" s="3415"/>
      <c r="P433" s="3415"/>
      <c r="Q433" s="3415"/>
      <c r="R433" s="3416"/>
      <c r="S433" s="3416"/>
      <c r="T433" s="3416"/>
      <c r="U433" s="3416"/>
      <c r="V433" s="3416"/>
    </row>
    <row r="434" spans="1:22" ht="15" customHeight="1" thickBot="1">
      <c r="A434" s="4544"/>
      <c r="B434" s="3417" t="s">
        <v>207</v>
      </c>
      <c r="C434" s="3430">
        <f>E434-E435</f>
        <v>0</v>
      </c>
      <c r="D434" s="3419"/>
      <c r="E434" s="3420">
        <f>+F434+G434+H434+I434+J434+K434+L434+M434</f>
        <v>22482500</v>
      </c>
      <c r="F434" s="3421">
        <f>'Tab. 6A -Drogi'!E221</f>
        <v>0</v>
      </c>
      <c r="G434" s="3421">
        <f>'Tab. 6A -Drogi'!F221</f>
        <v>205615</v>
      </c>
      <c r="H434" s="3421">
        <f>'Tab. 6A -Drogi'!G221</f>
        <v>16872500</v>
      </c>
      <c r="I434" s="3421">
        <f>'Tab. 6A -Drogi'!H221</f>
        <v>5404385</v>
      </c>
      <c r="J434" s="3421">
        <f>'Tab. 6A -Drogi'!I221</f>
        <v>0</v>
      </c>
      <c r="K434" s="3421">
        <f>'Tab. 6A -Drogi'!J221</f>
        <v>0</v>
      </c>
      <c r="L434" s="3421">
        <f>'Tab. 6A -Drogi'!K221</f>
        <v>0</v>
      </c>
      <c r="M434" s="3421">
        <f>'Tab. 6A -Drogi'!L221</f>
        <v>0</v>
      </c>
      <c r="N434" s="3421"/>
      <c r="O434" s="3421"/>
      <c r="P434" s="3421"/>
      <c r="Q434" s="3421"/>
      <c r="R434" s="3422"/>
      <c r="S434" s="3423"/>
      <c r="T434" s="3423"/>
      <c r="U434" s="3423"/>
      <c r="V434" s="3423"/>
    </row>
    <row r="435" spans="1:22" ht="16.5" customHeight="1" thickBot="1">
      <c r="A435" s="4545"/>
      <c r="B435" s="3424" t="s">
        <v>335</v>
      </c>
      <c r="C435" s="3425"/>
      <c r="D435" s="3426"/>
      <c r="E435" s="3427">
        <f>F435+G435+H435+I435+J435+K435+L435+M435</f>
        <v>22482500</v>
      </c>
      <c r="F435" s="3428">
        <f>'Tab. 6A -Drogi'!E226</f>
        <v>0</v>
      </c>
      <c r="G435" s="3428">
        <f>'Tab. 6A -Drogi'!F226</f>
        <v>0</v>
      </c>
      <c r="H435" s="3428">
        <f>'Tab. 6A -Drogi'!G226</f>
        <v>17078115</v>
      </c>
      <c r="I435" s="3428">
        <f>'Tab. 6A -Drogi'!H226</f>
        <v>5404385</v>
      </c>
      <c r="J435" s="3428">
        <f>'Tab. 6A -Drogi'!I226</f>
        <v>0</v>
      </c>
      <c r="K435" s="3428">
        <f>'Tab. 6A -Drogi'!J226</f>
        <v>0</v>
      </c>
      <c r="L435" s="3428">
        <f>'Tab. 6A -Drogi'!K226</f>
        <v>0</v>
      </c>
      <c r="M435" s="3428">
        <f>'Tab. 6A -Drogi'!L226</f>
        <v>0</v>
      </c>
      <c r="N435" s="3428"/>
      <c r="O435" s="3428"/>
      <c r="P435" s="3428"/>
      <c r="Q435" s="3428"/>
      <c r="R435" s="3429"/>
      <c r="S435" s="3429"/>
      <c r="T435" s="3429"/>
      <c r="U435" s="3429"/>
      <c r="V435" s="3429"/>
    </row>
    <row r="436" spans="1:22" ht="26.25" customHeight="1">
      <c r="A436" s="4550" t="s">
        <v>91</v>
      </c>
      <c r="B436" s="3472" t="str">
        <f>'Tab. 6H - Kultura fiz. i turyst'!B197</f>
        <v>Zrównoważona turystyka wodna w unikalnej Dolinie Dolnej Odry w ramach programu Interreg V A - wydatki majątkowe (2016-2020)</v>
      </c>
      <c r="C436" s="3399" t="s">
        <v>336</v>
      </c>
      <c r="D436" s="3400">
        <f>E439/E437%</f>
        <v>83.444182412465523</v>
      </c>
      <c r="E436" s="3401"/>
      <c r="F436" s="3402"/>
      <c r="G436" s="3403"/>
      <c r="H436" s="3402"/>
      <c r="I436" s="3402"/>
      <c r="J436" s="3402"/>
      <c r="K436" s="3402"/>
      <c r="L436" s="3402"/>
      <c r="M436" s="3402"/>
      <c r="N436" s="3402"/>
      <c r="O436" s="3402"/>
      <c r="P436" s="3402"/>
      <c r="Q436" s="3402"/>
      <c r="R436" s="3404"/>
      <c r="S436" s="3405"/>
      <c r="T436" s="3405"/>
      <c r="U436" s="3405"/>
      <c r="V436" s="3405"/>
    </row>
    <row r="437" spans="1:22" ht="15" customHeight="1">
      <c r="A437" s="4551"/>
      <c r="B437" s="3406" t="s">
        <v>205</v>
      </c>
      <c r="C437" s="3407"/>
      <c r="D437" s="3408"/>
      <c r="E437" s="3409">
        <f>+F437+G437+H437+I437+J437+K437+L437+M437</f>
        <v>6246481</v>
      </c>
      <c r="F437" s="3410">
        <f>'Tab. 6H - Kultura fiz. i turyst'!E198</f>
        <v>284314</v>
      </c>
      <c r="G437" s="3410">
        <f>'Tab. 6H - Kultura fiz. i turyst'!F198</f>
        <v>30000</v>
      </c>
      <c r="H437" s="3410">
        <f>'Tab. 6H - Kultura fiz. i turyst'!G198</f>
        <v>1804842</v>
      </c>
      <c r="I437" s="3410">
        <f>'Tab. 6H - Kultura fiz. i turyst'!H198</f>
        <v>1983007</v>
      </c>
      <c r="J437" s="3410">
        <f>'Tab. 6H - Kultura fiz. i turyst'!I198</f>
        <v>2144318</v>
      </c>
      <c r="K437" s="3410">
        <f>'Tab. 6H - Kultura fiz. i turyst'!J198</f>
        <v>0</v>
      </c>
      <c r="L437" s="3410">
        <f>'Tab. 6H - Kultura fiz. i turyst'!K198</f>
        <v>0</v>
      </c>
      <c r="M437" s="3410"/>
      <c r="N437" s="3410"/>
      <c r="O437" s="3410"/>
      <c r="P437" s="3410"/>
      <c r="Q437" s="3410"/>
      <c r="R437" s="3411"/>
      <c r="S437" s="3412"/>
      <c r="T437" s="3412"/>
      <c r="U437" s="3412"/>
      <c r="V437" s="3412"/>
    </row>
    <row r="438" spans="1:22" ht="15" customHeight="1">
      <c r="A438" s="4551"/>
      <c r="B438" s="3413" t="s">
        <v>339</v>
      </c>
      <c r="C438" s="2794"/>
      <c r="D438" s="3414"/>
      <c r="E438" s="3175">
        <f>+F438+G438+H438+I438+J438+K438+L438+M438</f>
        <v>1034156</v>
      </c>
      <c r="F438" s="3415">
        <f>'Tab. 6H - Kultura fiz. i turyst'!E199</f>
        <v>114331</v>
      </c>
      <c r="G438" s="3415">
        <f>'Tab. 6H - Kultura fiz. i turyst'!F199</f>
        <v>30000</v>
      </c>
      <c r="H438" s="3415">
        <f>'Tab. 6H - Kultura fiz. i turyst'!G199</f>
        <v>270726</v>
      </c>
      <c r="I438" s="3415">
        <f>'Tab. 6H - Kultura fiz. i turyst'!H199</f>
        <v>297451</v>
      </c>
      <c r="J438" s="3415">
        <f>'Tab. 6H - Kultura fiz. i turyst'!I199</f>
        <v>321648</v>
      </c>
      <c r="K438" s="3415">
        <f>'Tab. 6H - Kultura fiz. i turyst'!J199</f>
        <v>0</v>
      </c>
      <c r="L438" s="3415">
        <f>'Tab. 6H - Kultura fiz. i turyst'!K199</f>
        <v>0</v>
      </c>
      <c r="M438" s="3415"/>
      <c r="N438" s="3415"/>
      <c r="O438" s="3415"/>
      <c r="P438" s="3415"/>
      <c r="Q438" s="3415"/>
      <c r="R438" s="3416"/>
      <c r="S438" s="3416"/>
      <c r="T438" s="3416"/>
      <c r="U438" s="3416"/>
      <c r="V438" s="3416"/>
    </row>
    <row r="439" spans="1:22" ht="15" customHeight="1" thickBot="1">
      <c r="A439" s="4551"/>
      <c r="B439" s="3417" t="s">
        <v>207</v>
      </c>
      <c r="C439" s="3430">
        <f>E439-E440</f>
        <v>0</v>
      </c>
      <c r="D439" s="3419"/>
      <c r="E439" s="3420">
        <f>+F439+G439+H439+I439+J439+K439+L439+M439</f>
        <v>5212325</v>
      </c>
      <c r="F439" s="3421">
        <f>'Tab. 6H - Kultura fiz. i turyst'!E202</f>
        <v>169983</v>
      </c>
      <c r="G439" s="3421">
        <f>'Tab. 6H - Kultura fiz. i turyst'!F202</f>
        <v>0</v>
      </c>
      <c r="H439" s="3421">
        <f>'Tab. 6H - Kultura fiz. i turyst'!G202</f>
        <v>1534116</v>
      </c>
      <c r="I439" s="3421">
        <f>'Tab. 6H - Kultura fiz. i turyst'!H202</f>
        <v>1685556</v>
      </c>
      <c r="J439" s="3421">
        <f>'Tab. 6H - Kultura fiz. i turyst'!I202</f>
        <v>1822670</v>
      </c>
      <c r="K439" s="3421">
        <f>'Tab. 6H - Kultura fiz. i turyst'!J202</f>
        <v>0</v>
      </c>
      <c r="L439" s="3421">
        <f>'Tab. 6H - Kultura fiz. i turyst'!K202</f>
        <v>0</v>
      </c>
      <c r="M439" s="3421"/>
      <c r="N439" s="3421"/>
      <c r="O439" s="3421"/>
      <c r="P439" s="3421"/>
      <c r="Q439" s="3421"/>
      <c r="R439" s="3422"/>
      <c r="S439" s="3423"/>
      <c r="T439" s="3423"/>
      <c r="U439" s="3423"/>
      <c r="V439" s="3423"/>
    </row>
    <row r="440" spans="1:22" ht="15" customHeight="1" thickBot="1">
      <c r="A440" s="4552"/>
      <c r="B440" s="3424" t="s">
        <v>335</v>
      </c>
      <c r="C440" s="3425"/>
      <c r="D440" s="3426"/>
      <c r="E440" s="3427">
        <f>F440+G440+H440+I440+J440+K440+L440+M440</f>
        <v>5212325</v>
      </c>
      <c r="F440" s="3428">
        <f>'Tab. 6H - Kultura fiz. i turyst'!E207</f>
        <v>0</v>
      </c>
      <c r="G440" s="3428">
        <f>'Tab. 6H - Kultura fiz. i turyst'!F207</f>
        <v>0</v>
      </c>
      <c r="H440" s="3428">
        <f>'Tab. 6H - Kultura fiz. i turyst'!G207</f>
        <v>219403</v>
      </c>
      <c r="I440" s="3428">
        <f>'Tab. 6H - Kultura fiz. i turyst'!H207</f>
        <v>1561453</v>
      </c>
      <c r="J440" s="3428">
        <f>'Tab. 6H - Kultura fiz. i turyst'!I207</f>
        <v>1671276</v>
      </c>
      <c r="K440" s="3428">
        <f>'Tab. 6H - Kultura fiz. i turyst'!J207</f>
        <v>1760193</v>
      </c>
      <c r="L440" s="3428">
        <f>'Tab. 6H - Kultura fiz. i turyst'!K207</f>
        <v>0</v>
      </c>
      <c r="M440" s="3428"/>
      <c r="N440" s="3428"/>
      <c r="O440" s="3428"/>
      <c r="P440" s="3428"/>
      <c r="Q440" s="3428"/>
      <c r="R440" s="3429"/>
      <c r="S440" s="3429"/>
      <c r="T440" s="3429"/>
      <c r="U440" s="3429"/>
      <c r="V440" s="3429"/>
    </row>
    <row r="441" spans="1:22" ht="26.25" customHeight="1">
      <c r="A441" s="4549" t="s">
        <v>92</v>
      </c>
      <c r="B441" s="3398" t="str">
        <f>'Tab. 6H - Kultura fiz. i turyst'!B61</f>
        <v>Dokumentacje techniczne na budowę sieci tras rowerowych Pomorza Zachodniego w ramach Osi IV RPO (2018-2019)</v>
      </c>
      <c r="C441" s="3399" t="s">
        <v>336</v>
      </c>
      <c r="D441" s="3400">
        <f>E444/E442%</f>
        <v>85</v>
      </c>
      <c r="E441" s="3401"/>
      <c r="F441" s="3402"/>
      <c r="G441" s="3403"/>
      <c r="H441" s="3402"/>
      <c r="I441" s="3402"/>
      <c r="J441" s="3402"/>
      <c r="K441" s="3402"/>
      <c r="L441" s="3402"/>
      <c r="M441" s="3402"/>
      <c r="N441" s="3402"/>
      <c r="O441" s="3402"/>
      <c r="P441" s="3402"/>
      <c r="Q441" s="3402"/>
      <c r="R441" s="3404"/>
      <c r="S441" s="3405"/>
      <c r="T441" s="3405"/>
      <c r="U441" s="3405"/>
      <c r="V441" s="3405"/>
    </row>
    <row r="442" spans="1:22" ht="15" customHeight="1">
      <c r="A442" s="4544"/>
      <c r="B442" s="3406" t="s">
        <v>205</v>
      </c>
      <c r="C442" s="3407"/>
      <c r="D442" s="3408"/>
      <c r="E442" s="3409">
        <f>+F442+G442+H442+I442+J442+K442+L442+M442</f>
        <v>7500000</v>
      </c>
      <c r="F442" s="3410">
        <f>'Tab. 6H - Kultura fiz. i turyst'!E62</f>
        <v>0</v>
      </c>
      <c r="G442" s="3410">
        <f>'Tab. 6H - Kultura fiz. i turyst'!F62</f>
        <v>0</v>
      </c>
      <c r="H442" s="3410">
        <f>'Tab. 6H - Kultura fiz. i turyst'!G62</f>
        <v>3500000</v>
      </c>
      <c r="I442" s="3410">
        <f>'Tab. 6H - Kultura fiz. i turyst'!H62</f>
        <v>4000000</v>
      </c>
      <c r="J442" s="3410">
        <f>'Tab. 6H - Kultura fiz. i turyst'!I62</f>
        <v>0</v>
      </c>
      <c r="K442" s="3410">
        <f>'Tab. 6H - Kultura fiz. i turyst'!J62</f>
        <v>0</v>
      </c>
      <c r="L442" s="3410">
        <f>'Tab. 6H - Kultura fiz. i turyst'!K62</f>
        <v>0</v>
      </c>
      <c r="M442" s="3410">
        <f>'Tab. 6H - Kultura fiz. i turyst'!L62</f>
        <v>0</v>
      </c>
      <c r="N442" s="3410"/>
      <c r="O442" s="3410"/>
      <c r="P442" s="3410"/>
      <c r="Q442" s="3410"/>
      <c r="R442" s="3411"/>
      <c r="S442" s="3412"/>
      <c r="T442" s="3412"/>
      <c r="U442" s="3412"/>
      <c r="V442" s="3412"/>
    </row>
    <row r="443" spans="1:22" ht="13.5" customHeight="1">
      <c r="A443" s="4544"/>
      <c r="B443" s="3413" t="s">
        <v>339</v>
      </c>
      <c r="C443" s="2794"/>
      <c r="D443" s="3414"/>
      <c r="E443" s="3175">
        <f>+F443+G443+H443+I443+J443+K443+L443+M443</f>
        <v>1125000</v>
      </c>
      <c r="F443" s="3415">
        <f>'Tab. 6H - Kultura fiz. i turyst'!E63</f>
        <v>0</v>
      </c>
      <c r="G443" s="3415">
        <f>'Tab. 6H - Kultura fiz. i turyst'!F63</f>
        <v>0</v>
      </c>
      <c r="H443" s="3415">
        <f>'Tab. 6H - Kultura fiz. i turyst'!G63</f>
        <v>525000</v>
      </c>
      <c r="I443" s="3415">
        <f>'Tab. 6H - Kultura fiz. i turyst'!H63</f>
        <v>600000</v>
      </c>
      <c r="J443" s="3415">
        <f>'Tab. 6H - Kultura fiz. i turyst'!I63</f>
        <v>0</v>
      </c>
      <c r="K443" s="3415">
        <f>'Tab. 6H - Kultura fiz. i turyst'!J63</f>
        <v>0</v>
      </c>
      <c r="L443" s="3415">
        <f>'Tab. 6H - Kultura fiz. i turyst'!K63</f>
        <v>0</v>
      </c>
      <c r="M443" s="3415">
        <f>'Tab. 6H - Kultura fiz. i turyst'!L63</f>
        <v>0</v>
      </c>
      <c r="N443" s="3415"/>
      <c r="O443" s="3415"/>
      <c r="P443" s="3415"/>
      <c r="Q443" s="3415"/>
      <c r="R443" s="3416"/>
      <c r="S443" s="3416"/>
      <c r="T443" s="3416"/>
      <c r="U443" s="3416"/>
      <c r="V443" s="3416"/>
    </row>
    <row r="444" spans="1:22" ht="14.25" customHeight="1" thickBot="1">
      <c r="A444" s="4544"/>
      <c r="B444" s="3417" t="s">
        <v>207</v>
      </c>
      <c r="C444" s="3430">
        <f>E444-E445</f>
        <v>0</v>
      </c>
      <c r="D444" s="3419"/>
      <c r="E444" s="3420">
        <f>+F444+G444+H444+I444+J444+K444+L444+M444</f>
        <v>6375000</v>
      </c>
      <c r="F444" s="3421">
        <f>'Tab. 6H - Kultura fiz. i turyst'!E65</f>
        <v>0</v>
      </c>
      <c r="G444" s="3421">
        <f>'Tab. 6H - Kultura fiz. i turyst'!F65</f>
        <v>0</v>
      </c>
      <c r="H444" s="3421">
        <f>'Tab. 6H - Kultura fiz. i turyst'!G65</f>
        <v>2975000</v>
      </c>
      <c r="I444" s="3421">
        <f>'Tab. 6H - Kultura fiz. i turyst'!H65</f>
        <v>3400000</v>
      </c>
      <c r="J444" s="3421">
        <f>'Tab. 6H - Kultura fiz. i turyst'!I65</f>
        <v>0</v>
      </c>
      <c r="K444" s="3421">
        <f>'Tab. 6H - Kultura fiz. i turyst'!J65</f>
        <v>0</v>
      </c>
      <c r="L444" s="3421">
        <f>'Tab. 6H - Kultura fiz. i turyst'!K65</f>
        <v>0</v>
      </c>
      <c r="M444" s="3421">
        <f>'Tab. 6H - Kultura fiz. i turyst'!L65</f>
        <v>0</v>
      </c>
      <c r="N444" s="3421"/>
      <c r="O444" s="3421"/>
      <c r="P444" s="3421"/>
      <c r="Q444" s="3421"/>
      <c r="R444" s="3422"/>
      <c r="S444" s="3423"/>
      <c r="T444" s="3423"/>
      <c r="U444" s="3423"/>
      <c r="V444" s="3423"/>
    </row>
    <row r="445" spans="1:22" ht="15" customHeight="1" thickBot="1">
      <c r="A445" s="4545"/>
      <c r="B445" s="3424" t="s">
        <v>335</v>
      </c>
      <c r="C445" s="3425"/>
      <c r="D445" s="3426"/>
      <c r="E445" s="3427">
        <f>F445+G445+H445+I445+J445+K445+L445+M445</f>
        <v>6375000</v>
      </c>
      <c r="F445" s="3428">
        <f>'Tab. 6H - Kultura fiz. i turyst'!E68</f>
        <v>0</v>
      </c>
      <c r="G445" s="3428">
        <f>'Tab. 6H - Kultura fiz. i turyst'!F68</f>
        <v>0</v>
      </c>
      <c r="H445" s="3428">
        <f>'Tab. 6H - Kultura fiz. i turyst'!G68</f>
        <v>1800000</v>
      </c>
      <c r="I445" s="3428">
        <f>'Tab. 6H - Kultura fiz. i turyst'!H68</f>
        <v>4575000</v>
      </c>
      <c r="J445" s="3428">
        <f>'Tab. 6H - Kultura fiz. i turyst'!I68</f>
        <v>0</v>
      </c>
      <c r="K445" s="3428">
        <f>'Tab. 6H - Kultura fiz. i turyst'!J68</f>
        <v>0</v>
      </c>
      <c r="L445" s="3428">
        <f>'Tab. 6H - Kultura fiz. i turyst'!K68</f>
        <v>0</v>
      </c>
      <c r="M445" s="3428">
        <f>'Tab. 6H - Kultura fiz. i turyst'!L68</f>
        <v>0</v>
      </c>
      <c r="N445" s="3428"/>
      <c r="O445" s="3428"/>
      <c r="P445" s="3428"/>
      <c r="Q445" s="3428"/>
      <c r="R445" s="3429"/>
      <c r="S445" s="3429"/>
      <c r="T445" s="3429"/>
      <c r="U445" s="3429"/>
      <c r="V445" s="3429"/>
    </row>
    <row r="446" spans="1:22" s="3389" customFormat="1" ht="36" customHeight="1">
      <c r="A446" s="4550" t="s">
        <v>93</v>
      </c>
      <c r="B446" s="3472" t="str">
        <f>'Tab. 6A -Drogi'!B264</f>
        <v>Rozbudowa drogi wojewódzkiej nr 114 na szlakowym odcinku Brzózki - Trzebież oraz przebudowa przejścia przez miejscowości Warnołęka i Brzózki w ramach Osi V RPO WZ (2016-2020)</v>
      </c>
      <c r="C446" s="3499" t="s">
        <v>336</v>
      </c>
      <c r="D446" s="3620">
        <f>E449/E447%</f>
        <v>84.582309582309577</v>
      </c>
      <c r="E446" s="3621"/>
      <c r="F446" s="3622"/>
      <c r="G446" s="3623"/>
      <c r="H446" s="3622"/>
      <c r="I446" s="3622"/>
      <c r="J446" s="3622"/>
      <c r="K446" s="3622"/>
      <c r="L446" s="3622"/>
      <c r="M446" s="3622"/>
      <c r="N446" s="3622"/>
      <c r="O446" s="3622"/>
      <c r="P446" s="3622"/>
      <c r="Q446" s="3622"/>
      <c r="R446" s="3624"/>
      <c r="S446" s="3625"/>
      <c r="T446" s="3625"/>
      <c r="U446" s="3625"/>
      <c r="V446" s="3625"/>
    </row>
    <row r="447" spans="1:22" ht="15" customHeight="1">
      <c r="A447" s="4551"/>
      <c r="B447" s="3406" t="s">
        <v>205</v>
      </c>
      <c r="C447" s="3407"/>
      <c r="D447" s="3408"/>
      <c r="E447" s="3409">
        <f>+F447+G447+H447+I447+J447+K447+L447+M447</f>
        <v>40700000</v>
      </c>
      <c r="F447" s="3410">
        <f>'Tab. 6A -Drogi'!E265</f>
        <v>874393</v>
      </c>
      <c r="G447" s="3410">
        <f>'Tab. 6A -Drogi'!F265</f>
        <v>488999</v>
      </c>
      <c r="H447" s="3410">
        <f>'Tab. 6A -Drogi'!G265</f>
        <v>2280014</v>
      </c>
      <c r="I447" s="3410">
        <f>'Tab. 6A -Drogi'!H265</f>
        <v>26500000</v>
      </c>
      <c r="J447" s="3410">
        <f>'Tab. 6A -Drogi'!I265</f>
        <v>10556594</v>
      </c>
      <c r="K447" s="3410">
        <f>'Tab. 6A -Drogi'!J265</f>
        <v>0</v>
      </c>
      <c r="L447" s="3410">
        <f>'Tab. 6A -Drogi'!K265</f>
        <v>0</v>
      </c>
      <c r="M447" s="3410">
        <f>'Tab. 6A -Drogi'!L265</f>
        <v>0</v>
      </c>
      <c r="N447" s="3410"/>
      <c r="O447" s="3410"/>
      <c r="P447" s="3410"/>
      <c r="Q447" s="3410"/>
      <c r="R447" s="3411"/>
      <c r="S447" s="3412"/>
      <c r="T447" s="3412"/>
      <c r="U447" s="3412"/>
      <c r="V447" s="3412"/>
    </row>
    <row r="448" spans="1:22" ht="15" customHeight="1">
      <c r="A448" s="4551"/>
      <c r="B448" s="3413" t="s">
        <v>609</v>
      </c>
      <c r="C448" s="2794"/>
      <c r="D448" s="3414"/>
      <c r="E448" s="3175">
        <f>+F448+G448+H448+I448+J448+K448+L448+M448</f>
        <v>6275000</v>
      </c>
      <c r="F448" s="3415">
        <f>'Tab. 6A -Drogi'!E266</f>
        <v>144271</v>
      </c>
      <c r="G448" s="3415">
        <f>'Tab. 6A -Drogi'!F266</f>
        <v>77226</v>
      </c>
      <c r="H448" s="3415">
        <f>'Tab. 6A -Drogi'!G266</f>
        <v>495014</v>
      </c>
      <c r="I448" s="3415">
        <f>'Tab. 6A -Drogi'!H266</f>
        <v>3975000</v>
      </c>
      <c r="J448" s="3415">
        <f>'Tab. 6A -Drogi'!I266</f>
        <v>1583489</v>
      </c>
      <c r="K448" s="3415">
        <f>'Tab. 6A -Drogi'!J266</f>
        <v>0</v>
      </c>
      <c r="L448" s="3415">
        <f>'Tab. 6A -Drogi'!K266</f>
        <v>0</v>
      </c>
      <c r="M448" s="3415">
        <f>'Tab. 6A -Drogi'!L266</f>
        <v>0</v>
      </c>
      <c r="N448" s="3415"/>
      <c r="O448" s="3415"/>
      <c r="P448" s="3415"/>
      <c r="Q448" s="3415"/>
      <c r="R448" s="3416"/>
      <c r="S448" s="3416"/>
      <c r="T448" s="3416"/>
      <c r="U448" s="3416"/>
      <c r="V448" s="3416"/>
    </row>
    <row r="449" spans="1:22" ht="15" customHeight="1" thickBot="1">
      <c r="A449" s="4551"/>
      <c r="B449" s="3417" t="s">
        <v>207</v>
      </c>
      <c r="C449" s="3430">
        <f>E449-E450</f>
        <v>0</v>
      </c>
      <c r="D449" s="3419"/>
      <c r="E449" s="3420">
        <f>+F449+G449+H449+I449+J449+K449+L449+M449</f>
        <v>34425000</v>
      </c>
      <c r="F449" s="3421">
        <f>'Tab. 6A -Drogi'!E269</f>
        <v>730122</v>
      </c>
      <c r="G449" s="3421">
        <f>'Tab. 6A -Drogi'!F269</f>
        <v>411773</v>
      </c>
      <c r="H449" s="3421">
        <f>'Tab. 6A -Drogi'!G269</f>
        <v>1785000</v>
      </c>
      <c r="I449" s="3421">
        <f>'Tab. 6A -Drogi'!H269</f>
        <v>22525000</v>
      </c>
      <c r="J449" s="3421">
        <f>'Tab. 6A -Drogi'!I269</f>
        <v>8973105</v>
      </c>
      <c r="K449" s="3421">
        <f>'Tab. 6A -Drogi'!J269</f>
        <v>0</v>
      </c>
      <c r="L449" s="3421">
        <f>'Tab. 6A -Drogi'!K269</f>
        <v>0</v>
      </c>
      <c r="M449" s="3421">
        <f>'Tab. 6A -Drogi'!L269</f>
        <v>0</v>
      </c>
      <c r="N449" s="3421"/>
      <c r="O449" s="3421"/>
      <c r="P449" s="3421"/>
      <c r="Q449" s="3421"/>
      <c r="R449" s="3422"/>
      <c r="S449" s="3423"/>
      <c r="T449" s="3423"/>
      <c r="U449" s="3423"/>
      <c r="V449" s="3423"/>
    </row>
    <row r="450" spans="1:22" ht="15" customHeight="1" thickBot="1">
      <c r="A450" s="4552"/>
      <c r="B450" s="3424" t="s">
        <v>335</v>
      </c>
      <c r="C450" s="3425"/>
      <c r="D450" s="3426"/>
      <c r="E450" s="3427">
        <f>F450+G450+H450+I450+J450+K450+L450+M450</f>
        <v>34425000</v>
      </c>
      <c r="F450" s="3428">
        <f>'Tab. 6A -Drogi'!E274</f>
        <v>0</v>
      </c>
      <c r="G450" s="3428">
        <f>'Tab. 6A -Drogi'!F274</f>
        <v>0</v>
      </c>
      <c r="H450" s="3428">
        <f>'Tab. 6A -Drogi'!G274</f>
        <v>2926895</v>
      </c>
      <c r="I450" s="3428">
        <f>'Tab. 6A -Drogi'!H274</f>
        <v>22525000</v>
      </c>
      <c r="J450" s="3428">
        <f>'Tab. 6A -Drogi'!I274</f>
        <v>8973105</v>
      </c>
      <c r="K450" s="3428">
        <f>'Tab. 6A -Drogi'!J274</f>
        <v>0</v>
      </c>
      <c r="L450" s="3428">
        <f>'Tab. 6A -Drogi'!K274</f>
        <v>0</v>
      </c>
      <c r="M450" s="3428">
        <f>'Tab. 6A -Drogi'!L274</f>
        <v>0</v>
      </c>
      <c r="N450" s="3428"/>
      <c r="O450" s="3428"/>
      <c r="P450" s="3428"/>
      <c r="Q450" s="3428"/>
      <c r="R450" s="3429"/>
      <c r="S450" s="3429"/>
      <c r="T450" s="3429"/>
      <c r="U450" s="3429"/>
      <c r="V450" s="3429"/>
    </row>
    <row r="451" spans="1:22" ht="39.75" customHeight="1">
      <c r="A451" s="4549" t="s">
        <v>94</v>
      </c>
      <c r="B451" s="3398" t="str">
        <f>'Tab. 6H - Kultura fiz. i turyst'!B218</f>
        <v>Przystosowanie mostu europejskiego Siekierki-Neurudnitz do ruchu turystycznego w ramach programu Interreg V A - wydatki majątkowe (2016-2020)</v>
      </c>
      <c r="C451" s="3399" t="s">
        <v>336</v>
      </c>
      <c r="D451" s="3400">
        <f>E454/E452%</f>
        <v>83.327784702598237</v>
      </c>
      <c r="E451" s="3401"/>
      <c r="F451" s="3402"/>
      <c r="G451" s="3403"/>
      <c r="H451" s="3402"/>
      <c r="I451" s="3402"/>
      <c r="J451" s="3402"/>
      <c r="K451" s="3402"/>
      <c r="L451" s="3402"/>
      <c r="M451" s="3402"/>
      <c r="N451" s="3402"/>
      <c r="O451" s="3402"/>
      <c r="P451" s="3402"/>
      <c r="Q451" s="3402"/>
      <c r="R451" s="3404"/>
      <c r="S451" s="3405"/>
      <c r="T451" s="3405"/>
      <c r="U451" s="3405"/>
      <c r="V451" s="3405"/>
    </row>
    <row r="452" spans="1:22" ht="15" customHeight="1">
      <c r="A452" s="4544"/>
      <c r="B452" s="3406" t="s">
        <v>205</v>
      </c>
      <c r="C452" s="3407"/>
      <c r="D452" s="3408"/>
      <c r="E452" s="3409">
        <f>+F452+G452+H452+I452+J452+K452+L452+M452</f>
        <v>7217997</v>
      </c>
      <c r="F452" s="3410">
        <f>'Tab. 6H - Kultura fiz. i turyst'!E219</f>
        <v>191980</v>
      </c>
      <c r="G452" s="3410">
        <f>'Tab. 6H - Kultura fiz. i turyst'!F219</f>
        <v>0</v>
      </c>
      <c r="H452" s="3410">
        <f>'Tab. 6H - Kultura fiz. i turyst'!G219</f>
        <v>0</v>
      </c>
      <c r="I452" s="3410">
        <f>'Tab. 6H - Kultura fiz. i turyst'!H219</f>
        <v>4414172</v>
      </c>
      <c r="J452" s="3410">
        <f>'Tab. 6H - Kultura fiz. i turyst'!I219</f>
        <v>2611845</v>
      </c>
      <c r="K452" s="3410">
        <f>'Tab. 6H - Kultura fiz. i turyst'!J219</f>
        <v>0</v>
      </c>
      <c r="L452" s="3410">
        <f>'Tab. 6H - Kultura fiz. i turyst'!K219</f>
        <v>0</v>
      </c>
      <c r="M452" s="3410">
        <f>'Tab. 6H - Kultura fiz. i turyst'!L219</f>
        <v>0</v>
      </c>
      <c r="N452" s="3410"/>
      <c r="O452" s="3410"/>
      <c r="P452" s="3410"/>
      <c r="Q452" s="3410"/>
      <c r="R452" s="3411"/>
      <c r="S452" s="3412"/>
      <c r="T452" s="3412"/>
      <c r="U452" s="3412"/>
      <c r="V452" s="3412"/>
    </row>
    <row r="453" spans="1:22" ht="15" customHeight="1">
      <c r="A453" s="4544"/>
      <c r="B453" s="3413" t="s">
        <v>339</v>
      </c>
      <c r="C453" s="2794"/>
      <c r="D453" s="3414"/>
      <c r="E453" s="3175">
        <f>+F453+G453+H453+I453+J453+K453+L453+M453</f>
        <v>1203400</v>
      </c>
      <c r="F453" s="3415">
        <f>'Tab. 6H - Kultura fiz. i turyst'!E220</f>
        <v>149497</v>
      </c>
      <c r="G453" s="3415">
        <f>'Tab. 6H - Kultura fiz. i turyst'!F220</f>
        <v>0</v>
      </c>
      <c r="H453" s="3415">
        <f>'Tab. 6H - Kultura fiz. i turyst'!G220</f>
        <v>0</v>
      </c>
      <c r="I453" s="3415">
        <f>'Tab. 6H - Kultura fiz. i turyst'!H220</f>
        <v>662126</v>
      </c>
      <c r="J453" s="3415">
        <f>'Tab. 6H - Kultura fiz. i turyst'!I220</f>
        <v>391777</v>
      </c>
      <c r="K453" s="3415">
        <f>'Tab. 6H - Kultura fiz. i turyst'!J220</f>
        <v>0</v>
      </c>
      <c r="L453" s="3415">
        <f>'Tab. 6H - Kultura fiz. i turyst'!K220</f>
        <v>0</v>
      </c>
      <c r="M453" s="3415">
        <f>'Tab. 6H - Kultura fiz. i turyst'!L220</f>
        <v>0</v>
      </c>
      <c r="N453" s="3415"/>
      <c r="O453" s="3415"/>
      <c r="P453" s="3415"/>
      <c r="Q453" s="3415"/>
      <c r="R453" s="3416"/>
      <c r="S453" s="3416"/>
      <c r="T453" s="3416"/>
      <c r="U453" s="3416"/>
      <c r="V453" s="3416"/>
    </row>
    <row r="454" spans="1:22" ht="15" customHeight="1" thickBot="1">
      <c r="A454" s="4544"/>
      <c r="B454" s="3417" t="s">
        <v>207</v>
      </c>
      <c r="C454" s="3430">
        <f>E454-E455</f>
        <v>0</v>
      </c>
      <c r="D454" s="3419"/>
      <c r="E454" s="3420">
        <f>+F454+G454+H454+I454+J454+K454+L454+M454</f>
        <v>6014597</v>
      </c>
      <c r="F454" s="3421">
        <f>'Tab. 6H - Kultura fiz. i turyst'!E223</f>
        <v>42483</v>
      </c>
      <c r="G454" s="3421">
        <f>'Tab. 6H - Kultura fiz. i turyst'!F223</f>
        <v>0</v>
      </c>
      <c r="H454" s="3421">
        <f>'Tab. 6H - Kultura fiz. i turyst'!G223</f>
        <v>0</v>
      </c>
      <c r="I454" s="3421">
        <f>'Tab. 6H - Kultura fiz. i turyst'!H223</f>
        <v>3752046</v>
      </c>
      <c r="J454" s="3421">
        <f>'Tab. 6H - Kultura fiz. i turyst'!I223</f>
        <v>2220068</v>
      </c>
      <c r="K454" s="3421">
        <f>'Tab. 6H - Kultura fiz. i turyst'!J223</f>
        <v>0</v>
      </c>
      <c r="L454" s="3421">
        <f>'Tab. 6H - Kultura fiz. i turyst'!K223</f>
        <v>0</v>
      </c>
      <c r="M454" s="3421">
        <f>'Tab. 6H - Kultura fiz. i turyst'!L223</f>
        <v>0</v>
      </c>
      <c r="N454" s="3421"/>
      <c r="O454" s="3421"/>
      <c r="P454" s="3421"/>
      <c r="Q454" s="3421"/>
      <c r="R454" s="3422"/>
      <c r="S454" s="3423"/>
      <c r="T454" s="3423"/>
      <c r="U454" s="3423"/>
      <c r="V454" s="3423"/>
    </row>
    <row r="455" spans="1:22" ht="15" customHeight="1" thickBot="1">
      <c r="A455" s="4545"/>
      <c r="B455" s="3424" t="s">
        <v>335</v>
      </c>
      <c r="C455" s="3425"/>
      <c r="D455" s="3426"/>
      <c r="E455" s="3427">
        <f>F455+G455+H455+I455+J455+K455+L455+M455</f>
        <v>6014597</v>
      </c>
      <c r="F455" s="3428">
        <f>'Tab. 6H - Kultura fiz. i turyst'!E228</f>
        <v>0</v>
      </c>
      <c r="G455" s="3428">
        <f>'Tab. 6H - Kultura fiz. i turyst'!F228</f>
        <v>0</v>
      </c>
      <c r="H455" s="3428">
        <f>'Tab. 6H - Kultura fiz. i turyst'!G228</f>
        <v>0</v>
      </c>
      <c r="I455" s="3428">
        <f>'Tab. 6H - Kultura fiz. i turyst'!H228</f>
        <v>237555</v>
      </c>
      <c r="J455" s="3428">
        <f>'Tab. 6H - Kultura fiz. i turyst'!I228</f>
        <v>4513210</v>
      </c>
      <c r="K455" s="3428">
        <f>'Tab. 6H - Kultura fiz. i turyst'!J228</f>
        <v>1263832</v>
      </c>
      <c r="L455" s="3428">
        <f>'Tab. 6H - Kultura fiz. i turyst'!K228</f>
        <v>0</v>
      </c>
      <c r="M455" s="3428">
        <f>'Tab. 6H - Kultura fiz. i turyst'!L228</f>
        <v>0</v>
      </c>
      <c r="N455" s="3428"/>
      <c r="O455" s="3428"/>
      <c r="P455" s="3428"/>
      <c r="Q455" s="3428"/>
      <c r="R455" s="3429"/>
      <c r="S455" s="3429"/>
      <c r="T455" s="3429"/>
      <c r="U455" s="3429"/>
      <c r="V455" s="3429"/>
    </row>
    <row r="456" spans="1:22" ht="39" customHeight="1">
      <c r="A456" s="4549" t="s">
        <v>95</v>
      </c>
      <c r="B456" s="3398" t="str">
        <f>'Tab. 6H - Kultura fiz. i turyst'!B49</f>
        <v>Budowa sieci tras rowerowych Pomorza Zachodniego - Trasa Zielonego Pogranicza odc. Gryfino - Trzcińsko Zdrój w ramach Osi IV RPO WZ (2017-2018)</v>
      </c>
      <c r="C456" s="3399" t="s">
        <v>336</v>
      </c>
      <c r="D456" s="3400">
        <f>E459/E457%</f>
        <v>83.737692248631973</v>
      </c>
      <c r="E456" s="3401"/>
      <c r="F456" s="3402"/>
      <c r="G456" s="3403"/>
      <c r="H456" s="3402"/>
      <c r="I456" s="3402"/>
      <c r="J456" s="3402"/>
      <c r="K456" s="3402"/>
      <c r="L456" s="3402"/>
      <c r="M456" s="3402"/>
      <c r="N456" s="3402"/>
      <c r="O456" s="3402"/>
      <c r="P456" s="3402"/>
      <c r="Q456" s="3402"/>
      <c r="R456" s="3404"/>
      <c r="S456" s="3405"/>
      <c r="T456" s="3405"/>
      <c r="U456" s="3405"/>
      <c r="V456" s="3405"/>
    </row>
    <row r="457" spans="1:22" ht="15" customHeight="1">
      <c r="A457" s="4544"/>
      <c r="B457" s="3406" t="s">
        <v>205</v>
      </c>
      <c r="C457" s="3407"/>
      <c r="D457" s="3408"/>
      <c r="E457" s="3409">
        <f>+F457+G457+H457+I457+J457+K457+L457+M457</f>
        <v>6733663</v>
      </c>
      <c r="F457" s="3410">
        <f>'Tab. 6H - Kultura fiz. i turyst'!E50</f>
        <v>0</v>
      </c>
      <c r="G457" s="3410">
        <f>'Tab. 6H - Kultura fiz. i turyst'!F50</f>
        <v>217780</v>
      </c>
      <c r="H457" s="3410">
        <f>'Tab. 6H - Kultura fiz. i turyst'!G50</f>
        <v>6515883</v>
      </c>
      <c r="I457" s="3410">
        <f>'Tab. 6H - Kultura fiz. i turyst'!H50</f>
        <v>0</v>
      </c>
      <c r="J457" s="3410">
        <f>'Tab. 6H - Kultura fiz. i turyst'!I50</f>
        <v>0</v>
      </c>
      <c r="K457" s="3410">
        <f>'Tab. 6H - Kultura fiz. i turyst'!J50</f>
        <v>0</v>
      </c>
      <c r="L457" s="3410">
        <f>'Tab. 6H - Kultura fiz. i turyst'!K50</f>
        <v>0</v>
      </c>
      <c r="M457" s="3410">
        <f>'Tab. 6H - Kultura fiz. i turyst'!L50</f>
        <v>0</v>
      </c>
      <c r="N457" s="3410"/>
      <c r="O457" s="3410"/>
      <c r="P457" s="3410"/>
      <c r="Q457" s="3410"/>
      <c r="R457" s="3411"/>
      <c r="S457" s="3412"/>
      <c r="T457" s="3412"/>
      <c r="U457" s="3412"/>
      <c r="V457" s="3412"/>
    </row>
    <row r="458" spans="1:22" ht="15" customHeight="1">
      <c r="A458" s="4544"/>
      <c r="B458" s="3413" t="s">
        <v>339</v>
      </c>
      <c r="C458" s="2794"/>
      <c r="D458" s="3414"/>
      <c r="E458" s="3175">
        <f>+F458+G458+H458+I458+J458+K458+L458+M458</f>
        <v>1095049</v>
      </c>
      <c r="F458" s="3415">
        <f>'Tab. 6H - Kultura fiz. i turyst'!E51</f>
        <v>0</v>
      </c>
      <c r="G458" s="3415">
        <f>'Tab. 6H - Kultura fiz. i turyst'!F51</f>
        <v>42149</v>
      </c>
      <c r="H458" s="3415">
        <f>'Tab. 6H - Kultura fiz. i turyst'!G51</f>
        <v>1052900</v>
      </c>
      <c r="I458" s="3415">
        <f>'Tab. 6H - Kultura fiz. i turyst'!H51</f>
        <v>0</v>
      </c>
      <c r="J458" s="3415">
        <f>'Tab. 6H - Kultura fiz. i turyst'!I51</f>
        <v>0</v>
      </c>
      <c r="K458" s="3415">
        <f>'Tab. 6H - Kultura fiz. i turyst'!J51</f>
        <v>0</v>
      </c>
      <c r="L458" s="3415">
        <f>'Tab. 6H - Kultura fiz. i turyst'!K51</f>
        <v>0</v>
      </c>
      <c r="M458" s="3415">
        <f>'Tab. 6H - Kultura fiz. i turyst'!L51</f>
        <v>0</v>
      </c>
      <c r="N458" s="3415"/>
      <c r="O458" s="3415"/>
      <c r="P458" s="3415"/>
      <c r="Q458" s="3415"/>
      <c r="R458" s="3416"/>
      <c r="S458" s="3416"/>
      <c r="T458" s="3416"/>
      <c r="U458" s="3416"/>
      <c r="V458" s="3416"/>
    </row>
    <row r="459" spans="1:22" ht="15" customHeight="1" thickBot="1">
      <c r="A459" s="4544"/>
      <c r="B459" s="3417" t="s">
        <v>207</v>
      </c>
      <c r="C459" s="3430">
        <f>E459-E460</f>
        <v>0</v>
      </c>
      <c r="D459" s="3419"/>
      <c r="E459" s="3420">
        <f>+F459+G459+H459+I459+J459+K459+L459+M459</f>
        <v>5638614</v>
      </c>
      <c r="F459" s="3421">
        <f>'Tab. 6H - Kultura fiz. i turyst'!E55</f>
        <v>0</v>
      </c>
      <c r="G459" s="3421">
        <f>'Tab. 6H - Kultura fiz. i turyst'!F55</f>
        <v>175631</v>
      </c>
      <c r="H459" s="3421">
        <f>'Tab. 6H - Kultura fiz. i turyst'!G55</f>
        <v>5462983</v>
      </c>
      <c r="I459" s="3421">
        <f>'Tab. 6H - Kultura fiz. i turyst'!H55</f>
        <v>0</v>
      </c>
      <c r="J459" s="3421">
        <f>'Tab. 6H - Kultura fiz. i turyst'!I55</f>
        <v>0</v>
      </c>
      <c r="K459" s="3421">
        <f>'Tab. 6H - Kultura fiz. i turyst'!J55</f>
        <v>0</v>
      </c>
      <c r="L459" s="3421">
        <f>'Tab. 6H - Kultura fiz. i turyst'!K55</f>
        <v>0</v>
      </c>
      <c r="M459" s="3421">
        <f>'Tab. 6H - Kultura fiz. i turyst'!L55</f>
        <v>0</v>
      </c>
      <c r="N459" s="3421"/>
      <c r="O459" s="3421"/>
      <c r="P459" s="3421"/>
      <c r="Q459" s="3421"/>
      <c r="R459" s="3422"/>
      <c r="S459" s="3423"/>
      <c r="T459" s="3423"/>
      <c r="U459" s="3423"/>
      <c r="V459" s="3423"/>
    </row>
    <row r="460" spans="1:22" ht="15" customHeight="1" thickBot="1">
      <c r="A460" s="4545"/>
      <c r="B460" s="3424" t="s">
        <v>335</v>
      </c>
      <c r="C460" s="3425"/>
      <c r="D460" s="3426"/>
      <c r="E460" s="3427">
        <f>F460+G460+H460+I460+J460+K460+L460+M460</f>
        <v>5638614</v>
      </c>
      <c r="F460" s="3428">
        <f>'Tab. 6H - Kultura fiz. i turyst'!E59</f>
        <v>0</v>
      </c>
      <c r="G460" s="3428">
        <f>'Tab. 6H - Kultura fiz. i turyst'!F59</f>
        <v>0</v>
      </c>
      <c r="H460" s="3428">
        <f>'Tab. 6H - Kultura fiz. i turyst'!G59</f>
        <v>5638614</v>
      </c>
      <c r="I460" s="3428">
        <f>'Tab. 6H - Kultura fiz. i turyst'!H59</f>
        <v>0</v>
      </c>
      <c r="J460" s="3428">
        <f>'Tab. 6H - Kultura fiz. i turyst'!I59</f>
        <v>0</v>
      </c>
      <c r="K460" s="3428">
        <f>'Tab. 6H - Kultura fiz. i turyst'!J59</f>
        <v>0</v>
      </c>
      <c r="L460" s="3428">
        <f>'Tab. 6H - Kultura fiz. i turyst'!K59</f>
        <v>0</v>
      </c>
      <c r="M460" s="3428">
        <f>'Tab. 6H - Kultura fiz. i turyst'!L59</f>
        <v>0</v>
      </c>
      <c r="N460" s="3428"/>
      <c r="O460" s="3428"/>
      <c r="P460" s="3428"/>
      <c r="Q460" s="3428"/>
      <c r="R460" s="3429"/>
      <c r="S460" s="3429"/>
      <c r="T460" s="3429"/>
      <c r="U460" s="3429"/>
      <c r="V460" s="3429"/>
    </row>
    <row r="461" spans="1:22" ht="27.75" customHeight="1">
      <c r="A461" s="4550" t="s">
        <v>96</v>
      </c>
      <c r="B461" s="3472" t="str">
        <f>'Tab. 6A -Drogi'!B276</f>
        <v>Rozbudowa drogi wojewódzkiej nr 151 na odcinku Płotno-Pełczyce w ramach Osi V RPO WZ (2018-2019)</v>
      </c>
      <c r="C461" s="3399" t="s">
        <v>336</v>
      </c>
      <c r="D461" s="3400">
        <f>E464/E462%</f>
        <v>84.522471910112358</v>
      </c>
      <c r="E461" s="3401"/>
      <c r="F461" s="3402"/>
      <c r="G461" s="3403"/>
      <c r="H461" s="3402"/>
      <c r="I461" s="3402"/>
      <c r="J461" s="3402"/>
      <c r="K461" s="3402"/>
      <c r="L461" s="3402"/>
      <c r="M461" s="3402"/>
      <c r="N461" s="3402"/>
      <c r="O461" s="3402"/>
      <c r="P461" s="3402"/>
      <c r="Q461" s="3402"/>
      <c r="R461" s="3404"/>
      <c r="S461" s="3405"/>
      <c r="T461" s="3405"/>
      <c r="U461" s="3405"/>
      <c r="V461" s="3405"/>
    </row>
    <row r="462" spans="1:22" ht="14.25" customHeight="1">
      <c r="A462" s="4551"/>
      <c r="B462" s="3406" t="s">
        <v>205</v>
      </c>
      <c r="C462" s="3407"/>
      <c r="D462" s="3408"/>
      <c r="E462" s="3409">
        <f>+F462+G462+H462+I462+J462+K462+L462+M462</f>
        <v>17800000</v>
      </c>
      <c r="F462" s="3410">
        <f>'Tab. 6A -Drogi'!E277</f>
        <v>0</v>
      </c>
      <c r="G462" s="3410">
        <f>'Tab. 6A -Drogi'!F277</f>
        <v>0</v>
      </c>
      <c r="H462" s="3410">
        <f>'Tab. 6A -Drogi'!G277</f>
        <v>2290650</v>
      </c>
      <c r="I462" s="3410">
        <f>'Tab. 6A -Drogi'!H277</f>
        <v>15509350</v>
      </c>
      <c r="J462" s="3410">
        <f>'Tab. 6A -Drogi'!I277</f>
        <v>0</v>
      </c>
      <c r="K462" s="3410">
        <f>'Tab. 6A -Drogi'!J277</f>
        <v>0</v>
      </c>
      <c r="L462" s="3410">
        <f>'Tab. 6A -Drogi'!K277</f>
        <v>0</v>
      </c>
      <c r="M462" s="3410">
        <f>'Tab. 6A -Drogi'!L277</f>
        <v>0</v>
      </c>
      <c r="N462" s="3410"/>
      <c r="O462" s="3410"/>
      <c r="P462" s="3410"/>
      <c r="Q462" s="3410"/>
      <c r="R462" s="3411"/>
      <c r="S462" s="3412"/>
      <c r="T462" s="3412"/>
      <c r="U462" s="3412"/>
      <c r="V462" s="3412"/>
    </row>
    <row r="463" spans="1:22" ht="13.5" customHeight="1">
      <c r="A463" s="4551"/>
      <c r="B463" s="3413" t="s">
        <v>338</v>
      </c>
      <c r="C463" s="2794"/>
      <c r="D463" s="3414"/>
      <c r="E463" s="3175">
        <f>+F463+G463+H463+I463+J463+K463+L463+M463</f>
        <v>2755000</v>
      </c>
      <c r="F463" s="3415">
        <f>'Tab. 6A -Drogi'!E278</f>
        <v>0</v>
      </c>
      <c r="G463" s="3415">
        <f>'Tab. 6A -Drogi'!F278</f>
        <v>0</v>
      </c>
      <c r="H463" s="3415">
        <f>'Tab. 6A -Drogi'!G278</f>
        <v>428598</v>
      </c>
      <c r="I463" s="3415">
        <f>'Tab. 6A -Drogi'!H278</f>
        <v>2326402</v>
      </c>
      <c r="J463" s="3415">
        <f>'Tab. 6A -Drogi'!I278</f>
        <v>0</v>
      </c>
      <c r="K463" s="3415">
        <f>'Tab. 6A -Drogi'!J278</f>
        <v>0</v>
      </c>
      <c r="L463" s="3415">
        <f>'Tab. 6A -Drogi'!K278</f>
        <v>0</v>
      </c>
      <c r="M463" s="3415">
        <f>'Tab. 6A -Drogi'!L278</f>
        <v>0</v>
      </c>
      <c r="N463" s="3415"/>
      <c r="O463" s="3415"/>
      <c r="P463" s="3415"/>
      <c r="Q463" s="3415"/>
      <c r="R463" s="3416"/>
      <c r="S463" s="3416"/>
      <c r="T463" s="3416"/>
      <c r="U463" s="3416"/>
      <c r="V463" s="3416"/>
    </row>
    <row r="464" spans="1:22" ht="13.5" customHeight="1" thickBot="1">
      <c r="A464" s="4551"/>
      <c r="B464" s="3417" t="s">
        <v>207</v>
      </c>
      <c r="C464" s="3430">
        <f>E464-E465</f>
        <v>0</v>
      </c>
      <c r="D464" s="3419"/>
      <c r="E464" s="3420">
        <f>+F464+G464+H464+I464+J464+K464+L464+M464</f>
        <v>15045000</v>
      </c>
      <c r="F464" s="3421">
        <f>'Tab. 6A -Drogi'!E282</f>
        <v>0</v>
      </c>
      <c r="G464" s="3421">
        <f>'Tab. 6A -Drogi'!F282</f>
        <v>0</v>
      </c>
      <c r="H464" s="3421">
        <f>'Tab. 6A -Drogi'!G282</f>
        <v>1862052</v>
      </c>
      <c r="I464" s="3421">
        <f>'Tab. 6A -Drogi'!H282</f>
        <v>13182948</v>
      </c>
      <c r="J464" s="3421">
        <f>'Tab. 6A -Drogi'!I282</f>
        <v>0</v>
      </c>
      <c r="K464" s="3421">
        <f>'Tab. 6A -Drogi'!J282</f>
        <v>0</v>
      </c>
      <c r="L464" s="3421">
        <f>'Tab. 6A -Drogi'!K282</f>
        <v>0</v>
      </c>
      <c r="M464" s="3421">
        <f>'Tab. 6A -Drogi'!L282</f>
        <v>0</v>
      </c>
      <c r="N464" s="3421"/>
      <c r="O464" s="3421"/>
      <c r="P464" s="3421"/>
      <c r="Q464" s="3421"/>
      <c r="R464" s="3422"/>
      <c r="S464" s="3423"/>
      <c r="T464" s="3423"/>
      <c r="U464" s="3423"/>
      <c r="V464" s="3423"/>
    </row>
    <row r="465" spans="1:22" ht="13.5" customHeight="1" thickBot="1">
      <c r="A465" s="4552"/>
      <c r="B465" s="3424" t="s">
        <v>335</v>
      </c>
      <c r="C465" s="3425"/>
      <c r="D465" s="3426"/>
      <c r="E465" s="3427">
        <f>F465+G465+H465+I465+J465+K465+L465+M465</f>
        <v>15045000</v>
      </c>
      <c r="F465" s="3428">
        <f>'Tab. 6A -Drogi'!E287</f>
        <v>0</v>
      </c>
      <c r="G465" s="3428">
        <f>'Tab. 6A -Drogi'!F287</f>
        <v>0</v>
      </c>
      <c r="H465" s="3428">
        <f>'Tab. 6A -Drogi'!G287</f>
        <v>1862052</v>
      </c>
      <c r="I465" s="3428">
        <f>'Tab. 6A -Drogi'!H287</f>
        <v>13182948</v>
      </c>
      <c r="J465" s="3428">
        <f>'Tab. 6A -Drogi'!I287</f>
        <v>0</v>
      </c>
      <c r="K465" s="3428">
        <f>'Tab. 6A -Drogi'!J287</f>
        <v>0</v>
      </c>
      <c r="L465" s="3428">
        <f>'Tab. 6A -Drogi'!K287</f>
        <v>0</v>
      </c>
      <c r="M465" s="3428">
        <f>'Tab. 6A -Drogi'!L287</f>
        <v>0</v>
      </c>
      <c r="N465" s="3428"/>
      <c r="O465" s="3428"/>
      <c r="P465" s="3428"/>
      <c r="Q465" s="3428"/>
      <c r="R465" s="3429"/>
      <c r="S465" s="3429"/>
      <c r="T465" s="3429"/>
      <c r="U465" s="3429"/>
      <c r="V465" s="3429"/>
    </row>
    <row r="466" spans="1:22" ht="14.25" hidden="1" customHeight="1">
      <c r="A466" s="4553"/>
      <c r="B466" s="3520"/>
      <c r="C466" s="3626" t="s">
        <v>336</v>
      </c>
      <c r="D466" s="3400" t="e">
        <f>E469/E467%</f>
        <v>#DIV/0!</v>
      </c>
      <c r="E466" s="3401"/>
      <c r="F466" s="3402"/>
      <c r="G466" s="3403"/>
      <c r="H466" s="3402"/>
      <c r="I466" s="3402"/>
      <c r="J466" s="3402"/>
      <c r="K466" s="3402"/>
      <c r="L466" s="3402"/>
      <c r="M466" s="3402"/>
      <c r="N466" s="3402"/>
      <c r="O466" s="3402"/>
      <c r="P466" s="3402"/>
      <c r="Q466" s="3402"/>
      <c r="R466" s="3404"/>
      <c r="S466" s="3405"/>
      <c r="T466" s="3405"/>
      <c r="U466" s="3405"/>
      <c r="V466" s="3405"/>
    </row>
    <row r="467" spans="1:22" ht="13.5" hidden="1" customHeight="1">
      <c r="A467" s="4554"/>
      <c r="B467" s="3406" t="s">
        <v>205</v>
      </c>
      <c r="C467" s="3407"/>
      <c r="D467" s="3408"/>
      <c r="E467" s="3409">
        <f>+F467+G467+H467+I467+J467+K467+L467+M467</f>
        <v>0</v>
      </c>
      <c r="F467" s="3410"/>
      <c r="G467" s="3410"/>
      <c r="H467" s="3410"/>
      <c r="I467" s="3410"/>
      <c r="J467" s="3410"/>
      <c r="K467" s="3410"/>
      <c r="L467" s="3410"/>
      <c r="M467" s="3410"/>
      <c r="N467" s="3410"/>
      <c r="O467" s="3410"/>
      <c r="P467" s="3410"/>
      <c r="Q467" s="3410"/>
      <c r="R467" s="3411"/>
      <c r="S467" s="3412"/>
      <c r="T467" s="3412"/>
      <c r="U467" s="3412"/>
      <c r="V467" s="3412"/>
    </row>
    <row r="468" spans="1:22" ht="13.5" hidden="1" customHeight="1">
      <c r="A468" s="4554"/>
      <c r="B468" s="3413" t="s">
        <v>338</v>
      </c>
      <c r="C468" s="2794"/>
      <c r="D468" s="3414"/>
      <c r="E468" s="3175">
        <f>+F468+G468+H468+I468+J468+K468+L468+M468</f>
        <v>0</v>
      </c>
      <c r="F468" s="3415"/>
      <c r="G468" s="3415"/>
      <c r="H468" s="3415"/>
      <c r="I468" s="3415"/>
      <c r="J468" s="3415"/>
      <c r="K468" s="3415"/>
      <c r="L468" s="3415"/>
      <c r="M468" s="3415"/>
      <c r="N468" s="3415"/>
      <c r="O468" s="3415"/>
      <c r="P468" s="3415"/>
      <c r="Q468" s="3415"/>
      <c r="R468" s="3416"/>
      <c r="S468" s="3416"/>
      <c r="T468" s="3416"/>
      <c r="U468" s="3416"/>
      <c r="V468" s="3416"/>
    </row>
    <row r="469" spans="1:22" ht="13.5" hidden="1" customHeight="1" thickBot="1">
      <c r="A469" s="4554"/>
      <c r="B469" s="3417" t="s">
        <v>207</v>
      </c>
      <c r="C469" s="3430">
        <f>E469-E470</f>
        <v>0</v>
      </c>
      <c r="D469" s="3419"/>
      <c r="E469" s="3420">
        <f>+F469+G469+H469+I469+J469+K469+L469+M469</f>
        <v>0</v>
      </c>
      <c r="F469" s="3421"/>
      <c r="G469" s="3421"/>
      <c r="H469" s="3421"/>
      <c r="I469" s="3421"/>
      <c r="J469" s="3421"/>
      <c r="K469" s="3421"/>
      <c r="L469" s="3421"/>
      <c r="M469" s="3421"/>
      <c r="N469" s="3421"/>
      <c r="O469" s="3421"/>
      <c r="P469" s="3421"/>
      <c r="Q469" s="3421"/>
      <c r="R469" s="3422"/>
      <c r="S469" s="3423"/>
      <c r="T469" s="3423"/>
      <c r="U469" s="3423"/>
      <c r="V469" s="3423"/>
    </row>
    <row r="470" spans="1:22" ht="13.5" hidden="1" customHeight="1" thickBot="1">
      <c r="A470" s="4555"/>
      <c r="B470" s="3424" t="s">
        <v>335</v>
      </c>
      <c r="C470" s="3425"/>
      <c r="D470" s="3426"/>
      <c r="E470" s="3427">
        <f>F470+G470+H470+I470+J470+K470+L470+M470</f>
        <v>0</v>
      </c>
      <c r="F470" s="3428"/>
      <c r="G470" s="3428"/>
      <c r="H470" s="3428"/>
      <c r="I470" s="3428"/>
      <c r="J470" s="3428"/>
      <c r="K470" s="3428"/>
      <c r="L470" s="3428"/>
      <c r="M470" s="3428"/>
      <c r="N470" s="3428"/>
      <c r="O470" s="3428"/>
      <c r="P470" s="3428"/>
      <c r="Q470" s="3428"/>
      <c r="R470" s="3429"/>
      <c r="S470" s="3429"/>
      <c r="T470" s="3429"/>
      <c r="U470" s="3429"/>
      <c r="V470" s="3429"/>
    </row>
    <row r="471" spans="1:22" ht="14.25" hidden="1" customHeight="1">
      <c r="A471" s="4553"/>
      <c r="B471" s="3520"/>
      <c r="C471" s="3626" t="s">
        <v>336</v>
      </c>
      <c r="D471" s="3400" t="e">
        <f>E474/E472%</f>
        <v>#DIV/0!</v>
      </c>
      <c r="E471" s="3401"/>
      <c r="F471" s="3402"/>
      <c r="G471" s="3403"/>
      <c r="H471" s="3402"/>
      <c r="I471" s="3402"/>
      <c r="J471" s="3402"/>
      <c r="K471" s="3402"/>
      <c r="L471" s="3402"/>
      <c r="M471" s="3402"/>
      <c r="N471" s="3402"/>
      <c r="O471" s="3402"/>
      <c r="P471" s="3402"/>
      <c r="Q471" s="3402"/>
      <c r="R471" s="3404"/>
      <c r="S471" s="3405"/>
      <c r="T471" s="3405"/>
      <c r="U471" s="3405"/>
      <c r="V471" s="3405"/>
    </row>
    <row r="472" spans="1:22" ht="13.5" hidden="1" customHeight="1">
      <c r="A472" s="4554"/>
      <c r="B472" s="3406" t="s">
        <v>205</v>
      </c>
      <c r="C472" s="3407"/>
      <c r="D472" s="3408"/>
      <c r="E472" s="3409">
        <f>+F472+G472+H472+I472+J472+K472+L472+M472</f>
        <v>0</v>
      </c>
      <c r="F472" s="3410"/>
      <c r="G472" s="3410"/>
      <c r="H472" s="3410"/>
      <c r="I472" s="3410"/>
      <c r="J472" s="3410"/>
      <c r="K472" s="3410"/>
      <c r="L472" s="3410"/>
      <c r="M472" s="3410"/>
      <c r="N472" s="3410"/>
      <c r="O472" s="3410"/>
      <c r="P472" s="3410"/>
      <c r="Q472" s="3410"/>
      <c r="R472" s="3411"/>
      <c r="S472" s="3412"/>
      <c r="T472" s="3412"/>
      <c r="U472" s="3412"/>
      <c r="V472" s="3412"/>
    </row>
    <row r="473" spans="1:22" ht="13.5" hidden="1" customHeight="1">
      <c r="A473" s="4554"/>
      <c r="B473" s="3413" t="s">
        <v>338</v>
      </c>
      <c r="C473" s="2794"/>
      <c r="D473" s="3414"/>
      <c r="E473" s="3175">
        <f>+F473+G473+H473+I473+J473+K473+L473+M473</f>
        <v>0</v>
      </c>
      <c r="F473" s="3415"/>
      <c r="G473" s="3415"/>
      <c r="H473" s="3415"/>
      <c r="I473" s="3415"/>
      <c r="J473" s="3415"/>
      <c r="K473" s="3415"/>
      <c r="L473" s="3415"/>
      <c r="M473" s="3415"/>
      <c r="N473" s="3415"/>
      <c r="O473" s="3415"/>
      <c r="P473" s="3415"/>
      <c r="Q473" s="3415"/>
      <c r="R473" s="3416"/>
      <c r="S473" s="3416"/>
      <c r="T473" s="3416"/>
      <c r="U473" s="3416"/>
      <c r="V473" s="3416"/>
    </row>
    <row r="474" spans="1:22" ht="13.5" hidden="1" customHeight="1" thickBot="1">
      <c r="A474" s="4554"/>
      <c r="B474" s="3417" t="s">
        <v>207</v>
      </c>
      <c r="C474" s="3430">
        <f>E474-E475</f>
        <v>0</v>
      </c>
      <c r="D474" s="3419"/>
      <c r="E474" s="3420">
        <f>+F474+G474+H474+I474+J474+K474+L474+M474</f>
        <v>0</v>
      </c>
      <c r="F474" s="3421"/>
      <c r="G474" s="3421"/>
      <c r="H474" s="3421"/>
      <c r="I474" s="3421"/>
      <c r="J474" s="3421"/>
      <c r="K474" s="3421"/>
      <c r="L474" s="3421"/>
      <c r="M474" s="3421"/>
      <c r="N474" s="3421"/>
      <c r="O474" s="3421"/>
      <c r="P474" s="3421"/>
      <c r="Q474" s="3421"/>
      <c r="R474" s="3422"/>
      <c r="S474" s="3423"/>
      <c r="T474" s="3423"/>
      <c r="U474" s="3423"/>
      <c r="V474" s="3423"/>
    </row>
    <row r="475" spans="1:22" ht="13.5" hidden="1" customHeight="1" thickBot="1">
      <c r="A475" s="4555"/>
      <c r="B475" s="3424" t="s">
        <v>335</v>
      </c>
      <c r="C475" s="3425"/>
      <c r="D475" s="3426"/>
      <c r="E475" s="3427">
        <f>F475+G475+H475+I475+J475+K475+L475+M475</f>
        <v>0</v>
      </c>
      <c r="F475" s="3428"/>
      <c r="G475" s="3428"/>
      <c r="H475" s="3428"/>
      <c r="I475" s="3428"/>
      <c r="J475" s="3428"/>
      <c r="K475" s="3428"/>
      <c r="L475" s="3428"/>
      <c r="M475" s="3428"/>
      <c r="N475" s="3428"/>
      <c r="O475" s="3428"/>
      <c r="P475" s="3428"/>
      <c r="Q475" s="3428"/>
      <c r="R475" s="3429"/>
      <c r="S475" s="3429"/>
      <c r="T475" s="3429"/>
      <c r="U475" s="3429"/>
      <c r="V475" s="3429"/>
    </row>
    <row r="476" spans="1:22" ht="14.25" hidden="1" customHeight="1">
      <c r="A476" s="4553"/>
      <c r="B476" s="3520"/>
      <c r="C476" s="3626" t="s">
        <v>336</v>
      </c>
      <c r="D476" s="3400" t="e">
        <f>E479/E477%</f>
        <v>#DIV/0!</v>
      </c>
      <c r="E476" s="3401"/>
      <c r="F476" s="3402"/>
      <c r="G476" s="3403"/>
      <c r="H476" s="3402"/>
      <c r="I476" s="3402"/>
      <c r="J476" s="3402"/>
      <c r="K476" s="3402"/>
      <c r="L476" s="3402"/>
      <c r="M476" s="3402"/>
      <c r="N476" s="3402"/>
      <c r="O476" s="3402"/>
      <c r="P476" s="3402"/>
      <c r="Q476" s="3402"/>
      <c r="R476" s="3404"/>
      <c r="S476" s="3405"/>
      <c r="T476" s="3405"/>
      <c r="U476" s="3405"/>
      <c r="V476" s="3405"/>
    </row>
    <row r="477" spans="1:22" ht="15" hidden="1" customHeight="1">
      <c r="A477" s="4554"/>
      <c r="B477" s="3406" t="s">
        <v>205</v>
      </c>
      <c r="C477" s="3407"/>
      <c r="D477" s="3408"/>
      <c r="E477" s="3409">
        <f>+F477+G477+H477+I477+J477+K477+L477+M477</f>
        <v>0</v>
      </c>
      <c r="F477" s="3410">
        <f>'Tab. 6A -Drogi'!E229</f>
        <v>0</v>
      </c>
      <c r="G477" s="3410"/>
      <c r="H477" s="3410"/>
      <c r="I477" s="3410"/>
      <c r="J477" s="3410"/>
      <c r="K477" s="3410"/>
      <c r="L477" s="3410"/>
      <c r="M477" s="3410"/>
      <c r="N477" s="3410"/>
      <c r="O477" s="3410"/>
      <c r="P477" s="3410"/>
      <c r="Q477" s="3410"/>
      <c r="R477" s="3411"/>
      <c r="S477" s="3412"/>
      <c r="T477" s="3412"/>
      <c r="U477" s="3412"/>
      <c r="V477" s="3412"/>
    </row>
    <row r="478" spans="1:22" ht="15" hidden="1" customHeight="1">
      <c r="A478" s="4554"/>
      <c r="B478" s="3413" t="s">
        <v>339</v>
      </c>
      <c r="C478" s="2794"/>
      <c r="D478" s="3414"/>
      <c r="E478" s="3175">
        <f>+F478+G478+H478+I478+J478+K478+L478+M478</f>
        <v>0</v>
      </c>
      <c r="F478" s="3415">
        <f>'Tab. 6A -Drogi'!E230</f>
        <v>0</v>
      </c>
      <c r="G478" s="3415"/>
      <c r="H478" s="3415"/>
      <c r="I478" s="3415"/>
      <c r="J478" s="3415"/>
      <c r="K478" s="3415"/>
      <c r="L478" s="3415"/>
      <c r="M478" s="3415"/>
      <c r="N478" s="3415"/>
      <c r="O478" s="3415"/>
      <c r="P478" s="3415"/>
      <c r="Q478" s="3415"/>
      <c r="R478" s="3416"/>
      <c r="S478" s="3416"/>
      <c r="T478" s="3416"/>
      <c r="U478" s="3416"/>
      <c r="V478" s="3416"/>
    </row>
    <row r="479" spans="1:22" ht="15" hidden="1" customHeight="1" thickBot="1">
      <c r="A479" s="4554"/>
      <c r="B479" s="3417" t="s">
        <v>207</v>
      </c>
      <c r="C479" s="3430">
        <f>E479-E480</f>
        <v>0</v>
      </c>
      <c r="D479" s="3419"/>
      <c r="E479" s="3420">
        <f>+F479+G479+H479+I479+J479+K479+L479+M479</f>
        <v>0</v>
      </c>
      <c r="F479" s="3421">
        <f>'Tab. 6A -Drogi'!E233</f>
        <v>0</v>
      </c>
      <c r="G479" s="3421"/>
      <c r="H479" s="3421"/>
      <c r="I479" s="3421"/>
      <c r="J479" s="3421"/>
      <c r="K479" s="3421"/>
      <c r="L479" s="3421"/>
      <c r="M479" s="3421"/>
      <c r="N479" s="3421"/>
      <c r="O479" s="3421"/>
      <c r="P479" s="3421"/>
      <c r="Q479" s="3421"/>
      <c r="R479" s="3422"/>
      <c r="S479" s="3423"/>
      <c r="T479" s="3423"/>
      <c r="U479" s="3423"/>
      <c r="V479" s="3423"/>
    </row>
    <row r="480" spans="1:22" ht="15" hidden="1" customHeight="1" thickBot="1">
      <c r="A480" s="4555"/>
      <c r="B480" s="3424" t="s">
        <v>335</v>
      </c>
      <c r="C480" s="3425"/>
      <c r="D480" s="3426"/>
      <c r="E480" s="3427">
        <f>F480+G480+H480+I480+J480+K480+L480+M480</f>
        <v>0</v>
      </c>
      <c r="F480" s="3428">
        <f>'Tab. 6A -Drogi'!E238</f>
        <v>0</v>
      </c>
      <c r="G480" s="3428"/>
      <c r="H480" s="3428"/>
      <c r="I480" s="3428"/>
      <c r="J480" s="3428"/>
      <c r="K480" s="3428"/>
      <c r="L480" s="3428"/>
      <c r="M480" s="3428"/>
      <c r="N480" s="3428"/>
      <c r="O480" s="3428"/>
      <c r="P480" s="3428"/>
      <c r="Q480" s="3428"/>
      <c r="R480" s="3429"/>
      <c r="S480" s="3429"/>
      <c r="T480" s="3429"/>
      <c r="U480" s="3429"/>
      <c r="V480" s="3429"/>
    </row>
    <row r="481" spans="1:22" ht="15.75" hidden="1" thickBot="1">
      <c r="A481" s="3627"/>
      <c r="B481" s="3628" t="s">
        <v>421</v>
      </c>
      <c r="C481" s="3629"/>
      <c r="D481" s="3630"/>
      <c r="E481" s="3629"/>
      <c r="F481" s="3629"/>
      <c r="G481" s="3629"/>
      <c r="H481" s="3629"/>
      <c r="I481" s="3631"/>
      <c r="J481" s="3630"/>
      <c r="K481" s="3629"/>
      <c r="L481" s="3629"/>
      <c r="M481" s="3629"/>
      <c r="N481" s="3629"/>
      <c r="O481" s="3629"/>
      <c r="P481" s="3629"/>
      <c r="Q481" s="3629"/>
      <c r="R481" s="3632"/>
      <c r="S481" s="3629"/>
      <c r="T481" s="3629"/>
      <c r="U481" s="3629"/>
      <c r="V481" s="3629"/>
    </row>
    <row r="482" spans="1:22" ht="15" hidden="1" thickBot="1">
      <c r="A482" s="4553" t="s">
        <v>100</v>
      </c>
      <c r="B482" s="3520"/>
      <c r="C482" s="3399" t="s">
        <v>418</v>
      </c>
      <c r="D482" s="3400" t="e">
        <f>E485/E483%</f>
        <v>#DIV/0!</v>
      </c>
      <c r="E482" s="3401"/>
      <c r="F482" s="3402"/>
      <c r="G482" s="3403"/>
      <c r="H482" s="3402"/>
      <c r="I482" s="3402"/>
      <c r="J482" s="3402"/>
      <c r="K482" s="3402"/>
      <c r="L482" s="3402"/>
      <c r="M482" s="3402"/>
      <c r="N482" s="3402"/>
      <c r="O482" s="3402"/>
      <c r="P482" s="3402"/>
      <c r="Q482" s="3402"/>
      <c r="R482" s="3404"/>
      <c r="S482" s="3405"/>
      <c r="T482" s="3405"/>
      <c r="U482" s="3405"/>
      <c r="V482" s="3405"/>
    </row>
    <row r="483" spans="1:22" ht="13.5" hidden="1" customHeight="1">
      <c r="A483" s="4554"/>
      <c r="B483" s="3406" t="s">
        <v>205</v>
      </c>
      <c r="C483" s="3407"/>
      <c r="D483" s="3408"/>
      <c r="E483" s="3409">
        <f>+F483+G483+H483+I483+J483+K483+L483+M483</f>
        <v>0</v>
      </c>
      <c r="F483" s="3410"/>
      <c r="G483" s="3410"/>
      <c r="H483" s="3410"/>
      <c r="I483" s="3410"/>
      <c r="J483" s="3410"/>
      <c r="K483" s="3410"/>
      <c r="L483" s="3410"/>
      <c r="M483" s="3410"/>
      <c r="N483" s="3410"/>
      <c r="O483" s="3410"/>
      <c r="P483" s="3410"/>
      <c r="Q483" s="3410"/>
      <c r="R483" s="3411"/>
      <c r="S483" s="3412"/>
      <c r="T483" s="3412"/>
      <c r="U483" s="3412"/>
      <c r="V483" s="3412"/>
    </row>
    <row r="484" spans="1:22" ht="13.5" hidden="1" thickBot="1">
      <c r="A484" s="4554"/>
      <c r="B484" s="3413" t="s">
        <v>367</v>
      </c>
      <c r="C484" s="2794"/>
      <c r="D484" s="3414"/>
      <c r="E484" s="3175">
        <f>+F484+G484+H484+I484+J484+K484+L484+M484</f>
        <v>0</v>
      </c>
      <c r="F484" s="3415"/>
      <c r="G484" s="3415"/>
      <c r="H484" s="3415"/>
      <c r="I484" s="3415"/>
      <c r="J484" s="3415"/>
      <c r="K484" s="3415"/>
      <c r="L484" s="3415"/>
      <c r="M484" s="3415"/>
      <c r="N484" s="3415"/>
      <c r="O484" s="3415"/>
      <c r="P484" s="3415"/>
      <c r="Q484" s="3415"/>
      <c r="R484" s="3416"/>
      <c r="S484" s="3416"/>
      <c r="T484" s="3416"/>
      <c r="U484" s="3416"/>
      <c r="V484" s="3416"/>
    </row>
    <row r="485" spans="1:22" ht="13.5" hidden="1" thickBot="1">
      <c r="A485" s="4554"/>
      <c r="B485" s="3417" t="s">
        <v>207</v>
      </c>
      <c r="C485" s="3430">
        <f>E485-E486</f>
        <v>0</v>
      </c>
      <c r="D485" s="3419"/>
      <c r="E485" s="3420">
        <f>+F485+G485+H485+I485+J485+K485+L485+M485</f>
        <v>0</v>
      </c>
      <c r="F485" s="3421"/>
      <c r="G485" s="3421"/>
      <c r="H485" s="3421"/>
      <c r="I485" s="3421"/>
      <c r="J485" s="3421"/>
      <c r="K485" s="3421"/>
      <c r="L485" s="3421"/>
      <c r="M485" s="3421"/>
      <c r="N485" s="3421"/>
      <c r="O485" s="3421"/>
      <c r="P485" s="3421"/>
      <c r="Q485" s="3421"/>
      <c r="R485" s="3422"/>
      <c r="S485" s="3423"/>
      <c r="T485" s="3423"/>
      <c r="U485" s="3423"/>
      <c r="V485" s="3423"/>
    </row>
    <row r="486" spans="1:22" ht="16.5" hidden="1" customHeight="1" thickBot="1">
      <c r="A486" s="4555"/>
      <c r="B486" s="3424" t="s">
        <v>335</v>
      </c>
      <c r="C486" s="3425"/>
      <c r="D486" s="3426"/>
      <c r="E486" s="3427">
        <f>F486+G486+H486+I486+J486+K486+L486+M486</f>
        <v>0</v>
      </c>
      <c r="F486" s="3428"/>
      <c r="G486" s="3428"/>
      <c r="H486" s="3428"/>
      <c r="I486" s="3428"/>
      <c r="J486" s="3428"/>
      <c r="K486" s="3428"/>
      <c r="L486" s="3428"/>
      <c r="M486" s="3428"/>
      <c r="N486" s="3428"/>
      <c r="O486" s="3428"/>
      <c r="P486" s="3428"/>
      <c r="Q486" s="3428"/>
      <c r="R486" s="3429"/>
      <c r="S486" s="3429"/>
      <c r="T486" s="3429"/>
      <c r="U486" s="3429"/>
      <c r="V486" s="3429"/>
    </row>
    <row r="487" spans="1:22" ht="27" customHeight="1">
      <c r="A487" s="4549" t="s">
        <v>97</v>
      </c>
      <c r="B487" s="3398" t="s">
        <v>372</v>
      </c>
      <c r="C487" s="3399" t="s">
        <v>336</v>
      </c>
      <c r="D487" s="3400">
        <f>E490/E488%</f>
        <v>68.789149027478558</v>
      </c>
      <c r="E487" s="3401"/>
      <c r="F487" s="3402"/>
      <c r="G487" s="3403"/>
      <c r="H487" s="3402"/>
      <c r="I487" s="3402"/>
      <c r="J487" s="3402"/>
      <c r="K487" s="3402"/>
      <c r="L487" s="3402"/>
      <c r="M487" s="3402"/>
      <c r="N487" s="3402"/>
      <c r="O487" s="3402"/>
      <c r="P487" s="3402"/>
      <c r="Q487" s="3402"/>
      <c r="R487" s="3404"/>
      <c r="S487" s="3405"/>
      <c r="T487" s="3405"/>
      <c r="U487" s="3405"/>
      <c r="V487" s="3405"/>
    </row>
    <row r="488" spans="1:22" ht="15" customHeight="1">
      <c r="A488" s="4544"/>
      <c r="B488" s="3406" t="s">
        <v>205</v>
      </c>
      <c r="C488" s="3407"/>
      <c r="D488" s="3408"/>
      <c r="E488" s="3409">
        <f>+F488+G488+H488+I488+J488+K488+L488+M488</f>
        <v>17301675</v>
      </c>
      <c r="F488" s="3410">
        <f>'Tab. 6A -Drogi'!E301</f>
        <v>0</v>
      </c>
      <c r="G488" s="3410"/>
      <c r="H488" s="3410"/>
      <c r="I488" s="3410"/>
      <c r="J488" s="3410">
        <f>11901675+5400000</f>
        <v>17301675</v>
      </c>
      <c r="K488" s="3410"/>
      <c r="L488" s="3410"/>
      <c r="M488" s="3410"/>
      <c r="N488" s="3410"/>
      <c r="O488" s="3410"/>
      <c r="P488" s="3410"/>
      <c r="Q488" s="3410"/>
      <c r="R488" s="3411"/>
      <c r="S488" s="3412"/>
      <c r="T488" s="3412"/>
      <c r="U488" s="3412"/>
      <c r="V488" s="3412"/>
    </row>
    <row r="489" spans="1:22">
      <c r="A489" s="4544"/>
      <c r="B489" s="3413" t="s">
        <v>338</v>
      </c>
      <c r="C489" s="2794"/>
      <c r="D489" s="3414"/>
      <c r="E489" s="3175">
        <f>+F489+G489+H489+I489+J489+K489+L489+M489</f>
        <v>5400000</v>
      </c>
      <c r="F489" s="3415">
        <f>'Tab. 6A -Drogi'!E302</f>
        <v>0</v>
      </c>
      <c r="G489" s="3415"/>
      <c r="H489" s="3415"/>
      <c r="I489" s="3415"/>
      <c r="J489" s="3415">
        <v>5400000</v>
      </c>
      <c r="K489" s="3415"/>
      <c r="L489" s="3415"/>
      <c r="M489" s="3415"/>
      <c r="N489" s="3415"/>
      <c r="O489" s="3415"/>
      <c r="P489" s="3415"/>
      <c r="Q489" s="3415"/>
      <c r="R489" s="3416"/>
      <c r="S489" s="3416"/>
      <c r="T489" s="3416"/>
      <c r="U489" s="3416"/>
      <c r="V489" s="3416"/>
    </row>
    <row r="490" spans="1:22" ht="13.5" thickBot="1">
      <c r="A490" s="4544"/>
      <c r="B490" s="3417" t="s">
        <v>207</v>
      </c>
      <c r="C490" s="3430">
        <f>E490-E491</f>
        <v>0</v>
      </c>
      <c r="D490" s="3419"/>
      <c r="E490" s="3420">
        <f>+F490+G490+H490+I490+J490+K490+L490+M490</f>
        <v>11901675</v>
      </c>
      <c r="F490" s="3421">
        <f>'Tab. 6A -Drogi'!E305</f>
        <v>0</v>
      </c>
      <c r="G490" s="3421"/>
      <c r="H490" s="3421"/>
      <c r="I490" s="3421"/>
      <c r="J490" s="3421">
        <v>11901675</v>
      </c>
      <c r="K490" s="3421"/>
      <c r="L490" s="3421"/>
      <c r="M490" s="3421"/>
      <c r="N490" s="3421"/>
      <c r="O490" s="3421"/>
      <c r="P490" s="3421"/>
      <c r="Q490" s="3421"/>
      <c r="R490" s="3422"/>
      <c r="S490" s="3423"/>
      <c r="T490" s="3423"/>
      <c r="U490" s="3423"/>
      <c r="V490" s="3423"/>
    </row>
    <row r="491" spans="1:22" ht="15.75" customHeight="1" thickBot="1">
      <c r="A491" s="4545"/>
      <c r="B491" s="3424" t="s">
        <v>335</v>
      </c>
      <c r="C491" s="3425"/>
      <c r="D491" s="3426"/>
      <c r="E491" s="3427">
        <f>F491+G491+H491+I491+J491+K491+L491+M491</f>
        <v>11901675</v>
      </c>
      <c r="F491" s="3428">
        <f>'Tab. 6A -Drogi'!E310</f>
        <v>0</v>
      </c>
      <c r="G491" s="3428"/>
      <c r="H491" s="3428"/>
      <c r="I491" s="3428"/>
      <c r="J491" s="3428">
        <v>11901675</v>
      </c>
      <c r="K491" s="3428"/>
      <c r="L491" s="3428"/>
      <c r="M491" s="3428"/>
      <c r="N491" s="3428"/>
      <c r="O491" s="3428"/>
      <c r="P491" s="3428"/>
      <c r="Q491" s="3428"/>
      <c r="R491" s="3429"/>
      <c r="S491" s="3429"/>
      <c r="T491" s="3429"/>
      <c r="U491" s="3429"/>
      <c r="V491" s="3429"/>
    </row>
    <row r="492" spans="1:22" ht="14.25" hidden="1" customHeight="1">
      <c r="A492" s="4553"/>
      <c r="B492" s="3520"/>
      <c r="C492" s="3399" t="s">
        <v>418</v>
      </c>
      <c r="D492" s="3400" t="e">
        <f>E495/E493%</f>
        <v>#DIV/0!</v>
      </c>
      <c r="E492" s="3401"/>
      <c r="F492" s="3402"/>
      <c r="G492" s="3403"/>
      <c r="H492" s="3402"/>
      <c r="I492" s="3402"/>
      <c r="J492" s="3402"/>
      <c r="K492" s="3402"/>
      <c r="L492" s="3402"/>
      <c r="M492" s="3402"/>
      <c r="N492" s="3402"/>
      <c r="O492" s="3402"/>
      <c r="P492" s="3402"/>
      <c r="Q492" s="3402"/>
      <c r="R492" s="3404"/>
      <c r="S492" s="3405"/>
      <c r="T492" s="3405"/>
      <c r="U492" s="3405"/>
      <c r="V492" s="3405"/>
    </row>
    <row r="493" spans="1:22" ht="13.5" hidden="1" customHeight="1">
      <c r="A493" s="4554"/>
      <c r="B493" s="3406" t="s">
        <v>205</v>
      </c>
      <c r="C493" s="3407"/>
      <c r="D493" s="3408"/>
      <c r="E493" s="3409">
        <f>+F493+G493+H493+I493+J493+K493+L493+M493</f>
        <v>0</v>
      </c>
      <c r="F493" s="3410"/>
      <c r="G493" s="3410"/>
      <c r="H493" s="3410"/>
      <c r="I493" s="3410"/>
      <c r="J493" s="3410"/>
      <c r="K493" s="3410"/>
      <c r="L493" s="3410"/>
      <c r="M493" s="3410"/>
      <c r="N493" s="3410"/>
      <c r="O493" s="3410"/>
      <c r="P493" s="3410"/>
      <c r="Q493" s="3410"/>
      <c r="R493" s="3411"/>
      <c r="S493" s="3412"/>
      <c r="T493" s="3412"/>
      <c r="U493" s="3412"/>
      <c r="V493" s="3412"/>
    </row>
    <row r="494" spans="1:22" ht="13.5" hidden="1" thickBot="1">
      <c r="A494" s="4554"/>
      <c r="B494" s="3413" t="s">
        <v>367</v>
      </c>
      <c r="C494" s="2794"/>
      <c r="D494" s="3414"/>
      <c r="E494" s="3175">
        <f>+F494+G494+H494+I494+J494+K494+L494+M494</f>
        <v>0</v>
      </c>
      <c r="F494" s="3415"/>
      <c r="G494" s="3415"/>
      <c r="H494" s="3415"/>
      <c r="I494" s="3415"/>
      <c r="J494" s="3415"/>
      <c r="K494" s="3415"/>
      <c r="L494" s="3415"/>
      <c r="M494" s="3415"/>
      <c r="N494" s="3415"/>
      <c r="O494" s="3415"/>
      <c r="P494" s="3415"/>
      <c r="Q494" s="3415"/>
      <c r="R494" s="3416"/>
      <c r="S494" s="3416"/>
      <c r="T494" s="3416"/>
      <c r="U494" s="3416"/>
      <c r="V494" s="3416"/>
    </row>
    <row r="495" spans="1:22" ht="13.5" hidden="1" thickBot="1">
      <c r="A495" s="4554"/>
      <c r="B495" s="3417" t="s">
        <v>207</v>
      </c>
      <c r="C495" s="3430">
        <f>E495-E496</f>
        <v>0</v>
      </c>
      <c r="D495" s="3419"/>
      <c r="E495" s="3420">
        <f>+F495+G495+H495+I495+J495+K495+L495+M495</f>
        <v>0</v>
      </c>
      <c r="F495" s="3421"/>
      <c r="G495" s="3421"/>
      <c r="H495" s="3421"/>
      <c r="I495" s="3421"/>
      <c r="J495" s="3421"/>
      <c r="K495" s="3421"/>
      <c r="L495" s="3421"/>
      <c r="M495" s="3421"/>
      <c r="N495" s="3421"/>
      <c r="O495" s="3421"/>
      <c r="P495" s="3421"/>
      <c r="Q495" s="3421"/>
      <c r="R495" s="3422"/>
      <c r="S495" s="3423"/>
      <c r="T495" s="3423"/>
      <c r="U495" s="3423"/>
      <c r="V495" s="3423"/>
    </row>
    <row r="496" spans="1:22" ht="16.5" hidden="1" customHeight="1" thickBot="1">
      <c r="A496" s="4555"/>
      <c r="B496" s="3424" t="s">
        <v>335</v>
      </c>
      <c r="C496" s="3425"/>
      <c r="D496" s="3426"/>
      <c r="E496" s="3427">
        <f>F496+G496+H496+I496+J496+K496+L496+M496</f>
        <v>0</v>
      </c>
      <c r="F496" s="3428"/>
      <c r="G496" s="3428"/>
      <c r="H496" s="3428"/>
      <c r="I496" s="3428"/>
      <c r="J496" s="3428"/>
      <c r="K496" s="3428"/>
      <c r="L496" s="3428"/>
      <c r="M496" s="3428"/>
      <c r="N496" s="3428"/>
      <c r="O496" s="3428"/>
      <c r="P496" s="3428"/>
      <c r="Q496" s="3428"/>
      <c r="R496" s="3429"/>
      <c r="S496" s="3429"/>
      <c r="T496" s="3429"/>
      <c r="U496" s="3429"/>
      <c r="V496" s="3429"/>
    </row>
    <row r="497" spans="1:22" s="3367" customFormat="1" ht="22.5" customHeight="1" thickBot="1">
      <c r="A497" s="3633" t="s">
        <v>234</v>
      </c>
      <c r="B497" s="3600" t="s">
        <v>515</v>
      </c>
      <c r="C497" s="3601"/>
      <c r="D497" s="3602"/>
      <c r="E497" s="3550"/>
      <c r="F497" s="3550"/>
      <c r="G497" s="3550"/>
      <c r="H497" s="3550"/>
      <c r="I497" s="3550"/>
      <c r="J497" s="3550"/>
      <c r="K497" s="3550"/>
      <c r="L497" s="3550"/>
      <c r="M497" s="3550"/>
      <c r="N497" s="3550"/>
      <c r="O497" s="3550"/>
      <c r="P497" s="3603"/>
      <c r="Q497" s="3603"/>
      <c r="R497" s="3604"/>
      <c r="S497" s="3603"/>
      <c r="T497" s="3603"/>
      <c r="U497" s="3603"/>
      <c r="V497" s="3603"/>
    </row>
    <row r="498" spans="1:22" ht="17.25" customHeight="1" thickBot="1">
      <c r="A498" s="3605" t="s">
        <v>407</v>
      </c>
      <c r="B498" s="3606" t="s">
        <v>443</v>
      </c>
      <c r="C498" s="3634"/>
      <c r="D498" s="3378"/>
      <c r="E498" s="3379">
        <f>E501+E506+E516+E511+E521+E526+E531+E536+E541</f>
        <v>17438918</v>
      </c>
      <c r="F498" s="3379">
        <f t="shared" ref="F498:M498" si="9">F501+F506+F516+F511+F521+F526+F531+F536+F541</f>
        <v>0</v>
      </c>
      <c r="G498" s="3379">
        <f t="shared" si="9"/>
        <v>0</v>
      </c>
      <c r="H498" s="3379">
        <f>H501+H506+H516+H511+H521+H526+H531+H536+H541</f>
        <v>1689190</v>
      </c>
      <c r="I498" s="3379">
        <f t="shared" si="9"/>
        <v>6826188</v>
      </c>
      <c r="J498" s="3379">
        <f t="shared" si="9"/>
        <v>7099859</v>
      </c>
      <c r="K498" s="3379">
        <f t="shared" si="9"/>
        <v>735528</v>
      </c>
      <c r="L498" s="3379">
        <f t="shared" si="9"/>
        <v>944889</v>
      </c>
      <c r="M498" s="3379">
        <f t="shared" si="9"/>
        <v>143264</v>
      </c>
      <c r="N498" s="3635"/>
      <c r="O498" s="3635"/>
      <c r="P498" s="3635"/>
      <c r="Q498" s="3635"/>
      <c r="R498" s="3636"/>
      <c r="S498" s="3637"/>
      <c r="T498" s="3637"/>
      <c r="U498" s="3637"/>
      <c r="V498" s="3637"/>
    </row>
    <row r="499" spans="1:22" ht="17.25" customHeight="1" thickBot="1">
      <c r="A499" s="3612" t="s">
        <v>408</v>
      </c>
      <c r="B499" s="3613" t="s">
        <v>444</v>
      </c>
      <c r="C499" s="3638"/>
      <c r="D499" s="3639"/>
      <c r="E499" s="3640">
        <f>E504+E509+E519+E514+E524+E529+E534+E539+E544</f>
        <v>15356780</v>
      </c>
      <c r="F499" s="3640">
        <f t="shared" ref="F499:M499" si="10">F504+F509+F519+F514+F524+F529+F534+F539+F544</f>
        <v>0</v>
      </c>
      <c r="G499" s="3640">
        <f t="shared" si="10"/>
        <v>0</v>
      </c>
      <c r="H499" s="3640">
        <f>H504+H509+H519+H514+H524+H529+H534+H539+H544</f>
        <v>1441864</v>
      </c>
      <c r="I499" s="3640">
        <f t="shared" si="10"/>
        <v>6090502</v>
      </c>
      <c r="J499" s="3640">
        <f t="shared" si="10"/>
        <v>5950522</v>
      </c>
      <c r="K499" s="3640">
        <f t="shared" si="10"/>
        <v>948962</v>
      </c>
      <c r="L499" s="3640">
        <f>L504+L509+L519+L514+L524+L529+L534+L539+L544</f>
        <v>803156</v>
      </c>
      <c r="M499" s="3640">
        <f t="shared" si="10"/>
        <v>121774</v>
      </c>
      <c r="N499" s="3641"/>
      <c r="O499" s="3641"/>
      <c r="P499" s="3641"/>
      <c r="Q499" s="3641"/>
      <c r="R499" s="3642"/>
      <c r="S499" s="3643"/>
      <c r="T499" s="3643"/>
      <c r="U499" s="3643"/>
      <c r="V499" s="3643"/>
    </row>
    <row r="500" spans="1:22" ht="40.5" customHeight="1">
      <c r="A500" s="4550" t="s">
        <v>63</v>
      </c>
      <c r="B500" s="3472" t="str">
        <f>'Tab. 6G - Roln i ochrona środ.'!B95</f>
        <v>Opracowanie projektów planów ochrony 5 parków krajobrazowych oraz aktualizacja planów ochrony 2 parków krajobrazowych w ramach działania 4.8 RPO WZ (2019-2023)</v>
      </c>
      <c r="C500" s="3499"/>
      <c r="D500" s="3400">
        <f>E503/E501%</f>
        <v>85.000000000000014</v>
      </c>
      <c r="E500" s="3401"/>
      <c r="F500" s="3402"/>
      <c r="G500" s="3403"/>
      <c r="H500" s="3402"/>
      <c r="I500" s="3402"/>
      <c r="J500" s="3402"/>
      <c r="K500" s="3402"/>
      <c r="L500" s="3402"/>
      <c r="M500" s="3402"/>
      <c r="N500" s="3402"/>
      <c r="O500" s="3402"/>
      <c r="P500" s="3402"/>
      <c r="Q500" s="3402"/>
      <c r="R500" s="3404"/>
      <c r="S500" s="3405"/>
      <c r="T500" s="3405"/>
      <c r="U500" s="3405"/>
      <c r="V500" s="3405"/>
    </row>
    <row r="501" spans="1:22" ht="15" customHeight="1">
      <c r="A501" s="4551"/>
      <c r="B501" s="3406" t="s">
        <v>205</v>
      </c>
      <c r="C501" s="3407"/>
      <c r="D501" s="3408"/>
      <c r="E501" s="3409">
        <f>+F501+G501+H501+I501+J501+K501+L501+M501</f>
        <v>3446020</v>
      </c>
      <c r="F501" s="3410">
        <f>'Tab. 6G - Roln i ochrona środ.'!E96</f>
        <v>0</v>
      </c>
      <c r="G501" s="3410">
        <f>'Tab. 6G - Roln i ochrona środ.'!F96</f>
        <v>0</v>
      </c>
      <c r="H501" s="3410">
        <f>'Tab. 6G - Roln i ochrona środ.'!G96</f>
        <v>0</v>
      </c>
      <c r="I501" s="3410">
        <f>'Tab. 6G - Roln i ochrona środ.'!H96</f>
        <v>298278</v>
      </c>
      <c r="J501" s="3410">
        <f>'Tab. 6G - Roln i ochrona środ.'!I96</f>
        <v>1324061</v>
      </c>
      <c r="K501" s="3410">
        <f>'Tab. 6G - Roln i ochrona środ.'!J96</f>
        <v>735528</v>
      </c>
      <c r="L501" s="3410">
        <f>'Tab. 6G - Roln i ochrona środ.'!K96</f>
        <v>944889</v>
      </c>
      <c r="M501" s="3410">
        <f>'Tab. 6G - Roln i ochrona środ.'!L96</f>
        <v>143264</v>
      </c>
      <c r="N501" s="3410"/>
      <c r="O501" s="3410"/>
      <c r="P501" s="3410"/>
      <c r="Q501" s="3410"/>
      <c r="R501" s="3411"/>
      <c r="S501" s="3412"/>
      <c r="T501" s="3412"/>
      <c r="U501" s="3412"/>
      <c r="V501" s="3412"/>
    </row>
    <row r="502" spans="1:22" ht="15" customHeight="1">
      <c r="A502" s="4551"/>
      <c r="B502" s="3413" t="s">
        <v>583</v>
      </c>
      <c r="C502" s="2794"/>
      <c r="D502" s="3414"/>
      <c r="E502" s="3175">
        <f>+F502+G502+H502+I502+J502+K502+L502+M502</f>
        <v>516903</v>
      </c>
      <c r="F502" s="3415">
        <f>'Tab. 6G - Roln i ochrona środ.'!E97</f>
        <v>0</v>
      </c>
      <c r="G502" s="3415">
        <f>'Tab. 6G - Roln i ochrona środ.'!F97</f>
        <v>0</v>
      </c>
      <c r="H502" s="3415">
        <f>'Tab. 6G - Roln i ochrona środ.'!G97</f>
        <v>0</v>
      </c>
      <c r="I502" s="3415">
        <f>'Tab. 6G - Roln i ochrona środ.'!H97</f>
        <v>44742</v>
      </c>
      <c r="J502" s="3415">
        <f>'Tab. 6G - Roln i ochrona środ.'!I97</f>
        <v>198609</v>
      </c>
      <c r="K502" s="3415">
        <f>'Tab. 6G - Roln i ochrona środ.'!J97</f>
        <v>110329</v>
      </c>
      <c r="L502" s="3415">
        <f>'Tab. 6G - Roln i ochrona środ.'!K97</f>
        <v>141733</v>
      </c>
      <c r="M502" s="3415">
        <f>'Tab. 6G - Roln i ochrona środ.'!L97</f>
        <v>21490</v>
      </c>
      <c r="N502" s="3415"/>
      <c r="O502" s="3415"/>
      <c r="P502" s="3415"/>
      <c r="Q502" s="3415"/>
      <c r="R502" s="3416"/>
      <c r="S502" s="3416"/>
      <c r="T502" s="3416"/>
      <c r="U502" s="3416"/>
      <c r="V502" s="3416"/>
    </row>
    <row r="503" spans="1:22" ht="15" customHeight="1" thickBot="1">
      <c r="A503" s="4551"/>
      <c r="B503" s="3417" t="s">
        <v>207</v>
      </c>
      <c r="C503" s="3430">
        <f>E503-E504</f>
        <v>0</v>
      </c>
      <c r="D503" s="3419"/>
      <c r="E503" s="3420">
        <f>+F503+G503+H503+I503+J503+K503+L503+M503</f>
        <v>2929117</v>
      </c>
      <c r="F503" s="3421">
        <f>'Tab. 6G - Roln i ochrona środ.'!E100</f>
        <v>0</v>
      </c>
      <c r="G503" s="3421">
        <f>'Tab. 6G - Roln i ochrona środ.'!F100</f>
        <v>0</v>
      </c>
      <c r="H503" s="3421">
        <f>'Tab. 6G - Roln i ochrona środ.'!G100</f>
        <v>0</v>
      </c>
      <c r="I503" s="3421">
        <f>'Tab. 6G - Roln i ochrona środ.'!H100</f>
        <v>253536</v>
      </c>
      <c r="J503" s="3421">
        <f>'Tab. 6G - Roln i ochrona środ.'!I100</f>
        <v>1125452</v>
      </c>
      <c r="K503" s="3421">
        <f>'Tab. 6G - Roln i ochrona środ.'!J100</f>
        <v>625199</v>
      </c>
      <c r="L503" s="3421">
        <f>'Tab. 6G - Roln i ochrona środ.'!K100</f>
        <v>803156</v>
      </c>
      <c r="M503" s="3421">
        <f>'Tab. 6G - Roln i ochrona środ.'!L100</f>
        <v>121774</v>
      </c>
      <c r="N503" s="3421"/>
      <c r="O503" s="3421"/>
      <c r="P503" s="3421"/>
      <c r="Q503" s="3421"/>
      <c r="R503" s="3422"/>
      <c r="S503" s="3423"/>
      <c r="T503" s="3423"/>
      <c r="U503" s="3423"/>
      <c r="V503" s="3423"/>
    </row>
    <row r="504" spans="1:22" ht="15" customHeight="1" thickBot="1">
      <c r="A504" s="4552"/>
      <c r="B504" s="3424" t="s">
        <v>335</v>
      </c>
      <c r="C504" s="3425"/>
      <c r="D504" s="3426"/>
      <c r="E504" s="3427">
        <f>F504+G504+H504+I504+J504+K504+L504+M504</f>
        <v>2929117</v>
      </c>
      <c r="F504" s="3428">
        <f>'Tab. 6G - Roln i ochrona środ.'!E103</f>
        <v>0</v>
      </c>
      <c r="G504" s="3428">
        <f>'Tab. 6G - Roln i ochrona środ.'!F103</f>
        <v>0</v>
      </c>
      <c r="H504" s="3428">
        <f>'Tab. 6G - Roln i ochrona środ.'!G103</f>
        <v>0</v>
      </c>
      <c r="I504" s="3428">
        <f>'Tab. 6G - Roln i ochrona środ.'!H103</f>
        <v>253536</v>
      </c>
      <c r="J504" s="3428">
        <f>'Tab. 6G - Roln i ochrona środ.'!I103</f>
        <v>1125452</v>
      </c>
      <c r="K504" s="3428">
        <f>'Tab. 6G - Roln i ochrona środ.'!J103</f>
        <v>625199</v>
      </c>
      <c r="L504" s="3428">
        <f>'Tab. 6G - Roln i ochrona środ.'!K103</f>
        <v>803156</v>
      </c>
      <c r="M504" s="3428">
        <f>'Tab. 6G - Roln i ochrona środ.'!L103</f>
        <v>121774</v>
      </c>
      <c r="N504" s="3428"/>
      <c r="O504" s="3428"/>
      <c r="P504" s="3428"/>
      <c r="Q504" s="3428"/>
      <c r="R504" s="3429"/>
      <c r="S504" s="3429"/>
      <c r="T504" s="3429"/>
      <c r="U504" s="3429"/>
      <c r="V504" s="3429"/>
    </row>
    <row r="505" spans="1:22" ht="27" customHeight="1">
      <c r="A505" s="4550" t="s">
        <v>64</v>
      </c>
      <c r="B505" s="3644" t="str">
        <f>'Tab. 6D - Oświata'!B76</f>
        <v>Sieć współpracy Skuteczna edukacja w ramach PO WER 2014-2020 (2018-2019)</v>
      </c>
      <c r="C505" s="3399" t="s">
        <v>442</v>
      </c>
      <c r="D505" s="3400">
        <f>E508/E506%</f>
        <v>84.28</v>
      </c>
      <c r="E505" s="3401"/>
      <c r="F505" s="3402"/>
      <c r="G505" s="3403"/>
      <c r="H505" s="3402"/>
      <c r="I505" s="3402"/>
      <c r="J505" s="3402"/>
      <c r="K505" s="3402"/>
      <c r="L505" s="3402"/>
      <c r="M505" s="3402"/>
      <c r="N505" s="3402"/>
      <c r="O505" s="3402"/>
      <c r="P505" s="3402"/>
      <c r="Q505" s="3402"/>
      <c r="R505" s="3404"/>
      <c r="S505" s="3405"/>
      <c r="T505" s="3405"/>
      <c r="U505" s="3405"/>
      <c r="V505" s="3405"/>
    </row>
    <row r="506" spans="1:22" ht="15" customHeight="1">
      <c r="A506" s="4551"/>
      <c r="B506" s="3406" t="s">
        <v>205</v>
      </c>
      <c r="C506" s="3407"/>
      <c r="D506" s="3408"/>
      <c r="E506" s="3409">
        <f>+F506+G506+H506+I506+J506+K506+L506+M506</f>
        <v>250000</v>
      </c>
      <c r="F506" s="3410">
        <f>'Tab. 6D - Oświata'!E77</f>
        <v>0</v>
      </c>
      <c r="G506" s="3410">
        <f>'Tab. 6D - Oświata'!F77</f>
        <v>0</v>
      </c>
      <c r="H506" s="3410">
        <f>'Tab. 6D - Oświata'!G77</f>
        <v>224590</v>
      </c>
      <c r="I506" s="3410">
        <f>'Tab. 6D - Oświata'!H77</f>
        <v>25410</v>
      </c>
      <c r="J506" s="3410">
        <f>'Tab. 6D - Oświata'!I77</f>
        <v>0</v>
      </c>
      <c r="K506" s="3410">
        <f>'Tab. 6D - Oświata'!J77</f>
        <v>0</v>
      </c>
      <c r="L506" s="3410">
        <f>'Tab. 6D - Oświata'!K77</f>
        <v>0</v>
      </c>
      <c r="M506" s="3410">
        <f>'Tab. 6D - Oświata'!L77</f>
        <v>0</v>
      </c>
      <c r="N506" s="3410"/>
      <c r="O506" s="3410"/>
      <c r="P506" s="3410"/>
      <c r="Q506" s="3410"/>
      <c r="R506" s="3411"/>
      <c r="S506" s="3412"/>
      <c r="T506" s="3412"/>
      <c r="U506" s="3412"/>
      <c r="V506" s="3412"/>
    </row>
    <row r="507" spans="1:22" ht="15" customHeight="1">
      <c r="A507" s="4551"/>
      <c r="B507" s="3413" t="s">
        <v>391</v>
      </c>
      <c r="C507" s="2794"/>
      <c r="D507" s="3414"/>
      <c r="E507" s="3175">
        <f>+F507+G507+H507+I507+J507+K507+L507+M507</f>
        <v>39300</v>
      </c>
      <c r="F507" s="3415">
        <f>'Tab. 6D - Oświata'!E78</f>
        <v>0</v>
      </c>
      <c r="G507" s="3415">
        <f>'Tab. 6D - Oświata'!F78</f>
        <v>0</v>
      </c>
      <c r="H507" s="3415">
        <f>'Tab. 6D - Oświata'!G78</f>
        <v>35306</v>
      </c>
      <c r="I507" s="3415">
        <f>'Tab. 6D - Oświata'!H78</f>
        <v>3994</v>
      </c>
      <c r="J507" s="3415">
        <f>'Tab. 6D - Oświata'!I78</f>
        <v>0</v>
      </c>
      <c r="K507" s="3415">
        <f>'Tab. 6D - Oświata'!J78</f>
        <v>0</v>
      </c>
      <c r="L507" s="3415">
        <f>'Tab. 6D - Oświata'!K78</f>
        <v>0</v>
      </c>
      <c r="M507" s="3415">
        <f>'Tab. 6D - Oświata'!L78</f>
        <v>0</v>
      </c>
      <c r="N507" s="3415"/>
      <c r="O507" s="3415"/>
      <c r="P507" s="3415"/>
      <c r="Q507" s="3415"/>
      <c r="R507" s="3416"/>
      <c r="S507" s="3416"/>
      <c r="T507" s="3416"/>
      <c r="U507" s="3416"/>
      <c r="V507" s="3416"/>
    </row>
    <row r="508" spans="1:22" ht="15" customHeight="1" thickBot="1">
      <c r="A508" s="4551"/>
      <c r="B508" s="3417" t="s">
        <v>207</v>
      </c>
      <c r="C508" s="3430">
        <f>E508-E509</f>
        <v>0</v>
      </c>
      <c r="D508" s="3419"/>
      <c r="E508" s="3420">
        <f>+F508+G508+H508+I508+J508+K508+L508+M508</f>
        <v>210700</v>
      </c>
      <c r="F508" s="3421">
        <f>'Tab. 6D - Oświata'!E81</f>
        <v>0</v>
      </c>
      <c r="G508" s="3421">
        <f>'Tab. 6D - Oświata'!F81</f>
        <v>0</v>
      </c>
      <c r="H508" s="3421">
        <f>'Tab. 6D - Oświata'!G81</f>
        <v>189284</v>
      </c>
      <c r="I508" s="3421">
        <f>'Tab. 6D - Oświata'!H81</f>
        <v>21416</v>
      </c>
      <c r="J508" s="3421">
        <f>'Tab. 6D - Oświata'!I81</f>
        <v>0</v>
      </c>
      <c r="K508" s="3421">
        <f>'Tab. 6D - Oświata'!J81</f>
        <v>0</v>
      </c>
      <c r="L508" s="3421">
        <f>'Tab. 6D - Oświata'!K81</f>
        <v>0</v>
      </c>
      <c r="M508" s="3421">
        <f>'Tab. 6D - Oświata'!L81</f>
        <v>0</v>
      </c>
      <c r="N508" s="3421"/>
      <c r="O508" s="3421"/>
      <c r="P508" s="3421"/>
      <c r="Q508" s="3421"/>
      <c r="R508" s="3422"/>
      <c r="S508" s="3423"/>
      <c r="T508" s="3423"/>
      <c r="U508" s="3423"/>
      <c r="V508" s="3423"/>
    </row>
    <row r="509" spans="1:22" ht="15" customHeight="1" thickBot="1">
      <c r="A509" s="4552"/>
      <c r="B509" s="3424" t="s">
        <v>335</v>
      </c>
      <c r="C509" s="3425"/>
      <c r="D509" s="3426"/>
      <c r="E509" s="3427">
        <f>F509+G509+H509+I509+J509+K509+L509+M509</f>
        <v>210700</v>
      </c>
      <c r="F509" s="3428">
        <f>'Tab. 6D - Oświata'!E86</f>
        <v>0</v>
      </c>
      <c r="G509" s="3428">
        <f>'Tab. 6D - Oświata'!F86</f>
        <v>0</v>
      </c>
      <c r="H509" s="3428">
        <f>'Tab. 6D - Oświata'!G86</f>
        <v>189284</v>
      </c>
      <c r="I509" s="3428">
        <f>'Tab. 6D - Oświata'!H86</f>
        <v>21416</v>
      </c>
      <c r="J509" s="3428">
        <f>'Tab. 6D - Oświata'!I86</f>
        <v>0</v>
      </c>
      <c r="K509" s="3428">
        <f>'Tab. 6D - Oświata'!J86</f>
        <v>0</v>
      </c>
      <c r="L509" s="3428">
        <f>'Tab. 6D - Oświata'!K86</f>
        <v>0</v>
      </c>
      <c r="M509" s="3428">
        <f>'Tab. 6D - Oświata'!L86</f>
        <v>0</v>
      </c>
      <c r="N509" s="3428"/>
      <c r="O509" s="3428"/>
      <c r="P509" s="3428"/>
      <c r="Q509" s="3428"/>
      <c r="R509" s="3429"/>
      <c r="S509" s="3429"/>
      <c r="T509" s="3429"/>
      <c r="U509" s="3429"/>
      <c r="V509" s="3429"/>
    </row>
    <row r="510" spans="1:22" ht="15" hidden="1" thickBot="1">
      <c r="A510" s="4581"/>
      <c r="B510" s="3433"/>
      <c r="C510" s="3399"/>
      <c r="D510" s="3400" t="e">
        <f>E513/E511%</f>
        <v>#DIV/0!</v>
      </c>
      <c r="E510" s="3401"/>
      <c r="F510" s="3402"/>
      <c r="G510" s="3403"/>
      <c r="H510" s="3402"/>
      <c r="I510" s="3402"/>
      <c r="J510" s="3402"/>
      <c r="K510" s="3402"/>
      <c r="L510" s="3402"/>
      <c r="M510" s="3402"/>
      <c r="N510" s="3402"/>
      <c r="O510" s="3402"/>
      <c r="P510" s="3402"/>
      <c r="Q510" s="3402"/>
      <c r="R510" s="3404"/>
      <c r="S510" s="3405"/>
      <c r="T510" s="3405"/>
      <c r="U510" s="3405"/>
      <c r="V510" s="3405"/>
    </row>
    <row r="511" spans="1:22" ht="15" hidden="1" customHeight="1">
      <c r="A511" s="4582"/>
      <c r="B511" s="3406" t="s">
        <v>205</v>
      </c>
      <c r="C511" s="3407"/>
      <c r="D511" s="3408"/>
      <c r="E511" s="3409">
        <f>+F511+G511+H511+I511+J511+K511+L511+M511</f>
        <v>0</v>
      </c>
      <c r="F511" s="3410"/>
      <c r="G511" s="3410"/>
      <c r="H511" s="3410"/>
      <c r="I511" s="3410"/>
      <c r="J511" s="3410"/>
      <c r="K511" s="3410"/>
      <c r="L511" s="3410"/>
      <c r="M511" s="3410"/>
      <c r="N511" s="3410"/>
      <c r="O511" s="3410"/>
      <c r="P511" s="3410"/>
      <c r="Q511" s="3410"/>
      <c r="R511" s="3411"/>
      <c r="S511" s="3412"/>
      <c r="T511" s="3412"/>
      <c r="U511" s="3412"/>
      <c r="V511" s="3412"/>
    </row>
    <row r="512" spans="1:22" ht="15" hidden="1" customHeight="1">
      <c r="A512" s="4582"/>
      <c r="B512" s="3413" t="s">
        <v>339</v>
      </c>
      <c r="C512" s="2794"/>
      <c r="D512" s="3414"/>
      <c r="E512" s="3175">
        <f>+F512+G512+H512+I512+J512+K512+L512+M512</f>
        <v>0</v>
      </c>
      <c r="F512" s="3415"/>
      <c r="G512" s="3415"/>
      <c r="H512" s="3415"/>
      <c r="I512" s="3415"/>
      <c r="J512" s="3415"/>
      <c r="K512" s="3415"/>
      <c r="L512" s="3415"/>
      <c r="M512" s="3415"/>
      <c r="N512" s="3415"/>
      <c r="O512" s="3415"/>
      <c r="P512" s="3415"/>
      <c r="Q512" s="3415"/>
      <c r="R512" s="3416"/>
      <c r="S512" s="3416"/>
      <c r="T512" s="3416"/>
      <c r="U512" s="3416"/>
      <c r="V512" s="3416"/>
    </row>
    <row r="513" spans="1:22" ht="15" hidden="1" customHeight="1" thickBot="1">
      <c r="A513" s="4582"/>
      <c r="B513" s="3417" t="s">
        <v>207</v>
      </c>
      <c r="C513" s="3430">
        <f>E513-E514</f>
        <v>0</v>
      </c>
      <c r="D513" s="3419"/>
      <c r="E513" s="3420">
        <f>+F513+G513+H513+I513+J513+K513+L513+M513</f>
        <v>0</v>
      </c>
      <c r="F513" s="3421"/>
      <c r="G513" s="3421"/>
      <c r="H513" s="3421"/>
      <c r="I513" s="3421"/>
      <c r="J513" s="3421"/>
      <c r="K513" s="3421"/>
      <c r="L513" s="3421"/>
      <c r="M513" s="3421"/>
      <c r="N513" s="3421"/>
      <c r="O513" s="3421"/>
      <c r="P513" s="3421"/>
      <c r="Q513" s="3421"/>
      <c r="R513" s="3422"/>
      <c r="S513" s="3423"/>
      <c r="T513" s="3423"/>
      <c r="U513" s="3423"/>
      <c r="V513" s="3423"/>
    </row>
    <row r="514" spans="1:22" ht="15" hidden="1" customHeight="1" thickBot="1">
      <c r="A514" s="4583"/>
      <c r="B514" s="3424" t="s">
        <v>335</v>
      </c>
      <c r="C514" s="3425"/>
      <c r="D514" s="3426"/>
      <c r="E514" s="3427">
        <f>F514+G514+H514+I514+J514+K514+L514+M514</f>
        <v>0</v>
      </c>
      <c r="F514" s="3428"/>
      <c r="G514" s="3428"/>
      <c r="H514" s="3428"/>
      <c r="I514" s="3428"/>
      <c r="J514" s="3428"/>
      <c r="K514" s="3428"/>
      <c r="L514" s="3428"/>
      <c r="M514" s="3428"/>
      <c r="N514" s="3428"/>
      <c r="O514" s="3428"/>
      <c r="P514" s="3428"/>
      <c r="Q514" s="3428"/>
      <c r="R514" s="3429"/>
      <c r="S514" s="3429"/>
      <c r="T514" s="3429"/>
      <c r="U514" s="3429"/>
      <c r="V514" s="3429"/>
    </row>
    <row r="515" spans="1:22" ht="15" hidden="1" thickBot="1">
      <c r="A515" s="4581"/>
      <c r="B515" s="3433"/>
      <c r="C515" s="3399" t="s">
        <v>442</v>
      </c>
      <c r="D515" s="3400" t="e">
        <f>E518/E516%</f>
        <v>#DIV/0!</v>
      </c>
      <c r="E515" s="3401"/>
      <c r="F515" s="3402"/>
      <c r="G515" s="3403"/>
      <c r="H515" s="3402"/>
      <c r="I515" s="3402"/>
      <c r="J515" s="3402"/>
      <c r="K515" s="3402"/>
      <c r="L515" s="3402"/>
      <c r="M515" s="3402"/>
      <c r="N515" s="3402"/>
      <c r="O515" s="3402"/>
      <c r="P515" s="3402"/>
      <c r="Q515" s="3402"/>
      <c r="R515" s="3404"/>
      <c r="S515" s="3405"/>
      <c r="T515" s="3405"/>
      <c r="U515" s="3405"/>
      <c r="V515" s="3405"/>
    </row>
    <row r="516" spans="1:22" ht="15" hidden="1" customHeight="1">
      <c r="A516" s="4582"/>
      <c r="B516" s="3406" t="s">
        <v>205</v>
      </c>
      <c r="C516" s="3407"/>
      <c r="D516" s="3408"/>
      <c r="E516" s="3409">
        <f>+F516+G516+H516+I516+J516+K516+L516+M516</f>
        <v>0</v>
      </c>
      <c r="F516" s="3410"/>
      <c r="G516" s="3410"/>
      <c r="H516" s="3410"/>
      <c r="I516" s="3410"/>
      <c r="J516" s="3410"/>
      <c r="K516" s="3410"/>
      <c r="L516" s="3410"/>
      <c r="M516" s="3410"/>
      <c r="N516" s="3410"/>
      <c r="O516" s="3410"/>
      <c r="P516" s="3410"/>
      <c r="Q516" s="3410"/>
      <c r="R516" s="3411"/>
      <c r="S516" s="3412"/>
      <c r="T516" s="3412"/>
      <c r="U516" s="3412"/>
      <c r="V516" s="3412"/>
    </row>
    <row r="517" spans="1:22" ht="15" hidden="1" customHeight="1">
      <c r="A517" s="4582"/>
      <c r="B517" s="3413" t="s">
        <v>339</v>
      </c>
      <c r="C517" s="2794"/>
      <c r="D517" s="3414"/>
      <c r="E517" s="3175">
        <f>+F517+G517+H517+I517+J517+K517+L517+M517</f>
        <v>0</v>
      </c>
      <c r="F517" s="3415"/>
      <c r="G517" s="3415"/>
      <c r="H517" s="3415"/>
      <c r="I517" s="3415"/>
      <c r="J517" s="3415"/>
      <c r="K517" s="3415"/>
      <c r="L517" s="3415"/>
      <c r="M517" s="3415"/>
      <c r="N517" s="3415"/>
      <c r="O517" s="3415"/>
      <c r="P517" s="3415"/>
      <c r="Q517" s="3415"/>
      <c r="R517" s="3416"/>
      <c r="S517" s="3416"/>
      <c r="T517" s="3416"/>
      <c r="U517" s="3416"/>
      <c r="V517" s="3416"/>
    </row>
    <row r="518" spans="1:22" ht="15" hidden="1" customHeight="1" thickBot="1">
      <c r="A518" s="4582"/>
      <c r="B518" s="3417" t="s">
        <v>207</v>
      </c>
      <c r="C518" s="3418"/>
      <c r="D518" s="3419"/>
      <c r="E518" s="3420">
        <f>+F518+G518+H518+I518+J518+K518+L518+M518</f>
        <v>0</v>
      </c>
      <c r="F518" s="3421"/>
      <c r="G518" s="3421"/>
      <c r="H518" s="3421"/>
      <c r="I518" s="3421"/>
      <c r="J518" s="3421"/>
      <c r="K518" s="3421"/>
      <c r="L518" s="3421"/>
      <c r="M518" s="3421"/>
      <c r="N518" s="3421"/>
      <c r="O518" s="3421"/>
      <c r="P518" s="3421"/>
      <c r="Q518" s="3421"/>
      <c r="R518" s="3422"/>
      <c r="S518" s="3423"/>
      <c r="T518" s="3423"/>
      <c r="U518" s="3423"/>
      <c r="V518" s="3423"/>
    </row>
    <row r="519" spans="1:22" ht="15" hidden="1" customHeight="1" thickBot="1">
      <c r="A519" s="4583"/>
      <c r="B519" s="3424" t="s">
        <v>335</v>
      </c>
      <c r="C519" s="3425"/>
      <c r="D519" s="3426"/>
      <c r="E519" s="3427">
        <f>F519+G519+H519+I519+J519+K519+L519+M519</f>
        <v>0</v>
      </c>
      <c r="F519" s="3428"/>
      <c r="G519" s="3428"/>
      <c r="H519" s="3428"/>
      <c r="I519" s="3428"/>
      <c r="J519" s="3428"/>
      <c r="K519" s="3428"/>
      <c r="L519" s="3428"/>
      <c r="M519" s="3428"/>
      <c r="N519" s="3428"/>
      <c r="O519" s="3428"/>
      <c r="P519" s="3428"/>
      <c r="Q519" s="3428"/>
      <c r="R519" s="3429"/>
      <c r="S519" s="3429"/>
      <c r="T519" s="3429"/>
      <c r="U519" s="3429"/>
      <c r="V519" s="3429"/>
    </row>
    <row r="520" spans="1:22" ht="15" hidden="1" thickBot="1">
      <c r="A520" s="4553" t="s">
        <v>116</v>
      </c>
      <c r="B520" s="3520"/>
      <c r="C520" s="3499"/>
      <c r="D520" s="3400" t="e">
        <f>E523/E521%</f>
        <v>#DIV/0!</v>
      </c>
      <c r="E520" s="3401"/>
      <c r="F520" s="3402"/>
      <c r="G520" s="3403"/>
      <c r="H520" s="3402"/>
      <c r="I520" s="3402"/>
      <c r="J520" s="3402"/>
      <c r="K520" s="3402"/>
      <c r="L520" s="3402"/>
      <c r="M520" s="3402"/>
      <c r="N520" s="3402"/>
      <c r="O520" s="3402"/>
      <c r="P520" s="3402"/>
      <c r="Q520" s="3402"/>
      <c r="R520" s="3404"/>
      <c r="S520" s="3405"/>
      <c r="T520" s="3405"/>
      <c r="U520" s="3405"/>
      <c r="V520" s="3405"/>
    </row>
    <row r="521" spans="1:22" ht="15" hidden="1" customHeight="1">
      <c r="A521" s="4554"/>
      <c r="B521" s="3406" t="s">
        <v>205</v>
      </c>
      <c r="C521" s="3407"/>
      <c r="D521" s="3408"/>
      <c r="E521" s="3409">
        <f>+F521+G521+H521+I521+J521+K521+L521+M521</f>
        <v>0</v>
      </c>
      <c r="F521" s="3410"/>
      <c r="G521" s="3410"/>
      <c r="H521" s="3410"/>
      <c r="I521" s="3410"/>
      <c r="J521" s="3410"/>
      <c r="K521" s="3410"/>
      <c r="L521" s="3410"/>
      <c r="M521" s="3410"/>
      <c r="N521" s="3410"/>
      <c r="O521" s="3410"/>
      <c r="P521" s="3410"/>
      <c r="Q521" s="3410"/>
      <c r="R521" s="3411"/>
      <c r="S521" s="3412"/>
      <c r="T521" s="3412"/>
      <c r="U521" s="3412"/>
      <c r="V521" s="3412"/>
    </row>
    <row r="522" spans="1:22" ht="15" hidden="1" customHeight="1">
      <c r="A522" s="4554"/>
      <c r="B522" s="3413" t="s">
        <v>339</v>
      </c>
      <c r="C522" s="2794"/>
      <c r="D522" s="3414"/>
      <c r="E522" s="3175">
        <f>+F522+G522+H522+I522+J522+K522+L522+M522</f>
        <v>0</v>
      </c>
      <c r="F522" s="3415"/>
      <c r="G522" s="3415"/>
      <c r="H522" s="3415"/>
      <c r="I522" s="3415"/>
      <c r="J522" s="3415"/>
      <c r="K522" s="3415"/>
      <c r="L522" s="3415"/>
      <c r="M522" s="3415"/>
      <c r="N522" s="3415"/>
      <c r="O522" s="3415"/>
      <c r="P522" s="3415"/>
      <c r="Q522" s="3415"/>
      <c r="R522" s="3416"/>
      <c r="S522" s="3416"/>
      <c r="T522" s="3416"/>
      <c r="U522" s="3416"/>
      <c r="V522" s="3416"/>
    </row>
    <row r="523" spans="1:22" ht="15" hidden="1" customHeight="1" thickBot="1">
      <c r="A523" s="4554"/>
      <c r="B523" s="3417" t="s">
        <v>207</v>
      </c>
      <c r="C523" s="3430">
        <f>E523-E524</f>
        <v>0</v>
      </c>
      <c r="D523" s="3419"/>
      <c r="E523" s="3420">
        <f>+F523+G523+H523+I523+J523+K523+L523+M523</f>
        <v>0</v>
      </c>
      <c r="F523" s="3421"/>
      <c r="G523" s="3421"/>
      <c r="H523" s="3421"/>
      <c r="I523" s="3421"/>
      <c r="J523" s="3421"/>
      <c r="K523" s="3421"/>
      <c r="L523" s="3421"/>
      <c r="M523" s="3421"/>
      <c r="N523" s="3421"/>
      <c r="O523" s="3421"/>
      <c r="P523" s="3421"/>
      <c r="Q523" s="3421"/>
      <c r="R523" s="3422"/>
      <c r="S523" s="3423"/>
      <c r="T523" s="3423"/>
      <c r="U523" s="3423"/>
      <c r="V523" s="3423"/>
    </row>
    <row r="524" spans="1:22" ht="15" hidden="1" customHeight="1" thickBot="1">
      <c r="A524" s="4555"/>
      <c r="B524" s="3424" t="s">
        <v>335</v>
      </c>
      <c r="C524" s="3425"/>
      <c r="D524" s="3426"/>
      <c r="E524" s="3427">
        <f>F524+G524+H524+I524+J524+K524+L524+M524</f>
        <v>0</v>
      </c>
      <c r="F524" s="3428"/>
      <c r="G524" s="3428"/>
      <c r="H524" s="3428"/>
      <c r="I524" s="3428"/>
      <c r="J524" s="3428"/>
      <c r="K524" s="3428"/>
      <c r="L524" s="3428"/>
      <c r="M524" s="3428"/>
      <c r="N524" s="3428"/>
      <c r="O524" s="3428"/>
      <c r="P524" s="3428"/>
      <c r="Q524" s="3428"/>
      <c r="R524" s="3429"/>
      <c r="S524" s="3429"/>
      <c r="T524" s="3429"/>
      <c r="U524" s="3429"/>
      <c r="V524" s="3429"/>
    </row>
    <row r="525" spans="1:22" ht="15" hidden="1" thickBot="1">
      <c r="A525" s="4581"/>
      <c r="B525" s="3433"/>
      <c r="C525" s="3499"/>
      <c r="D525" s="3400" t="e">
        <f>E528/E526%</f>
        <v>#DIV/0!</v>
      </c>
      <c r="E525" s="3401"/>
      <c r="F525" s="3402"/>
      <c r="G525" s="3403"/>
      <c r="H525" s="3402"/>
      <c r="I525" s="3402"/>
      <c r="J525" s="3402"/>
      <c r="K525" s="3402"/>
      <c r="L525" s="3402"/>
      <c r="M525" s="3402"/>
      <c r="N525" s="3402"/>
      <c r="O525" s="3402"/>
      <c r="P525" s="3402"/>
      <c r="Q525" s="3402"/>
      <c r="R525" s="3404"/>
      <c r="S525" s="3405"/>
      <c r="T525" s="3405"/>
      <c r="U525" s="3405"/>
      <c r="V525" s="3405"/>
    </row>
    <row r="526" spans="1:22" ht="15" hidden="1" customHeight="1">
      <c r="A526" s="4582"/>
      <c r="B526" s="3406" t="s">
        <v>205</v>
      </c>
      <c r="C526" s="3407"/>
      <c r="D526" s="3408"/>
      <c r="E526" s="3409">
        <f>+F526+G526+H526+I526+J526+K526+L526+M526</f>
        <v>0</v>
      </c>
      <c r="F526" s="3410"/>
      <c r="G526" s="3410"/>
      <c r="H526" s="3410"/>
      <c r="I526" s="3410"/>
      <c r="J526" s="3410"/>
      <c r="K526" s="3410"/>
      <c r="L526" s="3410"/>
      <c r="M526" s="3410"/>
      <c r="N526" s="3410"/>
      <c r="O526" s="3410"/>
      <c r="P526" s="3410"/>
      <c r="Q526" s="3410"/>
      <c r="R526" s="3411"/>
      <c r="S526" s="3412"/>
      <c r="T526" s="3412"/>
      <c r="U526" s="3412"/>
      <c r="V526" s="3412"/>
    </row>
    <row r="527" spans="1:22" ht="15" hidden="1" customHeight="1">
      <c r="A527" s="4582"/>
      <c r="B527" s="3413" t="s">
        <v>339</v>
      </c>
      <c r="C527" s="2794"/>
      <c r="D527" s="3414"/>
      <c r="E527" s="3175">
        <f>+F527+G527+H527+I527+J527+K527+L527+M527</f>
        <v>0</v>
      </c>
      <c r="F527" s="3415"/>
      <c r="G527" s="3415"/>
      <c r="H527" s="3415"/>
      <c r="I527" s="3415"/>
      <c r="J527" s="3415"/>
      <c r="K527" s="3415"/>
      <c r="L527" s="3415"/>
      <c r="M527" s="3415"/>
      <c r="N527" s="3415"/>
      <c r="O527" s="3415"/>
      <c r="P527" s="3415"/>
      <c r="Q527" s="3415"/>
      <c r="R527" s="3416"/>
      <c r="S527" s="3416"/>
      <c r="T527" s="3416"/>
      <c r="U527" s="3416"/>
      <c r="V527" s="3416"/>
    </row>
    <row r="528" spans="1:22" ht="15" hidden="1" customHeight="1" thickBot="1">
      <c r="A528" s="4582"/>
      <c r="B528" s="3417" t="s">
        <v>207</v>
      </c>
      <c r="C528" s="3430">
        <f>E528-E529</f>
        <v>0</v>
      </c>
      <c r="D528" s="3419"/>
      <c r="E528" s="3420">
        <f>+F528+G528+H528+I528+J528+K528+L528+M528</f>
        <v>0</v>
      </c>
      <c r="F528" s="3421"/>
      <c r="G528" s="3421"/>
      <c r="H528" s="3421"/>
      <c r="I528" s="3421"/>
      <c r="J528" s="3421"/>
      <c r="K528" s="3421"/>
      <c r="L528" s="3421"/>
      <c r="M528" s="3421"/>
      <c r="N528" s="3421"/>
      <c r="O528" s="3421"/>
      <c r="P528" s="3421"/>
      <c r="Q528" s="3421"/>
      <c r="R528" s="3422"/>
      <c r="S528" s="3423"/>
      <c r="T528" s="3423"/>
      <c r="U528" s="3423"/>
      <c r="V528" s="3423"/>
    </row>
    <row r="529" spans="1:22" ht="15" hidden="1" customHeight="1" thickBot="1">
      <c r="A529" s="4583"/>
      <c r="B529" s="3424" t="s">
        <v>335</v>
      </c>
      <c r="C529" s="3425"/>
      <c r="D529" s="3426"/>
      <c r="E529" s="3427">
        <f>F529+G529+H529+I529+J529+K529+L529+M529</f>
        <v>0</v>
      </c>
      <c r="F529" s="3428"/>
      <c r="G529" s="3428"/>
      <c r="H529" s="3428"/>
      <c r="I529" s="3428"/>
      <c r="J529" s="3428"/>
      <c r="K529" s="3428"/>
      <c r="L529" s="3428"/>
      <c r="M529" s="3428"/>
      <c r="N529" s="3428"/>
      <c r="O529" s="3428"/>
      <c r="P529" s="3428"/>
      <c r="Q529" s="3428"/>
      <c r="R529" s="3429"/>
      <c r="S529" s="3429"/>
      <c r="T529" s="3429"/>
      <c r="U529" s="3429"/>
      <c r="V529" s="3429"/>
    </row>
    <row r="530" spans="1:22" ht="27" customHeight="1">
      <c r="A530" s="4550" t="s">
        <v>65</v>
      </c>
      <c r="B530" s="3472" t="str">
        <f>'Tab. 6H - Kultura fiz. i turyst'!B188</f>
        <v>Zrównoważona turystyka wodna w unikalnej Dolinie Dolnej Odry w ramach programu Interreg V A (2016-2020)</v>
      </c>
      <c r="C530" s="3399" t="s">
        <v>442</v>
      </c>
      <c r="D530" s="3400">
        <f>E533/E531%</f>
        <v>83.869680851063833</v>
      </c>
      <c r="E530" s="3401"/>
      <c r="F530" s="3402"/>
      <c r="G530" s="3403"/>
      <c r="H530" s="3402"/>
      <c r="I530" s="3402"/>
      <c r="J530" s="3402"/>
      <c r="K530" s="3402"/>
      <c r="L530" s="3402"/>
      <c r="M530" s="3402"/>
      <c r="N530" s="3402"/>
      <c r="O530" s="3402"/>
      <c r="P530" s="3402"/>
      <c r="Q530" s="3402"/>
      <c r="R530" s="3404"/>
      <c r="S530" s="3405"/>
      <c r="T530" s="3405"/>
      <c r="U530" s="3405"/>
      <c r="V530" s="3405"/>
    </row>
    <row r="531" spans="1:22" ht="15" customHeight="1">
      <c r="A531" s="4551"/>
      <c r="B531" s="3406" t="s">
        <v>205</v>
      </c>
      <c r="C531" s="3407"/>
      <c r="D531" s="3408"/>
      <c r="E531" s="3409">
        <f>+F531+G531+H531+I531+J531+K531+L531+M531</f>
        <v>225600</v>
      </c>
      <c r="F531" s="3410">
        <f>'Tab. 6H - Kultura fiz. i turyst'!E189</f>
        <v>0</v>
      </c>
      <c r="G531" s="3410">
        <f>'Tab. 6H - Kultura fiz. i turyst'!F189</f>
        <v>0</v>
      </c>
      <c r="H531" s="3410">
        <f>'Tab. 6H - Kultura fiz. i turyst'!G189</f>
        <v>1000</v>
      </c>
      <c r="I531" s="3410">
        <f>'Tab. 6H - Kultura fiz. i turyst'!H189</f>
        <v>1000</v>
      </c>
      <c r="J531" s="3410">
        <f>'Tab. 6H - Kultura fiz. i turyst'!I189</f>
        <v>223600</v>
      </c>
      <c r="K531" s="3410">
        <f>'Tab. 6H - Kultura fiz. i turyst'!J189</f>
        <v>0</v>
      </c>
      <c r="L531" s="3410">
        <f>'Tab. 6H - Kultura fiz. i turyst'!K189</f>
        <v>0</v>
      </c>
      <c r="M531" s="3410"/>
      <c r="N531" s="3410"/>
      <c r="O531" s="3410"/>
      <c r="P531" s="3410"/>
      <c r="Q531" s="3410"/>
      <c r="R531" s="3411"/>
      <c r="S531" s="3412"/>
      <c r="T531" s="3412"/>
      <c r="U531" s="3412"/>
      <c r="V531" s="3412"/>
    </row>
    <row r="532" spans="1:22" ht="15" customHeight="1">
      <c r="A532" s="4551"/>
      <c r="B532" s="3413" t="s">
        <v>339</v>
      </c>
      <c r="C532" s="2794"/>
      <c r="D532" s="3414"/>
      <c r="E532" s="3175">
        <f>+F532+G532+H532+I532+J532+K532+L532+M532</f>
        <v>36390</v>
      </c>
      <c r="F532" s="3415">
        <f>'Tab. 6H - Kultura fiz. i turyst'!E190</f>
        <v>0</v>
      </c>
      <c r="G532" s="3415">
        <f>'Tab. 6H - Kultura fiz. i turyst'!F190</f>
        <v>0</v>
      </c>
      <c r="H532" s="3415">
        <f>'Tab. 6H - Kultura fiz. i turyst'!G190</f>
        <v>1000</v>
      </c>
      <c r="I532" s="3415">
        <f>'Tab. 6H - Kultura fiz. i turyst'!H190</f>
        <v>1000</v>
      </c>
      <c r="J532" s="3415">
        <f>'Tab. 6H - Kultura fiz. i turyst'!I190</f>
        <v>34390</v>
      </c>
      <c r="K532" s="3415">
        <f>'Tab. 6H - Kultura fiz. i turyst'!J190</f>
        <v>0</v>
      </c>
      <c r="L532" s="3415">
        <f>'Tab. 6H - Kultura fiz. i turyst'!K190</f>
        <v>0</v>
      </c>
      <c r="M532" s="3415"/>
      <c r="N532" s="3415"/>
      <c r="O532" s="3415"/>
      <c r="P532" s="3415"/>
      <c r="Q532" s="3415"/>
      <c r="R532" s="3416"/>
      <c r="S532" s="3416"/>
      <c r="T532" s="3416"/>
      <c r="U532" s="3416"/>
      <c r="V532" s="3416"/>
    </row>
    <row r="533" spans="1:22" ht="15" customHeight="1" thickBot="1">
      <c r="A533" s="4551"/>
      <c r="B533" s="3417" t="s">
        <v>207</v>
      </c>
      <c r="C533" s="3430">
        <f>E533-E534</f>
        <v>0</v>
      </c>
      <c r="D533" s="3419"/>
      <c r="E533" s="3420">
        <f>+F533+G533+H533+I533+J533+K533+L533+M533</f>
        <v>189210</v>
      </c>
      <c r="F533" s="3421">
        <f>'Tab. 6H - Kultura fiz. i turyst'!E192</f>
        <v>0</v>
      </c>
      <c r="G533" s="3421">
        <f>'Tab. 6H - Kultura fiz. i turyst'!F192</f>
        <v>0</v>
      </c>
      <c r="H533" s="3421">
        <f>'Tab. 6H - Kultura fiz. i turyst'!G192</f>
        <v>0</v>
      </c>
      <c r="I533" s="3421">
        <f>'Tab. 6H - Kultura fiz. i turyst'!H192</f>
        <v>0</v>
      </c>
      <c r="J533" s="3421">
        <f>'Tab. 6H - Kultura fiz. i turyst'!I192</f>
        <v>189210</v>
      </c>
      <c r="K533" s="3421">
        <f>'Tab. 6H - Kultura fiz. i turyst'!J192</f>
        <v>0</v>
      </c>
      <c r="L533" s="3421">
        <f>'Tab. 6H - Kultura fiz. i turyst'!K192</f>
        <v>0</v>
      </c>
      <c r="M533" s="3421"/>
      <c r="N533" s="3421"/>
      <c r="O533" s="3421"/>
      <c r="P533" s="3421"/>
      <c r="Q533" s="3421"/>
      <c r="R533" s="3422"/>
      <c r="S533" s="3423"/>
      <c r="T533" s="3423"/>
      <c r="U533" s="3423"/>
      <c r="V533" s="3423"/>
    </row>
    <row r="534" spans="1:22" ht="15" customHeight="1" thickBot="1">
      <c r="A534" s="4552"/>
      <c r="B534" s="3424" t="s">
        <v>335</v>
      </c>
      <c r="C534" s="3425"/>
      <c r="D534" s="3426"/>
      <c r="E534" s="3427">
        <f>F534+G534+H534+I534+J534+K534+L534+M534</f>
        <v>189210</v>
      </c>
      <c r="F534" s="3428">
        <f>'Tab. 6H - Kultura fiz. i turyst'!E195</f>
        <v>0</v>
      </c>
      <c r="G534" s="3428">
        <f>'Tab. 6H - Kultura fiz. i turyst'!F195</f>
        <v>0</v>
      </c>
      <c r="H534" s="3428">
        <f>'Tab. 6H - Kultura fiz. i turyst'!G195</f>
        <v>0</v>
      </c>
      <c r="I534" s="3428">
        <f>'Tab. 6H - Kultura fiz. i turyst'!H195</f>
        <v>0</v>
      </c>
      <c r="J534" s="3428">
        <f>'Tab. 6H - Kultura fiz. i turyst'!I195</f>
        <v>0</v>
      </c>
      <c r="K534" s="3428">
        <f>'Tab. 6H - Kultura fiz. i turyst'!J195</f>
        <v>189210</v>
      </c>
      <c r="L534" s="3428">
        <f>'Tab. 6H - Kultura fiz. i turyst'!K195</f>
        <v>0</v>
      </c>
      <c r="M534" s="3428"/>
      <c r="N534" s="3428"/>
      <c r="O534" s="3428"/>
      <c r="P534" s="3428"/>
      <c r="Q534" s="3428"/>
      <c r="R534" s="3429"/>
      <c r="S534" s="3429"/>
      <c r="T534" s="3429"/>
      <c r="U534" s="3429"/>
      <c r="V534" s="3429"/>
    </row>
    <row r="535" spans="1:22" ht="24">
      <c r="A535" s="4550" t="s">
        <v>66</v>
      </c>
      <c r="B535" s="3472" t="str">
        <f>'Tab. 6B Polit społ i rozwój prz'!B109</f>
        <v>"Zachodniopomorskie Małe Skarby" w ramach działania 6.6 RPO WZ 2014-2020 (2018-2020)</v>
      </c>
      <c r="C535" s="3399" t="s">
        <v>442</v>
      </c>
      <c r="D535" s="3400">
        <f>E538/E536%</f>
        <v>89.047619047619051</v>
      </c>
      <c r="E535" s="3401"/>
      <c r="F535" s="3402"/>
      <c r="G535" s="3403"/>
      <c r="H535" s="3402"/>
      <c r="I535" s="3402"/>
      <c r="J535" s="3402"/>
      <c r="K535" s="3402"/>
      <c r="L535" s="3402"/>
      <c r="M535" s="3402"/>
      <c r="N535" s="3402"/>
      <c r="O535" s="3402"/>
      <c r="P535" s="3402"/>
      <c r="Q535" s="3402"/>
      <c r="R535" s="3404"/>
      <c r="S535" s="3405"/>
      <c r="T535" s="3405"/>
      <c r="U535" s="3405"/>
      <c r="V535" s="3405"/>
    </row>
    <row r="536" spans="1:22" ht="15" customHeight="1">
      <c r="A536" s="4551"/>
      <c r="B536" s="3459" t="s">
        <v>205</v>
      </c>
      <c r="C536" s="3407"/>
      <c r="D536" s="3408"/>
      <c r="E536" s="3409">
        <f>+F536+G536+H536+I536+J536+K536+L536+M536</f>
        <v>13356000</v>
      </c>
      <c r="F536" s="3410">
        <f>'Tab. 6B Polit społ i rozwój prz'!E110-'Tab. 6B Polit społ i rozwój prz'!E114</f>
        <v>0</v>
      </c>
      <c r="G536" s="3410">
        <f>'Tab. 6B Polit społ i rozwój prz'!F110-'Tab. 6B Polit społ i rozwój prz'!F114</f>
        <v>0</v>
      </c>
      <c r="H536" s="3410">
        <f>'Tab. 6B Polit społ i rozwój prz'!G110-'Tab. 6B Polit społ i rozwój prz'!G114</f>
        <v>1463600</v>
      </c>
      <c r="I536" s="3410">
        <f>'Tab. 6B Polit społ i rozwój prz'!H110-'Tab. 6B Polit społ i rozwój prz'!H114</f>
        <v>6500000</v>
      </c>
      <c r="J536" s="3410">
        <f>'Tab. 6B Polit społ i rozwój prz'!I110-'Tab. 6B Polit społ i rozwój prz'!I114</f>
        <v>5392400</v>
      </c>
      <c r="K536" s="3410">
        <f>'Tab. 6B Polit społ i rozwój prz'!J110-'Tab. 6B Polit społ i rozwój prz'!J114</f>
        <v>0</v>
      </c>
      <c r="L536" s="3410">
        <f>'Tab. 6B Polit społ i rozwój prz'!K110-'Tab. 6B Polit społ i rozwój prz'!K114</f>
        <v>0</v>
      </c>
      <c r="M536" s="3410">
        <f>'Tab. 6B Polit społ i rozwój prz'!L110-'Tab. 6B Polit społ i rozwój prz'!L114</f>
        <v>0</v>
      </c>
      <c r="N536" s="3410"/>
      <c r="O536" s="3410"/>
      <c r="P536" s="3410"/>
      <c r="Q536" s="3410"/>
      <c r="R536" s="3411"/>
      <c r="S536" s="3412"/>
      <c r="T536" s="3412"/>
      <c r="U536" s="3412"/>
      <c r="V536" s="3412"/>
    </row>
    <row r="537" spans="1:22" ht="15" customHeight="1">
      <c r="A537" s="4551"/>
      <c r="B537" s="3460" t="s">
        <v>339</v>
      </c>
      <c r="C537" s="2794"/>
      <c r="D537" s="3414"/>
      <c r="E537" s="3175">
        <f>+F537+G537+H537+I537+J537+K537+L537+M537</f>
        <v>1462800</v>
      </c>
      <c r="F537" s="3415">
        <f>'Tab. 6B Polit społ i rozwój prz'!E112+'Tab. 6B Polit społ i rozwój prz'!E113</f>
        <v>0</v>
      </c>
      <c r="G537" s="3415">
        <f>'Tab. 6B Polit społ i rozwój prz'!F112+'Tab. 6B Polit społ i rozwój prz'!F113</f>
        <v>0</v>
      </c>
      <c r="H537" s="3415">
        <f>'Tab. 6B Polit społ i rozwój prz'!G112+'Tab. 6B Polit społ i rozwój prz'!G113</f>
        <v>211020</v>
      </c>
      <c r="I537" s="3415">
        <f>'Tab. 6B Polit społ i rozwój prz'!H112+'Tab. 6B Polit społ i rozwój prz'!H113</f>
        <v>684450</v>
      </c>
      <c r="J537" s="3415">
        <f>'Tab. 6B Polit społ i rozwój prz'!I112+'Tab. 6B Polit społ i rozwój prz'!I113</f>
        <v>567330</v>
      </c>
      <c r="K537" s="3415">
        <f>'Tab. 6B Polit społ i rozwój prz'!J112+'Tab. 6B Polit społ i rozwój prz'!J113</f>
        <v>0</v>
      </c>
      <c r="L537" s="3415">
        <f>'Tab. 6B Polit społ i rozwój prz'!K112+'Tab. 6B Polit społ i rozwój prz'!K113</f>
        <v>0</v>
      </c>
      <c r="M537" s="3415">
        <f>'Tab. 6B Polit społ i rozwój prz'!L112+'Tab. 6B Polit społ i rozwój prz'!L113</f>
        <v>0</v>
      </c>
      <c r="N537" s="3415"/>
      <c r="O537" s="3415"/>
      <c r="P537" s="3415"/>
      <c r="Q537" s="3415"/>
      <c r="R537" s="3416"/>
      <c r="S537" s="3416"/>
      <c r="T537" s="3416"/>
      <c r="U537" s="3416"/>
      <c r="V537" s="3416"/>
    </row>
    <row r="538" spans="1:22" ht="15" customHeight="1" thickBot="1">
      <c r="A538" s="4551"/>
      <c r="B538" s="3461" t="s">
        <v>207</v>
      </c>
      <c r="C538" s="3430">
        <f>E538-E539</f>
        <v>0</v>
      </c>
      <c r="D538" s="3419"/>
      <c r="E538" s="3420">
        <f>+F538+G538+H538+I538+J538+K538+L538+M538</f>
        <v>11893200</v>
      </c>
      <c r="F538" s="3421">
        <f>'Tab. 6B Polit społ i rozwój prz'!E116</f>
        <v>0</v>
      </c>
      <c r="G538" s="3421">
        <f>'Tab. 6B Polit społ i rozwój prz'!F116</f>
        <v>0</v>
      </c>
      <c r="H538" s="3421">
        <f>'Tab. 6B Polit społ i rozwój prz'!G116</f>
        <v>1252580</v>
      </c>
      <c r="I538" s="3421">
        <f>'Tab. 6B Polit społ i rozwój prz'!H116</f>
        <v>5815550</v>
      </c>
      <c r="J538" s="3421">
        <f>'Tab. 6B Polit społ i rozwój prz'!I116</f>
        <v>4825070</v>
      </c>
      <c r="K538" s="3421">
        <f>'Tab. 6B Polit społ i rozwój prz'!J116</f>
        <v>0</v>
      </c>
      <c r="L538" s="3421">
        <f>'Tab. 6B Polit społ i rozwój prz'!K116</f>
        <v>0</v>
      </c>
      <c r="M538" s="3421">
        <f>'Tab. 6B Polit społ i rozwój prz'!L116</f>
        <v>0</v>
      </c>
      <c r="N538" s="3421"/>
      <c r="O538" s="3421"/>
      <c r="P538" s="3421"/>
      <c r="Q538" s="3421"/>
      <c r="R538" s="3422"/>
      <c r="S538" s="3423"/>
      <c r="T538" s="3423"/>
      <c r="U538" s="3423"/>
      <c r="V538" s="3423"/>
    </row>
    <row r="539" spans="1:22" ht="15" customHeight="1" thickBot="1">
      <c r="A539" s="4552"/>
      <c r="B539" s="3424" t="s">
        <v>335</v>
      </c>
      <c r="C539" s="3425"/>
      <c r="D539" s="3426"/>
      <c r="E539" s="3427">
        <f>F539+G539+H539+I539+J539+K539+L539+M539</f>
        <v>11893200</v>
      </c>
      <c r="F539" s="3428">
        <f>'Tab. 6B Polit społ i rozwój prz'!E120</f>
        <v>0</v>
      </c>
      <c r="G539" s="3428">
        <f>'Tab. 6B Polit społ i rozwój prz'!F120</f>
        <v>0</v>
      </c>
      <c r="H539" s="3428">
        <f>'Tab. 6B Polit społ i rozwój prz'!G120</f>
        <v>1252580</v>
      </c>
      <c r="I539" s="3428">
        <f>'Tab. 6B Polit społ i rozwój prz'!H120</f>
        <v>5815550</v>
      </c>
      <c r="J539" s="3428">
        <f>'Tab. 6B Polit społ i rozwój prz'!I120</f>
        <v>4825070</v>
      </c>
      <c r="K539" s="3428">
        <f>'Tab. 6B Polit społ i rozwój prz'!J120</f>
        <v>0</v>
      </c>
      <c r="L539" s="3428">
        <f>'Tab. 6B Polit społ i rozwój prz'!K120</f>
        <v>0</v>
      </c>
      <c r="M539" s="3428">
        <f>'Tab. 6B Polit społ i rozwój prz'!L120</f>
        <v>0</v>
      </c>
      <c r="N539" s="3428"/>
      <c r="O539" s="3428"/>
      <c r="P539" s="3428"/>
      <c r="Q539" s="3428"/>
      <c r="R539" s="3429"/>
      <c r="S539" s="3429"/>
      <c r="T539" s="3429"/>
      <c r="U539" s="3429"/>
      <c r="V539" s="3429"/>
    </row>
    <row r="540" spans="1:22" ht="26.25" customHeight="1">
      <c r="A540" s="4550" t="s">
        <v>67</v>
      </c>
      <c r="B540" s="3472" t="str">
        <f>'Tab. 6H - Kultura fiz. i turyst'!B209</f>
        <v>Przystosowanie mostu europejskiego Siekierki-Neurudnitz do ruchu turystycznego w ramach programu Interreg V A (2016-2020)</v>
      </c>
      <c r="C540" s="3399" t="s">
        <v>442</v>
      </c>
      <c r="D540" s="3400">
        <f>E543/E541%</f>
        <v>83.418889260871183</v>
      </c>
      <c r="E540" s="3401"/>
      <c r="F540" s="3402"/>
      <c r="G540" s="3403"/>
      <c r="H540" s="3402"/>
      <c r="I540" s="3402"/>
      <c r="J540" s="3402"/>
      <c r="K540" s="3402"/>
      <c r="L540" s="3402"/>
      <c r="M540" s="3402"/>
      <c r="N540" s="3402"/>
      <c r="O540" s="3402"/>
      <c r="P540" s="3402"/>
      <c r="Q540" s="3402"/>
      <c r="R540" s="3404"/>
      <c r="S540" s="3405"/>
      <c r="T540" s="3405"/>
      <c r="U540" s="3405"/>
      <c r="V540" s="3405"/>
    </row>
    <row r="541" spans="1:22" ht="15" customHeight="1">
      <c r="A541" s="4551"/>
      <c r="B541" s="3406" t="s">
        <v>205</v>
      </c>
      <c r="C541" s="3407"/>
      <c r="D541" s="3408"/>
      <c r="E541" s="3409">
        <f>+F541+G541+H541+I541+J541+K541+L541+M541</f>
        <v>161298</v>
      </c>
      <c r="F541" s="3410">
        <f>'Tab. 6H - Kultura fiz. i turyst'!E210</f>
        <v>0</v>
      </c>
      <c r="G541" s="3410">
        <f>'Tab. 6H - Kultura fiz. i turyst'!F210</f>
        <v>0</v>
      </c>
      <c r="H541" s="3410">
        <f>'Tab. 6H - Kultura fiz. i turyst'!G210</f>
        <v>0</v>
      </c>
      <c r="I541" s="3410">
        <f>'Tab. 6H - Kultura fiz. i turyst'!H210</f>
        <v>1500</v>
      </c>
      <c r="J541" s="3410">
        <f>'Tab. 6H - Kultura fiz. i turyst'!I210</f>
        <v>159798</v>
      </c>
      <c r="K541" s="3410">
        <f>'Tab. 6H - Kultura fiz. i turyst'!J210</f>
        <v>0</v>
      </c>
      <c r="L541" s="3410">
        <f>'Tab. 6H - Kultura fiz. i turyst'!K210</f>
        <v>0</v>
      </c>
      <c r="M541" s="3410">
        <f>'Tab. 6H - Kultura fiz. i turyst'!L210</f>
        <v>0</v>
      </c>
      <c r="N541" s="3410"/>
      <c r="O541" s="3410"/>
      <c r="P541" s="3410"/>
      <c r="Q541" s="3410"/>
      <c r="R541" s="3411"/>
      <c r="S541" s="3412"/>
      <c r="T541" s="3412"/>
      <c r="U541" s="3412"/>
      <c r="V541" s="3412"/>
    </row>
    <row r="542" spans="1:22" ht="15" customHeight="1">
      <c r="A542" s="4551"/>
      <c r="B542" s="3413" t="s">
        <v>339</v>
      </c>
      <c r="C542" s="2794"/>
      <c r="D542" s="3414"/>
      <c r="E542" s="3175">
        <f>+F542+G542+H542+I542+J542+K542+L542+M542</f>
        <v>26745</v>
      </c>
      <c r="F542" s="3415">
        <f>'Tab. 6H - Kultura fiz. i turyst'!E211</f>
        <v>0</v>
      </c>
      <c r="G542" s="3415">
        <f>'Tab. 6H - Kultura fiz. i turyst'!F211</f>
        <v>0</v>
      </c>
      <c r="H542" s="3415">
        <f>'Tab. 6H - Kultura fiz. i turyst'!G211</f>
        <v>0</v>
      </c>
      <c r="I542" s="3415">
        <f>'Tab. 6H - Kultura fiz. i turyst'!H211</f>
        <v>1500</v>
      </c>
      <c r="J542" s="3415">
        <f>'Tab. 6H - Kultura fiz. i turyst'!I211</f>
        <v>25245</v>
      </c>
      <c r="K542" s="3415">
        <f>'Tab. 6H - Kultura fiz. i turyst'!J211</f>
        <v>0</v>
      </c>
      <c r="L542" s="3415">
        <f>'Tab. 6H - Kultura fiz. i turyst'!K211</f>
        <v>0</v>
      </c>
      <c r="M542" s="3415">
        <f>'Tab. 6H - Kultura fiz. i turyst'!L211</f>
        <v>0</v>
      </c>
      <c r="N542" s="3415"/>
      <c r="O542" s="3415"/>
      <c r="P542" s="3415"/>
      <c r="Q542" s="3415"/>
      <c r="R542" s="3416"/>
      <c r="S542" s="3416"/>
      <c r="T542" s="3416"/>
      <c r="U542" s="3416"/>
      <c r="V542" s="3416"/>
    </row>
    <row r="543" spans="1:22" ht="15" customHeight="1" thickBot="1">
      <c r="A543" s="4551"/>
      <c r="B543" s="3417" t="s">
        <v>207</v>
      </c>
      <c r="C543" s="3430">
        <f>E543-E544</f>
        <v>0</v>
      </c>
      <c r="D543" s="3419"/>
      <c r="E543" s="3420">
        <f>+F543+G543+H543+I543+J543+K543+L543+M543</f>
        <v>134553</v>
      </c>
      <c r="F543" s="3421">
        <f>'Tab. 6H - Kultura fiz. i turyst'!E213</f>
        <v>0</v>
      </c>
      <c r="G543" s="3421">
        <f>'Tab. 6H - Kultura fiz. i turyst'!F213</f>
        <v>0</v>
      </c>
      <c r="H543" s="3421">
        <f>'Tab. 6H - Kultura fiz. i turyst'!G213</f>
        <v>0</v>
      </c>
      <c r="I543" s="3421">
        <f>'Tab. 6H - Kultura fiz. i turyst'!H213</f>
        <v>0</v>
      </c>
      <c r="J543" s="3421">
        <f>'Tab. 6H - Kultura fiz. i turyst'!I213</f>
        <v>134553</v>
      </c>
      <c r="K543" s="3421">
        <f>'Tab. 6H - Kultura fiz. i turyst'!J213</f>
        <v>0</v>
      </c>
      <c r="L543" s="3421">
        <f>'Tab. 6H - Kultura fiz. i turyst'!K213</f>
        <v>0</v>
      </c>
      <c r="M543" s="3421">
        <f>'Tab. 6H - Kultura fiz. i turyst'!L213</f>
        <v>0</v>
      </c>
      <c r="N543" s="3421"/>
      <c r="O543" s="3421"/>
      <c r="P543" s="3421"/>
      <c r="Q543" s="3421"/>
      <c r="R543" s="3422"/>
      <c r="S543" s="3423"/>
      <c r="T543" s="3423"/>
      <c r="U543" s="3423"/>
      <c r="V543" s="3423"/>
    </row>
    <row r="544" spans="1:22" ht="15" customHeight="1" thickBot="1">
      <c r="A544" s="4552"/>
      <c r="B544" s="3424" t="s">
        <v>335</v>
      </c>
      <c r="C544" s="3425"/>
      <c r="D544" s="3426"/>
      <c r="E544" s="3427">
        <f>F544+G544+H544+I544+J544+K544+L544+M544</f>
        <v>134553</v>
      </c>
      <c r="F544" s="3428">
        <f>'Tab. 6H - Kultura fiz. i turyst'!E216</f>
        <v>0</v>
      </c>
      <c r="G544" s="3428">
        <f>'Tab. 6H - Kultura fiz. i turyst'!F216</f>
        <v>0</v>
      </c>
      <c r="H544" s="3428">
        <f>'Tab. 6H - Kultura fiz. i turyst'!G216</f>
        <v>0</v>
      </c>
      <c r="I544" s="3428">
        <f>'Tab. 6H - Kultura fiz. i turyst'!H216</f>
        <v>0</v>
      </c>
      <c r="J544" s="3428">
        <f>'Tab. 6H - Kultura fiz. i turyst'!I216</f>
        <v>0</v>
      </c>
      <c r="K544" s="3428">
        <f>'Tab. 6H - Kultura fiz. i turyst'!J216</f>
        <v>134553</v>
      </c>
      <c r="L544" s="3428">
        <f>'Tab. 6H - Kultura fiz. i turyst'!K216</f>
        <v>0</v>
      </c>
      <c r="M544" s="3428">
        <f>'Tab. 6H - Kultura fiz. i turyst'!L216</f>
        <v>0</v>
      </c>
      <c r="N544" s="3428"/>
      <c r="O544" s="3428"/>
      <c r="P544" s="3428"/>
      <c r="Q544" s="3428"/>
      <c r="R544" s="3429"/>
      <c r="S544" s="3429"/>
      <c r="T544" s="3429"/>
      <c r="U544" s="3429"/>
      <c r="V544" s="3429"/>
    </row>
    <row r="545" spans="1:22" ht="6.75" customHeight="1">
      <c r="A545" s="3645"/>
      <c r="B545" s="3646"/>
      <c r="C545" s="3647"/>
      <c r="D545" s="3648"/>
      <c r="E545" s="3649"/>
      <c r="F545" s="3650"/>
      <c r="G545" s="3650"/>
      <c r="H545" s="3650"/>
      <c r="I545" s="3650"/>
      <c r="J545" s="3650"/>
      <c r="K545" s="3650"/>
      <c r="L545" s="3650"/>
      <c r="M545" s="3650"/>
      <c r="N545" s="3650"/>
      <c r="O545" s="3650"/>
      <c r="P545" s="3650"/>
      <c r="Q545" s="3650"/>
      <c r="R545" s="3423"/>
      <c r="S545" s="3650"/>
      <c r="T545" s="3650"/>
      <c r="U545" s="3650"/>
      <c r="V545" s="3650"/>
    </row>
    <row r="546" spans="1:22" s="3658" customFormat="1" ht="18.75" customHeight="1">
      <c r="A546" s="3651"/>
      <c r="B546" s="3652" t="s">
        <v>346</v>
      </c>
      <c r="C546" s="3653"/>
      <c r="D546" s="3654"/>
      <c r="E546" s="3655"/>
      <c r="F546" s="3655"/>
      <c r="G546" s="3655">
        <f>G9+G384+G498-'Tabela nr 6'!C12-G483-G377-G180-G493-G488</f>
        <v>0</v>
      </c>
      <c r="H546" s="3655">
        <f>H9+H384+H498-'Tabela nr 6'!D12-H483-H377-H180-H493-H488</f>
        <v>0</v>
      </c>
      <c r="I546" s="3655">
        <f>I9+I384+I498-'Tabela nr 6'!E12-I483-I377-I180-I493-I488</f>
        <v>0</v>
      </c>
      <c r="J546" s="3655">
        <f>J9+J384+J498-'Tabela nr 6'!F12-J483-J377-J180-J493-J488</f>
        <v>0</v>
      </c>
      <c r="K546" s="3655">
        <f>K9+K384+K498-'Tabela nr 6'!G12-K483-K377-K180-K493-K488</f>
        <v>0</v>
      </c>
      <c r="L546" s="3655">
        <f>L9+L384+L498-'Tabela nr 6'!H12-L483-L377-L180-L493-L488</f>
        <v>0</v>
      </c>
      <c r="M546" s="3655">
        <f>M9+M384+M498-'Tabela nr 6'!I12-M483-M377-M180-M493-M488</f>
        <v>0</v>
      </c>
      <c r="N546" s="3655"/>
      <c r="O546" s="3655"/>
      <c r="P546" s="3655"/>
      <c r="Q546" s="3655"/>
      <c r="R546" s="3656"/>
      <c r="S546" s="3657"/>
      <c r="T546" s="3657"/>
      <c r="U546" s="3657"/>
      <c r="V546" s="3657"/>
    </row>
    <row r="547" spans="1:22">
      <c r="A547" s="3645"/>
      <c r="B547" s="3646"/>
      <c r="C547" s="3647"/>
      <c r="D547" s="3648"/>
      <c r="E547" s="3649"/>
      <c r="F547" s="3650"/>
      <c r="G547" s="3650"/>
      <c r="H547" s="3650"/>
      <c r="I547" s="3650"/>
      <c r="J547" s="3650"/>
      <c r="K547" s="3650"/>
      <c r="L547" s="3650"/>
      <c r="M547" s="3650"/>
      <c r="N547" s="3650"/>
      <c r="O547" s="3650"/>
      <c r="P547" s="3650"/>
      <c r="Q547" s="3650"/>
      <c r="R547" s="3423"/>
      <c r="S547" s="3650"/>
      <c r="T547" s="3650"/>
      <c r="U547" s="3650"/>
      <c r="V547" s="3650"/>
    </row>
    <row r="548" spans="1:22" ht="21.75" customHeight="1">
      <c r="A548" s="3659"/>
      <c r="B548" s="3660" t="s">
        <v>348</v>
      </c>
      <c r="C548" s="3661"/>
      <c r="D548" s="3662"/>
      <c r="E548" s="3663"/>
      <c r="F548" s="3663"/>
      <c r="G548" s="3663"/>
      <c r="H548" s="3663"/>
      <c r="I548" s="3663"/>
      <c r="J548" s="3663"/>
      <c r="K548" s="3663"/>
      <c r="L548" s="3663"/>
      <c r="M548" s="3663"/>
      <c r="N548" s="3663"/>
      <c r="O548" s="3663"/>
      <c r="P548" s="3663"/>
      <c r="Q548" s="3663"/>
      <c r="R548" s="3664"/>
      <c r="S548" s="3663"/>
      <c r="T548" s="3663"/>
      <c r="U548" s="3663"/>
      <c r="V548" s="3663"/>
    </row>
    <row r="549" spans="1:22" ht="32.25" customHeight="1">
      <c r="A549" s="4587" t="s">
        <v>495</v>
      </c>
      <c r="B549" s="4588"/>
      <c r="C549" s="3647"/>
      <c r="D549" s="3648"/>
      <c r="E549" s="3649"/>
      <c r="F549" s="3650"/>
      <c r="G549" s="3650"/>
      <c r="H549" s="3650"/>
      <c r="I549" s="3650"/>
      <c r="J549" s="3650"/>
      <c r="K549" s="3650"/>
      <c r="L549" s="3650"/>
      <c r="M549" s="3650"/>
      <c r="N549" s="3650"/>
      <c r="O549" s="3650"/>
      <c r="P549" s="3650"/>
      <c r="Q549" s="3650"/>
      <c r="R549" s="3423"/>
      <c r="S549" s="3650"/>
      <c r="T549" s="3650"/>
      <c r="U549" s="3650"/>
      <c r="V549" s="3650"/>
    </row>
    <row r="550" spans="1:22" ht="69" customHeight="1">
      <c r="A550" s="3645"/>
      <c r="B550" s="3665" t="s">
        <v>767</v>
      </c>
      <c r="C550" s="3666"/>
      <c r="D550" s="3667"/>
      <c r="E550" s="3668"/>
      <c r="F550" s="3668"/>
      <c r="G550" s="3669">
        <f>'Tab. 6C - Ochrona zdrowia'!F64</f>
        <v>0</v>
      </c>
      <c r="H550" s="3669">
        <f>'Tab. 6C - Ochrona zdrowia'!G64</f>
        <v>4247813</v>
      </c>
      <c r="I550" s="3669">
        <f>'Tab. 6C - Ochrona zdrowia'!H64</f>
        <v>5225973</v>
      </c>
      <c r="J550" s="3669">
        <f>'Tab. 6C - Ochrona zdrowia'!I64</f>
        <v>5225973</v>
      </c>
      <c r="K550" s="3669">
        <f>'Tab. 6C - Ochrona zdrowia'!J64</f>
        <v>5225973</v>
      </c>
      <c r="L550" s="3669">
        <f>'Tab. 6C - Ochrona zdrowia'!K64</f>
        <v>5085973</v>
      </c>
      <c r="M550" s="3669">
        <f>'Tab. 6C - Ochrona zdrowia'!L64</f>
        <v>4145973</v>
      </c>
      <c r="N550" s="3669">
        <f>'Tab. 6C - Ochrona zdrowia'!M64</f>
        <v>4145973</v>
      </c>
      <c r="O550" s="3669">
        <f>'Tab. 6C - Ochrona zdrowia'!O64</f>
        <v>4145973</v>
      </c>
      <c r="P550" s="3669">
        <f>'Tab. 6C - Ochrona zdrowia'!P64</f>
        <v>4145973</v>
      </c>
      <c r="Q550" s="3669">
        <f>'Tab. 6C - Ochrona zdrowia'!Q64</f>
        <v>4145973</v>
      </c>
      <c r="R550" s="3669">
        <f>'Tab. 6C - Ochrona zdrowia'!R64</f>
        <v>4029310</v>
      </c>
      <c r="S550" s="3669">
        <f>'Tab. 6C - Ochrona zdrowia'!S64</f>
        <v>3912640</v>
      </c>
      <c r="T550" s="3669">
        <f>'Tab. 6C - Ochrona zdrowia'!T64</f>
        <v>3912640</v>
      </c>
      <c r="U550" s="3669">
        <f>'Tab. 6C - Ochrona zdrowia'!U64</f>
        <v>3912640</v>
      </c>
      <c r="V550" s="3669">
        <f>'Tab. 6C - Ochrona zdrowia'!V64</f>
        <v>1956325</v>
      </c>
    </row>
    <row r="551" spans="1:22" ht="4.5" customHeight="1">
      <c r="A551" s="3645"/>
      <c r="B551" s="3646"/>
      <c r="C551" s="3647"/>
      <c r="D551" s="3648"/>
      <c r="E551" s="3649"/>
      <c r="F551" s="3650"/>
      <c r="G551" s="3650"/>
      <c r="H551" s="3650"/>
      <c r="I551" s="3650"/>
      <c r="J551" s="3650"/>
      <c r="K551" s="3650"/>
      <c r="L551" s="3650"/>
      <c r="M551" s="3650"/>
      <c r="N551" s="3650"/>
      <c r="O551" s="3650"/>
      <c r="P551" s="3650"/>
      <c r="Q551" s="3650"/>
      <c r="R551" s="3423"/>
      <c r="S551" s="3650"/>
      <c r="T551" s="3650"/>
      <c r="U551" s="3650"/>
      <c r="V551" s="3650"/>
    </row>
    <row r="552" spans="1:22" ht="54.75" customHeight="1">
      <c r="A552" s="3645"/>
      <c r="B552" s="3665" t="s">
        <v>768</v>
      </c>
      <c r="C552" s="3666"/>
      <c r="D552" s="3667"/>
      <c r="E552" s="3668"/>
      <c r="F552" s="3668"/>
      <c r="G552" s="3669">
        <f>G553-G554</f>
        <v>43336913</v>
      </c>
      <c r="H552" s="3669">
        <f>H553-H554</f>
        <v>67212532</v>
      </c>
      <c r="I552" s="3669">
        <f>I553-I554</f>
        <v>51028008</v>
      </c>
      <c r="J552" s="3669">
        <f>J553-J554</f>
        <v>43965565</v>
      </c>
      <c r="K552" s="3669">
        <f t="shared" ref="K552:M552" si="11">K553-K554</f>
        <v>36128058</v>
      </c>
      <c r="L552" s="3669">
        <f t="shared" si="11"/>
        <v>31709006</v>
      </c>
      <c r="M552" s="3669">
        <f t="shared" si="11"/>
        <v>31186740</v>
      </c>
      <c r="N552" s="3668"/>
      <c r="O552" s="3668"/>
      <c r="P552" s="3668"/>
      <c r="Q552" s="3668"/>
      <c r="R552" s="3670"/>
      <c r="S552" s="3671"/>
      <c r="T552" s="3671"/>
      <c r="U552" s="3671"/>
      <c r="V552" s="3671"/>
    </row>
    <row r="553" spans="1:22" s="3680" customFormat="1" ht="50.25" customHeight="1">
      <c r="A553" s="3645"/>
      <c r="B553" s="3672" t="s">
        <v>769</v>
      </c>
      <c r="C553" s="3673"/>
      <c r="D553" s="3674"/>
      <c r="E553" s="3675"/>
      <c r="F553" s="3676"/>
      <c r="G553" s="2747">
        <v>43336913</v>
      </c>
      <c r="H553" s="2747">
        <v>68654396</v>
      </c>
      <c r="I553" s="2747">
        <v>57118510</v>
      </c>
      <c r="J553" s="2747">
        <v>49916087</v>
      </c>
      <c r="K553" s="3677">
        <v>37077020</v>
      </c>
      <c r="L553" s="3678">
        <f>L192</f>
        <v>32512162</v>
      </c>
      <c r="M553" s="3678">
        <f>M192</f>
        <v>31308514</v>
      </c>
      <c r="N553" s="3676"/>
      <c r="O553" s="3676"/>
      <c r="P553" s="3676"/>
      <c r="Q553" s="3676"/>
      <c r="R553" s="3679"/>
      <c r="S553" s="3650"/>
      <c r="T553" s="3650"/>
      <c r="U553" s="3650"/>
      <c r="V553" s="3650"/>
    </row>
    <row r="554" spans="1:22" ht="63" customHeight="1">
      <c r="A554" s="3645"/>
      <c r="B554" s="3672" t="s">
        <v>770</v>
      </c>
      <c r="C554" s="3673"/>
      <c r="D554" s="3681"/>
      <c r="E554" s="3675"/>
      <c r="F554" s="3676"/>
      <c r="G554" s="2747">
        <f t="shared" ref="G554:M554" si="12">G499</f>
        <v>0</v>
      </c>
      <c r="H554" s="2747">
        <f>H499</f>
        <v>1441864</v>
      </c>
      <c r="I554" s="2747">
        <f t="shared" si="12"/>
        <v>6090502</v>
      </c>
      <c r="J554" s="2747">
        <f t="shared" si="12"/>
        <v>5950522</v>
      </c>
      <c r="K554" s="2747">
        <f t="shared" si="12"/>
        <v>948962</v>
      </c>
      <c r="L554" s="3678">
        <f>L499</f>
        <v>803156</v>
      </c>
      <c r="M554" s="3678">
        <f t="shared" si="12"/>
        <v>121774</v>
      </c>
      <c r="N554" s="3676"/>
      <c r="O554" s="3676"/>
      <c r="P554" s="3676"/>
      <c r="Q554" s="3676"/>
      <c r="R554" s="3679"/>
      <c r="S554" s="3650"/>
      <c r="T554" s="3650"/>
      <c r="U554" s="3650"/>
      <c r="V554" s="3650"/>
    </row>
    <row r="555" spans="1:22" ht="4.5" customHeight="1">
      <c r="A555" s="3645"/>
      <c r="B555" s="3646"/>
      <c r="C555" s="3647"/>
      <c r="D555" s="3648"/>
      <c r="E555" s="3649"/>
      <c r="F555" s="3650"/>
      <c r="G555" s="3650"/>
      <c r="H555" s="3650"/>
      <c r="I555" s="3650"/>
      <c r="J555" s="3650"/>
      <c r="K555" s="3650"/>
      <c r="L555" s="3650"/>
      <c r="M555" s="3650"/>
      <c r="N555" s="3650"/>
      <c r="O555" s="3650"/>
      <c r="P555" s="3650"/>
      <c r="Q555" s="3650"/>
      <c r="R555" s="3423"/>
      <c r="S555" s="3650"/>
      <c r="T555" s="3650"/>
      <c r="U555" s="3650"/>
      <c r="V555" s="3650"/>
    </row>
    <row r="556" spans="1:22" ht="54" customHeight="1">
      <c r="A556" s="3645"/>
      <c r="B556" s="3665" t="s">
        <v>771</v>
      </c>
      <c r="C556" s="3666"/>
      <c r="D556" s="3667"/>
      <c r="E556" s="3668"/>
      <c r="F556" s="3668"/>
      <c r="G556" s="3669">
        <f>G557-G558</f>
        <v>189500478</v>
      </c>
      <c r="H556" s="3669">
        <f t="shared" ref="H556:K556" si="13">H557-H558</f>
        <v>306444488</v>
      </c>
      <c r="I556" s="3669">
        <f t="shared" si="13"/>
        <v>53288728</v>
      </c>
      <c r="J556" s="3669">
        <f t="shared" si="13"/>
        <v>21740630</v>
      </c>
      <c r="K556" s="3669">
        <f t="shared" si="13"/>
        <v>319090</v>
      </c>
      <c r="L556" s="3669">
        <f t="shared" ref="L556:M556" si="14">L557-L558</f>
        <v>144500</v>
      </c>
      <c r="M556" s="3669">
        <f t="shared" si="14"/>
        <v>144500</v>
      </c>
      <c r="N556" s="3668"/>
      <c r="O556" s="3668"/>
      <c r="P556" s="3668"/>
      <c r="Q556" s="3668"/>
      <c r="R556" s="3670"/>
      <c r="S556" s="3671"/>
      <c r="T556" s="3671"/>
      <c r="U556" s="3671"/>
      <c r="V556" s="3671"/>
    </row>
    <row r="557" spans="1:22" s="3680" customFormat="1" ht="53.25" customHeight="1">
      <c r="A557" s="3645"/>
      <c r="B557" s="3672" t="s">
        <v>772</v>
      </c>
      <c r="C557" s="3673"/>
      <c r="D557" s="3681"/>
      <c r="E557" s="3675"/>
      <c r="F557" s="3676"/>
      <c r="G557" s="2747">
        <v>189500478</v>
      </c>
      <c r="H557" s="2747">
        <v>417056788</v>
      </c>
      <c r="I557" s="2747">
        <v>133067599</v>
      </c>
      <c r="J557" s="2747">
        <v>54552003</v>
      </c>
      <c r="K557" s="3677">
        <v>5260483</v>
      </c>
      <c r="L557" s="3678">
        <f>L11</f>
        <v>144500</v>
      </c>
      <c r="M557" s="3678">
        <f>M11</f>
        <v>144500</v>
      </c>
      <c r="N557" s="3676"/>
      <c r="O557" s="3676"/>
      <c r="P557" s="3676"/>
      <c r="Q557" s="3676"/>
      <c r="R557" s="3679"/>
      <c r="S557" s="3650"/>
      <c r="T557" s="3650"/>
      <c r="U557" s="3650"/>
      <c r="V557" s="3650"/>
    </row>
    <row r="558" spans="1:22" ht="38.25" customHeight="1">
      <c r="A558" s="3645"/>
      <c r="B558" s="3672" t="s">
        <v>773</v>
      </c>
      <c r="C558" s="3673"/>
      <c r="D558" s="3681"/>
      <c r="E558" s="3675"/>
      <c r="F558" s="3676"/>
      <c r="G558" s="2747">
        <f t="shared" ref="G558:M558" si="15">G385</f>
        <v>0</v>
      </c>
      <c r="H558" s="2747">
        <f>H385</f>
        <v>110612300</v>
      </c>
      <c r="I558" s="2747">
        <f t="shared" si="15"/>
        <v>79778871</v>
      </c>
      <c r="J558" s="2747">
        <f t="shared" si="15"/>
        <v>32811373</v>
      </c>
      <c r="K558" s="2747">
        <f t="shared" si="15"/>
        <v>4941393</v>
      </c>
      <c r="L558" s="3678">
        <f t="shared" si="15"/>
        <v>0</v>
      </c>
      <c r="M558" s="3678">
        <f t="shared" si="15"/>
        <v>0</v>
      </c>
      <c r="N558" s="3676"/>
      <c r="O558" s="3676"/>
      <c r="P558" s="3676"/>
      <c r="Q558" s="3676"/>
      <c r="R558" s="3679"/>
      <c r="S558" s="3650"/>
      <c r="T558" s="3650"/>
      <c r="U558" s="3650"/>
      <c r="V558" s="3650"/>
    </row>
    <row r="559" spans="1:22" ht="3" customHeight="1">
      <c r="A559" s="3645"/>
      <c r="B559" s="3646"/>
      <c r="C559" s="3647"/>
      <c r="D559" s="3648"/>
      <c r="E559" s="3649"/>
      <c r="F559" s="3650"/>
      <c r="G559" s="3650"/>
      <c r="H559" s="3650"/>
      <c r="I559" s="3650"/>
      <c r="J559" s="3650"/>
      <c r="K559" s="3650"/>
      <c r="L559" s="3650"/>
      <c r="M559" s="3650"/>
      <c r="N559" s="3650"/>
      <c r="O559" s="3650"/>
      <c r="P559" s="3650"/>
      <c r="Q559" s="3650"/>
      <c r="R559" s="3423"/>
      <c r="S559" s="3650"/>
      <c r="T559" s="3650"/>
      <c r="U559" s="3650"/>
      <c r="V559" s="3650"/>
    </row>
    <row r="560" spans="1:22" ht="42.75" customHeight="1">
      <c r="A560" s="3645"/>
      <c r="B560" s="3665" t="s">
        <v>774</v>
      </c>
      <c r="C560" s="3666"/>
      <c r="D560" s="3667"/>
      <c r="E560" s="3668"/>
      <c r="F560" s="3668"/>
      <c r="G560" s="3669">
        <f>G561+G562</f>
        <v>59728091</v>
      </c>
      <c r="H560" s="3669">
        <f>H561+H562</f>
        <v>101340441</v>
      </c>
      <c r="I560" s="3669">
        <f t="shared" ref="I560:K560" si="16">I561+I562</f>
        <v>95798085</v>
      </c>
      <c r="J560" s="3669">
        <f t="shared" si="16"/>
        <v>71926535</v>
      </c>
      <c r="K560" s="3669">
        <f t="shared" si="16"/>
        <v>49888343</v>
      </c>
      <c r="L560" s="3669">
        <f>L561+L562</f>
        <v>38732030</v>
      </c>
      <c r="M560" s="3669">
        <f>M561+M562</f>
        <v>36072679</v>
      </c>
      <c r="N560" s="3668"/>
      <c r="O560" s="3668"/>
      <c r="P560" s="3668"/>
      <c r="Q560" s="3668"/>
      <c r="R560" s="3670"/>
      <c r="S560" s="3671"/>
      <c r="T560" s="3671"/>
      <c r="U560" s="3671"/>
      <c r="V560" s="3671"/>
    </row>
    <row r="561" spans="1:22" ht="61.5" customHeight="1">
      <c r="A561" s="3645"/>
      <c r="B561" s="3672" t="s">
        <v>775</v>
      </c>
      <c r="C561" s="3673"/>
      <c r="D561" s="3681"/>
      <c r="E561" s="3675"/>
      <c r="F561" s="3676"/>
      <c r="G561" s="2747">
        <v>56007461</v>
      </c>
      <c r="H561" s="2747">
        <v>84147693</v>
      </c>
      <c r="I561" s="2747">
        <v>73319255</v>
      </c>
      <c r="J561" s="2747">
        <v>51361240</v>
      </c>
      <c r="K561" s="3677">
        <v>29475072</v>
      </c>
      <c r="L561" s="3678">
        <f>L193+L498-L562</f>
        <v>19412934</v>
      </c>
      <c r="M561" s="3678">
        <f>M193+M498-M562</f>
        <v>16344016</v>
      </c>
      <c r="N561" s="3676"/>
      <c r="O561" s="3676"/>
      <c r="P561" s="3676"/>
      <c r="Q561" s="3676"/>
      <c r="R561" s="3679"/>
      <c r="S561" s="3650"/>
      <c r="T561" s="3650"/>
      <c r="U561" s="3650"/>
      <c r="V561" s="3650"/>
    </row>
    <row r="562" spans="1:22" ht="41.25" customHeight="1">
      <c r="A562" s="3645"/>
      <c r="B562" s="3672" t="s">
        <v>776</v>
      </c>
      <c r="C562" s="3673"/>
      <c r="D562" s="3681"/>
      <c r="E562" s="3675"/>
      <c r="F562" s="3676"/>
      <c r="G562" s="2747">
        <f>'Tab. 6E - Administracja'!F110+'Tab. 6E - Administracja'!F100</f>
        <v>3720630</v>
      </c>
      <c r="H562" s="2747">
        <f>'Tab. 6E - Administracja'!G110+'Tab. 6E - Administracja'!G100</f>
        <v>17192748</v>
      </c>
      <c r="I562" s="2747">
        <f>'Tab. 6E - Administracja'!H110+'Tab. 6E - Administracja'!H100</f>
        <v>22478830</v>
      </c>
      <c r="J562" s="2747">
        <f>'Tab. 6E - Administracja'!I110+'Tab. 6E - Administracja'!I100</f>
        <v>20565295</v>
      </c>
      <c r="K562" s="2747">
        <f>'Tab. 6E - Administracja'!J110+'Tab. 6E - Administracja'!J100</f>
        <v>20413271</v>
      </c>
      <c r="L562" s="3678">
        <f>'Tab. 6E - Administracja'!K110+'Tab. 6E - Administracja'!K100</f>
        <v>19319096</v>
      </c>
      <c r="M562" s="3678">
        <f>'Tab. 6E - Administracja'!L110+'Tab. 6E - Administracja'!L100</f>
        <v>19728663</v>
      </c>
      <c r="N562" s="2747"/>
      <c r="O562" s="3676"/>
      <c r="P562" s="3676"/>
      <c r="Q562" s="3676"/>
      <c r="R562" s="3679"/>
      <c r="S562" s="3650"/>
      <c r="T562" s="3650"/>
      <c r="U562" s="3650"/>
      <c r="V562" s="3650"/>
    </row>
    <row r="563" spans="1:22" ht="3" customHeight="1">
      <c r="A563" s="3645"/>
      <c r="B563" s="3646"/>
      <c r="C563" s="3647"/>
      <c r="D563" s="3648"/>
      <c r="E563" s="3649"/>
      <c r="F563" s="3650"/>
      <c r="G563" s="3650"/>
      <c r="H563" s="3650"/>
      <c r="I563" s="3650"/>
      <c r="J563" s="3650"/>
      <c r="K563" s="3650"/>
      <c r="L563" s="3650"/>
      <c r="M563" s="3650"/>
      <c r="N563" s="3650"/>
      <c r="O563" s="3650"/>
      <c r="P563" s="3650"/>
      <c r="Q563" s="3650"/>
      <c r="R563" s="3423"/>
      <c r="S563" s="3650"/>
      <c r="T563" s="3650"/>
      <c r="U563" s="3650"/>
      <c r="V563" s="3650"/>
    </row>
    <row r="564" spans="1:22" ht="41.25" customHeight="1">
      <c r="A564" s="3645"/>
      <c r="B564" s="3665" t="s">
        <v>777</v>
      </c>
      <c r="C564" s="3666"/>
      <c r="D564" s="3667"/>
      <c r="E564" s="3668"/>
      <c r="F564" s="3668"/>
      <c r="G564" s="3669">
        <f>G565+G566</f>
        <v>40653417</v>
      </c>
      <c r="H564" s="3669">
        <f>H565+H566</f>
        <v>66575511</v>
      </c>
      <c r="I564" s="3669">
        <f t="shared" ref="I564:M564" si="17">I565+I566</f>
        <v>61944557</v>
      </c>
      <c r="J564" s="3669">
        <f t="shared" si="17"/>
        <v>50129955</v>
      </c>
      <c r="K564" s="3669">
        <f t="shared" si="17"/>
        <v>36145347</v>
      </c>
      <c r="L564" s="3669">
        <f>L565+L566</f>
        <v>33606116</v>
      </c>
      <c r="M564" s="3669">
        <f t="shared" si="17"/>
        <v>31090743</v>
      </c>
      <c r="N564" s="3668"/>
      <c r="O564" s="3668"/>
      <c r="P564" s="3668"/>
      <c r="Q564" s="3668"/>
      <c r="R564" s="3670"/>
      <c r="S564" s="3671"/>
      <c r="T564" s="3671"/>
      <c r="U564" s="3671"/>
      <c r="V564" s="3671"/>
    </row>
    <row r="565" spans="1:22" ht="61.5" customHeight="1">
      <c r="A565" s="3645"/>
      <c r="B565" s="3672" t="s">
        <v>778</v>
      </c>
      <c r="C565" s="3673"/>
      <c r="D565" s="3681"/>
      <c r="E565" s="3675"/>
      <c r="F565" s="3676"/>
      <c r="G565" s="2747">
        <v>37906646</v>
      </c>
      <c r="H565" s="2747">
        <v>53277462</v>
      </c>
      <c r="I565" s="2747">
        <v>44608105</v>
      </c>
      <c r="J565" s="2747">
        <v>34473456</v>
      </c>
      <c r="K565" s="3677">
        <v>20155441</v>
      </c>
      <c r="L565" s="3678">
        <f>L195+L498-L566</f>
        <v>17275530</v>
      </c>
      <c r="M565" s="3678">
        <f>M195+M498-M566</f>
        <v>14412036</v>
      </c>
      <c r="N565" s="3676"/>
      <c r="O565" s="3676"/>
      <c r="P565" s="3676"/>
      <c r="Q565" s="3676"/>
      <c r="R565" s="3679"/>
      <c r="S565" s="3650"/>
      <c r="T565" s="3650"/>
      <c r="U565" s="3650"/>
      <c r="V565" s="3650"/>
    </row>
    <row r="566" spans="1:22" ht="29.25" customHeight="1">
      <c r="A566" s="3645"/>
      <c r="B566" s="3672" t="s">
        <v>417</v>
      </c>
      <c r="C566" s="3673"/>
      <c r="D566" s="3681"/>
      <c r="E566" s="3675"/>
      <c r="F566" s="3676"/>
      <c r="G566" s="2747">
        <f>'Tab. 6E - Administracja'!F110</f>
        <v>2746771</v>
      </c>
      <c r="H566" s="2747">
        <f>'Tab. 6E - Administracja'!G110</f>
        <v>13298049</v>
      </c>
      <c r="I566" s="2747">
        <f>'Tab. 6E - Administracja'!H110</f>
        <v>17336452</v>
      </c>
      <c r="J566" s="2747">
        <f>'Tab. 6E - Administracja'!I110</f>
        <v>15656499</v>
      </c>
      <c r="K566" s="2747">
        <f>'Tab. 6E - Administracja'!J110</f>
        <v>15989906</v>
      </c>
      <c r="L566" s="3678">
        <f>'Tab. 6E - Administracja'!K110</f>
        <v>16330586</v>
      </c>
      <c r="M566" s="3678">
        <f>'Tab. 6E - Administracja'!L110</f>
        <v>16678707</v>
      </c>
      <c r="N566" s="3676"/>
      <c r="O566" s="3676"/>
      <c r="P566" s="3676"/>
      <c r="Q566" s="3676"/>
      <c r="R566" s="3679"/>
      <c r="S566" s="3650"/>
      <c r="T566" s="3650"/>
      <c r="U566" s="3650"/>
      <c r="V566" s="3650"/>
    </row>
    <row r="567" spans="1:22" ht="108.75" customHeight="1">
      <c r="A567" s="3645"/>
      <c r="B567" s="3665" t="s">
        <v>779</v>
      </c>
      <c r="C567" s="3666"/>
      <c r="D567" s="3667"/>
      <c r="E567" s="3668"/>
      <c r="F567" s="3668"/>
      <c r="G567" s="3669">
        <f>G564-G503-G508-G518-G513-G523-G528-G533-G538</f>
        <v>40653417</v>
      </c>
      <c r="H567" s="3669">
        <f>H564-H503-H508-H518-H513-H523-H528-H533-H538-H543</f>
        <v>65133647</v>
      </c>
      <c r="I567" s="3669">
        <f t="shared" ref="I567:M567" si="18">I564-I503-I508-I518-I513-I523-I528-I533-I538-I543</f>
        <v>55854055</v>
      </c>
      <c r="J567" s="3669">
        <f t="shared" si="18"/>
        <v>43855670</v>
      </c>
      <c r="K567" s="3669">
        <f t="shared" si="18"/>
        <v>35520148</v>
      </c>
      <c r="L567" s="3669">
        <f t="shared" si="18"/>
        <v>32802960</v>
      </c>
      <c r="M567" s="3669">
        <f t="shared" si="18"/>
        <v>30968969</v>
      </c>
      <c r="N567" s="3668"/>
      <c r="O567" s="3668"/>
      <c r="P567" s="3668"/>
      <c r="Q567" s="3668"/>
      <c r="R567" s="3670"/>
      <c r="S567" s="3671"/>
      <c r="T567" s="3671"/>
      <c r="U567" s="3671"/>
      <c r="V567" s="3671"/>
    </row>
    <row r="568" spans="1:22" ht="54.75" customHeight="1">
      <c r="A568" s="3645"/>
      <c r="B568" s="3665" t="s">
        <v>780</v>
      </c>
      <c r="C568" s="3666"/>
      <c r="D568" s="3667"/>
      <c r="E568" s="3668"/>
      <c r="F568" s="3668"/>
      <c r="G568" s="3669">
        <f>+G569</f>
        <v>253943928</v>
      </c>
      <c r="H568" s="3669">
        <f>+H569</f>
        <v>519215931</v>
      </c>
      <c r="I568" s="3669">
        <f t="shared" ref="I568:M568" si="19">+I569</f>
        <v>172748027</v>
      </c>
      <c r="J568" s="3669">
        <f t="shared" si="19"/>
        <v>75960696</v>
      </c>
      <c r="K568" s="3669">
        <f t="shared" si="19"/>
        <v>11768500</v>
      </c>
      <c r="L568" s="3669">
        <f t="shared" si="19"/>
        <v>144500</v>
      </c>
      <c r="M568" s="3669">
        <f t="shared" si="19"/>
        <v>144500</v>
      </c>
      <c r="N568" s="3668"/>
      <c r="O568" s="3668"/>
      <c r="P568" s="3668"/>
      <c r="Q568" s="3668"/>
      <c r="R568" s="3670"/>
      <c r="S568" s="3671"/>
      <c r="T568" s="3671"/>
      <c r="U568" s="3671"/>
      <c r="V568" s="3671"/>
    </row>
    <row r="569" spans="1:22" ht="53.25" customHeight="1">
      <c r="A569" s="3645"/>
      <c r="B569" s="3672" t="s">
        <v>781</v>
      </c>
      <c r="C569" s="3673"/>
      <c r="D569" s="3681"/>
      <c r="E569" s="3675"/>
      <c r="F569" s="3676"/>
      <c r="G569" s="2747">
        <v>253943928</v>
      </c>
      <c r="H569" s="2747">
        <v>519215931</v>
      </c>
      <c r="I569" s="2747">
        <v>172748027</v>
      </c>
      <c r="J569" s="2747">
        <v>75960696</v>
      </c>
      <c r="K569" s="3677">
        <v>11768500</v>
      </c>
      <c r="L569" s="3678">
        <f>L12+L384</f>
        <v>144500</v>
      </c>
      <c r="M569" s="3678">
        <f>M12+M384</f>
        <v>144500</v>
      </c>
      <c r="N569" s="3676"/>
      <c r="O569" s="3676"/>
      <c r="P569" s="3676"/>
      <c r="Q569" s="3676"/>
      <c r="R569" s="3679"/>
      <c r="S569" s="3650"/>
      <c r="T569" s="3650"/>
      <c r="U569" s="3650"/>
      <c r="V569" s="3650"/>
    </row>
    <row r="570" spans="1:22" ht="3" customHeight="1">
      <c r="A570" s="3645"/>
      <c r="B570" s="3672"/>
      <c r="C570" s="3647"/>
      <c r="D570" s="3648"/>
      <c r="E570" s="3649"/>
      <c r="F570" s="3650"/>
      <c r="G570" s="3650"/>
      <c r="H570" s="3650"/>
      <c r="I570" s="3650"/>
      <c r="J570" s="3650"/>
      <c r="K570" s="3650"/>
      <c r="L570" s="3650"/>
      <c r="M570" s="3650"/>
      <c r="N570" s="3650"/>
      <c r="O570" s="3650"/>
      <c r="P570" s="3650"/>
      <c r="Q570" s="3650"/>
      <c r="R570" s="3423"/>
      <c r="S570" s="3650"/>
      <c r="T570" s="3650"/>
      <c r="U570" s="3650"/>
      <c r="V570" s="3650"/>
    </row>
    <row r="571" spans="1:22" ht="53.25" customHeight="1">
      <c r="A571" s="3645"/>
      <c r="B571" s="3665" t="s">
        <v>782</v>
      </c>
      <c r="C571" s="3666"/>
      <c r="D571" s="3667"/>
      <c r="E571" s="3668"/>
      <c r="F571" s="3668"/>
      <c r="G571" s="3669">
        <f>G573-G572</f>
        <v>190623953</v>
      </c>
      <c r="H571" s="3669">
        <f>H573-H572</f>
        <v>313336577</v>
      </c>
      <c r="I571" s="3669">
        <f>I573-I572</f>
        <v>46660036</v>
      </c>
      <c r="J571" s="3669">
        <f>J573-J572</f>
        <v>18845120</v>
      </c>
      <c r="K571" s="3669">
        <f t="shared" ref="K571:M571" si="20">K573-K572</f>
        <v>144500</v>
      </c>
      <c r="L571" s="3669">
        <f t="shared" si="20"/>
        <v>144500</v>
      </c>
      <c r="M571" s="3669">
        <f t="shared" si="20"/>
        <v>144500</v>
      </c>
      <c r="N571" s="3668"/>
      <c r="O571" s="3668"/>
      <c r="P571" s="3668"/>
      <c r="Q571" s="3668"/>
      <c r="R571" s="3670"/>
      <c r="S571" s="3671"/>
      <c r="T571" s="3671"/>
      <c r="U571" s="3671"/>
      <c r="V571" s="3671"/>
    </row>
    <row r="572" spans="1:22" ht="42" customHeight="1">
      <c r="A572" s="3645"/>
      <c r="B572" s="3672" t="s">
        <v>783</v>
      </c>
      <c r="C572" s="3673"/>
      <c r="D572" s="3681"/>
      <c r="E572" s="3675"/>
      <c r="F572" s="3676"/>
      <c r="G572" s="2747">
        <f>+G464+G389+G394+G469+G474+G399+G490+G404+G409+G414+G419+G424+G429+G485+G434+G479+G439+G444+G495+G449+G459+G454</f>
        <v>13289650</v>
      </c>
      <c r="H572" s="2747">
        <f>+H464+H389+H394+H469+H474+H399+H490+H404+H409+H414+H419+H424+H429+H485+H434+H479+H439+H444+H495+H449+H459+H454</f>
        <v>103082241</v>
      </c>
      <c r="I572" s="2747">
        <f t="shared" ref="I572:M572" si="21">+I464+I389+I394+I469+I474+I399+I490+I404+I409+I414+I419+I424+I429+I485+I434+I479+I439+I444+I495+I449+I459+I454</f>
        <v>82380885</v>
      </c>
      <c r="J572" s="2747">
        <f t="shared" si="21"/>
        <v>28448573</v>
      </c>
      <c r="K572" s="2747">
        <f t="shared" si="21"/>
        <v>0</v>
      </c>
      <c r="L572" s="2747">
        <f t="shared" si="21"/>
        <v>0</v>
      </c>
      <c r="M572" s="2747">
        <f t="shared" si="21"/>
        <v>0</v>
      </c>
      <c r="N572" s="3676"/>
      <c r="O572" s="3676"/>
      <c r="P572" s="3676"/>
      <c r="Q572" s="3676"/>
      <c r="R572" s="3679"/>
      <c r="S572" s="3650"/>
      <c r="T572" s="3650"/>
      <c r="U572" s="3650"/>
      <c r="V572" s="3650"/>
    </row>
    <row r="573" spans="1:22" ht="51.75" customHeight="1">
      <c r="A573" s="3645"/>
      <c r="B573" s="3672" t="s">
        <v>784</v>
      </c>
      <c r="C573" s="3673"/>
      <c r="D573" s="3681"/>
      <c r="E573" s="3675"/>
      <c r="F573" s="3676"/>
      <c r="G573" s="2747">
        <v>203913603</v>
      </c>
      <c r="H573" s="2747">
        <v>416418818</v>
      </c>
      <c r="I573" s="2747">
        <v>129040921</v>
      </c>
      <c r="J573" s="2747">
        <v>47293693</v>
      </c>
      <c r="K573" s="3677">
        <v>144500</v>
      </c>
      <c r="L573" s="3678">
        <f>L14</f>
        <v>144500</v>
      </c>
      <c r="M573" s="3678">
        <f>M14</f>
        <v>144500</v>
      </c>
      <c r="N573" s="3676"/>
      <c r="O573" s="3676"/>
      <c r="P573" s="3676"/>
      <c r="Q573" s="3676"/>
      <c r="R573" s="3679"/>
      <c r="S573" s="3650"/>
      <c r="T573" s="3650"/>
      <c r="U573" s="3650"/>
      <c r="V573" s="3650"/>
    </row>
    <row r="574" spans="1:22" ht="6" customHeight="1">
      <c r="A574" s="3645"/>
      <c r="B574" s="3646"/>
      <c r="C574" s="3647"/>
      <c r="D574" s="3648"/>
      <c r="E574" s="3649"/>
      <c r="F574" s="3650"/>
      <c r="G574" s="3650"/>
      <c r="H574" s="3650"/>
      <c r="I574" s="3650"/>
      <c r="J574" s="3650"/>
      <c r="K574" s="3650"/>
      <c r="L574" s="3650"/>
      <c r="M574" s="3650"/>
      <c r="N574" s="3650"/>
      <c r="O574" s="3650"/>
      <c r="P574" s="3650"/>
      <c r="Q574" s="3650"/>
      <c r="R574" s="3423"/>
      <c r="S574" s="3650"/>
      <c r="T574" s="3650"/>
      <c r="U574" s="3650"/>
      <c r="V574" s="3650"/>
    </row>
    <row r="575" spans="1:22" ht="63.75" customHeight="1">
      <c r="A575" s="3645"/>
      <c r="B575" s="3665" t="s">
        <v>785</v>
      </c>
      <c r="C575" s="3666"/>
      <c r="D575" s="3667"/>
      <c r="E575" s="3668"/>
      <c r="F575" s="3668"/>
      <c r="G575" s="3669">
        <f>G576+G577</f>
        <v>68978563</v>
      </c>
      <c r="H575" s="3669">
        <f>H576+H577</f>
        <v>137559670</v>
      </c>
      <c r="I575" s="3669">
        <f>I576+I577</f>
        <v>77560634</v>
      </c>
      <c r="J575" s="3669">
        <f>J576+J577</f>
        <v>50463583</v>
      </c>
      <c r="K575" s="3669">
        <f t="shared" ref="K575:M575" si="22">K576+K577</f>
        <v>25366996</v>
      </c>
      <c r="L575" s="3669">
        <f>L576+L577</f>
        <v>5267647</v>
      </c>
      <c r="M575" s="3669">
        <f t="shared" si="22"/>
        <v>5003426</v>
      </c>
      <c r="N575" s="3668"/>
      <c r="O575" s="3668"/>
      <c r="P575" s="3668"/>
      <c r="Q575" s="3668"/>
      <c r="R575" s="3670"/>
      <c r="S575" s="3671"/>
      <c r="T575" s="3671"/>
      <c r="U575" s="3671"/>
      <c r="V575" s="3671"/>
    </row>
    <row r="576" spans="1:22" ht="62.25" customHeight="1">
      <c r="A576" s="3645"/>
      <c r="B576" s="3672" t="s">
        <v>786</v>
      </c>
      <c r="C576" s="3673"/>
      <c r="D576" s="3681"/>
      <c r="E576" s="3675"/>
      <c r="F576" s="3676"/>
      <c r="G576" s="2747">
        <v>68004704</v>
      </c>
      <c r="H576" s="2747">
        <v>133664971</v>
      </c>
      <c r="I576" s="2747">
        <f>99540+28611610+43707106</f>
        <v>72418256</v>
      </c>
      <c r="J576" s="2747">
        <f>99540+16788244+28667003</f>
        <v>45554787</v>
      </c>
      <c r="K576" s="3677">
        <f>9319631+11624000</f>
        <v>20943631</v>
      </c>
      <c r="L576" s="3678">
        <f>'Tabela nr 6'!H17-'Tabela nr 6'!H25-L577</f>
        <v>2279137</v>
      </c>
      <c r="M576" s="3678">
        <f>'Tabela nr 6'!I17-'Tabela nr 6'!I25-M577</f>
        <v>1953470</v>
      </c>
      <c r="N576" s="3676"/>
      <c r="O576" s="3676"/>
      <c r="P576" s="3676"/>
      <c r="Q576" s="3676"/>
      <c r="R576" s="3679"/>
      <c r="S576" s="3650"/>
      <c r="T576" s="3650"/>
      <c r="U576" s="3650"/>
      <c r="V576" s="3650"/>
    </row>
    <row r="577" spans="1:22" ht="57" customHeight="1">
      <c r="A577" s="3645"/>
      <c r="B577" s="3672" t="s">
        <v>787</v>
      </c>
      <c r="C577" s="3673"/>
      <c r="D577" s="3681"/>
      <c r="E577" s="3675"/>
      <c r="F577" s="3676"/>
      <c r="G577" s="2747">
        <f>+'Tab. 6E - Administracja'!F100</f>
        <v>973859</v>
      </c>
      <c r="H577" s="2747">
        <f>+'Tab. 6E - Administracja'!G100</f>
        <v>3894699</v>
      </c>
      <c r="I577" s="2747">
        <f>+'Tab. 6E - Administracja'!H100</f>
        <v>5142378</v>
      </c>
      <c r="J577" s="2747">
        <f>+'Tab. 6E - Administracja'!I100</f>
        <v>4908796</v>
      </c>
      <c r="K577" s="2747">
        <f>+'Tab. 6E - Administracja'!J100</f>
        <v>4423365</v>
      </c>
      <c r="L577" s="3678">
        <f>+'Tab. 6E - Administracja'!K100</f>
        <v>2988510</v>
      </c>
      <c r="M577" s="3678">
        <f>+'Tab. 6E - Administracja'!L100</f>
        <v>3049956</v>
      </c>
      <c r="N577" s="3676"/>
      <c r="O577" s="3676"/>
      <c r="P577" s="3676"/>
      <c r="Q577" s="3676"/>
      <c r="R577" s="3679"/>
      <c r="S577" s="3650"/>
      <c r="T577" s="3650"/>
      <c r="U577" s="3650"/>
      <c r="V577" s="3650"/>
    </row>
    <row r="578" spans="1:22" ht="5.25" customHeight="1">
      <c r="A578" s="3645"/>
      <c r="B578" s="3646"/>
      <c r="C578" s="3647"/>
      <c r="D578" s="3648"/>
      <c r="E578" s="3649"/>
      <c r="F578" s="3650"/>
      <c r="G578" s="3650"/>
      <c r="H578" s="3650"/>
      <c r="I578" s="3650"/>
      <c r="J578" s="3650"/>
      <c r="K578" s="3650"/>
      <c r="L578" s="3650"/>
      <c r="M578" s="3650"/>
      <c r="N578" s="3650"/>
      <c r="O578" s="3650"/>
      <c r="P578" s="3650"/>
      <c r="Q578" s="3650"/>
      <c r="R578" s="3423"/>
      <c r="S578" s="3650"/>
      <c r="T578" s="3650"/>
      <c r="U578" s="3650"/>
      <c r="V578" s="3650"/>
    </row>
    <row r="579" spans="1:22" ht="81.75" customHeight="1">
      <c r="A579" s="3645"/>
      <c r="B579" s="3665" t="s">
        <v>788</v>
      </c>
      <c r="C579" s="3666"/>
      <c r="D579" s="3667"/>
      <c r="E579" s="3668"/>
      <c r="F579" s="3668"/>
      <c r="G579" s="3669">
        <f>G580-G581</f>
        <v>65664364</v>
      </c>
      <c r="H579" s="3669">
        <f>H580-H581</f>
        <v>108204432</v>
      </c>
      <c r="I579" s="3669">
        <f>I580-I581</f>
        <v>57202567</v>
      </c>
      <c r="J579" s="3669">
        <f>J580-J581</f>
        <v>36977766</v>
      </c>
      <c r="K579" s="3669">
        <f t="shared" ref="K579:M579" si="23">K580-K581</f>
        <v>25256667</v>
      </c>
      <c r="L579" s="3669">
        <f t="shared" si="23"/>
        <v>5125914</v>
      </c>
      <c r="M579" s="3669">
        <f t="shared" si="23"/>
        <v>4981936</v>
      </c>
      <c r="N579" s="3668"/>
      <c r="O579" s="3668"/>
      <c r="P579" s="3668"/>
      <c r="Q579" s="3668"/>
      <c r="R579" s="3670"/>
      <c r="S579" s="3671"/>
      <c r="T579" s="3671"/>
      <c r="U579" s="3671"/>
      <c r="V579" s="3671"/>
    </row>
    <row r="580" spans="1:22" ht="20.25" customHeight="1">
      <c r="A580" s="3645"/>
      <c r="B580" s="3682" t="s">
        <v>357</v>
      </c>
      <c r="C580" s="3673"/>
      <c r="D580" s="3681"/>
      <c r="E580" s="3675"/>
      <c r="F580" s="3676"/>
      <c r="G580" s="2747">
        <f>G575</f>
        <v>68978563</v>
      </c>
      <c r="H580" s="2747">
        <f>H575</f>
        <v>137559670</v>
      </c>
      <c r="I580" s="2747">
        <f>I575</f>
        <v>77560634</v>
      </c>
      <c r="J580" s="2747">
        <f>J575</f>
        <v>50463583</v>
      </c>
      <c r="K580" s="2747">
        <f t="shared" ref="K580:M580" si="24">K575</f>
        <v>25366996</v>
      </c>
      <c r="L580" s="3678">
        <f t="shared" si="24"/>
        <v>5267647</v>
      </c>
      <c r="M580" s="3678">
        <f t="shared" si="24"/>
        <v>5003426</v>
      </c>
      <c r="N580" s="3676"/>
      <c r="O580" s="3676"/>
      <c r="P580" s="3676"/>
      <c r="Q580" s="3676"/>
      <c r="R580" s="3679"/>
      <c r="S580" s="3650"/>
      <c r="T580" s="3650"/>
      <c r="U580" s="3650"/>
      <c r="V580" s="3650"/>
    </row>
    <row r="581" spans="1:22" ht="27" customHeight="1">
      <c r="A581" s="3645"/>
      <c r="B581" s="3682" t="s">
        <v>789</v>
      </c>
      <c r="C581" s="3673"/>
      <c r="D581" s="3681"/>
      <c r="E581" s="3675"/>
      <c r="F581" s="3676"/>
      <c r="G581" s="2747">
        <f>+G463+G388+G393+G468+G473+G398+G489+G403+G408+G413+G418+G423+G428+G484+G433+G478+G438+G443+G494+G502+G507+G448+G453+G458+G517+G512+G522+G527+G532+G537</f>
        <v>3314199</v>
      </c>
      <c r="H581" s="2747">
        <f>+H463+H388+H393+H468+H473+H398+H489+H403+H408+H413+H418+H423+H428+H484+H433+H478+H438+H443+H494+H502+H507+H448+H453+H458+H517+H512+H522+H527+H532+H537+H542</f>
        <v>29355238</v>
      </c>
      <c r="I581" s="2747">
        <f t="shared" ref="I581:L581" si="25">+I463+I388+I393+I468+I473+I398+I489+I403+I408+I413+I418+I423+I428+I484+I433+I478+I438+I443+I494+I502+I507+I448+I453+I458+I517+I512+I522+I527+I532+I537+I542</f>
        <v>20358067</v>
      </c>
      <c r="J581" s="2747">
        <f t="shared" si="25"/>
        <v>13485817</v>
      </c>
      <c r="K581" s="2747">
        <f t="shared" si="25"/>
        <v>110329</v>
      </c>
      <c r="L581" s="3678">
        <f t="shared" si="25"/>
        <v>141733</v>
      </c>
      <c r="M581" s="3678">
        <f>+M463+M388+M393+M468+M473+M398+M489+M403+M408+M413+M418+M423+M428+M484+M433+M478+M438+M443+M494+M502+M507+M448+M453+M458+M517+M512+M522+M527+M532+M537+M542</f>
        <v>21490</v>
      </c>
      <c r="N581" s="3676"/>
      <c r="O581" s="3676"/>
      <c r="P581" s="3676"/>
      <c r="Q581" s="3676"/>
      <c r="R581" s="3679"/>
      <c r="S581" s="3650"/>
      <c r="T581" s="3650"/>
      <c r="U581" s="3650"/>
      <c r="V581" s="3650"/>
    </row>
    <row r="582" spans="1:22" ht="4.5" customHeight="1">
      <c r="A582" s="3645"/>
      <c r="B582" s="3646"/>
      <c r="C582" s="3647"/>
      <c r="D582" s="3648"/>
      <c r="E582" s="3649"/>
      <c r="F582" s="3650"/>
      <c r="G582" s="3650"/>
      <c r="H582" s="3650"/>
      <c r="I582" s="3650"/>
      <c r="J582" s="3650"/>
      <c r="K582" s="3650"/>
      <c r="L582" s="3650"/>
      <c r="M582" s="3650"/>
      <c r="N582" s="3650"/>
      <c r="O582" s="3650"/>
      <c r="P582" s="3650"/>
      <c r="Q582" s="3650"/>
      <c r="R582" s="3423"/>
      <c r="S582" s="3650"/>
      <c r="T582" s="3650"/>
      <c r="U582" s="3650"/>
      <c r="V582" s="3650"/>
    </row>
    <row r="583" spans="1:22" ht="51" customHeight="1">
      <c r="A583" s="3645"/>
      <c r="B583" s="3665" t="s">
        <v>790</v>
      </c>
      <c r="C583" s="3666"/>
      <c r="D583" s="3667"/>
      <c r="E583" s="3668"/>
      <c r="F583" s="3668"/>
      <c r="G583" s="3669">
        <f>G584-G585</f>
        <v>68911331</v>
      </c>
      <c r="H583" s="3669">
        <f>H584-H585</f>
        <v>133927970</v>
      </c>
      <c r="I583" s="3669">
        <f>I584-I585</f>
        <v>77461094</v>
      </c>
      <c r="J583" s="3669">
        <f>J584-J585</f>
        <v>50364043</v>
      </c>
      <c r="K583" s="3669">
        <f t="shared" ref="K583:M583" si="26">K584-K585</f>
        <v>25366996</v>
      </c>
      <c r="L583" s="3669">
        <f t="shared" si="26"/>
        <v>5267647</v>
      </c>
      <c r="M583" s="3669">
        <f t="shared" si="26"/>
        <v>5003426</v>
      </c>
      <c r="N583" s="3668"/>
      <c r="O583" s="3668"/>
      <c r="P583" s="3668"/>
      <c r="Q583" s="3668"/>
      <c r="R583" s="3670"/>
      <c r="S583" s="3671"/>
      <c r="T583" s="3671"/>
      <c r="U583" s="3671"/>
      <c r="V583" s="3671"/>
    </row>
    <row r="584" spans="1:22" ht="18" customHeight="1">
      <c r="A584" s="3645"/>
      <c r="B584" s="3682" t="s">
        <v>357</v>
      </c>
      <c r="C584" s="3673"/>
      <c r="D584" s="3681"/>
      <c r="E584" s="3675"/>
      <c r="F584" s="3676"/>
      <c r="G584" s="2747">
        <f>G575</f>
        <v>68978563</v>
      </c>
      <c r="H584" s="2747">
        <f>H575</f>
        <v>137559670</v>
      </c>
      <c r="I584" s="2747">
        <f>I575</f>
        <v>77560634</v>
      </c>
      <c r="J584" s="2747">
        <f>J575</f>
        <v>50463583</v>
      </c>
      <c r="K584" s="2747">
        <f t="shared" ref="K584:M584" si="27">K575</f>
        <v>25366996</v>
      </c>
      <c r="L584" s="3678">
        <f t="shared" si="27"/>
        <v>5267647</v>
      </c>
      <c r="M584" s="3678">
        <f t="shared" si="27"/>
        <v>5003426</v>
      </c>
      <c r="N584" s="3676"/>
      <c r="O584" s="3676"/>
      <c r="P584" s="3676"/>
      <c r="Q584" s="3676"/>
      <c r="R584" s="3679"/>
      <c r="S584" s="3650"/>
      <c r="T584" s="3650"/>
      <c r="U584" s="3650"/>
      <c r="V584" s="3650"/>
    </row>
    <row r="585" spans="1:22" ht="38.25" customHeight="1">
      <c r="A585" s="3645"/>
      <c r="B585" s="3682" t="s">
        <v>445</v>
      </c>
      <c r="C585" s="3673"/>
      <c r="D585" s="3681"/>
      <c r="E585" s="3675"/>
      <c r="F585" s="3676"/>
      <c r="G585" s="2747">
        <f>+G175+G371</f>
        <v>67232</v>
      </c>
      <c r="H585" s="2747">
        <f>+H371+H158</f>
        <v>3631700</v>
      </c>
      <c r="I585" s="2747">
        <f>+I175+I371+I158</f>
        <v>99540</v>
      </c>
      <c r="J585" s="2747">
        <f>+J175+J371+J158</f>
        <v>99540</v>
      </c>
      <c r="K585" s="2747">
        <f>+K175+K371+K158</f>
        <v>0</v>
      </c>
      <c r="L585" s="3678">
        <f>L170+L175+L371+L398</f>
        <v>0</v>
      </c>
      <c r="M585" s="3678">
        <f>M170+M175+M371+M398</f>
        <v>0</v>
      </c>
      <c r="N585" s="3676"/>
      <c r="O585" s="3676"/>
      <c r="P585" s="3676"/>
      <c r="Q585" s="3676"/>
      <c r="R585" s="3679"/>
      <c r="S585" s="3650"/>
      <c r="T585" s="3650"/>
      <c r="U585" s="3650"/>
      <c r="V585" s="3650"/>
    </row>
    <row r="586" spans="1:22" ht="3" customHeight="1">
      <c r="A586" s="3645"/>
      <c r="B586" s="3646"/>
      <c r="C586" s="3647"/>
      <c r="D586" s="3648"/>
      <c r="E586" s="3649"/>
      <c r="F586" s="3650"/>
      <c r="G586" s="3650"/>
      <c r="H586" s="3650"/>
      <c r="I586" s="3650"/>
      <c r="J586" s="3650"/>
      <c r="K586" s="3650"/>
      <c r="L586" s="3650"/>
      <c r="M586" s="3650"/>
      <c r="N586" s="3650"/>
      <c r="O586" s="3650"/>
      <c r="P586" s="3650"/>
      <c r="Q586" s="3650"/>
      <c r="R586" s="3423"/>
      <c r="S586" s="3650"/>
      <c r="T586" s="3650"/>
      <c r="U586" s="3650"/>
      <c r="V586" s="3650"/>
    </row>
    <row r="587" spans="1:22" ht="39" customHeight="1">
      <c r="A587" s="3645"/>
      <c r="B587" s="3665" t="s">
        <v>698</v>
      </c>
      <c r="C587" s="3666"/>
      <c r="D587" s="3667"/>
      <c r="E587" s="3668"/>
      <c r="F587" s="3668"/>
      <c r="G587" s="3669">
        <f>G588-G589</f>
        <v>65645474</v>
      </c>
      <c r="H587" s="3669">
        <f>H588-H589</f>
        <v>112634623</v>
      </c>
      <c r="I587" s="3669">
        <f>I588-I589</f>
        <v>63160315</v>
      </c>
      <c r="J587" s="3669">
        <f>J588-J589</f>
        <v>41866800</v>
      </c>
      <c r="K587" s="3669">
        <f t="shared" ref="K587:L587" si="28">K588-K589</f>
        <v>25256667</v>
      </c>
      <c r="L587" s="3669">
        <f t="shared" si="28"/>
        <v>5125914</v>
      </c>
      <c r="M587" s="3669">
        <f>M588-M589</f>
        <v>4981936</v>
      </c>
      <c r="N587" s="3668"/>
      <c r="O587" s="3668"/>
      <c r="P587" s="3668"/>
      <c r="Q587" s="3668"/>
      <c r="R587" s="3670"/>
      <c r="S587" s="3671"/>
      <c r="T587" s="3671"/>
      <c r="U587" s="3671"/>
      <c r="V587" s="3671"/>
    </row>
    <row r="588" spans="1:22" ht="18.75" customHeight="1">
      <c r="A588" s="3645"/>
      <c r="B588" s="3682" t="s">
        <v>360</v>
      </c>
      <c r="C588" s="3673"/>
      <c r="D588" s="3681"/>
      <c r="E588" s="3675"/>
      <c r="F588" s="3676"/>
      <c r="G588" s="2747">
        <f>G583</f>
        <v>68911331</v>
      </c>
      <c r="H588" s="2747">
        <f>H583</f>
        <v>133927970</v>
      </c>
      <c r="I588" s="2747">
        <f>I583</f>
        <v>77461094</v>
      </c>
      <c r="J588" s="2747">
        <f>J583</f>
        <v>50364043</v>
      </c>
      <c r="K588" s="2747">
        <f t="shared" ref="K588:L588" si="29">K583</f>
        <v>25366996</v>
      </c>
      <c r="L588" s="3678">
        <f t="shared" si="29"/>
        <v>5267647</v>
      </c>
      <c r="M588" s="3678">
        <f>M583</f>
        <v>5003426</v>
      </c>
      <c r="N588" s="3676"/>
      <c r="O588" s="3676"/>
      <c r="P588" s="3676"/>
      <c r="Q588" s="3676"/>
      <c r="R588" s="3679"/>
      <c r="S588" s="3650"/>
      <c r="T588" s="3650"/>
      <c r="U588" s="3650"/>
      <c r="V588" s="3650"/>
    </row>
    <row r="589" spans="1:22" ht="29.25" customHeight="1">
      <c r="A589" s="3645"/>
      <c r="B589" s="3682" t="s">
        <v>699</v>
      </c>
      <c r="C589" s="3673"/>
      <c r="D589" s="3681"/>
      <c r="E589" s="3675"/>
      <c r="F589" s="3676"/>
      <c r="G589" s="2747">
        <f>+G463+G388+G393+G468+G489+G403+G408+G413+G418+G433+G478+G438+G443+G484+G494+G473+G448+G502+G507+G453+G458+G517+G512+G522+G527+G532+G537</f>
        <v>3265857</v>
      </c>
      <c r="H589" s="2747">
        <f t="shared" ref="H589:J589" si="30">+H463+H388+H393+H468+H489+H403+H408+H413+H418+H433+H478+H438+H443+H484+H494+H473+H448+H502+H507+H453+H458+H517+H512+H522+H527+H532+H537</f>
        <v>21293347</v>
      </c>
      <c r="I589" s="2747">
        <f t="shared" si="30"/>
        <v>14300779</v>
      </c>
      <c r="J589" s="2747">
        <f t="shared" si="30"/>
        <v>8497243</v>
      </c>
      <c r="K589" s="2747">
        <f>+K463+K388+K393+K468+K489+K403+K408+K413+K418+K433+K478+K438+K443+K484+K494+K473+K448+K502+K507+K453+K458+K517+K512+K522+K527+K532+K537</f>
        <v>110329</v>
      </c>
      <c r="L589" s="3678">
        <f t="shared" ref="L589" si="31">+L463+L388+L393+L468+L489+L403+L408+L413+L418+L423+L428+L433+L478+L438+L443+L484+L494+L473+L448+L502+L507+L453+L458+L517+L512+L522+L527+L532+L537+L542</f>
        <v>141733</v>
      </c>
      <c r="M589" s="3678">
        <f>+M463+M388+M393+M468+M489+M403+M408+M413+M418+M423+M428+M433+M478+M438+M443+M484+M494+M473+M448+M502+M507+M453+M458+M517+M512+M522+M527+M532+M537+M542</f>
        <v>21490</v>
      </c>
      <c r="N589" s="3676"/>
      <c r="O589" s="3676"/>
      <c r="P589" s="3676"/>
      <c r="Q589" s="3676"/>
      <c r="R589" s="3679"/>
      <c r="S589" s="3650"/>
      <c r="T589" s="3650"/>
      <c r="U589" s="3650"/>
      <c r="V589" s="3650"/>
    </row>
    <row r="590" spans="1:22" ht="39.75" customHeight="1">
      <c r="A590" s="3645"/>
      <c r="B590" s="3683" t="s">
        <v>734</v>
      </c>
      <c r="C590" s="3684"/>
      <c r="D590" s="3685"/>
      <c r="E590" s="3686"/>
      <c r="F590" s="3686"/>
      <c r="G590" s="3687"/>
      <c r="H590" s="3687">
        <v>615630817</v>
      </c>
      <c r="I590" s="3687">
        <v>322272629</v>
      </c>
      <c r="J590" s="3687">
        <v>213199823</v>
      </c>
      <c r="K590" s="3687">
        <v>95971700</v>
      </c>
      <c r="L590" s="3687">
        <v>90303595</v>
      </c>
      <c r="M590" s="3687">
        <v>95093696</v>
      </c>
      <c r="N590" s="3688"/>
      <c r="O590" s="3688"/>
      <c r="P590" s="3688"/>
      <c r="Q590" s="3688"/>
      <c r="R590" s="3689"/>
      <c r="S590" s="3689"/>
      <c r="T590" s="3689"/>
      <c r="U590" s="3689"/>
      <c r="V590" s="3689"/>
    </row>
    <row r="591" spans="1:22" ht="55.5" customHeight="1">
      <c r="A591" s="3645"/>
      <c r="B591" s="3683" t="s">
        <v>735</v>
      </c>
      <c r="C591" s="3684"/>
      <c r="D591" s="3685"/>
      <c r="E591" s="3686"/>
      <c r="F591" s="3686"/>
      <c r="G591" s="3687"/>
      <c r="H591" s="3687">
        <v>33590509</v>
      </c>
      <c r="I591" s="3690">
        <v>70876434</v>
      </c>
      <c r="J591" s="3690">
        <v>37530057</v>
      </c>
      <c r="K591" s="3690">
        <v>26227970</v>
      </c>
      <c r="L591" s="3691">
        <v>26883669</v>
      </c>
      <c r="M591" s="3691">
        <v>27555761</v>
      </c>
      <c r="N591" s="3692"/>
      <c r="O591" s="3692"/>
      <c r="P591" s="3692"/>
      <c r="Q591" s="3692"/>
      <c r="R591" s="3692"/>
      <c r="S591" s="3692"/>
      <c r="T591" s="3692"/>
      <c r="U591" s="3692"/>
      <c r="V591" s="3692"/>
    </row>
    <row r="592" spans="1:22" ht="70.5" customHeight="1">
      <c r="A592" s="3645"/>
      <c r="B592" s="3665" t="s">
        <v>749</v>
      </c>
      <c r="C592" s="3666"/>
      <c r="D592" s="3667"/>
      <c r="E592" s="3668"/>
      <c r="F592" s="3668"/>
      <c r="G592" s="3669">
        <f>G594-G593</f>
        <v>0</v>
      </c>
      <c r="H592" s="3669">
        <f>H594-H593</f>
        <v>345854967</v>
      </c>
      <c r="I592" s="3669">
        <f t="shared" ref="I592:K592" si="32">I594-I593</f>
        <v>153938881</v>
      </c>
      <c r="J592" s="3669">
        <f t="shared" si="32"/>
        <v>68249748</v>
      </c>
      <c r="K592" s="3669">
        <f t="shared" si="32"/>
        <v>33350000</v>
      </c>
      <c r="L592" s="3669">
        <f>'Tabela nr 6'!H14+'Tabela nr 6'!H61</f>
        <v>1616745</v>
      </c>
      <c r="M592" s="3669">
        <f>'Tabela nr 6'!I14+'Tabela nr 6'!I61</f>
        <v>144500</v>
      </c>
      <c r="N592" s="3668"/>
      <c r="O592" s="3668"/>
      <c r="P592" s="3668"/>
      <c r="Q592" s="3668"/>
      <c r="R592" s="3670"/>
      <c r="S592" s="3671"/>
      <c r="T592" s="3671"/>
      <c r="U592" s="3671"/>
      <c r="V592" s="3671"/>
    </row>
    <row r="593" spans="1:22" ht="69" customHeight="1">
      <c r="A593" s="3645"/>
      <c r="B593" s="3665" t="s">
        <v>704</v>
      </c>
      <c r="C593" s="3666"/>
      <c r="D593" s="3667"/>
      <c r="E593" s="3668"/>
      <c r="F593" s="3668"/>
      <c r="G593" s="3669">
        <f>G597+G596+G600</f>
        <v>0</v>
      </c>
      <c r="H593" s="3669">
        <f>H597+H596+H600</f>
        <v>212256030</v>
      </c>
      <c r="I593" s="3669">
        <f t="shared" ref="I593" si="33">I597+I596+I600</f>
        <v>60944320</v>
      </c>
      <c r="J593" s="3669">
        <f>J597+J596+J600</f>
        <v>38503232</v>
      </c>
      <c r="K593" s="3669">
        <f>K597+K596+K600</f>
        <v>2392179</v>
      </c>
      <c r="L593" s="3669">
        <f>L590-L592-L591</f>
        <v>61803181</v>
      </c>
      <c r="M593" s="3669">
        <f>M590-M592-M591</f>
        <v>67393435</v>
      </c>
      <c r="N593" s="3693"/>
      <c r="O593" s="3693"/>
      <c r="P593" s="3693"/>
      <c r="Q593" s="3693"/>
      <c r="R593" s="3693"/>
      <c r="S593" s="3693"/>
      <c r="T593" s="3693"/>
      <c r="U593" s="3693"/>
      <c r="V593" s="3694"/>
    </row>
    <row r="594" spans="1:22" s="3389" customFormat="1" ht="27" customHeight="1">
      <c r="A594" s="3493"/>
      <c r="B594" s="3695" t="s">
        <v>724</v>
      </c>
      <c r="C594" s="3696"/>
      <c r="D594" s="3697"/>
      <c r="E594" s="3698"/>
      <c r="F594" s="3698"/>
      <c r="G594" s="3699">
        <f>G595+G596</f>
        <v>0</v>
      </c>
      <c r="H594" s="3699">
        <f>H595+H596</f>
        <v>558110997</v>
      </c>
      <c r="I594" s="3699">
        <f>I595+I596</f>
        <v>214883201</v>
      </c>
      <c r="J594" s="3699">
        <f t="shared" ref="J594:K594" si="34">J595+J596</f>
        <v>106752980</v>
      </c>
      <c r="K594" s="3699">
        <f t="shared" si="34"/>
        <v>35742179</v>
      </c>
      <c r="L594" s="3700"/>
      <c r="M594" s="3700"/>
      <c r="N594" s="3700"/>
      <c r="O594" s="3700"/>
      <c r="P594" s="3700"/>
      <c r="Q594" s="3700"/>
      <c r="R594" s="3701"/>
      <c r="S594" s="3702"/>
      <c r="T594" s="3702"/>
      <c r="U594" s="3702"/>
      <c r="V594" s="3702"/>
    </row>
    <row r="595" spans="1:22" ht="19.5" customHeight="1">
      <c r="A595" s="3645"/>
      <c r="B595" s="3703" t="s">
        <v>791</v>
      </c>
      <c r="C595" s="3704">
        <v>605</v>
      </c>
      <c r="D595" s="3705"/>
      <c r="E595" s="3706"/>
      <c r="F595" s="3706"/>
      <c r="G595" s="3707"/>
      <c r="H595" s="3707">
        <v>368600828</v>
      </c>
      <c r="I595" s="3707">
        <v>212711216</v>
      </c>
      <c r="J595" s="3707">
        <v>87369126</v>
      </c>
      <c r="K595" s="3707">
        <v>33660000</v>
      </c>
      <c r="L595" s="3676"/>
      <c r="M595" s="3676"/>
      <c r="N595" s="3676"/>
      <c r="O595" s="3676"/>
      <c r="P595" s="3676"/>
      <c r="Q595" s="3676"/>
      <c r="R595" s="3679"/>
      <c r="S595" s="3650"/>
      <c r="T595" s="3650"/>
      <c r="U595" s="3650"/>
      <c r="V595" s="3650"/>
    </row>
    <row r="596" spans="1:22" ht="48" customHeight="1">
      <c r="A596" s="3645"/>
      <c r="B596" s="3703" t="s">
        <v>792</v>
      </c>
      <c r="C596" s="3704">
        <v>606</v>
      </c>
      <c r="D596" s="3705"/>
      <c r="E596" s="3706"/>
      <c r="F596" s="3706"/>
      <c r="G596" s="3707"/>
      <c r="H596" s="3707">
        <v>189510169</v>
      </c>
      <c r="I596" s="3707">
        <v>2171985</v>
      </c>
      <c r="J596" s="3707">
        <v>19383854</v>
      </c>
      <c r="K596" s="3707">
        <v>2082179</v>
      </c>
      <c r="L596" s="3676"/>
      <c r="M596" s="3676"/>
      <c r="N596" s="3676"/>
      <c r="O596" s="3676"/>
      <c r="P596" s="3676"/>
      <c r="Q596" s="3676"/>
      <c r="R596" s="3679"/>
      <c r="S596" s="3650"/>
      <c r="T596" s="3650"/>
      <c r="U596" s="3650"/>
      <c r="V596" s="3650"/>
    </row>
    <row r="597" spans="1:22" ht="41.25" customHeight="1">
      <c r="A597" s="3645"/>
      <c r="B597" s="3703" t="s">
        <v>793</v>
      </c>
      <c r="C597" s="3704">
        <v>605</v>
      </c>
      <c r="D597" s="3705"/>
      <c r="E597" s="3706"/>
      <c r="F597" s="3706"/>
      <c r="G597" s="3707"/>
      <c r="H597" s="3707">
        <f>292572+31500</f>
        <v>324072</v>
      </c>
      <c r="I597" s="3707">
        <f>306617</f>
        <v>306617</v>
      </c>
      <c r="J597" s="3707">
        <v>310000</v>
      </c>
      <c r="K597" s="3707">
        <v>310000</v>
      </c>
      <c r="L597" s="3708"/>
      <c r="M597" s="3708"/>
      <c r="N597" s="3700"/>
      <c r="O597" s="3700"/>
      <c r="P597" s="3700"/>
      <c r="Q597" s="3700"/>
      <c r="R597" s="3701"/>
      <c r="S597" s="3702"/>
      <c r="T597" s="3702"/>
      <c r="U597" s="3702"/>
      <c r="V597" s="3702"/>
    </row>
    <row r="598" spans="1:22" ht="198.75" customHeight="1">
      <c r="A598" s="3645"/>
      <c r="B598" s="3709" t="s">
        <v>513</v>
      </c>
      <c r="C598" s="3710"/>
      <c r="D598" s="3711"/>
      <c r="E598" s="3712"/>
      <c r="F598" s="3712"/>
      <c r="G598" s="3713">
        <f t="shared" ref="G598:M598" si="35">SUM(G602:G614)</f>
        <v>0</v>
      </c>
      <c r="H598" s="3713">
        <f>SUM(H602:H614)</f>
        <v>22481289</v>
      </c>
      <c r="I598" s="3713">
        <f t="shared" si="35"/>
        <v>58465718</v>
      </c>
      <c r="J598" s="3713">
        <f t="shared" si="35"/>
        <v>18809378</v>
      </c>
      <c r="K598" s="3713">
        <f t="shared" si="35"/>
        <v>0</v>
      </c>
      <c r="L598" s="3713">
        <f t="shared" si="35"/>
        <v>0</v>
      </c>
      <c r="M598" s="3713">
        <f t="shared" si="35"/>
        <v>0</v>
      </c>
      <c r="N598" s="3712"/>
      <c r="O598" s="3712"/>
      <c r="P598" s="3712"/>
      <c r="Q598" s="3712"/>
      <c r="R598" s="3714"/>
      <c r="S598" s="3715"/>
      <c r="T598" s="3715"/>
      <c r="U598" s="3715"/>
      <c r="V598" s="3715"/>
    </row>
    <row r="599" spans="1:22" s="3389" customFormat="1" ht="16.5" customHeight="1">
      <c r="A599" s="3493"/>
      <c r="B599" s="3716" t="s">
        <v>150</v>
      </c>
      <c r="C599" s="3717"/>
      <c r="D599" s="3718"/>
      <c r="E599" s="3700"/>
      <c r="F599" s="3700"/>
      <c r="G599" s="3700">
        <f>G598-G600-G601</f>
        <v>0</v>
      </c>
      <c r="H599" s="3700">
        <f>H598-H600-H601</f>
        <v>0</v>
      </c>
      <c r="I599" s="3700">
        <f t="shared" ref="I599:J599" si="36">I598-I600-I601</f>
        <v>0</v>
      </c>
      <c r="J599" s="3700">
        <f t="shared" si="36"/>
        <v>0</v>
      </c>
      <c r="K599" s="3700">
        <f t="shared" ref="K599" si="37">K598-K600-K601</f>
        <v>0</v>
      </c>
      <c r="L599" s="3708"/>
      <c r="M599" s="3708"/>
      <c r="N599" s="3700"/>
      <c r="O599" s="3700"/>
      <c r="P599" s="3700"/>
      <c r="Q599" s="3700"/>
      <c r="R599" s="3701"/>
      <c r="S599" s="3702"/>
      <c r="T599" s="3702"/>
      <c r="U599" s="3702"/>
      <c r="V599" s="3702"/>
    </row>
    <row r="600" spans="1:22" ht="19.5" customHeight="1">
      <c r="A600" s="3719"/>
      <c r="B600" s="3720" t="s">
        <v>723</v>
      </c>
      <c r="C600" s="3721">
        <v>605</v>
      </c>
      <c r="D600" s="3722"/>
      <c r="E600" s="3723"/>
      <c r="F600" s="3723"/>
      <c r="G600" s="3724">
        <f>+G603+G604+G605+G606+G607+G608</f>
        <v>0</v>
      </c>
      <c r="H600" s="3724">
        <f>+H603+H604+H605+H606+H607+H608+H610+H611</f>
        <v>22421789</v>
      </c>
      <c r="I600" s="3724">
        <f t="shared" ref="I600:M600" si="38">+I603+I604+I605+I606+I607+I608+I610+I611</f>
        <v>58465718</v>
      </c>
      <c r="J600" s="3724">
        <f t="shared" si="38"/>
        <v>18809378</v>
      </c>
      <c r="K600" s="3724">
        <f t="shared" si="38"/>
        <v>0</v>
      </c>
      <c r="L600" s="3724">
        <f t="shared" si="38"/>
        <v>0</v>
      </c>
      <c r="M600" s="3724">
        <f t="shared" si="38"/>
        <v>0</v>
      </c>
      <c r="N600" s="3723"/>
      <c r="O600" s="3723"/>
      <c r="P600" s="3723"/>
      <c r="Q600" s="3723"/>
      <c r="R600" s="3725"/>
      <c r="S600" s="3726"/>
      <c r="T600" s="3726"/>
      <c r="U600" s="3726"/>
      <c r="V600" s="3726"/>
    </row>
    <row r="601" spans="1:22" ht="19.5" customHeight="1" thickBot="1">
      <c r="A601" s="3727"/>
      <c r="B601" s="3720" t="s">
        <v>722</v>
      </c>
      <c r="C601" s="3721">
        <v>606</v>
      </c>
      <c r="D601" s="3722"/>
      <c r="E601" s="3723"/>
      <c r="F601" s="3723"/>
      <c r="G601" s="3728">
        <f t="shared" ref="G601:M601" si="39">G602+G609</f>
        <v>0</v>
      </c>
      <c r="H601" s="3724">
        <f>H602+H609</f>
        <v>59500</v>
      </c>
      <c r="I601" s="3724">
        <f t="shared" si="39"/>
        <v>0</v>
      </c>
      <c r="J601" s="3724">
        <f t="shared" si="39"/>
        <v>0</v>
      </c>
      <c r="K601" s="3724">
        <f t="shared" si="39"/>
        <v>0</v>
      </c>
      <c r="L601" s="3724">
        <f t="shared" si="39"/>
        <v>0</v>
      </c>
      <c r="M601" s="3724">
        <f t="shared" si="39"/>
        <v>0</v>
      </c>
      <c r="N601" s="3724"/>
      <c r="O601" s="3723"/>
      <c r="P601" s="3723"/>
      <c r="Q601" s="3723"/>
      <c r="R601" s="3725"/>
      <c r="S601" s="3726"/>
      <c r="T601" s="3726"/>
      <c r="U601" s="3726"/>
      <c r="V601" s="3726"/>
    </row>
    <row r="602" spans="1:22" ht="25.5" customHeight="1" thickBot="1">
      <c r="A602" s="3729" t="s">
        <v>63</v>
      </c>
      <c r="B602" s="3730" t="s">
        <v>601</v>
      </c>
      <c r="C602" s="3731">
        <v>606</v>
      </c>
      <c r="D602" s="3732"/>
      <c r="E602" s="3732"/>
      <c r="F602" s="3733"/>
      <c r="G602" s="3733"/>
      <c r="H602" s="3734">
        <f>'Tab. 6B Polit społ i rozwój prz'!G176</f>
        <v>59500</v>
      </c>
      <c r="I602" s="3735">
        <f>'Tab. 6B Polit społ i rozwój prz'!H176</f>
        <v>0</v>
      </c>
      <c r="J602" s="3735">
        <f>'Tab. 6B Polit społ i rozwój prz'!I176</f>
        <v>0</v>
      </c>
      <c r="K602" s="3736">
        <f>'Tab. 6B Polit społ i rozwój prz'!J176</f>
        <v>0</v>
      </c>
      <c r="L602" s="3737"/>
      <c r="M602" s="3738"/>
      <c r="N602" s="3260"/>
      <c r="O602" s="3260"/>
      <c r="P602" s="3260"/>
      <c r="Q602" s="3260"/>
      <c r="R602" s="3739"/>
    </row>
    <row r="603" spans="1:22" ht="27.75" customHeight="1">
      <c r="A603" s="3740" t="s">
        <v>64</v>
      </c>
      <c r="B603" s="3741" t="s">
        <v>311</v>
      </c>
      <c r="C603" s="3742">
        <v>605</v>
      </c>
      <c r="D603" s="3738"/>
      <c r="E603" s="3738"/>
      <c r="F603" s="3738"/>
      <c r="G603" s="3743">
        <f>'Tab. 6A -Drogi'!F402</f>
        <v>0</v>
      </c>
      <c r="H603" s="3743">
        <f>'Tab. 6A -Drogi'!G402</f>
        <v>0</v>
      </c>
      <c r="I603" s="3743">
        <f>'Tab. 6A -Drogi'!H402</f>
        <v>6622789</v>
      </c>
      <c r="J603" s="3743">
        <f>'Tab. 6A -Drogi'!I402</f>
        <v>4415192</v>
      </c>
      <c r="K603" s="3743">
        <f>'Tab. 6A -Drogi'!J402</f>
        <v>0</v>
      </c>
      <c r="L603" s="3738"/>
      <c r="M603" s="3738"/>
      <c r="N603" s="3260"/>
      <c r="O603" s="3260"/>
      <c r="P603" s="3260"/>
      <c r="Q603" s="3260"/>
      <c r="R603" s="3739"/>
    </row>
    <row r="604" spans="1:22" ht="25.5" customHeight="1">
      <c r="A604" s="3740" t="s">
        <v>65</v>
      </c>
      <c r="B604" s="3741" t="s">
        <v>312</v>
      </c>
      <c r="C604" s="3742">
        <v>605</v>
      </c>
      <c r="D604" s="3738"/>
      <c r="E604" s="3738"/>
      <c r="F604" s="3738"/>
      <c r="G604" s="3738">
        <f>'Tab. 6A -Drogi'!F411</f>
        <v>0</v>
      </c>
      <c r="H604" s="3738">
        <f>'Tab. 6A -Drogi'!G411</f>
        <v>0</v>
      </c>
      <c r="I604" s="3738">
        <f>'Tab. 6A -Drogi'!H411</f>
        <v>5488789</v>
      </c>
      <c r="J604" s="3738">
        <f>'Tab. 6A -Drogi'!I411</f>
        <v>3659192</v>
      </c>
      <c r="K604" s="3738">
        <f>'Tab. 6A -Drogi'!J411</f>
        <v>0</v>
      </c>
      <c r="L604" s="3738"/>
      <c r="M604" s="3738"/>
      <c r="N604" s="3260"/>
      <c r="O604" s="3260"/>
      <c r="P604" s="3260"/>
      <c r="Q604" s="3260"/>
      <c r="R604" s="3739"/>
    </row>
    <row r="605" spans="1:22" ht="24" customHeight="1">
      <c r="A605" s="3740" t="s">
        <v>66</v>
      </c>
      <c r="B605" s="3744" t="s">
        <v>425</v>
      </c>
      <c r="C605" s="3745">
        <v>605</v>
      </c>
      <c r="D605" s="3746"/>
      <c r="E605" s="3746"/>
      <c r="F605" s="3746"/>
      <c r="G605" s="3746">
        <f>'Tab. 6H - Kultura fiz. i turyst'!F62</f>
        <v>0</v>
      </c>
      <c r="H605" s="3746">
        <f>'Tab. 6H - Kultura fiz. i turyst'!G62</f>
        <v>3500000</v>
      </c>
      <c r="I605" s="3746">
        <f>'Tab. 6H - Kultura fiz. i turyst'!H62</f>
        <v>4000000</v>
      </c>
      <c r="J605" s="3746">
        <f>'Tab. 6H - Kultura fiz. i turyst'!I62</f>
        <v>0</v>
      </c>
      <c r="K605" s="3746">
        <f>'Tab. 6H - Kultura fiz. i turyst'!J62</f>
        <v>0</v>
      </c>
      <c r="L605" s="3746">
        <f>'Tab. 6H - Kultura fiz. i turyst'!K62</f>
        <v>0</v>
      </c>
      <c r="M605" s="3738"/>
      <c r="N605" s="3260"/>
      <c r="O605" s="3260"/>
      <c r="P605" s="3260"/>
      <c r="Q605" s="3260"/>
      <c r="R605" s="3739"/>
    </row>
    <row r="606" spans="1:22" ht="27.75" customHeight="1">
      <c r="A606" s="3740" t="s">
        <v>67</v>
      </c>
      <c r="B606" s="3741" t="s">
        <v>326</v>
      </c>
      <c r="C606" s="3742">
        <v>605</v>
      </c>
      <c r="D606" s="3738"/>
      <c r="E606" s="3738"/>
      <c r="F606" s="3738"/>
      <c r="G606" s="3738">
        <f>'Tab. 6H - Kultura fiz. i turyst'!F71</f>
        <v>0</v>
      </c>
      <c r="H606" s="3738">
        <f>'Tab. 6H - Kultura fiz. i turyst'!G71</f>
        <v>10907395</v>
      </c>
      <c r="I606" s="3738">
        <f>'Tab. 6H - Kultura fiz. i turyst'!H71</f>
        <v>0</v>
      </c>
      <c r="J606" s="3738">
        <f>'Tab. 6H - Kultura fiz. i turyst'!I71</f>
        <v>0</v>
      </c>
      <c r="K606" s="3738">
        <f>'Tab. 6H - Kultura fiz. i turyst'!J71</f>
        <v>0</v>
      </c>
      <c r="L606" s="3738">
        <f>'Tab. 6H - Kultura fiz. i turyst'!K71</f>
        <v>0</v>
      </c>
      <c r="M606" s="3738"/>
      <c r="N606" s="3260"/>
      <c r="O606" s="3260"/>
      <c r="P606" s="3260"/>
      <c r="Q606" s="3260"/>
      <c r="R606" s="3739"/>
    </row>
    <row r="607" spans="1:22" ht="51" customHeight="1">
      <c r="A607" s="3740" t="s">
        <v>116</v>
      </c>
      <c r="B607" s="3741" t="s">
        <v>577</v>
      </c>
      <c r="C607" s="3742">
        <v>605</v>
      </c>
      <c r="D607" s="3738"/>
      <c r="E607" s="3738"/>
      <c r="F607" s="3738"/>
      <c r="G607" s="3738">
        <f>'Tab. 6G - Roln i ochrona środ.'!F69</f>
        <v>0</v>
      </c>
      <c r="H607" s="3738">
        <f>'Tab. 6G - Roln i ochrona środ.'!G69</f>
        <v>443730</v>
      </c>
      <c r="I607" s="3738">
        <f>'Tab. 6G - Roln i ochrona środ.'!H69</f>
        <v>344790</v>
      </c>
      <c r="J607" s="3738">
        <f>'Tab. 6G - Roln i ochrona środ.'!I69</f>
        <v>178400</v>
      </c>
      <c r="K607" s="3738">
        <f>'Tab. 6G - Roln i ochrona środ.'!J69</f>
        <v>0</v>
      </c>
      <c r="L607" s="3738">
        <f>'Tab. 6G - Roln i ochrona środ.'!K69</f>
        <v>0</v>
      </c>
      <c r="M607" s="3738"/>
      <c r="N607" s="3260"/>
      <c r="O607" s="3260"/>
      <c r="P607" s="3260"/>
      <c r="Q607" s="3260"/>
      <c r="R607" s="3739"/>
    </row>
    <row r="608" spans="1:22" ht="15.75" customHeight="1" thickBot="1">
      <c r="A608" s="3740" t="s">
        <v>88</v>
      </c>
      <c r="B608" s="3741" t="s">
        <v>465</v>
      </c>
      <c r="C608" s="3742">
        <v>605</v>
      </c>
      <c r="D608" s="3738"/>
      <c r="E608" s="3738"/>
      <c r="F608" s="3738"/>
      <c r="G608" s="3746">
        <f>'Tab. 6A -Drogi'!F650</f>
        <v>0</v>
      </c>
      <c r="H608" s="3746">
        <f>'Tab. 6A -Drogi'!G650</f>
        <v>3000000</v>
      </c>
      <c r="I608" s="3746">
        <f>'Tab. 6A -Drogi'!H650</f>
        <v>0</v>
      </c>
      <c r="J608" s="3746">
        <f>'Tab. 6A -Drogi'!I650</f>
        <v>0</v>
      </c>
      <c r="K608" s="3746">
        <f>'Tab. 6A -Drogi'!J650</f>
        <v>0</v>
      </c>
      <c r="L608" s="3738"/>
      <c r="M608" s="3738"/>
      <c r="N608" s="3260"/>
      <c r="O608" s="3260"/>
      <c r="P608" s="3260"/>
      <c r="Q608" s="3260"/>
      <c r="R608" s="3739"/>
    </row>
    <row r="609" spans="1:18" ht="13.5" thickBot="1">
      <c r="A609" s="3729" t="s">
        <v>89</v>
      </c>
      <c r="B609" s="3730"/>
      <c r="C609" s="3731"/>
      <c r="D609" s="3732"/>
      <c r="E609" s="3732"/>
      <c r="F609" s="3732"/>
      <c r="G609" s="3733"/>
      <c r="H609" s="3734"/>
      <c r="I609" s="3747"/>
      <c r="J609" s="3748"/>
      <c r="K609" s="3749"/>
      <c r="L609" s="3737"/>
      <c r="M609" s="3738"/>
      <c r="N609" s="3260"/>
      <c r="O609" s="3260"/>
      <c r="P609" s="3260"/>
      <c r="Q609" s="3260"/>
      <c r="R609" s="3739"/>
    </row>
    <row r="610" spans="1:18" ht="42" customHeight="1">
      <c r="A610" s="3740" t="s">
        <v>90</v>
      </c>
      <c r="B610" s="3741" t="s">
        <v>632</v>
      </c>
      <c r="C610" s="3742">
        <v>605</v>
      </c>
      <c r="D610" s="3738"/>
      <c r="E610" s="3738"/>
      <c r="F610" s="3738"/>
      <c r="G610" s="3746"/>
      <c r="H610" s="3743">
        <f>'Tab. 6A -Drogi'!G265</f>
        <v>2280014</v>
      </c>
      <c r="I610" s="3743">
        <f>'Tab. 6A -Drogi'!H265</f>
        <v>26500000</v>
      </c>
      <c r="J610" s="3743">
        <f>'Tab. 6A -Drogi'!I265</f>
        <v>10556594</v>
      </c>
      <c r="K610" s="3743">
        <f>'Tab. 6A -Drogi'!J265</f>
        <v>0</v>
      </c>
      <c r="L610" s="3743">
        <f>'Tab. 6A -Drogi'!K265</f>
        <v>0</v>
      </c>
      <c r="M610" s="3743">
        <f>'Tab. 6A -Drogi'!L265</f>
        <v>0</v>
      </c>
      <c r="N610" s="3260"/>
      <c r="O610" s="3260"/>
      <c r="P610" s="3260"/>
      <c r="Q610" s="3260"/>
      <c r="R610" s="3739"/>
    </row>
    <row r="611" spans="1:18" ht="31.5" customHeight="1">
      <c r="A611" s="3740">
        <v>10</v>
      </c>
      <c r="B611" s="3741" t="str">
        <f>'Tab. 6A -Drogi'!B276</f>
        <v>Rozbudowa drogi wojewódzkiej nr 151 na odcinku Płotno-Pełczyce w ramach Osi V RPO WZ (2018-2019)</v>
      </c>
      <c r="C611" s="3742">
        <v>605</v>
      </c>
      <c r="D611" s="3738"/>
      <c r="E611" s="3738"/>
      <c r="F611" s="3738"/>
      <c r="G611" s="3746"/>
      <c r="H611" s="3738">
        <f>'Tab. 6A -Drogi'!G277</f>
        <v>2290650</v>
      </c>
      <c r="I611" s="3738">
        <f>'Tab. 6A -Drogi'!H277</f>
        <v>15509350</v>
      </c>
      <c r="J611" s="3738">
        <f>'Tab. 6A -Drogi'!I277</f>
        <v>0</v>
      </c>
      <c r="K611" s="3738">
        <f>'Tab. 6A -Drogi'!J277</f>
        <v>0</v>
      </c>
      <c r="L611" s="3738">
        <f>'Tab. 6A -Drogi'!K277</f>
        <v>0</v>
      </c>
      <c r="M611" s="3738">
        <f>'Tab. 6A -Drogi'!L277</f>
        <v>0</v>
      </c>
      <c r="N611" s="3260"/>
      <c r="O611" s="3260"/>
      <c r="P611" s="3260"/>
      <c r="Q611" s="3260"/>
      <c r="R611" s="3739"/>
    </row>
    <row r="612" spans="1:18" ht="18.75" customHeight="1">
      <c r="A612" s="3740"/>
      <c r="B612" s="3741"/>
      <c r="C612" s="3742"/>
      <c r="D612" s="3738"/>
      <c r="E612" s="3738"/>
      <c r="F612" s="3738"/>
      <c r="G612" s="3746"/>
      <c r="H612" s="3738"/>
      <c r="I612" s="3738"/>
      <c r="J612" s="3738"/>
      <c r="K612" s="3743"/>
      <c r="L612" s="3738"/>
      <c r="M612" s="3738"/>
      <c r="N612" s="3260"/>
      <c r="O612" s="3260"/>
      <c r="P612" s="3260"/>
      <c r="Q612" s="3260"/>
      <c r="R612" s="3739"/>
    </row>
    <row r="613" spans="1:18" ht="18.75" customHeight="1">
      <c r="A613" s="3740"/>
      <c r="B613" s="3741"/>
      <c r="C613" s="3742"/>
      <c r="D613" s="3738"/>
      <c r="E613" s="3738"/>
      <c r="F613" s="3738"/>
      <c r="G613" s="3746"/>
      <c r="H613" s="3738"/>
      <c r="I613" s="3738"/>
      <c r="J613" s="3738"/>
      <c r="K613" s="3743"/>
      <c r="L613" s="3738"/>
      <c r="M613" s="3738"/>
      <c r="N613" s="3260"/>
      <c r="O613" s="3260"/>
      <c r="P613" s="3260"/>
      <c r="Q613" s="3260"/>
      <c r="R613" s="3739"/>
    </row>
    <row r="614" spans="1:18" ht="18.75" customHeight="1">
      <c r="A614" s="3740"/>
      <c r="B614" s="3741"/>
      <c r="C614" s="3742"/>
      <c r="D614" s="3738"/>
      <c r="E614" s="3738"/>
      <c r="F614" s="3738"/>
      <c r="G614" s="3738"/>
      <c r="H614" s="3738"/>
      <c r="I614" s="3738"/>
      <c r="J614" s="3738"/>
      <c r="K614" s="3738"/>
      <c r="L614" s="3738"/>
      <c r="M614" s="3738"/>
      <c r="N614" s="3260"/>
      <c r="O614" s="3260"/>
      <c r="P614" s="3260"/>
      <c r="Q614" s="3260"/>
      <c r="R614" s="3739"/>
    </row>
    <row r="615" spans="1:18" ht="27.75" customHeight="1">
      <c r="B615" s="3750"/>
      <c r="C615" s="3751"/>
      <c r="D615" s="3752"/>
      <c r="E615" s="3752"/>
      <c r="F615" s="3752"/>
      <c r="G615" s="3752"/>
      <c r="H615" s="3752"/>
      <c r="I615" s="3752"/>
      <c r="J615" s="3752"/>
      <c r="K615" s="3752"/>
      <c r="L615" s="3752"/>
      <c r="M615" s="3752"/>
    </row>
    <row r="618" spans="1:18" ht="21" customHeight="1">
      <c r="B618" s="3753"/>
      <c r="C618" s="3753"/>
      <c r="D618" s="3753"/>
      <c r="E618" s="3753"/>
      <c r="F618" s="3753"/>
      <c r="G618" s="3754"/>
      <c r="H618" s="3754"/>
      <c r="I618" s="3754"/>
      <c r="J618" s="3754"/>
      <c r="K618" s="3754"/>
      <c r="L618" s="3754"/>
      <c r="M618" s="3754"/>
    </row>
    <row r="619" spans="1:18">
      <c r="B619" s="3753"/>
      <c r="C619" s="3753"/>
      <c r="D619" s="3753"/>
      <c r="E619" s="3753"/>
      <c r="F619" s="3753"/>
      <c r="G619" s="3754"/>
      <c r="H619" s="3754"/>
      <c r="I619" s="3754"/>
      <c r="J619" s="3754"/>
      <c r="K619" s="3754"/>
      <c r="L619" s="3754"/>
      <c r="M619" s="3754"/>
    </row>
    <row r="620" spans="1:18">
      <c r="B620" s="3194" t="s">
        <v>669</v>
      </c>
      <c r="G620" s="3755">
        <f>G9+G384+G498</f>
        <v>270710944</v>
      </c>
    </row>
    <row r="621" spans="1:18">
      <c r="A621" s="3339" t="s">
        <v>675</v>
      </c>
      <c r="B621" s="3756" t="s">
        <v>672</v>
      </c>
      <c r="G621" s="3755">
        <f>88527215+282981842</f>
        <v>371509057</v>
      </c>
      <c r="H621" s="3743"/>
      <c r="I621" s="3743"/>
      <c r="J621" s="3743"/>
      <c r="K621" s="3743"/>
    </row>
    <row r="622" spans="1:18">
      <c r="B622" s="3194" t="s">
        <v>673</v>
      </c>
      <c r="C622" s="3194" t="s">
        <v>670</v>
      </c>
      <c r="G622" s="3755">
        <f>G621-G620</f>
        <v>100798113</v>
      </c>
      <c r="H622" s="3195"/>
      <c r="I622" s="3195"/>
      <c r="J622" s="3195"/>
      <c r="K622" s="3195"/>
    </row>
    <row r="623" spans="1:18">
      <c r="A623" s="3339" t="s">
        <v>676</v>
      </c>
      <c r="B623" s="3194" t="s">
        <v>674</v>
      </c>
      <c r="G623" s="3757">
        <f>307000+7140341+754822+828673+807722+1064380+3388731+1252208+337921+963753+1665360+479178+465313+1621959+1007924+395387+841602+1181223+476442+467318+361298+381642+6777+11819777+60000+148944+101414+9823+34091+1900+9700+35202+25350+11000+49400+420+102100+1993223</f>
        <v>40599318</v>
      </c>
      <c r="H623" s="3195"/>
      <c r="I623" s="3195"/>
      <c r="J623" s="3195"/>
      <c r="K623" s="3195"/>
    </row>
    <row r="624" spans="1:18">
      <c r="B624" s="3194" t="s">
        <v>671</v>
      </c>
      <c r="G624" s="3195">
        <f>G622-G623</f>
        <v>60198795</v>
      </c>
      <c r="H624" s="3758"/>
      <c r="I624" s="3758"/>
      <c r="J624" s="3758"/>
      <c r="K624" s="3758"/>
    </row>
  </sheetData>
  <mergeCells count="110">
    <mergeCell ref="A336:A340"/>
    <mergeCell ref="A386:A390"/>
    <mergeCell ref="A466:A470"/>
    <mergeCell ref="A451:A455"/>
    <mergeCell ref="A456:A460"/>
    <mergeCell ref="A401:A405"/>
    <mergeCell ref="A391:A395"/>
    <mergeCell ref="A396:A400"/>
    <mergeCell ref="A441:A445"/>
    <mergeCell ref="A341:A345"/>
    <mergeCell ref="A346:A350"/>
    <mergeCell ref="A351:A355"/>
    <mergeCell ref="A356:A360"/>
    <mergeCell ref="A535:A539"/>
    <mergeCell ref="A361:A365"/>
    <mergeCell ref="A266:A270"/>
    <mergeCell ref="A271:A275"/>
    <mergeCell ref="A369:A373"/>
    <mergeCell ref="A226:A230"/>
    <mergeCell ref="A231:A235"/>
    <mergeCell ref="A236:A240"/>
    <mergeCell ref="A246:A250"/>
    <mergeCell ref="A251:A255"/>
    <mergeCell ref="A256:A260"/>
    <mergeCell ref="A261:A265"/>
    <mergeCell ref="A241:A245"/>
    <mergeCell ref="A376:A380"/>
    <mergeCell ref="A281:A285"/>
    <mergeCell ref="A291:A295"/>
    <mergeCell ref="A286:A290"/>
    <mergeCell ref="A296:A300"/>
    <mergeCell ref="A301:A305"/>
    <mergeCell ref="A306:A310"/>
    <mergeCell ref="A311:A315"/>
    <mergeCell ref="A316:A320"/>
    <mergeCell ref="A321:A325"/>
    <mergeCell ref="A326:A330"/>
    <mergeCell ref="A331:A335"/>
    <mergeCell ref="A549:B549"/>
    <mergeCell ref="A482:A486"/>
    <mergeCell ref="A406:A410"/>
    <mergeCell ref="A411:A415"/>
    <mergeCell ref="A416:A420"/>
    <mergeCell ref="A421:A425"/>
    <mergeCell ref="A426:A430"/>
    <mergeCell ref="A500:A504"/>
    <mergeCell ref="A487:A491"/>
    <mergeCell ref="A515:A519"/>
    <mergeCell ref="A520:A524"/>
    <mergeCell ref="A510:A514"/>
    <mergeCell ref="A525:A529"/>
    <mergeCell ref="A492:A496"/>
    <mergeCell ref="A431:A435"/>
    <mergeCell ref="A476:A480"/>
    <mergeCell ref="A530:A534"/>
    <mergeCell ref="A505:A509"/>
    <mergeCell ref="A446:A450"/>
    <mergeCell ref="A436:A440"/>
    <mergeCell ref="A471:A475"/>
    <mergeCell ref="A461:A465"/>
    <mergeCell ref="A540:A544"/>
    <mergeCell ref="A96:A100"/>
    <mergeCell ref="A21:A25"/>
    <mergeCell ref="A51:A55"/>
    <mergeCell ref="A56:A60"/>
    <mergeCell ref="A46:A50"/>
    <mergeCell ref="A126:A129"/>
    <mergeCell ref="A146:A149"/>
    <mergeCell ref="A86:A90"/>
    <mergeCell ref="A16:A20"/>
    <mergeCell ref="A71:A75"/>
    <mergeCell ref="A76:A80"/>
    <mergeCell ref="A81:A85"/>
    <mergeCell ref="A91:A95"/>
    <mergeCell ref="A101:A105"/>
    <mergeCell ref="A66:A70"/>
    <mergeCell ref="A1:V1"/>
    <mergeCell ref="A4:A7"/>
    <mergeCell ref="B4:B7"/>
    <mergeCell ref="C4:C7"/>
    <mergeCell ref="D4:D7"/>
    <mergeCell ref="E4:E7"/>
    <mergeCell ref="F4:F7"/>
    <mergeCell ref="G4:V6"/>
    <mergeCell ref="A61:A65"/>
    <mergeCell ref="A26:A30"/>
    <mergeCell ref="A31:A35"/>
    <mergeCell ref="A36:A40"/>
    <mergeCell ref="A41:A45"/>
    <mergeCell ref="A276:A280"/>
    <mergeCell ref="A151:A154"/>
    <mergeCell ref="A216:A220"/>
    <mergeCell ref="A221:A225"/>
    <mergeCell ref="A111:A115"/>
    <mergeCell ref="A106:A110"/>
    <mergeCell ref="A206:A210"/>
    <mergeCell ref="A179:A183"/>
    <mergeCell ref="A211:A215"/>
    <mergeCell ref="A201:A205"/>
    <mergeCell ref="A116:A120"/>
    <mergeCell ref="A121:A125"/>
    <mergeCell ref="A173:A177"/>
    <mergeCell ref="A186:A190"/>
    <mergeCell ref="A168:A172"/>
    <mergeCell ref="A131:A134"/>
    <mergeCell ref="A136:A139"/>
    <mergeCell ref="A141:A144"/>
    <mergeCell ref="A196:A200"/>
    <mergeCell ref="A156:A159"/>
    <mergeCell ref="A161:A164"/>
  </mergeCells>
  <pageMargins left="0.19685039370078741" right="0.11811023622047245" top="0.27559055118110237" bottom="0.23622047244094491" header="0.19685039370078741" footer="0.15748031496062992"/>
  <pageSetup paperSize="9" scale="62" orientation="landscape" r:id="rId1"/>
  <headerFooter alignWithMargins="0">
    <oddFooter>&amp;C&amp;P</oddFooter>
  </headerFooter>
  <rowBreaks count="2" manualBreakCount="2">
    <brk id="546" max="22" man="1"/>
    <brk id="598" max="2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3"/>
  </sheetPr>
  <dimension ref="A1:Q1043"/>
  <sheetViews>
    <sheetView showGridLines="0" view="pageBreakPreview" topLeftCell="A34" zoomScaleNormal="110" zoomScaleSheetLayoutView="100" workbookViewId="0">
      <selection activeCell="D95" sqref="D95"/>
    </sheetView>
  </sheetViews>
  <sheetFormatPr defaultColWidth="9.140625" defaultRowHeight="12.75" outlineLevelCol="1"/>
  <cols>
    <col min="1" max="1" width="49.140625" style="782" customWidth="1"/>
    <col min="2" max="2" width="16" style="783" customWidth="1"/>
    <col min="3" max="4" width="13.85546875" style="783" customWidth="1"/>
    <col min="5" max="5" width="13" style="783" customWidth="1"/>
    <col min="6" max="6" width="12.85546875" style="783" customWidth="1"/>
    <col min="7" max="8" width="13.140625" style="783" customWidth="1"/>
    <col min="9" max="9" width="14.42578125" style="783" customWidth="1"/>
    <col min="10" max="10" width="16.140625" style="782" customWidth="1"/>
    <col min="11" max="11" width="14.5703125" style="785" hidden="1" customWidth="1" outlineLevel="1"/>
    <col min="12" max="12" width="14.5703125" style="785" customWidth="1" outlineLevel="1"/>
    <col min="13" max="13" width="17.28515625" style="785" customWidth="1" outlineLevel="1"/>
    <col min="14" max="14" width="14.7109375" style="782" customWidth="1"/>
    <col min="15" max="15" width="14.28515625" style="782" customWidth="1"/>
    <col min="16" max="16" width="9.140625" style="782"/>
    <col min="17" max="17" width="9.7109375" style="782" bestFit="1" customWidth="1"/>
    <col min="18" max="16384" width="9.140625" style="782"/>
  </cols>
  <sheetData>
    <row r="1" spans="1:15" ht="23.25" customHeight="1">
      <c r="A1" s="781"/>
      <c r="E1" s="784"/>
      <c r="G1" s="784"/>
      <c r="H1" s="784"/>
      <c r="I1" s="784"/>
    </row>
    <row r="2" spans="1:15" ht="15">
      <c r="C2" s="787"/>
      <c r="D2" s="787"/>
      <c r="E2" s="787"/>
      <c r="G2" s="787"/>
      <c r="H2" s="787"/>
      <c r="I2" s="784" t="s">
        <v>429</v>
      </c>
      <c r="J2" s="786"/>
    </row>
    <row r="3" spans="1:15">
      <c r="B3" s="790"/>
      <c r="C3" s="787"/>
      <c r="D3" s="787"/>
      <c r="E3" s="787"/>
      <c r="F3" s="787"/>
      <c r="G3" s="787"/>
      <c r="H3" s="787"/>
      <c r="I3" s="787"/>
      <c r="J3" s="786"/>
    </row>
    <row r="4" spans="1:15" ht="12.75" customHeight="1">
      <c r="C4" s="786"/>
      <c r="D4" s="786"/>
      <c r="E4" s="786"/>
      <c r="F4" s="786"/>
      <c r="G4" s="786"/>
      <c r="H4" s="786"/>
      <c r="I4" s="786"/>
      <c r="J4" s="1145"/>
    </row>
    <row r="5" spans="1:15" ht="72" customHeight="1">
      <c r="A5" s="3778" t="s">
        <v>0</v>
      </c>
      <c r="B5" s="3778"/>
      <c r="C5" s="3778"/>
      <c r="D5" s="3778"/>
      <c r="E5" s="3778"/>
      <c r="F5" s="3778"/>
      <c r="G5" s="3778"/>
      <c r="H5" s="3778"/>
      <c r="I5" s="3778"/>
      <c r="J5" s="3778"/>
      <c r="K5" s="1365"/>
      <c r="L5" s="1365"/>
    </row>
    <row r="6" spans="1:15" ht="12" customHeight="1">
      <c r="A6" s="788"/>
      <c r="B6" s="788"/>
      <c r="C6" s="788"/>
      <c r="D6" s="2027"/>
      <c r="E6" s="788"/>
      <c r="F6" s="788"/>
      <c r="G6" s="788"/>
      <c r="H6" s="788"/>
      <c r="I6" s="788"/>
      <c r="J6" s="788"/>
    </row>
    <row r="7" spans="1:15" ht="48.75" customHeight="1" thickBot="1">
      <c r="A7" s="3779" t="s">
        <v>1</v>
      </c>
      <c r="B7" s="3779"/>
      <c r="C7" s="3779"/>
      <c r="D7" s="3779"/>
      <c r="E7" s="3779"/>
      <c r="F7" s="3779"/>
      <c r="G7" s="3779"/>
      <c r="H7" s="3779"/>
      <c r="I7" s="3779"/>
      <c r="J7" s="3779"/>
      <c r="K7" s="1080"/>
      <c r="L7" s="1080"/>
    </row>
    <row r="8" spans="1:15" s="783" customFormat="1" ht="24.75" customHeight="1">
      <c r="A8" s="789"/>
      <c r="B8" s="3783" t="s">
        <v>269</v>
      </c>
      <c r="C8" s="3790" t="s">
        <v>626</v>
      </c>
      <c r="D8" s="3786" t="s">
        <v>551</v>
      </c>
      <c r="E8" s="3786"/>
      <c r="F8" s="3786"/>
      <c r="G8" s="3786"/>
      <c r="H8" s="3786"/>
      <c r="I8" s="3787"/>
      <c r="J8" s="3780" t="s">
        <v>3</v>
      </c>
      <c r="K8" s="3793" t="s">
        <v>571</v>
      </c>
      <c r="L8" s="3798" t="s">
        <v>552</v>
      </c>
      <c r="M8" s="790"/>
    </row>
    <row r="9" spans="1:15" ht="27" customHeight="1">
      <c r="A9" s="791" t="s">
        <v>4</v>
      </c>
      <c r="B9" s="3784"/>
      <c r="C9" s="3791"/>
      <c r="D9" s="3788"/>
      <c r="E9" s="3788"/>
      <c r="F9" s="3788"/>
      <c r="G9" s="3788"/>
      <c r="H9" s="3788"/>
      <c r="I9" s="3789"/>
      <c r="J9" s="3781"/>
      <c r="K9" s="3794"/>
      <c r="L9" s="3799"/>
      <c r="M9" s="790" t="s">
        <v>2</v>
      </c>
    </row>
    <row r="10" spans="1:15" ht="19.5" customHeight="1" thickBot="1">
      <c r="A10" s="791"/>
      <c r="B10" s="792" t="s">
        <v>533</v>
      </c>
      <c r="C10" s="3792"/>
      <c r="D10" s="793" t="s">
        <v>6</v>
      </c>
      <c r="E10" s="793" t="s">
        <v>214</v>
      </c>
      <c r="F10" s="793" t="s">
        <v>216</v>
      </c>
      <c r="G10" s="793" t="s">
        <v>260</v>
      </c>
      <c r="H10" s="793" t="s">
        <v>261</v>
      </c>
      <c r="I10" s="794" t="s">
        <v>259</v>
      </c>
      <c r="J10" s="3782"/>
      <c r="K10" s="3794"/>
      <c r="L10" s="3799"/>
      <c r="M10" s="212"/>
      <c r="N10" s="795"/>
    </row>
    <row r="11" spans="1:15" ht="13.5" customHeight="1" thickBot="1">
      <c r="A11" s="796">
        <v>1</v>
      </c>
      <c r="B11" s="797">
        <v>2</v>
      </c>
      <c r="C11" s="798">
        <v>3</v>
      </c>
      <c r="D11" s="797">
        <v>4</v>
      </c>
      <c r="E11" s="799">
        <v>5</v>
      </c>
      <c r="F11" s="800">
        <v>6</v>
      </c>
      <c r="G11" s="801">
        <v>7</v>
      </c>
      <c r="H11" s="797">
        <v>8</v>
      </c>
      <c r="I11" s="801">
        <v>9</v>
      </c>
      <c r="J11" s="1324">
        <v>10</v>
      </c>
      <c r="K11" s="1413">
        <v>11</v>
      </c>
      <c r="L11" s="802">
        <v>11</v>
      </c>
      <c r="N11" s="3803" t="s">
        <v>42</v>
      </c>
      <c r="O11" s="3804"/>
    </row>
    <row r="12" spans="1:15" s="807" customFormat="1" ht="18.75" customHeight="1">
      <c r="A12" s="803" t="s">
        <v>7</v>
      </c>
      <c r="B12" s="804">
        <f>+B13+B14</f>
        <v>93115314</v>
      </c>
      <c r="C12" s="804">
        <f t="shared" ref="C12:D12" si="0">+C13+C14</f>
        <v>270710944</v>
      </c>
      <c r="D12" s="804">
        <f t="shared" si="0"/>
        <v>585964621</v>
      </c>
      <c r="E12" s="804">
        <f t="shared" ref="E12:L12" si="1">+E13+E14</f>
        <v>243838535</v>
      </c>
      <c r="F12" s="804">
        <f t="shared" si="1"/>
        <v>114773517</v>
      </c>
      <c r="G12" s="804">
        <f t="shared" si="1"/>
        <v>43542043</v>
      </c>
      <c r="H12" s="804">
        <f t="shared" si="1"/>
        <v>38876530</v>
      </c>
      <c r="I12" s="804">
        <f t="shared" si="1"/>
        <v>36217179</v>
      </c>
      <c r="J12" s="1325">
        <f>+J13+J14</f>
        <v>1427038683</v>
      </c>
      <c r="K12" s="1414">
        <f>+K13+K14</f>
        <v>1333923369</v>
      </c>
      <c r="L12" s="805">
        <f t="shared" si="1"/>
        <v>1063212425</v>
      </c>
      <c r="M12" s="1424"/>
      <c r="N12" s="413">
        <f t="shared" ref="N12:N31" si="2">+C12+D12+E12+F12+G12+H12+I12+B12</f>
        <v>1427038683</v>
      </c>
      <c r="O12" s="806">
        <f>J12-N12</f>
        <v>0</v>
      </c>
    </row>
    <row r="13" spans="1:15" s="807" customFormat="1" ht="17.25" customHeight="1">
      <c r="A13" s="808" t="s">
        <v>8</v>
      </c>
      <c r="B13" s="809">
        <f>+'Tab. 6B Polit społ i rozwój prz'!E8+'Tab. 6D - Oświata'!E11+'Tab. 6A -Drogi'!E9+'Tab. 6E - Administracja'!E10+'Tab. 6G - Roln i ochrona środ.'!E9+'Tab. 6H - Kultura fiz. i turyst'!E8+'Tab.6I - Planow. przestrz.'!E9</f>
        <v>45968314</v>
      </c>
      <c r="C13" s="809">
        <f>+'Tab. 6B Polit społ i rozwój prz'!F8+'Tab. 6D - Oświata'!F11+'Tab. 6A -Drogi'!F9+'Tab. 6E - Administracja'!F10+'Tab. 6G - Roln i ochrona środ.'!F9+'Tab. 6H - Kultura fiz. i turyst'!F8+'Tab.6I - Planow. przestrz.'!F9</f>
        <v>47022177</v>
      </c>
      <c r="D13" s="809">
        <f>+'Tab. 6B Polit społ i rozwój prz'!G8+'Tab. 6D - Oświata'!G11+'Tab. 6A -Drogi'!G9+'Tab. 6E - Administracja'!G10+'Tab. 6G - Roln i ochrona środ.'!G9+'Tab. 6H - Kultura fiz. i turyst'!G8+'Tab.6I - Planow. przestrz.'!G9</f>
        <v>77809207</v>
      </c>
      <c r="E13" s="809">
        <f>+'Tab. 6B Polit społ i rozwój prz'!H8+'Tab. 6D - Oświata'!H11+'Tab. 6A -Drogi'!H9+'Tab. 6E - Administracja'!H10+'Tab. 6G - Roln i ochrona środ.'!H9+'Tab. 6H - Kultura fiz. i turyst'!H8+'Tab.6I - Planow. przestrz.'!H9</f>
        <v>74139301</v>
      </c>
      <c r="F13" s="809">
        <f>+'Tab. 6B Polit społ i rozwój prz'!I8+'Tab. 6D - Oświata'!I11+'Tab. 6A -Drogi'!I9+'Tab. 6E - Administracja'!I10+'Tab. 6G - Roln i ochrona środ.'!I9+'Tab. 6H - Kultura fiz. i turyst'!I8+'Tab.6I - Planow. przestrz.'!I9</f>
        <v>61049891</v>
      </c>
      <c r="G13" s="809">
        <f>+'Tab. 6B Polit społ i rozwój prz'!J8+'Tab. 6D - Oświata'!J11+'Tab. 6A -Drogi'!J9+'Tab. 6E - Administracja'!J10+'Tab. 6G - Roln i ochrona środ.'!J9+'Tab. 6H - Kultura fiz. i turyst'!J8+'Tab.6I - Planow. przestrz.'!J9</f>
        <v>43397543</v>
      </c>
      <c r="H13" s="809">
        <f>+'Tab. 6B Polit społ i rozwój prz'!K8+'Tab. 6D - Oświata'!K11+'Tab. 6A -Drogi'!K9+'Tab. 6E - Administracja'!K10+'Tab. 6G - Roln i ochrona środ.'!K9+'Tab. 6H - Kultura fiz. i turyst'!K8+'Tab.6I - Planow. przestrz.'!K9</f>
        <v>38732030</v>
      </c>
      <c r="I13" s="809">
        <f>+'Tab. 6B Polit społ i rozwój prz'!L8+'Tab. 6D - Oświata'!L11+'Tab. 6A -Drogi'!L9+'Tab. 6E - Administracja'!L10+'Tab. 6G - Roln i ochrona środ.'!L9+'Tab. 6H - Kultura fiz. i turyst'!L8+'Tab.6I - Planow. przestrz.'!L9</f>
        <v>36072679</v>
      </c>
      <c r="J13" s="1326">
        <f>'Tab. 6A -Drogi'!D9+'Tab. 6B Polit społ i rozwój prz'!D8+'Tab. 6D - Oświata'!D11+'Tab. 6E - Administracja'!D10+'Tab. 6G - Roln i ochrona środ.'!D9+'Tab. 6H - Kultura fiz. i turyst'!D8+'Tab.6I - Planow. przestrz.'!D9</f>
        <v>424191142</v>
      </c>
      <c r="K13" s="1415">
        <f>SUM(C13:I13)</f>
        <v>378222828</v>
      </c>
      <c r="L13" s="1039">
        <f>SUM(D13:I13)</f>
        <v>331200651</v>
      </c>
      <c r="M13" s="401">
        <f>K13-C13-D13-E13-F13-G13-H13-I13</f>
        <v>0</v>
      </c>
      <c r="N13" s="413">
        <f t="shared" si="2"/>
        <v>424191142</v>
      </c>
      <c r="O13" s="414">
        <f>J13-N13</f>
        <v>0</v>
      </c>
    </row>
    <row r="14" spans="1:15" s="807" customFormat="1" ht="17.25" customHeight="1" thickBot="1">
      <c r="A14" s="811" t="s">
        <v>9</v>
      </c>
      <c r="B14" s="812">
        <f>+'Tab. 6D - Oświata'!E12+'Tab. 6A -Drogi'!E10+'Tab. 6E - Administracja'!E11+'Tab. 6G - Roln i ochrona środ.'!E10+'Tab. 6H - Kultura fiz. i turyst'!E9+'Tab. 6B Polit społ i rozwój prz'!E9+'Tab.6I - Planow. przestrz.'!E10</f>
        <v>47147000</v>
      </c>
      <c r="C14" s="812">
        <f>+'Tab. 6D - Oświata'!F12+'Tab. 6A -Drogi'!F10+'Tab. 6E - Administracja'!F11+'Tab. 6G - Roln i ochrona środ.'!F10+'Tab. 6H - Kultura fiz. i turyst'!F9+'Tab. 6B Polit społ i rozwój prz'!F9+'Tab.6I - Planow. przestrz.'!F10</f>
        <v>223688767</v>
      </c>
      <c r="D14" s="812">
        <f>+'Tab. 6D - Oświata'!G12+'Tab. 6A -Drogi'!G10+'Tab. 6E - Administracja'!G11+'Tab. 6G - Roln i ochrona środ.'!G10+'Tab. 6H - Kultura fiz. i turyst'!G9+'Tab. 6B Polit społ i rozwój prz'!G9+'Tab.6I - Planow. przestrz.'!G10</f>
        <v>508155414</v>
      </c>
      <c r="E14" s="812">
        <f>+'Tab. 6D - Oświata'!H12+'Tab. 6A -Drogi'!H10+'Tab. 6E - Administracja'!H11+'Tab. 6G - Roln i ochrona środ.'!H10+'Tab. 6H - Kultura fiz. i turyst'!H9+'Tab. 6B Polit społ i rozwój prz'!H9+'Tab.6I - Planow. przestrz.'!H10</f>
        <v>169699234</v>
      </c>
      <c r="F14" s="812">
        <f>+'Tab. 6D - Oświata'!I12+'Tab. 6A -Drogi'!I10+'Tab. 6E - Administracja'!I11+'Tab. 6G - Roln i ochrona środ.'!I10+'Tab. 6H - Kultura fiz. i turyst'!I9+'Tab. 6B Polit społ i rozwój prz'!I9+'Tab.6I - Planow. przestrz.'!I10</f>
        <v>53723626</v>
      </c>
      <c r="G14" s="812">
        <f>+'Tab. 6D - Oświata'!J12+'Tab. 6A -Drogi'!J10+'Tab. 6E - Administracja'!J11+'Tab. 6G - Roln i ochrona środ.'!J10+'Tab. 6H - Kultura fiz. i turyst'!J9+'Tab. 6B Polit społ i rozwój prz'!J9+'Tab.6I - Planow. przestrz.'!J10</f>
        <v>144500</v>
      </c>
      <c r="H14" s="812">
        <f>+'Tab. 6D - Oświata'!K12+'Tab. 6A -Drogi'!K10+'Tab. 6E - Administracja'!K11+'Tab. 6G - Roln i ochrona środ.'!K10+'Tab. 6H - Kultura fiz. i turyst'!K9+'Tab. 6B Polit społ i rozwój prz'!K9+'Tab.6I - Planow. przestrz.'!K10</f>
        <v>144500</v>
      </c>
      <c r="I14" s="812">
        <f>+'Tab. 6D - Oświata'!L12+'Tab. 6A -Drogi'!L10+'Tab. 6E - Administracja'!L11+'Tab. 6G - Roln i ochrona środ.'!L10+'Tab. 6H - Kultura fiz. i turyst'!L9+'Tab. 6B Polit społ i rozwój prz'!L9+'Tab.6I - Planow. przestrz.'!L10</f>
        <v>144500</v>
      </c>
      <c r="J14" s="1327">
        <f>'Tab. 6A -Drogi'!D10+'Tab. 6B Polit społ i rozwój prz'!D9+'Tab. 6D - Oświata'!D12+'Tab. 6E - Administracja'!D11+'Tab. 6G - Roln i ochrona środ.'!D10+'Tab. 6H - Kultura fiz. i turyst'!D9+'Tab.6I - Planow. przestrz.'!D10</f>
        <v>1002847541</v>
      </c>
      <c r="K14" s="1416">
        <f>SUM(C14:I14)</f>
        <v>955700541</v>
      </c>
      <c r="L14" s="1040">
        <f>SUM(D14:I14)</f>
        <v>732011774</v>
      </c>
      <c r="M14" s="401">
        <f>K14-C14-D14-E14-F14-G14-H14-I14</f>
        <v>0</v>
      </c>
      <c r="N14" s="413">
        <f t="shared" si="2"/>
        <v>1002847541</v>
      </c>
      <c r="O14" s="414">
        <f>J14-N14</f>
        <v>0</v>
      </c>
    </row>
    <row r="15" spans="1:15" s="415" customFormat="1">
      <c r="A15" s="813"/>
      <c r="B15" s="814"/>
      <c r="C15" s="814"/>
      <c r="D15" s="814"/>
      <c r="E15" s="814"/>
      <c r="F15" s="814"/>
      <c r="G15" s="814"/>
      <c r="H15" s="814">
        <v>0</v>
      </c>
      <c r="I15" s="814"/>
      <c r="J15" s="814"/>
      <c r="K15" s="1417"/>
      <c r="L15" s="1337"/>
      <c r="M15" s="412"/>
      <c r="N15" s="413">
        <f t="shared" si="2"/>
        <v>0</v>
      </c>
      <c r="O15" s="414">
        <f t="shared" ref="O15:O31" si="3">J15-N15</f>
        <v>0</v>
      </c>
    </row>
    <row r="16" spans="1:15" s="817" customFormat="1" ht="18" customHeight="1">
      <c r="A16" s="815" t="s">
        <v>10</v>
      </c>
      <c r="B16" s="816">
        <f t="shared" ref="B16:L16" si="4">+B17+B26</f>
        <v>93506430.299999997</v>
      </c>
      <c r="C16" s="816">
        <f t="shared" si="4"/>
        <v>271100823</v>
      </c>
      <c r="D16" s="816">
        <f t="shared" si="4"/>
        <v>586426268</v>
      </c>
      <c r="E16" s="816">
        <f t="shared" si="4"/>
        <v>243932803</v>
      </c>
      <c r="F16" s="816">
        <f t="shared" si="4"/>
        <v>114850982</v>
      </c>
      <c r="G16" s="816">
        <f t="shared" si="4"/>
        <v>43606062</v>
      </c>
      <c r="H16" s="816">
        <f t="shared" si="4"/>
        <v>38940548</v>
      </c>
      <c r="I16" s="816">
        <f t="shared" si="4"/>
        <v>36281197</v>
      </c>
      <c r="J16" s="1328">
        <f>+J17+J26</f>
        <v>1428645113.3</v>
      </c>
      <c r="K16" s="1418">
        <f t="shared" ref="K16" si="5">+K17+K26</f>
        <v>1333923369</v>
      </c>
      <c r="L16" s="1338">
        <f t="shared" si="4"/>
        <v>1063212425</v>
      </c>
      <c r="M16" s="401"/>
      <c r="N16" s="413">
        <f t="shared" si="2"/>
        <v>1428645113.3</v>
      </c>
      <c r="O16" s="414">
        <f>J16-N16</f>
        <v>0</v>
      </c>
    </row>
    <row r="17" spans="1:15" s="821" customFormat="1" ht="17.25" customHeight="1">
      <c r="A17" s="818" t="s">
        <v>11</v>
      </c>
      <c r="B17" s="819">
        <f t="shared" ref="B17:I17" si="6">SUM(B18:B25)</f>
        <v>24148225.300000001</v>
      </c>
      <c r="C17" s="819">
        <f t="shared" si="6"/>
        <v>43918956</v>
      </c>
      <c r="D17" s="819">
        <f t="shared" si="6"/>
        <v>104226113</v>
      </c>
      <c r="E17" s="819">
        <f>SUM(E18:E25)</f>
        <v>52947326</v>
      </c>
      <c r="F17" s="819">
        <f t="shared" si="6"/>
        <v>29329009</v>
      </c>
      <c r="G17" s="819">
        <f>SUM(G18:G25)</f>
        <v>7404615</v>
      </c>
      <c r="H17" s="819">
        <f>SUM(H18:H25)</f>
        <v>5331665</v>
      </c>
      <c r="I17" s="819">
        <f t="shared" si="6"/>
        <v>5067444</v>
      </c>
      <c r="J17" s="1329">
        <f>SUM(J18:J25)</f>
        <v>272373353.30000001</v>
      </c>
      <c r="K17" s="1419">
        <f>SUM(K18:K25)</f>
        <v>247009814</v>
      </c>
      <c r="L17" s="820">
        <f>SUM(L18:L25)</f>
        <v>203480737</v>
      </c>
      <c r="M17" s="401"/>
      <c r="N17" s="413">
        <f t="shared" si="2"/>
        <v>272373353.30000001</v>
      </c>
      <c r="O17" s="414">
        <f t="shared" si="3"/>
        <v>0</v>
      </c>
    </row>
    <row r="18" spans="1:15" s="415" customFormat="1" ht="14.25" customHeight="1">
      <c r="A18" s="822" t="s">
        <v>12</v>
      </c>
      <c r="B18" s="823">
        <f>+'Tab. 6B Polit społ i rozwój prz'!E12+'Tab. 6D - Oświata'!E15+'Tab. 6A -Drogi'!E13+'Tab. 6E - Administracja'!E14+'Tab. 6G - Roln i ochrona środ.'!E13+'Tab. 6H - Kultura fiz. i turyst'!E12+'Tab.6I - Planow. przestrz.'!E13+0.3</f>
        <v>11300098.300000001</v>
      </c>
      <c r="C18" s="823">
        <f>+'Tab. 6B Polit społ i rozwój prz'!F12+'Tab. 6D - Oświata'!F15+'Tab. 6A -Drogi'!F13+'Tab. 6E - Administracja'!F14+'Tab. 6G - Roln i ochrona środ.'!F13+'Tab. 6H - Kultura fiz. i turyst'!F12+'Tab.6I - Planow. przestrz.'!F13</f>
        <v>39636070</v>
      </c>
      <c r="D18" s="823">
        <f>+'Tab. 6B Polit społ i rozwój prz'!G12+'Tab. 6D - Oświata'!G15+'Tab. 6A -Drogi'!G13+'Tab. 6E - Administracja'!G14+'Tab. 6G - Roln i ochrona środ.'!G13+'Tab. 6H - Kultura fiz. i turyst'!G12+'Tab.6I - Planow. przestrz.'!G13</f>
        <v>86118602</v>
      </c>
      <c r="E18" s="823">
        <f>+'Tab. 6B Polit społ i rozwój prz'!H12+'Tab. 6D - Oświata'!H15+'Tab. 6A -Drogi'!H13+'Tab. 6E - Administracja'!H14+'Tab. 6G - Roln i ochrona środ.'!H13+'Tab. 6H - Kultura fiz. i turyst'!H12+'Tab.6I - Planow. przestrz.'!H13</f>
        <v>48272579</v>
      </c>
      <c r="F18" s="823">
        <f>+'Tab. 6B Polit społ i rozwój prz'!I12+'Tab. 6D - Oświata'!I15+'Tab. 6A -Drogi'!I13+'Tab. 6E - Administracja'!I14+'Tab. 6G - Roln i ochrona środ.'!I13+'Tab. 6H - Kultura fiz. i turyst'!I12+'Tab.6I - Planow. przestrz.'!I13</f>
        <v>25467934</v>
      </c>
      <c r="G18" s="823">
        <f>+'Tab. 6B Polit społ i rozwój prz'!J12+'Tab. 6D - Oświata'!J15+'Tab. 6A -Drogi'!J13+'Tab. 6E - Administracja'!J14+'Tab. 6G - Roln i ochrona środ.'!J13+'Tab. 6H - Kultura fiz. i turyst'!J12+'Tab.6I - Planow. przestrz.'!J13</f>
        <v>6265204</v>
      </c>
      <c r="H18" s="823">
        <f>+'Tab. 6B Polit społ i rozwój prz'!K12+'Tab. 6D - Oświata'!K15+'Tab. 6A -Drogi'!K13+'Tab. 6E - Administracja'!K14+'Tab. 6G - Roln i ochrona środ.'!K13+'Tab. 6H - Kultura fiz. i turyst'!K12+'Tab.6I - Planow. przestrz.'!K13</f>
        <v>4601335</v>
      </c>
      <c r="I18" s="823">
        <f>+'Tab. 6B Polit społ i rozwój prz'!L12+'Tab. 6D - Oświata'!L15+'Tab. 6A -Drogi'!L13+'Tab. 6E - Administracja'!L14+'Tab. 6G - Roln i ochrona środ.'!L13+'Tab. 6H - Kultura fiz. i turyst'!L12+'Tab.6I - Planow. przestrz.'!L13</f>
        <v>4435580</v>
      </c>
      <c r="J18" s="1330">
        <f t="shared" ref="J18:J25" si="7">B18+C18+D18+E18+F18+G18+H18+I18</f>
        <v>226097402.30000001</v>
      </c>
      <c r="K18" s="1420">
        <f>SUM(C18:I18)</f>
        <v>214797304</v>
      </c>
      <c r="L18" s="810">
        <f>SUM(D18:I18)</f>
        <v>175161234</v>
      </c>
      <c r="M18" s="401"/>
      <c r="N18" s="413">
        <f t="shared" si="2"/>
        <v>226097402.30000001</v>
      </c>
      <c r="O18" s="414">
        <f t="shared" si="3"/>
        <v>0</v>
      </c>
    </row>
    <row r="19" spans="1:15" s="415" customFormat="1" ht="15.75" customHeight="1">
      <c r="A19" s="416" t="s">
        <v>13</v>
      </c>
      <c r="B19" s="823">
        <f>+'Tab. 6B Polit społ i rozwój prz'!E13+'Tab. 6A -Drogi'!E14+'Tab. 6E - Administracja'!E15+'Tab. 6G - Roln i ochrona środ.'!E14+'Tab.6I - Planow. przestrz.'!E14</f>
        <v>2982180</v>
      </c>
      <c r="C19" s="823">
        <f>+'Tab. 6B Polit społ i rozwój prz'!F13+'Tab. 6A -Drogi'!F14+'Tab. 6E - Administracja'!F15+'Tab. 6G - Roln i ochrona środ.'!F14+'Tab.6I - Planow. przestrz.'!F14</f>
        <v>2053240</v>
      </c>
      <c r="D19" s="823">
        <f>+'Tab. 6B Polit społ i rozwój prz'!G13+'Tab. 6A -Drogi'!G14+'Tab. 6E - Administracja'!G15+'Tab. 6G - Roln i ochrona środ.'!G14+'Tab.6I - Planow. przestrz.'!G14+'Tab. 6D - Oświata'!G16</f>
        <v>3918181</v>
      </c>
      <c r="E19" s="823">
        <f>+'Tab. 6B Polit społ i rozwój prz'!H13+'Tab. 6A -Drogi'!H14+'Tab. 6E - Administracja'!H15+'Tab. 6G - Roln i ochrona środ.'!H14+'Tab.6I - Planow. przestrz.'!H14+'Tab. 6D - Oświata'!H16</f>
        <v>4580479</v>
      </c>
      <c r="F19" s="823">
        <f>+'Tab. 6B Polit społ i rozwój prz'!I13+'Tab. 6A -Drogi'!I14+'Tab. 6E - Administracja'!I15+'Tab. 6G - Roln i ochrona środ.'!I14+'Tab.6I - Planow. przestrz.'!I14</f>
        <v>3783610</v>
      </c>
      <c r="G19" s="823">
        <f>+'Tab. 6B Polit społ i rozwój prz'!J13+'Tab. 6A -Drogi'!J14+'Tab. 6E - Administracja'!J15+'Tab. 6G - Roln i ochrona środ.'!J14+'Tab.6I - Planow. przestrz.'!J14</f>
        <v>1075392</v>
      </c>
      <c r="H19" s="823">
        <f>+'Tab. 6B Polit społ i rozwój prz'!K13+'Tab. 6A -Drogi'!K14+'Tab. 6E - Administracja'!K15+'Tab. 6G - Roln i ochrona środ.'!K14+'Tab.6I - Planow. przestrz.'!K14</f>
        <v>666312</v>
      </c>
      <c r="I19" s="823">
        <f>+'Tab. 6B Polit społ i rozwój prz'!L13+'Tab. 6A -Drogi'!L14+'Tab. 6E - Administracja'!L15+'Tab. 6G - Roln i ochrona środ.'!L14+'Tab.6I - Planow. przestrz.'!L14</f>
        <v>567846</v>
      </c>
      <c r="J19" s="1330">
        <f t="shared" si="7"/>
        <v>19627240</v>
      </c>
      <c r="K19" s="1420">
        <f t="shared" ref="K19:K22" si="8">SUM(C19:I19)</f>
        <v>16645060</v>
      </c>
      <c r="L19" s="810">
        <f>SUM(D19:I19)</f>
        <v>14591820</v>
      </c>
      <c r="M19" s="401"/>
      <c r="N19" s="413">
        <f t="shared" si="2"/>
        <v>19627240</v>
      </c>
      <c r="O19" s="414">
        <f t="shared" si="3"/>
        <v>0</v>
      </c>
    </row>
    <row r="20" spans="1:15" s="415" customFormat="1" ht="13.5" hidden="1" customHeight="1">
      <c r="A20" s="416" t="s">
        <v>14</v>
      </c>
      <c r="B20" s="823"/>
      <c r="C20" s="824"/>
      <c r="D20" s="824"/>
      <c r="E20" s="824"/>
      <c r="F20" s="824"/>
      <c r="G20" s="824"/>
      <c r="H20" s="824"/>
      <c r="I20" s="824"/>
      <c r="J20" s="1330">
        <f t="shared" si="7"/>
        <v>0</v>
      </c>
      <c r="K20" s="1420">
        <f t="shared" si="8"/>
        <v>0</v>
      </c>
      <c r="L20" s="810">
        <f t="shared" ref="K20:L24" si="9">SUM(D20:I20)</f>
        <v>0</v>
      </c>
      <c r="M20" s="401"/>
      <c r="N20" s="413">
        <f t="shared" si="2"/>
        <v>0</v>
      </c>
      <c r="O20" s="414">
        <f t="shared" si="3"/>
        <v>0</v>
      </c>
    </row>
    <row r="21" spans="1:15" s="415" customFormat="1" ht="15.75" customHeight="1">
      <c r="A21" s="416" t="s">
        <v>15</v>
      </c>
      <c r="B21" s="227">
        <f>+'Tab. 6A -Drogi'!E15+'Tab. 6H - Kultura fiz. i turyst'!E14</f>
        <v>9474831</v>
      </c>
      <c r="C21" s="823">
        <f>+'Tab. 6A -Drogi'!F15+'Tab. 6H - Kultura fiz. i turyst'!F14</f>
        <v>1739767</v>
      </c>
      <c r="D21" s="823">
        <f>+'Tab. 6A -Drogi'!G15+'Tab. 6H - Kultura fiz. i turyst'!G14</f>
        <v>7814683</v>
      </c>
      <c r="E21" s="1274">
        <f>+'Tab. 6A -Drogi'!H15+'Tab. 6H - Kultura fiz. i turyst'!H14</f>
        <v>0</v>
      </c>
      <c r="F21" s="1274">
        <f>+'Tab. 6A -Drogi'!I15+'Tab. 6H - Kultura fiz. i turyst'!I14</f>
        <v>0</v>
      </c>
      <c r="G21" s="1274">
        <f>+'Tab. 6A -Drogi'!J15+'Tab. 6H - Kultura fiz. i turyst'!J14</f>
        <v>0</v>
      </c>
      <c r="H21" s="1274">
        <f>+'Tab. 6A -Drogi'!K15+'Tab. 6H - Kultura fiz. i turyst'!K14</f>
        <v>0</v>
      </c>
      <c r="I21" s="1274">
        <f>+'Tab. 6A -Drogi'!L15+'Tab. 6H - Kultura fiz. i turyst'!L14</f>
        <v>0</v>
      </c>
      <c r="J21" s="1330">
        <f t="shared" si="7"/>
        <v>19029281</v>
      </c>
      <c r="K21" s="1420">
        <f t="shared" si="8"/>
        <v>9554450</v>
      </c>
      <c r="L21" s="810">
        <f>SUM(D21:I21)</f>
        <v>7814683</v>
      </c>
      <c r="M21" s="401"/>
      <c r="N21" s="413">
        <f t="shared" si="2"/>
        <v>19029281</v>
      </c>
      <c r="O21" s="414">
        <f t="shared" si="3"/>
        <v>0</v>
      </c>
    </row>
    <row r="22" spans="1:15" s="415" customFormat="1" ht="15.75" customHeight="1">
      <c r="A22" s="416" t="s">
        <v>16</v>
      </c>
      <c r="B22" s="1274">
        <f>+'Tab. 6A -Drogi'!E16+'Tab. 6G - Roln i ochrona środ.'!E15+'Tab. 6E - Administracja'!E16+'Tab. 6H - Kultura fiz. i turyst'!E13</f>
        <v>0</v>
      </c>
      <c r="C22" s="826">
        <f>+'Tab. 6A -Drogi'!F16+'Tab. 6G - Roln i ochrona środ.'!F15+'Tab. 6E - Administracja'!F16+'Tab. 6H - Kultura fiz. i turyst'!F13</f>
        <v>100000</v>
      </c>
      <c r="D22" s="826">
        <f>+'Tab. 6A -Drogi'!G16+'Tab. 6G - Roln i ochrona środ.'!G15+'Tab. 6E - Administracja'!G16+'Tab. 6H - Kultura fiz. i turyst'!G13</f>
        <v>900000</v>
      </c>
      <c r="E22" s="1274">
        <f>+'Tab. 6A -Drogi'!H16+'Tab. 6G - Roln i ochrona środ.'!H15+'Tab. 6E - Administracja'!H16+'Tab. 6H - Kultura fiz. i turyst'!H13</f>
        <v>0</v>
      </c>
      <c r="F22" s="1274">
        <f>+'Tab. 6A -Drogi'!I16+'Tab. 6G - Roln i ochrona środ.'!I15+'Tab. 6E - Administracja'!I16+'Tab. 6H - Kultura fiz. i turyst'!I13</f>
        <v>0</v>
      </c>
      <c r="G22" s="1274">
        <f>+'Tab. 6A -Drogi'!J16+'Tab. 6G - Roln i ochrona środ.'!J15+'Tab. 6E - Administracja'!J16+'Tab. 6H - Kultura fiz. i turyst'!J13</f>
        <v>0</v>
      </c>
      <c r="H22" s="1274">
        <f>+'Tab. 6A -Drogi'!K16+'Tab. 6G - Roln i ochrona środ.'!K15+'Tab. 6E - Administracja'!K16+'Tab. 6H - Kultura fiz. i turyst'!K13</f>
        <v>0</v>
      </c>
      <c r="I22" s="1274">
        <f>+'Tab. 6A -Drogi'!L16+'Tab. 6G - Roln i ochrona środ.'!L15+'Tab. 6E - Administracja'!L16+'Tab. 6H - Kultura fiz. i turyst'!L13</f>
        <v>0</v>
      </c>
      <c r="J22" s="1330">
        <f t="shared" si="7"/>
        <v>1000000</v>
      </c>
      <c r="K22" s="1420">
        <f t="shared" si="8"/>
        <v>1000000</v>
      </c>
      <c r="L22" s="810">
        <f>SUM(D22:I22)</f>
        <v>900000</v>
      </c>
      <c r="M22" s="401"/>
      <c r="N22" s="413">
        <f t="shared" si="2"/>
        <v>1000000</v>
      </c>
      <c r="O22" s="414">
        <f t="shared" si="3"/>
        <v>0</v>
      </c>
    </row>
    <row r="23" spans="1:15" s="415" customFormat="1" ht="15.75" hidden="1" customHeight="1">
      <c r="A23" s="416" t="s">
        <v>25</v>
      </c>
      <c r="B23" s="2003"/>
      <c r="C23" s="829">
        <v>0</v>
      </c>
      <c r="D23" s="829">
        <v>0</v>
      </c>
      <c r="E23" s="829">
        <v>0</v>
      </c>
      <c r="F23" s="829">
        <v>0</v>
      </c>
      <c r="G23" s="829">
        <f>+'Tab.6I - Planow. przestrz.'!J14</f>
        <v>0</v>
      </c>
      <c r="H23" s="829"/>
      <c r="I23" s="829"/>
      <c r="J23" s="1330">
        <f t="shared" si="7"/>
        <v>0</v>
      </c>
      <c r="K23" s="1420">
        <f t="shared" si="9"/>
        <v>0</v>
      </c>
      <c r="L23" s="810">
        <f t="shared" si="9"/>
        <v>0</v>
      </c>
      <c r="M23" s="401"/>
      <c r="N23" s="413">
        <f t="shared" si="2"/>
        <v>0</v>
      </c>
      <c r="O23" s="414"/>
    </row>
    <row r="24" spans="1:15" s="415" customFormat="1" ht="15.75" customHeight="1">
      <c r="A24" s="416" t="s">
        <v>17</v>
      </c>
      <c r="B24" s="1274">
        <f>+'Tab. 6A -Drogi'!E17</f>
        <v>0</v>
      </c>
      <c r="C24" s="825">
        <f>+'Tab. 6A -Drogi'!F17</f>
        <v>0</v>
      </c>
      <c r="D24" s="826">
        <f>+'Tab. 6A -Drogi'!G17</f>
        <v>5013000</v>
      </c>
      <c r="E24" s="825">
        <f>+'Tab. 6A -Drogi'!H17</f>
        <v>0</v>
      </c>
      <c r="F24" s="825">
        <f>+'Tab. 6A -Drogi'!I17</f>
        <v>0</v>
      </c>
      <c r="G24" s="825">
        <f>+'Tab. 6A -Drogi'!J17</f>
        <v>0</v>
      </c>
      <c r="H24" s="825">
        <f>+'Tab. 6A -Drogi'!K17</f>
        <v>0</v>
      </c>
      <c r="I24" s="825">
        <f>+'Tab. 6A -Drogi'!L17</f>
        <v>0</v>
      </c>
      <c r="J24" s="1330">
        <f t="shared" si="7"/>
        <v>5013000</v>
      </c>
      <c r="K24" s="1421">
        <f t="shared" si="9"/>
        <v>5013000</v>
      </c>
      <c r="L24" s="1271">
        <f t="shared" si="9"/>
        <v>5013000</v>
      </c>
      <c r="M24" s="401"/>
      <c r="N24" s="413">
        <f t="shared" si="2"/>
        <v>5013000</v>
      </c>
      <c r="O24" s="414">
        <f t="shared" si="3"/>
        <v>0</v>
      </c>
    </row>
    <row r="25" spans="1:15" s="415" customFormat="1" ht="15.75" customHeight="1">
      <c r="A25" s="416" t="s">
        <v>32</v>
      </c>
      <c r="B25" s="828">
        <f>'Tab. 6E - Administracja'!E17</f>
        <v>391116</v>
      </c>
      <c r="C25" s="828">
        <f>'Tab. 6E - Administracja'!F17</f>
        <v>389879</v>
      </c>
      <c r="D25" s="828">
        <f>'Tab. 6E - Administracja'!G17</f>
        <v>461647</v>
      </c>
      <c r="E25" s="828">
        <f>'Tab. 6E - Administracja'!H17</f>
        <v>94268</v>
      </c>
      <c r="F25" s="828">
        <f>'Tab. 6E - Administracja'!I17</f>
        <v>77465</v>
      </c>
      <c r="G25" s="828">
        <f>'Tab. 6E - Administracja'!J17</f>
        <v>64019</v>
      </c>
      <c r="H25" s="828">
        <f>'Tab. 6E - Administracja'!K17</f>
        <v>64018</v>
      </c>
      <c r="I25" s="828">
        <f>'Tab. 6E - Administracja'!L17</f>
        <v>64018</v>
      </c>
      <c r="J25" s="1330">
        <f t="shared" si="7"/>
        <v>1606430</v>
      </c>
      <c r="K25" s="1422" t="s">
        <v>61</v>
      </c>
      <c r="L25" s="1270" t="s">
        <v>61</v>
      </c>
      <c r="M25" s="401"/>
      <c r="N25" s="413">
        <f t="shared" si="2"/>
        <v>1606430</v>
      </c>
      <c r="O25" s="414">
        <f t="shared" si="3"/>
        <v>0</v>
      </c>
    </row>
    <row r="26" spans="1:15" s="415" customFormat="1" ht="17.25" customHeight="1">
      <c r="A26" s="409" t="s">
        <v>18</v>
      </c>
      <c r="B26" s="410">
        <f t="shared" ref="B26:C26" si="10">SUM(B27:B31)</f>
        <v>69358205</v>
      </c>
      <c r="C26" s="410">
        <f t="shared" si="10"/>
        <v>227181867</v>
      </c>
      <c r="D26" s="410">
        <f t="shared" ref="D26:J26" si="11">SUM(D27:D31)</f>
        <v>482200155</v>
      </c>
      <c r="E26" s="410">
        <f t="shared" si="11"/>
        <v>190985477</v>
      </c>
      <c r="F26" s="410">
        <f t="shared" si="11"/>
        <v>85521973</v>
      </c>
      <c r="G26" s="410">
        <f t="shared" si="11"/>
        <v>36201447</v>
      </c>
      <c r="H26" s="410">
        <f t="shared" si="11"/>
        <v>33608883</v>
      </c>
      <c r="I26" s="410">
        <f t="shared" si="11"/>
        <v>31213753</v>
      </c>
      <c r="J26" s="1331">
        <f t="shared" si="11"/>
        <v>1156271760</v>
      </c>
      <c r="K26" s="1423">
        <f>SUM(K29:K31)</f>
        <v>1086913555</v>
      </c>
      <c r="L26" s="1339">
        <f>SUM(L29:L31)</f>
        <v>859731688</v>
      </c>
      <c r="M26" s="401"/>
      <c r="N26" s="413">
        <f t="shared" si="2"/>
        <v>1156271760</v>
      </c>
      <c r="O26" s="414">
        <f t="shared" si="3"/>
        <v>0</v>
      </c>
    </row>
    <row r="27" spans="1:15" s="415" customFormat="1" ht="15.75" hidden="1" customHeight="1">
      <c r="A27" s="822" t="s">
        <v>12</v>
      </c>
      <c r="B27" s="823">
        <f>+'Tab. 6G - Roln i ochrona środ.'!E17</f>
        <v>0</v>
      </c>
      <c r="C27" s="823">
        <f>+'Tab. 6G - Roln i ochrona środ.'!F17</f>
        <v>0</v>
      </c>
      <c r="D27" s="823">
        <f>+'Tab. 6G - Roln i ochrona środ.'!G17</f>
        <v>0</v>
      </c>
      <c r="E27" s="823">
        <f>+'Tab. 6G - Roln i ochrona środ.'!H17</f>
        <v>0</v>
      </c>
      <c r="F27" s="823">
        <f>+'Tab. 6G - Roln i ochrona środ.'!I17</f>
        <v>0</v>
      </c>
      <c r="G27" s="823">
        <f>+'Tab. 6G - Roln i ochrona środ.'!J17</f>
        <v>0</v>
      </c>
      <c r="H27" s="823">
        <f>+'Tab. 6G - Roln i ochrona środ.'!K17</f>
        <v>0</v>
      </c>
      <c r="I27" s="823">
        <f>+'Tab. 6G - Roln i ochrona środ.'!L17</f>
        <v>0</v>
      </c>
      <c r="J27" s="1330">
        <f>B27+C27+D27+E27+F27+G27+H27+I27</f>
        <v>0</v>
      </c>
      <c r="K27" s="1420">
        <f>SUM(B27:H27)</f>
        <v>0</v>
      </c>
      <c r="L27" s="810">
        <f>SUM(C27:I27)</f>
        <v>0</v>
      </c>
      <c r="M27" s="401"/>
      <c r="N27" s="413">
        <f t="shared" si="2"/>
        <v>0</v>
      </c>
      <c r="O27" s="414">
        <f t="shared" si="3"/>
        <v>0</v>
      </c>
    </row>
    <row r="28" spans="1:15" s="415" customFormat="1" ht="13.5" hidden="1" customHeight="1">
      <c r="A28" s="822" t="s">
        <v>19</v>
      </c>
      <c r="B28" s="823">
        <f>+'Tab. 6A -Drogi'!E21</f>
        <v>0</v>
      </c>
      <c r="C28" s="823">
        <f>+'Tab. 6A -Drogi'!F21</f>
        <v>0</v>
      </c>
      <c r="D28" s="823">
        <f>+'Tab. 6A -Drogi'!G21</f>
        <v>0</v>
      </c>
      <c r="E28" s="823">
        <f>+'Tab. 6A -Drogi'!H21</f>
        <v>0</v>
      </c>
      <c r="F28" s="823">
        <f>+'Tab. 6A -Drogi'!I21</f>
        <v>0</v>
      </c>
      <c r="G28" s="823">
        <f>+'Tab. 6A -Drogi'!J21</f>
        <v>0</v>
      </c>
      <c r="H28" s="823">
        <f>+'Tab. 6A -Drogi'!K21</f>
        <v>0</v>
      </c>
      <c r="I28" s="823">
        <f>+'Tab. 6A -Drogi'!L21</f>
        <v>0</v>
      </c>
      <c r="J28" s="1330">
        <f>B28+C28+D28+E28+F28+G28+H28+I28</f>
        <v>0</v>
      </c>
      <c r="K28" s="1420">
        <f>SUM(B28:H28)</f>
        <v>0</v>
      </c>
      <c r="L28" s="810">
        <f>SUM(C28:I28)</f>
        <v>0</v>
      </c>
      <c r="M28" s="401"/>
      <c r="N28" s="413">
        <f t="shared" si="2"/>
        <v>0</v>
      </c>
      <c r="O28" s="414">
        <f t="shared" si="3"/>
        <v>0</v>
      </c>
    </row>
    <row r="29" spans="1:15" s="415" customFormat="1" ht="14.25" customHeight="1">
      <c r="A29" s="416" t="s">
        <v>20</v>
      </c>
      <c r="B29" s="823">
        <f>+'Tab. 6D - Oświata'!E19+'Tab. 6A -Drogi'!E19+'Tab. 6G - Roln i ochrona środ.'!E20+'Tab.6I - Planow. przestrz.'!E17+'Tab. 6B Polit społ i rozwój prz'!E16</f>
        <v>770242</v>
      </c>
      <c r="C29" s="823">
        <f>+'Tab. 6D - Oświata'!F19+'Tab. 6A -Drogi'!F19+'Tab. 6G - Roln i ochrona środ.'!F20+'Tab.6I - Planow. przestrz.'!F17+'Tab. 6B Polit społ i rozwój prz'!F16</f>
        <v>1000275</v>
      </c>
      <c r="D29" s="823">
        <f>+'Tab. 6D - Oświata'!G19+'Tab. 6A -Drogi'!G19+'Tab. 6G - Roln i ochrona środ.'!G20+'Tab.6I - Planow. przestrz.'!G17+'Tab. 6B Polit społ i rozwój prz'!G16</f>
        <v>1351780</v>
      </c>
      <c r="E29" s="823">
        <f>+'Tab. 6D - Oświata'!H19+'Tab. 6A -Drogi'!H19+'Tab. 6G - Roln i ochrona środ.'!H20+'Tab.6I - Planow. przestrz.'!H17+'Tab. 6B Polit społ i rozwój prz'!H16</f>
        <v>432771</v>
      </c>
      <c r="F29" s="823">
        <f>+'Tab. 6D - Oświata'!I19+'Tab. 6A -Drogi'!I19+'Tab. 6G - Roln i ochrona środ.'!I20+'Tab.6I - Planow. przestrz.'!I17+'Tab. 6B Polit społ i rozwój prz'!I16</f>
        <v>287278</v>
      </c>
      <c r="G29" s="823">
        <f>+'Tab. 6D - Oświata'!J19+'Tab. 6A -Drogi'!J19+'Tab. 6G - Roln i ochrona środ.'!J20+'Tab.6I - Planow. przestrz.'!J17+'Tab. 6B Polit społ i rozwój prz'!J16</f>
        <v>0</v>
      </c>
      <c r="H29" s="823">
        <f>+'Tab. 6D - Oświata'!K19+'Tab. 6A -Drogi'!K19+'Tab. 6G - Roln i ochrona środ.'!K20+'Tab.6I - Planow. przestrz.'!K17+'Tab. 6B Polit społ i rozwój prz'!K16</f>
        <v>0</v>
      </c>
      <c r="I29" s="823">
        <f>+'Tab. 6D - Oświata'!L19+'Tab. 6A -Drogi'!L19+'Tab. 6G - Roln i ochrona środ.'!L20+'Tab.6I - Planow. przestrz.'!L17+'Tab. 6B Polit społ i rozwój prz'!L16</f>
        <v>0</v>
      </c>
      <c r="J29" s="1330">
        <f>B29+C29+D29+E29+F29+G29+H29+I29</f>
        <v>3842346</v>
      </c>
      <c r="K29" s="1420">
        <f t="shared" ref="K29:K31" si="12">SUM(C29:I29)</f>
        <v>3072104</v>
      </c>
      <c r="L29" s="810">
        <f>SUM(D29:I29)</f>
        <v>2071829</v>
      </c>
      <c r="M29" s="401"/>
      <c r="N29" s="413">
        <f t="shared" si="2"/>
        <v>3842346</v>
      </c>
      <c r="O29" s="414">
        <f t="shared" si="3"/>
        <v>0</v>
      </c>
    </row>
    <row r="30" spans="1:15" s="415" customFormat="1" ht="14.25" hidden="1" customHeight="1">
      <c r="A30" s="416" t="s">
        <v>14</v>
      </c>
      <c r="B30" s="227">
        <f>+'Tab. 6G - Roln i ochrona środ.'!E19</f>
        <v>0</v>
      </c>
      <c r="C30" s="227">
        <f>+'Tab. 6G - Roln i ochrona środ.'!F19</f>
        <v>0</v>
      </c>
      <c r="D30" s="227">
        <f>+'Tab. 6G - Roln i ochrona środ.'!G19</f>
        <v>0</v>
      </c>
      <c r="E30" s="227">
        <f>+'Tab. 6G - Roln i ochrona środ.'!H19</f>
        <v>0</v>
      </c>
      <c r="F30" s="227">
        <f>+'Tab. 6G - Roln i ochrona środ.'!I19</f>
        <v>0</v>
      </c>
      <c r="G30" s="227">
        <f>+'Tab. 6G - Roln i ochrona środ.'!J19</f>
        <v>0</v>
      </c>
      <c r="H30" s="227">
        <f>+'Tab. 6G - Roln i ochrona środ.'!K19</f>
        <v>0</v>
      </c>
      <c r="I30" s="227">
        <f>+'Tab. 6G - Roln i ochrona środ.'!L19</f>
        <v>0</v>
      </c>
      <c r="J30" s="1330">
        <f>B30+C30+D30+E30+F30+G30+H30+I30</f>
        <v>0</v>
      </c>
      <c r="K30" s="1420">
        <f t="shared" si="12"/>
        <v>0</v>
      </c>
      <c r="L30" s="810">
        <f t="shared" ref="L30" si="13">SUM(D30:I30)</f>
        <v>0</v>
      </c>
      <c r="M30" s="401"/>
      <c r="N30" s="413">
        <f t="shared" si="2"/>
        <v>0</v>
      </c>
      <c r="O30" s="414">
        <f t="shared" si="3"/>
        <v>0</v>
      </c>
    </row>
    <row r="31" spans="1:15" s="415" customFormat="1" ht="14.25" customHeight="1">
      <c r="A31" s="416" t="s">
        <v>21</v>
      </c>
      <c r="B31" s="227">
        <f>+'Tab. 6B Polit społ i rozwój prz'!E17+'Tab. 6A -Drogi'!E20+'Tab. 6E - Administracja'!E19+'Tab. 6G - Roln i ochrona środ.'!E18+'Tab. 6H - Kultura fiz. i turyst'!E16+'Tab.6I - Planow. przestrz.'!E16</f>
        <v>68587963</v>
      </c>
      <c r="C31" s="227">
        <f>+'Tab. 6B Polit społ i rozwój prz'!F17+'Tab. 6A -Drogi'!F20+'Tab. 6E - Administracja'!F19+'Tab. 6G - Roln i ochrona środ.'!F18+'Tab. 6H - Kultura fiz. i turyst'!F16+'Tab.6I - Planow. przestrz.'!F16</f>
        <v>226181592</v>
      </c>
      <c r="D31" s="227">
        <f>+'Tab. 6B Polit społ i rozwój prz'!G17+'Tab. 6A -Drogi'!G20+'Tab. 6E - Administracja'!G19+'Tab. 6G - Roln i ochrona środ.'!G18+'Tab. 6H - Kultura fiz. i turyst'!G16+'Tab.6I - Planow. przestrz.'!G16+'Tab. 6D - Oświata'!G18</f>
        <v>480848375</v>
      </c>
      <c r="E31" s="227">
        <f>+'Tab. 6B Polit społ i rozwój prz'!H17+'Tab. 6A -Drogi'!H20+'Tab. 6E - Administracja'!H19+'Tab. 6G - Roln i ochrona środ.'!H18+'Tab. 6H - Kultura fiz. i turyst'!H16+'Tab.6I - Planow. przestrz.'!H16+'Tab. 6D - Oświata'!H18</f>
        <v>190552706</v>
      </c>
      <c r="F31" s="227">
        <f>+'Tab. 6B Polit społ i rozwój prz'!I17+'Tab. 6A -Drogi'!I20+'Tab. 6E - Administracja'!I19+'Tab. 6G - Roln i ochrona środ.'!I18+'Tab. 6H - Kultura fiz. i turyst'!I16+'Tab.6I - Planow. przestrz.'!I16</f>
        <v>85234695</v>
      </c>
      <c r="G31" s="227">
        <f>+'Tab. 6B Polit społ i rozwój prz'!J17+'Tab. 6A -Drogi'!J20+'Tab. 6E - Administracja'!J19+'Tab. 6G - Roln i ochrona środ.'!J18+'Tab. 6H - Kultura fiz. i turyst'!J16+'Tab.6I - Planow. przestrz.'!J16</f>
        <v>36201447</v>
      </c>
      <c r="H31" s="227">
        <f>+'Tab. 6B Polit społ i rozwój prz'!K17+'Tab. 6A -Drogi'!K20+'Tab. 6E - Administracja'!K19+'Tab. 6G - Roln i ochrona środ.'!K18+'Tab. 6H - Kultura fiz. i turyst'!K16+'Tab.6I - Planow. przestrz.'!K16</f>
        <v>33608883</v>
      </c>
      <c r="I31" s="227">
        <f>+'Tab. 6B Polit społ i rozwój prz'!L17+'Tab. 6A -Drogi'!L20+'Tab. 6E - Administracja'!L19+'Tab. 6G - Roln i ochrona środ.'!L18+'Tab. 6H - Kultura fiz. i turyst'!L16+'Tab.6I - Planow. przestrz.'!L16</f>
        <v>31213753</v>
      </c>
      <c r="J31" s="1330">
        <f>B31+C31+D31+E31+F31+G31+H31+I31</f>
        <v>1152429414</v>
      </c>
      <c r="K31" s="1420">
        <f t="shared" si="12"/>
        <v>1083841451</v>
      </c>
      <c r="L31" s="810">
        <f>SUM(D31:I31)</f>
        <v>857659859</v>
      </c>
      <c r="M31" s="401"/>
      <c r="N31" s="413">
        <f t="shared" si="2"/>
        <v>1152429414</v>
      </c>
      <c r="O31" s="806">
        <f t="shared" si="3"/>
        <v>0</v>
      </c>
    </row>
    <row r="32" spans="1:15" s="830" customFormat="1" ht="15.75" customHeight="1">
      <c r="A32" s="1146" t="s">
        <v>22</v>
      </c>
      <c r="B32" s="1147">
        <f>+B33+B41</f>
        <v>69363530</v>
      </c>
      <c r="C32" s="1147">
        <f t="shared" ref="C32:D32" si="14">+C33+C41</f>
        <v>221065960</v>
      </c>
      <c r="D32" s="1147">
        <f t="shared" si="14"/>
        <v>502416037</v>
      </c>
      <c r="E32" s="1147">
        <f t="shared" ref="E32:I32" si="15">+E33+E41</f>
        <v>195317790</v>
      </c>
      <c r="F32" s="1147">
        <f t="shared" si="15"/>
        <v>96350025</v>
      </c>
      <c r="G32" s="1147">
        <f t="shared" si="15"/>
        <v>42764544</v>
      </c>
      <c r="H32" s="1147">
        <f t="shared" si="15"/>
        <v>34126130</v>
      </c>
      <c r="I32" s="1147">
        <f t="shared" si="15"/>
        <v>32142634</v>
      </c>
      <c r="J32" s="1332">
        <f>+J33+J41</f>
        <v>1200941281</v>
      </c>
      <c r="K32" s="3795" t="s">
        <v>23</v>
      </c>
      <c r="L32" s="3800" t="s">
        <v>23</v>
      </c>
      <c r="M32" s="401"/>
    </row>
    <row r="33" spans="1:15" s="415" customFormat="1" ht="17.25" customHeight="1">
      <c r="A33" s="409" t="s">
        <v>24</v>
      </c>
      <c r="B33" s="1148">
        <f>SUM(B34:B40)</f>
        <v>12426672</v>
      </c>
      <c r="C33" s="1148">
        <f>SUM(C34:C40)</f>
        <v>3875316</v>
      </c>
      <c r="D33" s="1148">
        <f>SUM(D34:D40)</f>
        <v>17651560</v>
      </c>
      <c r="E33" s="1148">
        <f t="shared" ref="E33:I33" si="16">SUM(E34:E40)</f>
        <v>4595448</v>
      </c>
      <c r="F33" s="1148">
        <f t="shared" si="16"/>
        <v>3783610</v>
      </c>
      <c r="G33" s="1148">
        <f t="shared" si="16"/>
        <v>1102757</v>
      </c>
      <c r="H33" s="1148">
        <f t="shared" si="16"/>
        <v>666312</v>
      </c>
      <c r="I33" s="1148">
        <f t="shared" si="16"/>
        <v>567846</v>
      </c>
      <c r="J33" s="1333">
        <f>SUM(J34:J40)</f>
        <v>44669521</v>
      </c>
      <c r="K33" s="3796"/>
      <c r="L33" s="3801"/>
      <c r="M33" s="412" t="s">
        <v>246</v>
      </c>
    </row>
    <row r="34" spans="1:15" s="415" customFormat="1" ht="14.25" customHeight="1">
      <c r="A34" s="1101" t="s">
        <v>13</v>
      </c>
      <c r="B34" s="696">
        <f>+'Tab. 6B Polit społ i rozwój prz'!E20+'Tab. 6A -Drogi'!E24+'Tab. 6E - Administracja'!E22+'Tab. 6G - Roln i ochrona środ.'!E23</f>
        <v>2951841</v>
      </c>
      <c r="C34" s="696">
        <f>+'Tab. 6B Polit społ i rozwój prz'!F20+'Tab. 6A -Drogi'!F24+'Tab. 6E - Administracja'!F22+'Tab. 6G - Roln i ochrona środ.'!F23+'Tab.6I - Planow. przestrz.'!F20</f>
        <v>2035549</v>
      </c>
      <c r="D34" s="696">
        <f>+'Tab. 6B Polit społ i rozwój prz'!G20+'Tab. 6A -Drogi'!G24+'Tab. 6E - Administracja'!G22+'Tab. 6G - Roln i ochrona środ.'!G23+'Tab.6I - Planow. przestrz.'!G20+'Tab. 6D - Oświata'!G22</f>
        <v>3923877</v>
      </c>
      <c r="E34" s="696">
        <f>+'Tab. 6B Polit społ i rozwój prz'!H20+'Tab. 6A -Drogi'!H24+'Tab. 6E - Administracja'!H22+'Tab. 6G - Roln i ochrona środ.'!H23+'Tab.6I - Planow. przestrz.'!H20+'Tab. 6D - Oświata'!H22</f>
        <v>4595448</v>
      </c>
      <c r="F34" s="696">
        <f>+'Tab. 6B Polit społ i rozwój prz'!I20+'Tab. 6A -Drogi'!I24+'Tab. 6E - Administracja'!I22+'Tab. 6G - Roln i ochrona środ.'!I23+'Tab.6I - Planow. przestrz.'!I20</f>
        <v>3783610</v>
      </c>
      <c r="G34" s="696">
        <f>+'Tab. 6B Polit społ i rozwój prz'!J20+'Tab. 6A -Drogi'!J24+'Tab. 6E - Administracja'!J22+'Tab. 6G - Roln i ochrona środ.'!J23+'Tab.6I - Planow. przestrz.'!J20</f>
        <v>1102757</v>
      </c>
      <c r="H34" s="696">
        <f>+'Tab. 6B Polit społ i rozwój prz'!K20+'Tab. 6A -Drogi'!K24+'Tab. 6E - Administracja'!K22+'Tab. 6G - Roln i ochrona środ.'!K23+'Tab.6I - Planow. przestrz.'!K20</f>
        <v>666312</v>
      </c>
      <c r="I34" s="696">
        <f>+'Tab. 6B Polit społ i rozwój prz'!L20+'Tab. 6A -Drogi'!L24+'Tab. 6E - Administracja'!L22+'Tab. 6G - Roln i ochrona środ.'!L23+'Tab.6I - Planow. przestrz.'!L20</f>
        <v>567846</v>
      </c>
      <c r="J34" s="1330">
        <f t="shared" ref="J34:J40" si="17">B34+C34+D34+E34+F34+G34+H34+I34</f>
        <v>19627240</v>
      </c>
      <c r="K34" s="3796"/>
      <c r="L34" s="3801"/>
      <c r="M34" s="1565">
        <f>J19-J34</f>
        <v>0</v>
      </c>
    </row>
    <row r="35" spans="1:15" s="415" customFormat="1" hidden="1">
      <c r="A35" s="1101" t="s">
        <v>25</v>
      </c>
      <c r="B35" s="696"/>
      <c r="C35" s="696">
        <v>0</v>
      </c>
      <c r="D35" s="696">
        <v>0</v>
      </c>
      <c r="E35" s="696">
        <v>0</v>
      </c>
      <c r="F35" s="696">
        <v>0</v>
      </c>
      <c r="G35" s="696">
        <v>0</v>
      </c>
      <c r="H35" s="831">
        <f>+'Tab. 6G - Roln i ochrona środ.'!K26</f>
        <v>0</v>
      </c>
      <c r="I35" s="831">
        <f>+'Tab. 6G - Roln i ochrona środ.'!L26</f>
        <v>0</v>
      </c>
      <c r="J35" s="1330">
        <f t="shared" si="17"/>
        <v>0</v>
      </c>
      <c r="K35" s="3796"/>
      <c r="L35" s="3801"/>
      <c r="M35" s="412"/>
    </row>
    <row r="36" spans="1:15" s="415" customFormat="1" ht="14.25" hidden="1" customHeight="1">
      <c r="A36" s="1101" t="s">
        <v>14</v>
      </c>
      <c r="B36" s="696">
        <f>+'Tab. 6G - Roln i ochrona środ.'!E24</f>
        <v>0</v>
      </c>
      <c r="C36" s="696">
        <f>+'Tab. 6G - Roln i ochrona środ.'!F24</f>
        <v>0</v>
      </c>
      <c r="D36" s="696">
        <f>+'Tab. 6G - Roln i ochrona środ.'!G24</f>
        <v>0</v>
      </c>
      <c r="E36" s="696">
        <f>+'Tab. 6G - Roln i ochrona środ.'!H24</f>
        <v>0</v>
      </c>
      <c r="F36" s="696">
        <f>+'Tab. 6G - Roln i ochrona środ.'!I24</f>
        <v>0</v>
      </c>
      <c r="G36" s="696">
        <f>+'Tab. 6G - Roln i ochrona środ.'!J24</f>
        <v>0</v>
      </c>
      <c r="H36" s="696">
        <f>+'Tab. 6G - Roln i ochrona środ.'!K24</f>
        <v>0</v>
      </c>
      <c r="I36" s="696">
        <f>+'Tab. 6G - Roln i ochrona środ.'!L24</f>
        <v>0</v>
      </c>
      <c r="J36" s="1330">
        <f t="shared" si="17"/>
        <v>0</v>
      </c>
      <c r="K36" s="3796"/>
      <c r="L36" s="3801"/>
      <c r="M36" s="412">
        <f>J36-J20</f>
        <v>0</v>
      </c>
    </row>
    <row r="37" spans="1:15" s="415" customFormat="1" ht="14.25" customHeight="1">
      <c r="A37" s="1101" t="s">
        <v>15</v>
      </c>
      <c r="B37" s="823">
        <f>+'Tab. 6A -Drogi'!E25+'Tab. 6H - Kultura fiz. i turyst'!E21</f>
        <v>9474831</v>
      </c>
      <c r="C37" s="823">
        <f>+'Tab. 6A -Drogi'!F25+'Tab. 6H - Kultura fiz. i turyst'!F21</f>
        <v>1739767</v>
      </c>
      <c r="D37" s="823">
        <f>+'Tab. 6A -Drogi'!G25+'Tab. 6H - Kultura fiz. i turyst'!G21</f>
        <v>7814683</v>
      </c>
      <c r="E37" s="1275">
        <f>+'Tab. 6A -Drogi'!H25+'Tab. 6H - Kultura fiz. i turyst'!H21</f>
        <v>0</v>
      </c>
      <c r="F37" s="1275">
        <f>+'Tab. 6A -Drogi'!I25+'Tab. 6H - Kultura fiz. i turyst'!I21</f>
        <v>0</v>
      </c>
      <c r="G37" s="1275">
        <f>+'Tab. 6A -Drogi'!J25+'Tab. 6H - Kultura fiz. i turyst'!J21</f>
        <v>0</v>
      </c>
      <c r="H37" s="1275">
        <f>+'Tab. 6A -Drogi'!K25+'Tab. 6H - Kultura fiz. i turyst'!K21</f>
        <v>0</v>
      </c>
      <c r="I37" s="1275">
        <f>+'Tab. 6A -Drogi'!L25+'Tab. 6G - Roln i ochrona środ.'!L24+'Tab. 6E - Administracja'!L22+'Tab. 6H - Kultura fiz. i turyst'!L19</f>
        <v>0</v>
      </c>
      <c r="J37" s="1330">
        <f t="shared" si="17"/>
        <v>19029281</v>
      </c>
      <c r="K37" s="3796"/>
      <c r="L37" s="3801"/>
      <c r="M37" s="412">
        <f>J37-J21</f>
        <v>0</v>
      </c>
      <c r="N37" s="832"/>
    </row>
    <row r="38" spans="1:15" s="415" customFormat="1">
      <c r="A38" s="1101" t="s">
        <v>16</v>
      </c>
      <c r="B38" s="1275">
        <f>+'Tab. 6A -Drogi'!E26+'Tab. 6G - Roln i ochrona środ.'!E25+'Tab. 6E - Administracja'!E23+'Tab. 6H - Kultura fiz. i turyst'!E20</f>
        <v>0</v>
      </c>
      <c r="C38" s="1149">
        <f>+'Tab. 6A -Drogi'!F26+'Tab. 6G - Roln i ochrona środ.'!F25+'Tab. 6E - Administracja'!F23+'Tab. 6H - Kultura fiz. i turyst'!F20</f>
        <v>100000</v>
      </c>
      <c r="D38" s="1149">
        <f>+'Tab. 6A -Drogi'!G26+'Tab. 6G - Roln i ochrona środ.'!G25+'Tab. 6E - Administracja'!G23+'Tab. 6H - Kultura fiz. i turyst'!G20</f>
        <v>900000</v>
      </c>
      <c r="E38" s="1275">
        <f>+'Tab. 6A -Drogi'!H26+'Tab. 6G - Roln i ochrona środ.'!H25+'Tab. 6E - Administracja'!H23+'Tab. 6H - Kultura fiz. i turyst'!H20</f>
        <v>0</v>
      </c>
      <c r="F38" s="1275">
        <f>+'Tab. 6A -Drogi'!I26+'Tab. 6G - Roln i ochrona środ.'!I25+'Tab. 6E - Administracja'!I23+'Tab. 6H - Kultura fiz. i turyst'!I20</f>
        <v>0</v>
      </c>
      <c r="G38" s="1275">
        <f>+'Tab. 6A -Drogi'!J26+'Tab. 6G - Roln i ochrona środ.'!J25+'Tab. 6E - Administracja'!J23+'Tab. 6H - Kultura fiz. i turyst'!J20</f>
        <v>0</v>
      </c>
      <c r="H38" s="1275">
        <f>+'Tab. 6A -Drogi'!K26+'Tab. 6G - Roln i ochrona środ.'!K25+'Tab. 6E - Administracja'!K23+'Tab. 6H - Kultura fiz. i turyst'!K20</f>
        <v>0</v>
      </c>
      <c r="I38" s="1275">
        <f>+'Tab. 6A -Drogi'!L26+'Tab. 6G - Roln i ochrona środ.'!L25+'Tab. 6E - Administracja'!L23+'Tab. 6H - Kultura fiz. i turyst'!L20</f>
        <v>0</v>
      </c>
      <c r="J38" s="1330">
        <f t="shared" si="17"/>
        <v>1000000</v>
      </c>
      <c r="K38" s="3796"/>
      <c r="L38" s="3801"/>
      <c r="M38" s="412">
        <f>J38-J22</f>
        <v>0</v>
      </c>
    </row>
    <row r="39" spans="1:15" s="415" customFormat="1" ht="15" customHeight="1">
      <c r="A39" s="1101" t="s">
        <v>17</v>
      </c>
      <c r="B39" s="824">
        <f>+'Tab. 6A -Drogi'!E27</f>
        <v>0</v>
      </c>
      <c r="C39" s="824">
        <f>+'Tab. 6A -Drogi'!F27</f>
        <v>0</v>
      </c>
      <c r="D39" s="826">
        <f>+'Tab. 6A -Drogi'!G27</f>
        <v>5013000</v>
      </c>
      <c r="E39" s="824">
        <f>+'Tab. 6A -Drogi'!H27</f>
        <v>0</v>
      </c>
      <c r="F39" s="824">
        <f>+'Tab. 6A -Drogi'!I27</f>
        <v>0</v>
      </c>
      <c r="G39" s="824">
        <f>+'Tab. 6A -Drogi'!J27</f>
        <v>0</v>
      </c>
      <c r="H39" s="824">
        <f>+'Tab. 6A -Drogi'!K27</f>
        <v>0</v>
      </c>
      <c r="I39" s="824">
        <f>+'Tab. 6A -Drogi'!L27</f>
        <v>0</v>
      </c>
      <c r="J39" s="1330">
        <f t="shared" si="17"/>
        <v>5013000</v>
      </c>
      <c r="K39" s="3796"/>
      <c r="L39" s="3801"/>
      <c r="M39" s="412">
        <f>J39-J24</f>
        <v>0</v>
      </c>
    </row>
    <row r="40" spans="1:15" s="415" customFormat="1" ht="25.5" hidden="1" customHeight="1">
      <c r="A40" s="822" t="s">
        <v>26</v>
      </c>
      <c r="B40" s="828">
        <f>+'Tab. 6A -Drogi'!E28</f>
        <v>0</v>
      </c>
      <c r="C40" s="827">
        <f>+'Tab. 6A -Drogi'!F28</f>
        <v>0</v>
      </c>
      <c r="D40" s="827">
        <f>+'Tab. 6A -Drogi'!G28</f>
        <v>0</v>
      </c>
      <c r="E40" s="827">
        <f>+'Tab. 6A -Drogi'!H28</f>
        <v>0</v>
      </c>
      <c r="F40" s="827">
        <f>+'Tab. 6A -Drogi'!I28</f>
        <v>0</v>
      </c>
      <c r="G40" s="827">
        <f>+'Tab. 6A -Drogi'!J28</f>
        <v>0</v>
      </c>
      <c r="H40" s="827">
        <f>+'Tab. 6A -Drogi'!K28</f>
        <v>0</v>
      </c>
      <c r="I40" s="827">
        <f>+'Tab. 6A -Drogi'!L28</f>
        <v>0</v>
      </c>
      <c r="J40" s="1330">
        <f t="shared" si="17"/>
        <v>0</v>
      </c>
      <c r="K40" s="3796"/>
      <c r="L40" s="3801"/>
      <c r="M40" s="412"/>
    </row>
    <row r="41" spans="1:15" s="415" customFormat="1" ht="16.5" customHeight="1">
      <c r="A41" s="409" t="s">
        <v>18</v>
      </c>
      <c r="B41" s="1150">
        <f t="shared" ref="B41:C41" si="18">SUM(B42:B46)</f>
        <v>56936858</v>
      </c>
      <c r="C41" s="1150">
        <f t="shared" si="18"/>
        <v>217190644</v>
      </c>
      <c r="D41" s="1150">
        <f t="shared" ref="D41:I41" si="19">SUM(D42:D46)</f>
        <v>484764477</v>
      </c>
      <c r="E41" s="1150">
        <f t="shared" si="19"/>
        <v>190722342</v>
      </c>
      <c r="F41" s="1150">
        <f t="shared" si="19"/>
        <v>92566415</v>
      </c>
      <c r="G41" s="1150">
        <f t="shared" si="19"/>
        <v>41661787</v>
      </c>
      <c r="H41" s="1150">
        <f t="shared" si="19"/>
        <v>33459818</v>
      </c>
      <c r="I41" s="1150">
        <f t="shared" si="19"/>
        <v>31574788</v>
      </c>
      <c r="J41" s="1333">
        <f>SUM(J42:J46)</f>
        <v>1156271760</v>
      </c>
      <c r="K41" s="3796"/>
      <c r="L41" s="3801"/>
      <c r="M41" s="412"/>
    </row>
    <row r="42" spans="1:15" s="415" customFormat="1" ht="15.75" hidden="1" customHeight="1">
      <c r="A42" s="1151" t="s">
        <v>17</v>
      </c>
      <c r="B42" s="833"/>
      <c r="C42" s="823"/>
      <c r="D42" s="823"/>
      <c r="E42" s="823"/>
      <c r="F42" s="823"/>
      <c r="G42" s="823"/>
      <c r="H42" s="823"/>
      <c r="I42" s="823"/>
      <c r="J42" s="1330">
        <f>B42+C42+D42+E42+F42+G42+H42+I42</f>
        <v>0</v>
      </c>
      <c r="K42" s="3796"/>
      <c r="L42" s="3801"/>
      <c r="M42" s="412"/>
    </row>
    <row r="43" spans="1:15" s="415" customFormat="1" ht="14.25" hidden="1" customHeight="1">
      <c r="A43" s="1101" t="s">
        <v>19</v>
      </c>
      <c r="B43" s="823">
        <f>+'Tab. 6A -Drogi'!E33</f>
        <v>0</v>
      </c>
      <c r="C43" s="823">
        <f>+'Tab. 6A -Drogi'!F33</f>
        <v>0</v>
      </c>
      <c r="D43" s="823">
        <f>+'Tab. 6A -Drogi'!G33</f>
        <v>0</v>
      </c>
      <c r="E43" s="823">
        <f>+'Tab. 6A -Drogi'!H33</f>
        <v>0</v>
      </c>
      <c r="F43" s="823">
        <f>+'Tab. 6A -Drogi'!I33</f>
        <v>0</v>
      </c>
      <c r="G43" s="823">
        <f>+'Tab. 6A -Drogi'!J33</f>
        <v>0</v>
      </c>
      <c r="H43" s="823">
        <f>+'Tab. 6A -Drogi'!K33</f>
        <v>0</v>
      </c>
      <c r="I43" s="823">
        <f>+'Tab. 6A -Drogi'!L33</f>
        <v>0</v>
      </c>
      <c r="J43" s="1330">
        <f>B43+C43+D43+E43+F43+G43+H43+I43</f>
        <v>0</v>
      </c>
      <c r="K43" s="3796"/>
      <c r="L43" s="3801"/>
      <c r="M43" s="412">
        <f>J43-J28</f>
        <v>0</v>
      </c>
    </row>
    <row r="44" spans="1:15" s="415" customFormat="1" ht="15.75" hidden="1" customHeight="1">
      <c r="A44" s="1101" t="s">
        <v>14</v>
      </c>
      <c r="B44" s="823">
        <f>+'Tab. 6G - Roln i ochrona środ.'!E30</f>
        <v>0</v>
      </c>
      <c r="C44" s="823">
        <f>+'Tab. 6G - Roln i ochrona środ.'!F30</f>
        <v>0</v>
      </c>
      <c r="D44" s="823">
        <f>+'Tab. 6G - Roln i ochrona środ.'!G30</f>
        <v>0</v>
      </c>
      <c r="E44" s="823">
        <f>+'Tab. 6G - Roln i ochrona środ.'!H30</f>
        <v>0</v>
      </c>
      <c r="F44" s="823">
        <f>+'Tab. 6G - Roln i ochrona środ.'!I30</f>
        <v>0</v>
      </c>
      <c r="G44" s="823">
        <f>+'Tab. 6G - Roln i ochrona środ.'!J30</f>
        <v>0</v>
      </c>
      <c r="H44" s="823">
        <f>+'Tab. 6G - Roln i ochrona środ.'!K30</f>
        <v>0</v>
      </c>
      <c r="I44" s="823">
        <f>+'Tab. 6G - Roln i ochrona środ.'!L30</f>
        <v>0</v>
      </c>
      <c r="J44" s="1330">
        <f>B44+C44+D44+E44+F44+G44+H44+I44</f>
        <v>0</v>
      </c>
      <c r="K44" s="3796"/>
      <c r="L44" s="3801"/>
      <c r="M44" s="412">
        <f>J44-J30</f>
        <v>0</v>
      </c>
    </row>
    <row r="45" spans="1:15" s="415" customFormat="1" ht="14.25" customHeight="1">
      <c r="A45" s="1101" t="s">
        <v>20</v>
      </c>
      <c r="B45" s="1152">
        <f>+'Tab. 6A -Drogi'!E31+'Tab. 6G - Roln i ochrona środ.'!E31+'Tab. 6D - Oświata'!E25+'Tab.6I - Planow. przestrz.'!E23+'Tab. 6B Polit społ i rozwój prz'!E22</f>
        <v>292115</v>
      </c>
      <c r="C45" s="1152">
        <f>+'Tab. 6A -Drogi'!F31+'Tab. 6G - Roln i ochrona środ.'!F31+'Tab. 6D - Oświata'!F25+'Tab.6I - Planow. przestrz.'!F23+'Tab. 6B Polit społ i rozwój prz'!F22</f>
        <v>696268</v>
      </c>
      <c r="D45" s="1152">
        <f>+'Tab. 6A -Drogi'!G31+'Tab. 6G - Roln i ochrona środ.'!G31+'Tab. 6D - Oświata'!G25+'Tab.6I - Planow. przestrz.'!G23+'Tab. 6B Polit społ i rozwój prz'!G22</f>
        <v>1231033</v>
      </c>
      <c r="E45" s="1152">
        <f>+'Tab. 6A -Drogi'!H31+'Tab. 6G - Roln i ochrona środ.'!H31+'Tab. 6D - Oświata'!H25+'Tab.6I - Planow. przestrz.'!H23+'Tab. 6B Polit społ i rozwój prz'!H22</f>
        <v>1164505</v>
      </c>
      <c r="F45" s="1152">
        <f>+'Tab. 6A -Drogi'!I31+'Tab. 6G - Roln i ochrona środ.'!I31+'Tab. 6D - Oświata'!I25+'Tab.6I - Planow. przestrz.'!I23+'Tab. 6B Polit społ i rozwój prz'!I22</f>
        <v>376410</v>
      </c>
      <c r="G45" s="1152">
        <f>+'Tab. 6A -Drogi'!J31+'Tab. 6G - Roln i ochrona środ.'!J31+'Tab. 6D - Oświata'!J25+'Tab.6I - Planow. przestrz.'!J23+'Tab. 6B Polit społ i rozwój prz'!J22</f>
        <v>82015</v>
      </c>
      <c r="H45" s="1152">
        <f>+'Tab. 6A -Drogi'!K31+'Tab. 6G - Roln i ochrona środ.'!K31+'Tab. 6D - Oświata'!K25+'Tab.6I - Planow. przestrz.'!K23+'Tab. 6B Polit społ i rozwój prz'!K22</f>
        <v>0</v>
      </c>
      <c r="I45" s="1152">
        <f>+'Tab. 6A -Drogi'!L31+'Tab. 6G - Roln i ochrona środ.'!L31+'Tab. 6D - Oświata'!L25+'Tab.6I - Planow. przestrz.'!L23+'Tab. 6B Polit społ i rozwój prz'!L22</f>
        <v>0</v>
      </c>
      <c r="J45" s="1330">
        <f>B45+C45+D45+E45+F45+G45+H45+I45</f>
        <v>3842346</v>
      </c>
      <c r="K45" s="3796"/>
      <c r="L45" s="3801"/>
      <c r="M45" s="1565">
        <f>J45-J29-J27</f>
        <v>0</v>
      </c>
      <c r="N45" s="1566" t="s">
        <v>493</v>
      </c>
    </row>
    <row r="46" spans="1:15" s="415" customFormat="1" ht="15.75" customHeight="1" thickBot="1">
      <c r="A46" s="854" t="s">
        <v>21</v>
      </c>
      <c r="B46" s="1153">
        <f>+'Tab. 6B Polit społ i rozwój prz'!E23+'Tab. 6A -Drogi'!E32+'Tab. 6E - Administracja'!E25+'Tab. 6G - Roln i ochrona środ.'!E29+'Tab. 6H - Kultura fiz. i turyst'!E23+'Tab.6I - Planow. przestrz.'!E22</f>
        <v>56644743</v>
      </c>
      <c r="C46" s="1154">
        <f>+'Tab. 6B Polit społ i rozwój prz'!F23+'Tab. 6A -Drogi'!F32+'Tab. 6E - Administracja'!F25+'Tab. 6G - Roln i ochrona środ.'!F29+'Tab. 6H - Kultura fiz. i turyst'!F23+'Tab.6I - Planow. przestrz.'!F22</f>
        <v>216494376</v>
      </c>
      <c r="D46" s="1154">
        <f>+'Tab. 6B Polit społ i rozwój prz'!G23+'Tab. 6A -Drogi'!G32+'Tab. 6E - Administracja'!G25+'Tab. 6G - Roln i ochrona środ.'!G29+'Tab. 6H - Kultura fiz. i turyst'!G23+'Tab.6I - Planow. przestrz.'!G22+'Tab. 6D - Oświata'!G24</f>
        <v>483533444</v>
      </c>
      <c r="E46" s="1154">
        <f>+'Tab. 6B Polit społ i rozwój prz'!H23+'Tab. 6A -Drogi'!H32+'Tab. 6E - Administracja'!H25+'Tab. 6G - Roln i ochrona środ.'!H29+'Tab. 6H - Kultura fiz. i turyst'!H23+'Tab.6I - Planow. przestrz.'!H22+'Tab. 6D - Oświata'!H24</f>
        <v>189557837</v>
      </c>
      <c r="F46" s="1154">
        <f>+'Tab. 6B Polit społ i rozwój prz'!I23+'Tab. 6A -Drogi'!I32+'Tab. 6E - Administracja'!I25+'Tab. 6G - Roln i ochrona środ.'!I29+'Tab. 6H - Kultura fiz. i turyst'!I23+'Tab.6I - Planow. przestrz.'!I22</f>
        <v>92190005</v>
      </c>
      <c r="G46" s="1154">
        <f>+'Tab. 6B Polit społ i rozwój prz'!J23+'Tab. 6A -Drogi'!J32+'Tab. 6E - Administracja'!J25+'Tab. 6G - Roln i ochrona środ.'!J29+'Tab. 6H - Kultura fiz. i turyst'!J23+'Tab.6I - Planow. przestrz.'!J22</f>
        <v>41579772</v>
      </c>
      <c r="H46" s="1154">
        <f>+'Tab. 6B Polit społ i rozwój prz'!K23+'Tab. 6A -Drogi'!K32+'Tab. 6E - Administracja'!K25+'Tab. 6G - Roln i ochrona środ.'!K29+'Tab. 6H - Kultura fiz. i turyst'!K23+'Tab.6I - Planow. przestrz.'!K22</f>
        <v>33459818</v>
      </c>
      <c r="I46" s="1154">
        <f>+'Tab. 6B Polit społ i rozwój prz'!L23+'Tab. 6A -Drogi'!L32+'Tab. 6E - Administracja'!L25+'Tab. 6G - Roln i ochrona środ.'!L29+'Tab. 6H - Kultura fiz. i turyst'!L23+'Tab.6I - Planow. przestrz.'!L22</f>
        <v>31574788</v>
      </c>
      <c r="J46" s="1334">
        <f>B46+C46+D46+E46+F46+G46+H46+I46+5028154+11590+2055406+299481</f>
        <v>1152429414</v>
      </c>
      <c r="K46" s="3797"/>
      <c r="L46" s="3802"/>
      <c r="M46" s="412">
        <f>J46-J31</f>
        <v>0</v>
      </c>
      <c r="N46" s="832"/>
    </row>
    <row r="47" spans="1:15" s="415" customFormat="1" ht="21" customHeight="1" thickBot="1">
      <c r="A47" s="813"/>
      <c r="B47" s="814"/>
      <c r="C47" s="814"/>
      <c r="D47" s="814"/>
      <c r="E47" s="814"/>
      <c r="F47" s="814"/>
      <c r="G47" s="814"/>
      <c r="H47" s="814"/>
      <c r="I47" s="814"/>
      <c r="J47" s="814"/>
      <c r="K47" s="836"/>
      <c r="L47" s="836"/>
      <c r="M47" s="412"/>
    </row>
    <row r="48" spans="1:15" s="817" customFormat="1" ht="18.75" customHeight="1" thickBot="1">
      <c r="A48" s="837" t="s">
        <v>27</v>
      </c>
      <c r="B48" s="838">
        <f>+B16-B25</f>
        <v>93115314.299999997</v>
      </c>
      <c r="C48" s="838">
        <f t="shared" ref="C48:I48" si="20">+C16-C25</f>
        <v>270710944</v>
      </c>
      <c r="D48" s="838">
        <f t="shared" si="20"/>
        <v>585964621</v>
      </c>
      <c r="E48" s="838">
        <f t="shared" si="20"/>
        <v>243838535</v>
      </c>
      <c r="F48" s="838">
        <f t="shared" si="20"/>
        <v>114773517</v>
      </c>
      <c r="G48" s="838">
        <f t="shared" si="20"/>
        <v>43542043</v>
      </c>
      <c r="H48" s="838">
        <f t="shared" si="20"/>
        <v>38876530</v>
      </c>
      <c r="I48" s="838">
        <f t="shared" si="20"/>
        <v>36217179</v>
      </c>
      <c r="J48" s="1335">
        <f>+J16-J25</f>
        <v>1427038683.3</v>
      </c>
      <c r="K48" s="1340">
        <f>+C48+D48+E48+F48+G48+H48+I48</f>
        <v>1333923369</v>
      </c>
      <c r="L48" s="839">
        <f>+D48+E48+F48+G48+H48+I48</f>
        <v>1063212425</v>
      </c>
      <c r="M48" s="840">
        <f>B48+C48+D48+E48+F48+G48+H48+I48</f>
        <v>1427038683.3</v>
      </c>
      <c r="N48" s="841">
        <f>M48-J48</f>
        <v>0</v>
      </c>
      <c r="O48" s="841"/>
    </row>
    <row r="49" spans="1:15" s="817" customFormat="1" ht="16.5" customHeight="1" thickBot="1">
      <c r="A49" s="837" t="s">
        <v>28</v>
      </c>
      <c r="B49" s="842">
        <f>+B32</f>
        <v>69363530</v>
      </c>
      <c r="C49" s="842">
        <f>+C32</f>
        <v>221065960</v>
      </c>
      <c r="D49" s="842">
        <f>+D32</f>
        <v>502416037</v>
      </c>
      <c r="E49" s="842">
        <f t="shared" ref="E49:I49" si="21">+E32</f>
        <v>195317790</v>
      </c>
      <c r="F49" s="842">
        <f t="shared" si="21"/>
        <v>96350025</v>
      </c>
      <c r="G49" s="842">
        <f t="shared" si="21"/>
        <v>42764544</v>
      </c>
      <c r="H49" s="842">
        <f t="shared" si="21"/>
        <v>34126130</v>
      </c>
      <c r="I49" s="842">
        <f t="shared" si="21"/>
        <v>32142634</v>
      </c>
      <c r="J49" s="1336">
        <f>+J32</f>
        <v>1200941281</v>
      </c>
      <c r="K49" s="1341" t="s">
        <v>23</v>
      </c>
      <c r="L49" s="843" t="s">
        <v>23</v>
      </c>
      <c r="M49" s="840">
        <v>105067692</v>
      </c>
      <c r="N49" s="841" t="s">
        <v>258</v>
      </c>
    </row>
    <row r="50" spans="1:15" s="415" customFormat="1" ht="18.75" hidden="1" customHeight="1">
      <c r="A50" s="844"/>
      <c r="B50" s="814">
        <f>'Tab. 6A -Drogi'!E16+'Tab. 6E - Administracja'!E16+'Tab. 6G - Roln i ochrona środ.'!E15</f>
        <v>0</v>
      </c>
      <c r="C50" s="814"/>
      <c r="D50" s="814"/>
      <c r="E50" s="814"/>
      <c r="F50" s="814"/>
      <c r="G50" s="814"/>
      <c r="H50" s="814"/>
      <c r="I50" s="814"/>
      <c r="J50" s="836"/>
      <c r="K50" s="832"/>
      <c r="L50" s="832"/>
      <c r="M50" s="832">
        <f>M49+M48</f>
        <v>1532106375.3</v>
      </c>
      <c r="N50" s="832">
        <f>J48-M50</f>
        <v>-105067692</v>
      </c>
    </row>
    <row r="51" spans="1:15" s="415" customFormat="1" ht="12.75" hidden="1" customHeight="1">
      <c r="A51" s="814"/>
      <c r="B51" s="814">
        <f>'Tab. 6A -Drogi'!E32+'Tab. 6B Polit społ i rozwój prz'!E23+'Tab. 6E - Administracja'!E25+'Tab. 6H - Kultura fiz. i turyst'!E23+'Tab.6I - Planow. przestrz.'!E22+'Tab. 6G - Roln i ochrona środ.'!E29</f>
        <v>56644743</v>
      </c>
      <c r="C51" s="814">
        <f>'Tab. 6A -Drogi'!F32+'Tab. 6B Polit społ i rozwój prz'!F23+'Tab. 6E - Administracja'!F25+'Tab. 6H - Kultura fiz. i turyst'!F23+'Tab.6I - Planow. przestrz.'!F22+'Tab. 6G - Roln i ochrona środ.'!F29</f>
        <v>216494376</v>
      </c>
      <c r="D51" s="814">
        <f>'Tab. 6A -Drogi'!G32+'Tab. 6B Polit społ i rozwój prz'!G23+'Tab. 6E - Administracja'!G25+'Tab. 6H - Kultura fiz. i turyst'!G23+'Tab.6I - Planow. przestrz.'!G22+'Tab. 6G - Roln i ochrona środ.'!G29</f>
        <v>483344160</v>
      </c>
      <c r="E51" s="814">
        <f>'Tab. 6A -Drogi'!H32+'Tab. 6B Polit społ i rozwój prz'!H23+'Tab. 6E - Administracja'!H25+'Tab. 6H - Kultura fiz. i turyst'!H23+'Tab.6I - Planow. przestrz.'!H22+'Tab. 6G - Roln i ochrona środ.'!H29</f>
        <v>189536421</v>
      </c>
      <c r="F51" s="814">
        <f>'Tab. 6A -Drogi'!I32+'Tab. 6B Polit społ i rozwój prz'!I23+'Tab. 6E - Administracja'!I25+'Tab. 6H - Kultura fiz. i turyst'!I23+'Tab.6I - Planow. przestrz.'!I22+'Tab. 6G - Roln i ochrona środ.'!I29</f>
        <v>92190005</v>
      </c>
      <c r="G51" s="814">
        <f>'Tab. 6A -Drogi'!J32+'Tab. 6B Polit społ i rozwój prz'!J23+'Tab. 6E - Administracja'!J25+'Tab. 6H - Kultura fiz. i turyst'!J23+'Tab.6I - Planow. przestrz.'!J22+'Tab. 6G - Roln i ochrona środ.'!J29</f>
        <v>41579772</v>
      </c>
      <c r="H51" s="814">
        <f>'Tab. 6A -Drogi'!K32+'Tab. 6B Polit społ i rozwój prz'!K23+'Tab. 6E - Administracja'!K25+'Tab. 6H - Kultura fiz. i turyst'!K23+'Tab.6I - Planow. przestrz.'!K22+'Tab. 6G - Roln i ochrona środ.'!K29</f>
        <v>33459818</v>
      </c>
      <c r="I51" s="814">
        <f>'Tab. 6A -Drogi'!L32+'Tab. 6B Polit społ i rozwój prz'!L23+'Tab. 6E - Administracja'!L25+'Tab. 6H - Kultura fiz. i turyst'!L23+'Tab.6I - Planow. przestrz.'!L22+'Tab. 6G - Roln i ochrona środ.'!L29</f>
        <v>31574788</v>
      </c>
      <c r="J51" s="814" t="e">
        <f>B51+#REF!+#REF!+C51+D51+E51+F51+G51+H51+I51</f>
        <v>#REF!</v>
      </c>
      <c r="K51" s="412"/>
      <c r="L51" s="412"/>
      <c r="M51" s="412"/>
    </row>
    <row r="52" spans="1:15" s="415" customFormat="1" hidden="1">
      <c r="A52" s="845"/>
      <c r="B52" s="814">
        <f>B46-B51</f>
        <v>0</v>
      </c>
      <c r="C52" s="814">
        <f t="shared" ref="C52:I52" si="22">C46-C51</f>
        <v>0</v>
      </c>
      <c r="D52" s="814">
        <f t="shared" si="22"/>
        <v>189284</v>
      </c>
      <c r="E52" s="814">
        <f t="shared" si="22"/>
        <v>21416</v>
      </c>
      <c r="F52" s="814">
        <f t="shared" si="22"/>
        <v>0</v>
      </c>
      <c r="G52" s="814">
        <f t="shared" si="22"/>
        <v>0</v>
      </c>
      <c r="H52" s="814">
        <f t="shared" si="22"/>
        <v>0</v>
      </c>
      <c r="I52" s="814">
        <f t="shared" si="22"/>
        <v>0</v>
      </c>
      <c r="J52" s="814"/>
      <c r="K52" s="412"/>
      <c r="L52" s="412"/>
      <c r="M52" s="412"/>
    </row>
    <row r="53" spans="1:15" s="415" customFormat="1">
      <c r="A53" s="844"/>
      <c r="B53" s="814"/>
      <c r="C53" s="814"/>
      <c r="D53" s="814"/>
      <c r="E53" s="814"/>
      <c r="F53" s="814"/>
      <c r="G53" s="814"/>
      <c r="H53" s="814"/>
      <c r="I53" s="814"/>
      <c r="J53" s="836"/>
      <c r="K53" s="412"/>
      <c r="L53" s="412"/>
      <c r="M53" s="412"/>
    </row>
    <row r="54" spans="1:15" ht="31.5" customHeight="1" thickBot="1">
      <c r="A54" s="3785" t="s">
        <v>29</v>
      </c>
      <c r="B54" s="3785"/>
      <c r="C54" s="3785"/>
      <c r="D54" s="3785"/>
      <c r="E54" s="3785"/>
      <c r="F54" s="3785"/>
      <c r="G54" s="3785"/>
      <c r="H54" s="3785"/>
      <c r="I54" s="3785"/>
      <c r="J54" s="3785"/>
      <c r="K54" s="846"/>
      <c r="L54" s="846"/>
    </row>
    <row r="55" spans="1:15" s="783" customFormat="1" ht="34.5" customHeight="1">
      <c r="A55" s="789"/>
      <c r="B55" s="3783" t="s">
        <v>269</v>
      </c>
      <c r="C55" s="3790" t="s">
        <v>626</v>
      </c>
      <c r="D55" s="3786" t="s">
        <v>551</v>
      </c>
      <c r="E55" s="3786"/>
      <c r="F55" s="3786"/>
      <c r="G55" s="3786"/>
      <c r="H55" s="3786"/>
      <c r="I55" s="3787"/>
      <c r="J55" s="3780" t="s">
        <v>3</v>
      </c>
      <c r="K55" s="3798" t="s">
        <v>571</v>
      </c>
      <c r="L55" s="3798" t="s">
        <v>552</v>
      </c>
    </row>
    <row r="56" spans="1:15" ht="19.5" customHeight="1">
      <c r="A56" s="791" t="s">
        <v>4</v>
      </c>
      <c r="B56" s="3784"/>
      <c r="C56" s="3791"/>
      <c r="D56" s="3788"/>
      <c r="E56" s="3788"/>
      <c r="F56" s="3788"/>
      <c r="G56" s="3788"/>
      <c r="H56" s="3788"/>
      <c r="I56" s="3789"/>
      <c r="J56" s="3781"/>
      <c r="K56" s="3799"/>
      <c r="L56" s="3799"/>
    </row>
    <row r="57" spans="1:15" ht="24" customHeight="1" thickBot="1">
      <c r="A57" s="791"/>
      <c r="B57" s="792" t="s">
        <v>533</v>
      </c>
      <c r="C57" s="3792"/>
      <c r="D57" s="793" t="s">
        <v>6</v>
      </c>
      <c r="E57" s="793" t="s">
        <v>214</v>
      </c>
      <c r="F57" s="793" t="s">
        <v>216</v>
      </c>
      <c r="G57" s="793" t="s">
        <v>260</v>
      </c>
      <c r="H57" s="793" t="s">
        <v>261</v>
      </c>
      <c r="I57" s="794" t="s">
        <v>259</v>
      </c>
      <c r="J57" s="3782"/>
      <c r="K57" s="3799"/>
      <c r="L57" s="3799"/>
    </row>
    <row r="58" spans="1:15" ht="13.5" customHeight="1" thickBot="1">
      <c r="A58" s="796">
        <v>1</v>
      </c>
      <c r="B58" s="797">
        <v>2</v>
      </c>
      <c r="C58" s="798">
        <v>3</v>
      </c>
      <c r="D58" s="797">
        <v>4</v>
      </c>
      <c r="E58" s="799">
        <v>5</v>
      </c>
      <c r="F58" s="800">
        <v>6</v>
      </c>
      <c r="G58" s="801">
        <v>7</v>
      </c>
      <c r="H58" s="797">
        <v>8</v>
      </c>
      <c r="I58" s="801">
        <v>9</v>
      </c>
      <c r="J58" s="1324">
        <v>10</v>
      </c>
      <c r="K58" s="802">
        <v>12</v>
      </c>
      <c r="L58" s="802">
        <v>11</v>
      </c>
    </row>
    <row r="59" spans="1:15" ht="18.75" customHeight="1">
      <c r="A59" s="803" t="s">
        <v>7</v>
      </c>
      <c r="B59" s="804">
        <f>+B60+B61</f>
        <v>403555949</v>
      </c>
      <c r="C59" s="804">
        <f t="shared" ref="C59:L59" si="23">+C60+C61</f>
        <v>181271310</v>
      </c>
      <c r="D59" s="804">
        <f t="shared" si="23"/>
        <v>234880109</v>
      </c>
      <c r="E59" s="804">
        <f>+E60+E61</f>
        <v>262946721</v>
      </c>
      <c r="F59" s="804">
        <f>+F60+F61</f>
        <v>213553938</v>
      </c>
      <c r="G59" s="804">
        <f>+G60+G61</f>
        <v>26124622</v>
      </c>
      <c r="H59" s="804">
        <f>+H60+H61</f>
        <v>6671797</v>
      </c>
      <c r="I59" s="804">
        <f>+I60+I61</f>
        <v>4270868</v>
      </c>
      <c r="J59" s="1342">
        <f t="shared" si="23"/>
        <v>1367582761</v>
      </c>
      <c r="K59" s="805">
        <f t="shared" ref="K59" si="24">+K60+K61</f>
        <v>964026812</v>
      </c>
      <c r="L59" s="805">
        <f t="shared" si="23"/>
        <v>782755502</v>
      </c>
      <c r="M59" s="401">
        <f>+L63-L59</f>
        <v>0</v>
      </c>
      <c r="N59" s="413">
        <f>+C59+D59+E59+F59+G59+H59+I59+B59+'Tab. 6C - Ochrona zdrowia'!P51+'Tab. 6C - Ochrona zdrowia'!P56</f>
        <v>1367582761</v>
      </c>
      <c r="O59" s="414">
        <f>J59-N59</f>
        <v>0</v>
      </c>
    </row>
    <row r="60" spans="1:15" s="807" customFormat="1" ht="15" customHeight="1">
      <c r="A60" s="808" t="s">
        <v>430</v>
      </c>
      <c r="B60" s="809">
        <f>'Tab. 6A -Drogi'!E512+'Tab. 6C - Ochrona zdrowia'!E11+'Tab. 6D - Oświata'!E94+'Tab. 6E - Administracja'!E239+'Tab. 6F - Kultura'!E8+'Tab. 6G - Roln i ochrona środ.'!E106+'Tab. 6H - Kultura fiz. i turyst'!E232+'Tab.6I - Planow. przestrz.'!E84</f>
        <v>362255011</v>
      </c>
      <c r="C60" s="809">
        <f>'Tab. 6A -Drogi'!F512+'Tab. 6C - Ochrona zdrowia'!F11+'Tab. 6D - Oświata'!F94+'Tab. 6E - Administracja'!F239+'Tab. 6F - Kultura'!F8+'Tab. 6G - Roln i ochrona środ.'!F106+'Tab. 6H - Kultura fiz. i turyst'!F232+'Tab.6I - Planow. przestrz.'!F84</f>
        <v>138684748</v>
      </c>
      <c r="D60" s="809">
        <f>'Tab. 6A -Drogi'!G512+'Tab. 6C - Ochrona zdrowia'!G11+'Tab. 6D - Oświata'!G94+'Tab. 6E - Administracja'!G239+'Tab. 6F - Kultura'!G8+'Tab. 6G - Roln i ochrona środ.'!G106+'Tab. 6H - Kultura fiz. i turyst'!G232+'Tab.6I - Planow. przestrz.'!G84</f>
        <v>173488240</v>
      </c>
      <c r="E60" s="809">
        <f>'Tab. 6A -Drogi'!H512+'Tab. 6C - Ochrona zdrowia'!H11+'Tab. 6D - Oświata'!H94+'Tab. 6E - Administracja'!H239+'Tab. 6F - Kultura'!H8+'Tab. 6G - Roln i ochrona środ.'!H106+'Tab. 6H - Kultura fiz. i turyst'!H232+'Tab.6I - Planow. przestrz.'!H84</f>
        <v>156781795</v>
      </c>
      <c r="F60" s="809">
        <f>'Tab. 6A -Drogi'!I512+'Tab. 6C - Ochrona zdrowia'!I11+'Tab. 6D - Oświata'!I94+'Tab. 6E - Administracja'!I239+'Tab. 6F - Kultura'!I8+'Tab. 6G - Roln i ochrona środ.'!I106+'Tab. 6H - Kultura fiz. i turyst'!I232+'Tab.6I - Planow. przestrz.'!I84</f>
        <v>150415631</v>
      </c>
      <c r="G60" s="809">
        <f>'Tab. 6A -Drogi'!J512+'Tab. 6C - Ochrona zdrowia'!J11+'Tab. 6D - Oświata'!J94+'Tab. 6E - Administracja'!J239+'Tab. 6F - Kultura'!J8+'Tab. 6G - Roln i ochrona środ.'!J106+'Tab. 6H - Kultura fiz. i turyst'!J232+'Tab.6I - Planow. przestrz.'!J84</f>
        <v>9268402</v>
      </c>
      <c r="H60" s="809">
        <f>'Tab. 6A -Drogi'!K512+'Tab. 6C - Ochrona zdrowia'!K11+'Tab. 6D - Oświata'!K94+'Tab. 6E - Administracja'!K239+'Tab. 6F - Kultura'!K8+'Tab. 6G - Roln i ochrona środ.'!K106+'Tab. 6H - Kultura fiz. i turyst'!K232+'Tab.6I - Planow. przestrz.'!K84</f>
        <v>5199552</v>
      </c>
      <c r="I60" s="809">
        <f>'Tab. 6A -Drogi'!L512+'Tab. 6C - Ochrona zdrowia'!L11+'Tab. 6D - Oświata'!L94+'Tab. 6E - Administracja'!L239+'Tab. 6F - Kultura'!L8+'Tab. 6G - Roln i ochrona środ.'!L106+'Tab. 6H - Kultura fiz. i turyst'!L232+'Tab.6I - Planow. przestrz.'!L84</f>
        <v>4270868</v>
      </c>
      <c r="J60" s="1343">
        <f>'Tab. 6A -Drogi'!D512+'Tab. 6C - Ochrona zdrowia'!D11+'Tab. 6D - Oświata'!D94+'Tab. 6E - Administracja'!D239+'Tab. 6F - Kultura'!D8+'Tab. 6G - Roln i ochrona środ.'!D106+'Tab. 6H - Kultura fiz. i turyst'!D232+'Tab.6I - Planow. przestrz.'!D84</f>
        <v>1034671694</v>
      </c>
      <c r="K60" s="1039">
        <f>SUM(C60:I60)+'Tab. 6C - Ochrona zdrowia'!P51+'Tab. 6C - Ochrona zdrowia'!P56</f>
        <v>672416683</v>
      </c>
      <c r="L60" s="1039">
        <f>SUM(D60:I60)+'Tab. 6C - Ochrona zdrowia'!P51+'Tab. 6C - Ochrona zdrowia'!P56</f>
        <v>533731935</v>
      </c>
      <c r="M60" s="212"/>
      <c r="N60" s="413">
        <f>+C60+D60+E60+F60+G60+H60+I60+B60+'Tab. 6C - Ochrona zdrowia'!P51+'Tab. 6C - Ochrona zdrowia'!P56</f>
        <v>1034671694</v>
      </c>
      <c r="O60" s="414">
        <f t="shared" ref="O60:O74" si="25">J60-N60</f>
        <v>0</v>
      </c>
    </row>
    <row r="61" spans="1:15" ht="14.25" customHeight="1" thickBot="1">
      <c r="A61" s="847" t="s">
        <v>30</v>
      </c>
      <c r="B61" s="848">
        <f>'Tab. 6A -Drogi'!E513+'Tab. 6C - Ochrona zdrowia'!E12+'Tab. 6D - Oświata'!E95+'Tab. 6E - Administracja'!E240+'Tab. 6F - Kultura'!E9+'Tab. 6G - Roln i ochrona środ.'!E107</f>
        <v>41300938</v>
      </c>
      <c r="C61" s="848">
        <f>'Tab. 6A -Drogi'!F513+'Tab. 6C - Ochrona zdrowia'!F12+'Tab. 6D - Oświata'!F95+'Tab. 6E - Administracja'!F240+'Tab. 6F - Kultura'!F9+'Tab. 6G - Roln i ochrona środ.'!F107</f>
        <v>42586562</v>
      </c>
      <c r="D61" s="848">
        <f>'Tab. 6A -Drogi'!G513+'Tab. 6C - Ochrona zdrowia'!G12+'Tab. 6D - Oświata'!G95+'Tab. 6E - Administracja'!G240+'Tab. 6F - Kultura'!G9+'Tab. 6G - Roln i ochrona środ.'!G107</f>
        <v>61391869</v>
      </c>
      <c r="E61" s="848">
        <f>'Tab. 6A -Drogi'!H513+'Tab. 6C - Ochrona zdrowia'!H12+'Tab. 6D - Oświata'!H95+'Tab. 6E - Administracja'!H240+'Tab. 6F - Kultura'!H9+'Tab. 6G - Roln i ochrona środ.'!H107</f>
        <v>106164926</v>
      </c>
      <c r="F61" s="848">
        <f>'Tab. 6A -Drogi'!I513+'Tab. 6C - Ochrona zdrowia'!I12+'Tab. 6D - Oświata'!I95+'Tab. 6E - Administracja'!I240+'Tab. 6F - Kultura'!I9+'Tab. 6G - Roln i ochrona środ.'!I107</f>
        <v>63138307</v>
      </c>
      <c r="G61" s="848">
        <f>'Tab. 6A -Drogi'!J513+'Tab. 6C - Ochrona zdrowia'!J12+'Tab. 6D - Oświata'!J95+'Tab. 6E - Administracja'!J240+'Tab. 6F - Kultura'!J9+'Tab. 6G - Roln i ochrona środ.'!J107</f>
        <v>16856220</v>
      </c>
      <c r="H61" s="848">
        <f>'Tab. 6A -Drogi'!K513+'Tab. 6C - Ochrona zdrowia'!K12+'Tab. 6D - Oświata'!K95+'Tab. 6E - Administracja'!K240+'Tab. 6F - Kultura'!K9+'Tab. 6G - Roln i ochrona środ.'!K107</f>
        <v>1472245</v>
      </c>
      <c r="I61" s="848">
        <f>'Tab. 6A -Drogi'!L513+'Tab. 6C - Ochrona zdrowia'!L12+'Tab. 6D - Oświata'!L95+'Tab. 6E - Administracja'!L240+'Tab. 6F - Kultura'!L9+'Tab. 6G - Roln i ochrona środ.'!L107</f>
        <v>0</v>
      </c>
      <c r="J61" s="1344">
        <f>'Tab. 6A -Drogi'!D513+'Tab. 6C - Ochrona zdrowia'!D12+'Tab. 6D - Oświata'!D95+'Tab. 6E - Administracja'!D240+'Tab. 6F - Kultura'!D9+'Tab. 6G - Roln i ochrona środ.'!D107</f>
        <v>332911067</v>
      </c>
      <c r="K61" s="1040">
        <f>SUM(C61:I61)</f>
        <v>291610129</v>
      </c>
      <c r="L61" s="1040">
        <f>SUM(D61:I61)</f>
        <v>249023567</v>
      </c>
      <c r="M61" s="212"/>
      <c r="N61" s="413">
        <f>+C61+D61+E61+F61+G61+H61+I61+B61</f>
        <v>332911067</v>
      </c>
      <c r="O61" s="414">
        <f t="shared" si="25"/>
        <v>0</v>
      </c>
    </row>
    <row r="62" spans="1:15" s="415" customFormat="1" ht="4.5" customHeight="1">
      <c r="A62" s="813"/>
      <c r="B62" s="814"/>
      <c r="C62" s="814"/>
      <c r="D62" s="835"/>
      <c r="E62" s="814"/>
      <c r="F62" s="814"/>
      <c r="G62" s="814"/>
      <c r="H62" s="814"/>
      <c r="I62" s="814"/>
      <c r="J62" s="836"/>
      <c r="K62" s="1349"/>
      <c r="L62" s="1349"/>
      <c r="M62" s="412"/>
      <c r="N62" s="413"/>
      <c r="O62" s="414"/>
    </row>
    <row r="63" spans="1:15" s="830" customFormat="1" ht="18" customHeight="1">
      <c r="A63" s="815" t="s">
        <v>10</v>
      </c>
      <c r="B63" s="816">
        <f>+B64+B73</f>
        <v>405874248.63999999</v>
      </c>
      <c r="C63" s="816">
        <f t="shared" ref="C63:J63" si="26">+C64+C73</f>
        <v>182672556</v>
      </c>
      <c r="D63" s="816">
        <f t="shared" si="26"/>
        <v>241785864</v>
      </c>
      <c r="E63" s="816">
        <f>+E64+E73</f>
        <v>295309679</v>
      </c>
      <c r="F63" s="816">
        <f>+F64+F73</f>
        <v>260208258</v>
      </c>
      <c r="G63" s="816">
        <f>+G64+G73</f>
        <v>42465029</v>
      </c>
      <c r="H63" s="816">
        <f>+H64+H73</f>
        <v>16764297</v>
      </c>
      <c r="I63" s="816">
        <f>+I64+I73</f>
        <v>4270868</v>
      </c>
      <c r="J63" s="1328">
        <f t="shared" si="26"/>
        <v>1483658246.6400001</v>
      </c>
      <c r="K63" s="1338">
        <f>+K64</f>
        <v>964026812</v>
      </c>
      <c r="L63" s="1338">
        <f>+L64</f>
        <v>782755502</v>
      </c>
      <c r="M63" s="840"/>
      <c r="N63" s="413">
        <f>+C63+D63+E63+F63+G63+H63+I63+B63+'Tab. 6C - Ochrona zdrowia'!P51+'Tab. 6C - Ochrona zdrowia'!P56</f>
        <v>1483658246.6399999</v>
      </c>
      <c r="O63" s="414">
        <f t="shared" si="25"/>
        <v>0</v>
      </c>
    </row>
    <row r="64" spans="1:15" s="821" customFormat="1" ht="18" customHeight="1">
      <c r="A64" s="818" t="s">
        <v>11</v>
      </c>
      <c r="B64" s="849">
        <f t="shared" ref="B64" si="27">SUM(B65:B72)</f>
        <v>405349348.63999999</v>
      </c>
      <c r="C64" s="849">
        <f t="shared" ref="C64:J64" si="28">SUM(C65:C72)</f>
        <v>182625551</v>
      </c>
      <c r="D64" s="849">
        <f t="shared" si="28"/>
        <v>234949766</v>
      </c>
      <c r="E64" s="849">
        <f>SUM(E65:E72)</f>
        <v>262986721</v>
      </c>
      <c r="F64" s="849">
        <f t="shared" si="28"/>
        <v>213553938</v>
      </c>
      <c r="G64" s="849">
        <f>SUM(G65:G72)</f>
        <v>26124622</v>
      </c>
      <c r="H64" s="849">
        <f>SUM(H65:H72)</f>
        <v>6671797</v>
      </c>
      <c r="I64" s="849">
        <f>SUM(I65:I72)</f>
        <v>4270868</v>
      </c>
      <c r="J64" s="1345">
        <f t="shared" si="28"/>
        <v>1370840058.6400001</v>
      </c>
      <c r="K64" s="1350">
        <f>SUM(K65:K72)</f>
        <v>964026812</v>
      </c>
      <c r="L64" s="1350">
        <f>SUM(L65:L72)</f>
        <v>782755502</v>
      </c>
      <c r="M64" s="412"/>
      <c r="N64" s="413">
        <f>+C64+D64+E64+F64+G64+H64+I64+B64+'Tab. 6C - Ochrona zdrowia'!P51+'Tab. 6C - Ochrona zdrowia'!P56</f>
        <v>1370840058.6399999</v>
      </c>
      <c r="O64" s="414">
        <f t="shared" si="25"/>
        <v>0</v>
      </c>
    </row>
    <row r="65" spans="1:15" s="415" customFormat="1" ht="16.5" customHeight="1">
      <c r="A65" s="822" t="s">
        <v>31</v>
      </c>
      <c r="B65" s="418">
        <f>+'Tab. 6D - Oświata'!E100+'Tab. 6A -Drogi'!E516+'Tab. 6E - Administracja'!E243+'Tab. 6C - Ochrona zdrowia'!E15+'Tab.6I - Planow. przestrz.'!E88+'Tab. 6G - Roln i ochrona środ.'!E110+'Tab. 6H - Kultura fiz. i turyst'!E236</f>
        <v>390644817</v>
      </c>
      <c r="C65" s="418">
        <f>+'Tab. 6D - Oświata'!F100+'Tab. 6A -Drogi'!F516+'Tab. 6E - Administracja'!F243+'Tab. 6C - Ochrona zdrowia'!F15+'Tab.6I - Planow. przestrz.'!F88+'Tab. 6G - Roln i ochrona środ.'!F110+'Tab. 6H - Kultura fiz. i turyst'!F236</f>
        <v>135966751</v>
      </c>
      <c r="D65" s="418">
        <f>+'Tab. 6D - Oświata'!G100+'Tab. 6A -Drogi'!G516+'Tab. 6E - Administracja'!G243+'Tab. 6C - Ochrona zdrowia'!G15+'Tab.6I - Planow. przestrz.'!G88+'Tab. 6G - Roln i ochrona środ.'!G110+'Tab. 6H - Kultura fiz. i turyst'!G236</f>
        <v>187175052</v>
      </c>
      <c r="E65" s="418">
        <f>+'Tab. 6D - Oświata'!H100+'Tab. 6A -Drogi'!H516+'Tab. 6E - Administracja'!H243+'Tab. 6C - Ochrona zdrowia'!H15+'Tab.6I - Planow. przestrz.'!H88+'Tab. 6G - Roln i ochrona środ.'!H110+'Tab. 6H - Kultura fiz. i turyst'!H236</f>
        <v>184821020</v>
      </c>
      <c r="F65" s="418">
        <f>+'Tab. 6D - Oświata'!I100+'Tab. 6A -Drogi'!I516+'Tab. 6E - Administracja'!I243+'Tab. 6C - Ochrona zdrowia'!I15+'Tab.6I - Planow. przestrz.'!I88+'Tab. 6G - Roln i ochrona środ.'!I110+'Tab. 6H - Kultura fiz. i turyst'!I236</f>
        <v>170888510</v>
      </c>
      <c r="G65" s="418">
        <f>+'Tab. 6D - Oświata'!J100+'Tab. 6A -Drogi'!J516+'Tab. 6E - Administracja'!J243+'Tab. 6C - Ochrona zdrowia'!J15+'Tab.6I - Planow. przestrz.'!J88+'Tab. 6G - Roln i ochrona środ.'!J110+'Tab. 6H - Kultura fiz. i turyst'!J236</f>
        <v>9268402</v>
      </c>
      <c r="H65" s="418">
        <f>+'Tab. 6D - Oświata'!K100+'Tab. 6A -Drogi'!K516+'Tab. 6E - Administracja'!K243+'Tab. 6C - Ochrona zdrowia'!K15+'Tab.6I - Planow. przestrz.'!K88+'Tab. 6G - Roln i ochrona środ.'!K110+'Tab. 6H - Kultura fiz. i turyst'!K236</f>
        <v>5199552</v>
      </c>
      <c r="I65" s="418">
        <f>+'Tab. 6D - Oświata'!L100+'Tab. 6A -Drogi'!L516+'Tab. 6E - Administracja'!L243+'Tab. 6C - Ochrona zdrowia'!L15+'Tab.6I - Planow. przestrz.'!L88+'Tab. 6G - Roln i ochrona środ.'!L110+'Tab. 6H - Kultura fiz. i turyst'!L236</f>
        <v>4270868</v>
      </c>
      <c r="J65" s="1330">
        <f>B65+C65+D65+E65+F65+G65+H65+I65+'Tab. 6C - Ochrona zdrowia'!P51+'Tab. 6C - Ochrona zdrowia'!P56</f>
        <v>1122542419</v>
      </c>
      <c r="K65" s="810">
        <f>SUM(C65:I65)+'Tab. 6C - Ochrona zdrowia'!P51+'Tab. 6C - Ochrona zdrowia'!P56</f>
        <v>731897602</v>
      </c>
      <c r="L65" s="810">
        <f>SUM(D65:I65)+'Tab. 6C - Ochrona zdrowia'!P51+'Tab. 6C - Ochrona zdrowia'!P56</f>
        <v>595930851</v>
      </c>
      <c r="M65" s="212"/>
      <c r="N65" s="413">
        <f>+C65+D65+E65+F65+G65+H65+I65+B65+'Tab. 6C - Ochrona zdrowia'!P51+'Tab. 6C - Ochrona zdrowia'!P56</f>
        <v>1122542419</v>
      </c>
      <c r="O65" s="414">
        <f t="shared" si="25"/>
        <v>0</v>
      </c>
    </row>
    <row r="66" spans="1:15" s="415" customFormat="1" ht="15.75" customHeight="1">
      <c r="A66" s="416" t="s">
        <v>16</v>
      </c>
      <c r="B66" s="417">
        <f>+'Tab. 6A -Drogi'!E519+'Tab. 6G - Roln i ochrona środ.'!E114+'Tab. 6H - Kultura fiz. i turyst'!E13</f>
        <v>0</v>
      </c>
      <c r="C66" s="418">
        <f>+'Tab. 6A -Drogi'!F519+'Tab. 6G - Roln i ochrona środ.'!F114+'Tab. 6H - Kultura fiz. i turyst'!F237</f>
        <v>10003578</v>
      </c>
      <c r="D66" s="418">
        <f>+'Tab. 6A -Drogi'!G519+'Tab. 6G - Roln i ochrona środ.'!G114+'Tab. 6H - Kultura fiz. i turyst'!G237</f>
        <v>24142763</v>
      </c>
      <c r="E66" s="418">
        <f>+'Tab. 6A -Drogi'!H519+'Tab. 6G - Roln i ochrona środ.'!H114+'Tab. 6H - Kultura fiz. i turyst'!H237</f>
        <v>14120000</v>
      </c>
      <c r="F66" s="418">
        <f>+'Tab. 6A -Drogi'!I519+'Tab. 6G - Roln i ochrona środ.'!I114+'Tab. 6H - Kultura fiz. i turyst'!I237</f>
        <v>14182860</v>
      </c>
      <c r="G66" s="417">
        <f>+'Tab. 6A -Drogi'!J519+'Tab. 6G - Roln i ochrona środ.'!J114+'Tab. 6H - Kultura fiz. i turyst'!J237</f>
        <v>0</v>
      </c>
      <c r="H66" s="417">
        <f>+'Tab. 6A -Drogi'!K519+'Tab. 6G - Roln i ochrona środ.'!K114+'Tab. 6H - Kultura fiz. i turyst'!K237</f>
        <v>0</v>
      </c>
      <c r="I66" s="417">
        <f>+'Tab. 6A -Drogi'!L519+'Tab. 6G - Roln i ochrona środ.'!L114+'Tab. 6H - Kultura fiz. i turyst'!L237</f>
        <v>0</v>
      </c>
      <c r="J66" s="1330">
        <f t="shared" ref="J66:J72" si="29">B66+C66+D66+E66+F66+G66+H66+I66</f>
        <v>62449201</v>
      </c>
      <c r="K66" s="810">
        <f t="shared" ref="K66" si="30">SUM(C66:I66)</f>
        <v>62449201</v>
      </c>
      <c r="L66" s="810">
        <f>SUM(D66:I66)</f>
        <v>52445623</v>
      </c>
      <c r="M66" s="212"/>
      <c r="N66" s="413">
        <f>+C66+D66+E66+F66+G66+H66+I66+B66</f>
        <v>62449201</v>
      </c>
      <c r="O66" s="414">
        <f t="shared" si="25"/>
        <v>0</v>
      </c>
    </row>
    <row r="67" spans="1:15" s="415" customFormat="1" ht="15.75" customHeight="1">
      <c r="A67" s="416" t="s">
        <v>32</v>
      </c>
      <c r="B67" s="418">
        <f>+'Tab. 6F - Kultura'!E12+'Tab. 6C - Ochrona zdrowia'!E16</f>
        <v>1793399.64</v>
      </c>
      <c r="C67" s="418">
        <f>+'Tab. 6F - Kultura'!F12+'Tab. 6C - Ochrona zdrowia'!F16</f>
        <v>1354241</v>
      </c>
      <c r="D67" s="418">
        <f>+'Tab. 6F - Kultura'!G12+'Tab. 6C - Ochrona zdrowia'!G16</f>
        <v>69657</v>
      </c>
      <c r="E67" s="417">
        <f>+'Tab. 6F - Kultura'!H12+'Tab. 6C - Ochrona zdrowia'!H16</f>
        <v>40000</v>
      </c>
      <c r="F67" s="417">
        <f>+'Tab. 6F - Kultura'!I12+'Tab. 6C - Ochrona zdrowia'!I16</f>
        <v>0</v>
      </c>
      <c r="G67" s="417">
        <f>+'Tab. 6F - Kultura'!J12+'Tab. 6C - Ochrona zdrowia'!J16</f>
        <v>0</v>
      </c>
      <c r="H67" s="417">
        <f>+'Tab. 6F - Kultura'!K12+'Tab. 6C - Ochrona zdrowia'!K16</f>
        <v>0</v>
      </c>
      <c r="I67" s="417">
        <f>+'Tab. 6F - Kultura'!L12+'Tab. 6C - Ochrona zdrowia'!L16+'Tab. 6H - Kultura fiz. i turyst'!L13</f>
        <v>0</v>
      </c>
      <c r="J67" s="1330">
        <f t="shared" si="29"/>
        <v>3257297.6399999997</v>
      </c>
      <c r="K67" s="1270" t="s">
        <v>61</v>
      </c>
      <c r="L67" s="1270" t="s">
        <v>61</v>
      </c>
      <c r="M67" s="412"/>
      <c r="N67" s="413">
        <f t="shared" ref="N67:N74" si="31">+C67+D67+E67+F67+G67+H67+I67+B67</f>
        <v>3257297.6399999997</v>
      </c>
      <c r="O67" s="414">
        <f t="shared" si="25"/>
        <v>0</v>
      </c>
    </row>
    <row r="68" spans="1:15" s="415" customFormat="1" ht="15.75" customHeight="1">
      <c r="A68" s="822" t="s">
        <v>33</v>
      </c>
      <c r="B68" s="418">
        <f>+'Tab. 6F - Kultura'!E13+'Tab. 6C - Ochrona zdrowia'!E17+'Tab. 6D - Oświata'!E99+'Tab. 6H - Kultura fiz. i turyst'!E245</f>
        <v>8217368</v>
      </c>
      <c r="C68" s="418">
        <f>+'Tab. 6F - Kultura'!F13+'Tab. 6C - Ochrona zdrowia'!F17+'Tab. 6D - Oświata'!F99+'Tab. 6H - Kultura fiz. i turyst'!F245</f>
        <v>7874823</v>
      </c>
      <c r="D68" s="418">
        <f>+'Tab. 6F - Kultura'!G13+'Tab. 6C - Ochrona zdrowia'!G17+'Tab. 6D - Oświata'!G99+'Tab. 6H - Kultura fiz. i turyst'!G245</f>
        <v>21326692</v>
      </c>
      <c r="E68" s="418">
        <f>+'Tab. 6F - Kultura'!H13+'Tab. 6C - Ochrona zdrowia'!H17+'Tab. 6D - Oświata'!H99+'Tab. 6H - Kultura fiz. i turyst'!H245</f>
        <v>64005701</v>
      </c>
      <c r="F68" s="418">
        <f>+'Tab. 6F - Kultura'!I13+'Tab. 6C - Ochrona zdrowia'!I17+'Tab. 6D - Oświata'!I99+'Tab. 6H - Kultura fiz. i turyst'!I245</f>
        <v>28482568</v>
      </c>
      <c r="G68" s="418">
        <f>+'Tab. 6F - Kultura'!J13+'Tab. 6C - Ochrona zdrowia'!J17+'Tab. 6D - Oświata'!J99+'Tab. 6H - Kultura fiz. i turyst'!J245</f>
        <v>16856220</v>
      </c>
      <c r="H68" s="418">
        <f>+'Tab. 6F - Kultura'!K13+'Tab. 6C - Ochrona zdrowia'!K17+'Tab. 6D - Oświata'!K99+'Tab. 6H - Kultura fiz. i turyst'!K245</f>
        <v>1472245</v>
      </c>
      <c r="I68" s="418">
        <f>+'Tab. 6F - Kultura'!L13+'Tab. 6C - Ochrona zdrowia'!L17+'Tab. 6D - Oświata'!L99+'Tab. 6H - Kultura fiz. i turyst'!L245</f>
        <v>0</v>
      </c>
      <c r="J68" s="1330">
        <f t="shared" si="29"/>
        <v>148235617</v>
      </c>
      <c r="K68" s="810">
        <f t="shared" ref="K68:K72" si="32">SUM(C68:I68)</f>
        <v>140018249</v>
      </c>
      <c r="L68" s="810">
        <f>SUM(D68:I68)</f>
        <v>132143426</v>
      </c>
      <c r="M68" s="212"/>
      <c r="N68" s="413">
        <f t="shared" si="31"/>
        <v>148235617</v>
      </c>
      <c r="O68" s="414">
        <f t="shared" si="25"/>
        <v>0</v>
      </c>
    </row>
    <row r="69" spans="1:15" s="415" customFormat="1" ht="15.75" customHeight="1">
      <c r="A69" s="416" t="s">
        <v>15</v>
      </c>
      <c r="B69" s="418">
        <f>+'Tab. 6A -Drogi'!E518+'Tab. 6C - Ochrona zdrowia'!E20</f>
        <v>4693764</v>
      </c>
      <c r="C69" s="418">
        <f>+'Tab. 6A -Drogi'!F518+'Tab. 6C - Ochrona zdrowia'!F20</f>
        <v>4000167</v>
      </c>
      <c r="D69" s="418">
        <f>+'Tab. 6A -Drogi'!G518+'Tab. 6C - Ochrona zdrowia'!G20</f>
        <v>2235602</v>
      </c>
      <c r="E69" s="417">
        <f>+'Tab. 6A -Drogi'!H518+'Tab. 6C - Ochrona zdrowia'!H20</f>
        <v>0</v>
      </c>
      <c r="F69" s="417">
        <f>+'Tab. 6A -Drogi'!I518+'Tab. 6C - Ochrona zdrowia'!I20</f>
        <v>0</v>
      </c>
      <c r="G69" s="417">
        <f>+'Tab. 6A -Drogi'!J518+'Tab. 6C - Ochrona zdrowia'!J20</f>
        <v>0</v>
      </c>
      <c r="H69" s="417">
        <f>+'Tab. 6A -Drogi'!K518+'Tab. 6C - Ochrona zdrowia'!K20</f>
        <v>0</v>
      </c>
      <c r="I69" s="417">
        <f>+'Tab. 6A -Drogi'!L518+'Tab. 6C - Ochrona zdrowia'!L20</f>
        <v>0</v>
      </c>
      <c r="J69" s="1330">
        <f t="shared" si="29"/>
        <v>10929533</v>
      </c>
      <c r="K69" s="810">
        <f t="shared" si="32"/>
        <v>6235769</v>
      </c>
      <c r="L69" s="810">
        <f>SUM(D69:I69)</f>
        <v>2235602</v>
      </c>
      <c r="M69" s="212"/>
      <c r="N69" s="413">
        <f t="shared" si="31"/>
        <v>10929533</v>
      </c>
      <c r="O69" s="414">
        <f t="shared" si="25"/>
        <v>0</v>
      </c>
    </row>
    <row r="70" spans="1:15" s="415" customFormat="1" ht="15.75" customHeight="1">
      <c r="A70" s="416" t="s">
        <v>13</v>
      </c>
      <c r="B70" s="418">
        <f>+'Tab. 6A -Drogi'!E517+'Tab. 6C - Ochrona zdrowia'!E18</f>
        <v>0</v>
      </c>
      <c r="C70" s="418">
        <f>+'Tab. 6A -Drogi'!F517+'Tab. 6C - Ochrona zdrowia'!F18</f>
        <v>23425991</v>
      </c>
      <c r="D70" s="417">
        <f>+'Tab. 6A -Drogi'!G517+'Tab. 6C - Ochrona zdrowia'!G18</f>
        <v>0</v>
      </c>
      <c r="E70" s="417">
        <f>+'Tab. 6A -Drogi'!H517+'Tab. 6C - Ochrona zdrowia'!H18</f>
        <v>0</v>
      </c>
      <c r="F70" s="417">
        <f>+'Tab. 6A -Drogi'!I517+'Tab. 6C - Ochrona zdrowia'!I18</f>
        <v>0</v>
      </c>
      <c r="G70" s="417">
        <f>+'Tab. 6A -Drogi'!J517+'Tab. 6C - Ochrona zdrowia'!J18</f>
        <v>0</v>
      </c>
      <c r="H70" s="417">
        <f>+'Tab. 6A -Drogi'!K517+'Tab. 6C - Ochrona zdrowia'!K18</f>
        <v>0</v>
      </c>
      <c r="I70" s="417">
        <f>+'Tab. 6A -Drogi'!L517+'Tab. 6C - Ochrona zdrowia'!L18</f>
        <v>0</v>
      </c>
      <c r="J70" s="1330">
        <f t="shared" si="29"/>
        <v>23425991</v>
      </c>
      <c r="K70" s="810">
        <f t="shared" si="32"/>
        <v>23425991</v>
      </c>
      <c r="L70" s="810">
        <f>SUM(D70:I70)</f>
        <v>0</v>
      </c>
      <c r="M70" s="212"/>
      <c r="N70" s="413">
        <f t="shared" si="31"/>
        <v>23425991</v>
      </c>
      <c r="O70" s="414">
        <f t="shared" si="25"/>
        <v>0</v>
      </c>
    </row>
    <row r="71" spans="1:15" s="415" customFormat="1" ht="13.5" hidden="1" customHeight="1">
      <c r="A71" s="850" t="s">
        <v>34</v>
      </c>
      <c r="B71" s="418">
        <v>0</v>
      </c>
      <c r="C71" s="417">
        <f>+'Tab. 6C - Ochrona zdrowia'!F19</f>
        <v>0</v>
      </c>
      <c r="D71" s="417">
        <f>+'Tab. 6D - Oświata'!G98</f>
        <v>0</v>
      </c>
      <c r="E71" s="417">
        <f>+'Tab. 6D - Oświata'!H98</f>
        <v>0</v>
      </c>
      <c r="F71" s="417">
        <f>+'Tab. 6D - Oświata'!I98</f>
        <v>0</v>
      </c>
      <c r="G71" s="417">
        <f>+'Tab. 6D - Oświata'!J98</f>
        <v>0</v>
      </c>
      <c r="H71" s="417">
        <f>+'Tab. 6D - Oświata'!K98</f>
        <v>0</v>
      </c>
      <c r="I71" s="417">
        <f>+'Tab. 6D - Oświata'!L98</f>
        <v>0</v>
      </c>
      <c r="J71" s="1330">
        <f t="shared" si="29"/>
        <v>0</v>
      </c>
      <c r="K71" s="810">
        <f t="shared" si="32"/>
        <v>0</v>
      </c>
      <c r="L71" s="810">
        <f>SUM(D71:I71)+'Tab. 6C - Ochrona zdrowia'!P57+'Tab. 6C - Ochrona zdrowia'!P62</f>
        <v>0</v>
      </c>
      <c r="M71" s="412"/>
      <c r="N71" s="413">
        <f t="shared" si="31"/>
        <v>0</v>
      </c>
      <c r="O71" s="414">
        <f t="shared" si="25"/>
        <v>0</v>
      </c>
    </row>
    <row r="72" spans="1:15" s="415" customFormat="1" ht="15.75" hidden="1" customHeight="1">
      <c r="A72" s="416" t="s">
        <v>14</v>
      </c>
      <c r="B72" s="417">
        <f>+'Tab. 6G - Roln i ochrona środ.'!E113+'Tab. 6E - Administracja'!E260</f>
        <v>0</v>
      </c>
      <c r="C72" s="418">
        <f>'Tab. 6G - Roln i ochrona środ.'!F113</f>
        <v>0</v>
      </c>
      <c r="D72" s="418">
        <f>'Tab. 6G - Roln i ochrona środ.'!G113</f>
        <v>0</v>
      </c>
      <c r="E72" s="418">
        <f>'Tab. 6G - Roln i ochrona środ.'!H113</f>
        <v>0</v>
      </c>
      <c r="F72" s="418">
        <f>'Tab. 6G - Roln i ochrona środ.'!I113</f>
        <v>0</v>
      </c>
      <c r="G72" s="418">
        <f>'Tab. 6G - Roln i ochrona środ.'!J113</f>
        <v>0</v>
      </c>
      <c r="H72" s="418">
        <f>'Tab. 6G - Roln i ochrona środ.'!K113</f>
        <v>0</v>
      </c>
      <c r="I72" s="417">
        <f>'Tab. 6G - Roln i ochrona środ.'!L113</f>
        <v>0</v>
      </c>
      <c r="J72" s="1330">
        <f t="shared" si="29"/>
        <v>0</v>
      </c>
      <c r="K72" s="810">
        <f t="shared" si="32"/>
        <v>0</v>
      </c>
      <c r="L72" s="810">
        <f>SUM(D72:I72)</f>
        <v>0</v>
      </c>
      <c r="M72" s="212"/>
      <c r="N72" s="413">
        <f t="shared" si="31"/>
        <v>0</v>
      </c>
      <c r="O72" s="414">
        <f t="shared" si="25"/>
        <v>0</v>
      </c>
    </row>
    <row r="73" spans="1:15" s="415" customFormat="1" ht="18" customHeight="1">
      <c r="A73" s="409" t="s">
        <v>18</v>
      </c>
      <c r="B73" s="695">
        <f t="shared" ref="B73:I73" si="33">SUM(B74:B74)</f>
        <v>524900</v>
      </c>
      <c r="C73" s="410">
        <f t="shared" si="33"/>
        <v>47005</v>
      </c>
      <c r="D73" s="410">
        <f t="shared" si="33"/>
        <v>6836098</v>
      </c>
      <c r="E73" s="410">
        <f t="shared" si="33"/>
        <v>32322958</v>
      </c>
      <c r="F73" s="410">
        <f t="shared" si="33"/>
        <v>46654320</v>
      </c>
      <c r="G73" s="410">
        <f t="shared" si="33"/>
        <v>16340407</v>
      </c>
      <c r="H73" s="410">
        <f t="shared" si="33"/>
        <v>10092500</v>
      </c>
      <c r="I73" s="411">
        <f t="shared" si="33"/>
        <v>0</v>
      </c>
      <c r="J73" s="1331">
        <f>+J74</f>
        <v>112818188</v>
      </c>
      <c r="K73" s="1351" t="s">
        <v>61</v>
      </c>
      <c r="L73" s="1351" t="s">
        <v>61</v>
      </c>
      <c r="M73" s="412"/>
      <c r="N73" s="413">
        <f t="shared" si="31"/>
        <v>112818188</v>
      </c>
      <c r="O73" s="414">
        <f t="shared" si="25"/>
        <v>0</v>
      </c>
    </row>
    <row r="74" spans="1:15" s="415" customFormat="1" ht="16.5" customHeight="1">
      <c r="A74" s="416" t="s">
        <v>35</v>
      </c>
      <c r="B74" s="418">
        <f>+'Tab. 6D - Oświata'!E102+'Tab. 6F - Kultura'!E16+'Tab. 6C - Ochrona zdrowia'!E22</f>
        <v>524900</v>
      </c>
      <c r="C74" s="418">
        <f>+'Tab. 6D - Oświata'!F102+'Tab. 6F - Kultura'!F16+'Tab. 6C - Ochrona zdrowia'!F22</f>
        <v>47005</v>
      </c>
      <c r="D74" s="418">
        <f>+'Tab. 6D - Oświata'!G102+'Tab. 6F - Kultura'!G16+'Tab. 6C - Ochrona zdrowia'!G22</f>
        <v>6836098</v>
      </c>
      <c r="E74" s="418">
        <f>+'Tab. 6D - Oświata'!H102+'Tab. 6F - Kultura'!H16+'Tab. 6C - Ochrona zdrowia'!H22</f>
        <v>32322958</v>
      </c>
      <c r="F74" s="418">
        <f>+'Tab. 6D - Oświata'!I102+'Tab. 6F - Kultura'!I16+'Tab. 6C - Ochrona zdrowia'!I22</f>
        <v>46654320</v>
      </c>
      <c r="G74" s="418">
        <f>+'Tab. 6D - Oświata'!J102+'Tab. 6F - Kultura'!J16+'Tab. 6C - Ochrona zdrowia'!J22</f>
        <v>16340407</v>
      </c>
      <c r="H74" s="418">
        <f>+'Tab. 6D - Oświata'!K102+'Tab. 6F - Kultura'!K16+'Tab. 6C - Ochrona zdrowia'!K22</f>
        <v>10092500</v>
      </c>
      <c r="I74" s="417">
        <f>+'Tab. 6D - Oświata'!L102+'Tab. 6F - Kultura'!L16+'Tab. 6C - Ochrona zdrowia'!L22</f>
        <v>0</v>
      </c>
      <c r="J74" s="1330">
        <f>B74+C74+D74+E74+F74+G74+H74+I74</f>
        <v>112818188</v>
      </c>
      <c r="K74" s="1272" t="s">
        <v>61</v>
      </c>
      <c r="L74" s="1272" t="s">
        <v>61</v>
      </c>
      <c r="M74" s="412"/>
      <c r="N74" s="413">
        <f t="shared" si="31"/>
        <v>112818188</v>
      </c>
      <c r="O74" s="414">
        <f t="shared" si="25"/>
        <v>0</v>
      </c>
    </row>
    <row r="75" spans="1:15" s="817" customFormat="1" ht="18" customHeight="1">
      <c r="A75" s="815" t="s">
        <v>22</v>
      </c>
      <c r="B75" s="694">
        <f>+B76+B82</f>
        <v>57289196</v>
      </c>
      <c r="C75" s="694">
        <f t="shared" ref="C75:F75" si="34">+C76+C82</f>
        <v>49848044</v>
      </c>
      <c r="D75" s="694">
        <f t="shared" si="34"/>
        <v>41773817</v>
      </c>
      <c r="E75" s="694">
        <f t="shared" si="34"/>
        <v>78146225</v>
      </c>
      <c r="F75" s="694">
        <f t="shared" si="34"/>
        <v>89057713</v>
      </c>
      <c r="G75" s="694">
        <f t="shared" ref="G75:I75" si="35">+G76+G82</f>
        <v>22015480</v>
      </c>
      <c r="H75" s="694">
        <f t="shared" si="35"/>
        <v>11743229</v>
      </c>
      <c r="I75" s="1097">
        <f t="shared" si="35"/>
        <v>0</v>
      </c>
      <c r="J75" s="1346">
        <f t="shared" ref="J75" si="36">+J76+J82</f>
        <v>349873704</v>
      </c>
      <c r="K75" s="3800" t="s">
        <v>23</v>
      </c>
      <c r="L75" s="3800" t="s">
        <v>23</v>
      </c>
      <c r="M75" s="840"/>
    </row>
    <row r="76" spans="1:15" s="415" customFormat="1" ht="15" customHeight="1">
      <c r="A76" s="409" t="s">
        <v>24</v>
      </c>
      <c r="B76" s="695">
        <f>SUM(B77:B81)</f>
        <v>56764296</v>
      </c>
      <c r="C76" s="695">
        <f t="shared" ref="C76:F76" si="37">SUM(C77:C81)</f>
        <v>49825689</v>
      </c>
      <c r="D76" s="695">
        <f t="shared" si="37"/>
        <v>35163420</v>
      </c>
      <c r="E76" s="695">
        <f t="shared" si="37"/>
        <v>46192916</v>
      </c>
      <c r="F76" s="695">
        <f t="shared" si="37"/>
        <v>41783393</v>
      </c>
      <c r="G76" s="695">
        <f t="shared" ref="G76:I76" si="38">SUM(G77:G81)</f>
        <v>5675073</v>
      </c>
      <c r="H76" s="695">
        <f t="shared" si="38"/>
        <v>1650729</v>
      </c>
      <c r="I76" s="852">
        <f t="shared" si="38"/>
        <v>0</v>
      </c>
      <c r="J76" s="1333">
        <f>SUM(J77:J81)</f>
        <v>237055516</v>
      </c>
      <c r="K76" s="3801"/>
      <c r="L76" s="3801"/>
      <c r="M76" s="412" t="s">
        <v>246</v>
      </c>
    </row>
    <row r="77" spans="1:15" s="415" customFormat="1" ht="15.75" customHeight="1">
      <c r="A77" s="416" t="s">
        <v>13</v>
      </c>
      <c r="B77" s="696">
        <f>+'Tab. 6C - Ochrona zdrowia'!E25+'Tab. 6A -Drogi'!E523</f>
        <v>0</v>
      </c>
      <c r="C77" s="228">
        <f>+'Tab. 6C - Ochrona zdrowia'!F25+'Tab. 6A -Drogi'!F523</f>
        <v>23425991</v>
      </c>
      <c r="D77" s="851">
        <f>+'Tab. 6C - Ochrona zdrowia'!G25+'Tab. 6A -Drogi'!G523</f>
        <v>0</v>
      </c>
      <c r="E77" s="851">
        <f>+'Tab. 6C - Ochrona zdrowia'!H25+'Tab. 6A -Drogi'!H523</f>
        <v>0</v>
      </c>
      <c r="F77" s="851">
        <f>+'Tab. 6C - Ochrona zdrowia'!I25+'Tab. 6A -Drogi'!I523</f>
        <v>0</v>
      </c>
      <c r="G77" s="851">
        <f>+'Tab. 6C - Ochrona zdrowia'!J25+'Tab. 6A -Drogi'!J523</f>
        <v>0</v>
      </c>
      <c r="H77" s="851">
        <f>+'Tab. 6C - Ochrona zdrowia'!K25+'Tab. 6A -Drogi'!K523</f>
        <v>0</v>
      </c>
      <c r="I77" s="851">
        <f>+'Tab. 6C - Ochrona zdrowia'!L25+'Tab. 6A -Drogi'!L523</f>
        <v>0</v>
      </c>
      <c r="J77" s="1330">
        <f>B77+C77+D77+E77+F77+G77+H77+I77</f>
        <v>23425991</v>
      </c>
      <c r="K77" s="3801"/>
      <c r="L77" s="3801"/>
      <c r="M77" s="412">
        <f>J77-J70</f>
        <v>0</v>
      </c>
    </row>
    <row r="78" spans="1:15" s="415" customFormat="1" ht="15" customHeight="1">
      <c r="A78" s="416" t="s">
        <v>15</v>
      </c>
      <c r="B78" s="696">
        <f>+'Tab. 6A -Drogi'!E524+'Tab. 6C - Ochrona zdrowia'!E26</f>
        <v>4693764</v>
      </c>
      <c r="C78" s="228">
        <f>+'Tab. 6A -Drogi'!F524+'Tab. 6C - Ochrona zdrowia'!F26</f>
        <v>4000167</v>
      </c>
      <c r="D78" s="228">
        <f>+'Tab. 6A -Drogi'!G524+'Tab. 6C - Ochrona zdrowia'!G26</f>
        <v>2235602</v>
      </c>
      <c r="E78" s="851">
        <f>+'Tab. 6A -Drogi'!H524+'Tab. 6C - Ochrona zdrowia'!H26</f>
        <v>0</v>
      </c>
      <c r="F78" s="851">
        <f>+'Tab. 6A -Drogi'!I524+'Tab. 6C - Ochrona zdrowia'!I26</f>
        <v>0</v>
      </c>
      <c r="G78" s="851">
        <f>+'Tab. 6A -Drogi'!J524+'Tab. 6C - Ochrona zdrowia'!J26</f>
        <v>0</v>
      </c>
      <c r="H78" s="851">
        <f>+'Tab. 6A -Drogi'!K524+'Tab. 6C - Ochrona zdrowia'!K26</f>
        <v>0</v>
      </c>
      <c r="I78" s="851">
        <f>+'Tab. 6A -Drogi'!L524+'Tab. 6C - Ochrona zdrowia'!L26</f>
        <v>0</v>
      </c>
      <c r="J78" s="1330">
        <f>B78+C78+D78+E78+F78+G78+H78+I78</f>
        <v>10929533</v>
      </c>
      <c r="K78" s="3801"/>
      <c r="L78" s="3801"/>
      <c r="M78" s="412">
        <f>J78-J69</f>
        <v>0</v>
      </c>
    </row>
    <row r="79" spans="1:15" s="415" customFormat="1" ht="15" customHeight="1">
      <c r="A79" s="416" t="s">
        <v>16</v>
      </c>
      <c r="B79" s="696">
        <f>+'Tab. 6A -Drogi'!E525+'Tab. 6G - Roln i ochrona środ.'!E120</f>
        <v>28772061</v>
      </c>
      <c r="C79" s="696">
        <f>+'Tab. 6A -Drogi'!F525+'Tab. 6G - Roln i ochrona środ.'!F120</f>
        <v>8419285</v>
      </c>
      <c r="D79" s="696">
        <f>+'Tab. 6A -Drogi'!G525+'Tab. 6G - Roln i ochrona środ.'!G120</f>
        <v>8419285</v>
      </c>
      <c r="E79" s="696">
        <f>+'Tab. 6A -Drogi'!H525+'Tab. 6G - Roln i ochrona środ.'!H120</f>
        <v>8419285</v>
      </c>
      <c r="F79" s="696">
        <f>+'Tab. 6A -Drogi'!I525+'Tab. 6G - Roln i ochrona środ.'!I120</f>
        <v>8419285</v>
      </c>
      <c r="G79" s="831">
        <f>+'Tab. 6A -Drogi'!J525+'Tab. 6G - Roln i ochrona środ.'!J120</f>
        <v>0</v>
      </c>
      <c r="H79" s="831">
        <f>+'Tab. 6A -Drogi'!K525+'Tab. 6G - Roln i ochrona środ.'!K120</f>
        <v>0</v>
      </c>
      <c r="I79" s="831">
        <f>+'Tab. 6A -Drogi'!L525+'Tab. 6G - Roln i ochrona środ.'!L120</f>
        <v>0</v>
      </c>
      <c r="J79" s="1330">
        <f>B79+C79+D79+E79+F79+G79+H79+I79</f>
        <v>62449201</v>
      </c>
      <c r="K79" s="3801"/>
      <c r="L79" s="3801"/>
      <c r="M79" s="412">
        <f>J79-J66</f>
        <v>0</v>
      </c>
    </row>
    <row r="80" spans="1:15" s="415" customFormat="1" ht="14.25" customHeight="1">
      <c r="A80" s="822" t="s">
        <v>220</v>
      </c>
      <c r="B80" s="697">
        <f>+'Tab. 6F - Kultura'!E19+'Tab. 6D - Oświata'!E106+'Tab. 6A -Drogi'!E522</f>
        <v>23298471</v>
      </c>
      <c r="C80" s="823">
        <f>+'Tab. 6F - Kultura'!F19+'Tab. 6D - Oświata'!F106+'Tab. 6A -Drogi'!F522</f>
        <v>13980246</v>
      </c>
      <c r="D80" s="823">
        <f>+'Tab. 6F - Kultura'!G19+'Tab. 6D - Oświata'!G106+'Tab. 6A -Drogi'!G522</f>
        <v>24508533</v>
      </c>
      <c r="E80" s="823">
        <f>+'Tab. 6F - Kultura'!H19+'Tab. 6D - Oświata'!H106+'Tab. 6A -Drogi'!H522</f>
        <v>37773631</v>
      </c>
      <c r="F80" s="823">
        <f>+'Tab. 6F - Kultura'!I19+'Tab. 6D - Oświata'!I106+'Tab. 6A -Drogi'!I522</f>
        <v>33364108</v>
      </c>
      <c r="G80" s="823">
        <f>+'Tab. 6F - Kultura'!J19+'Tab. 6D - Oświata'!J106+'Tab. 6A -Drogi'!J522</f>
        <v>5675073</v>
      </c>
      <c r="H80" s="823">
        <f>+'Tab. 6F - Kultura'!K19+'Tab. 6D - Oświata'!K106+'Tab. 6A -Drogi'!K522</f>
        <v>1650729</v>
      </c>
      <c r="I80" s="824">
        <f>+'Tab. 6F - Kultura'!L19+'Tab. 6D - Oświata'!L106+'Tab. 6A -Drogi'!L522</f>
        <v>0</v>
      </c>
      <c r="J80" s="1330">
        <f>B80+C80+D80+E80+F80+G80+H80+I80</f>
        <v>140250791</v>
      </c>
      <c r="K80" s="3801"/>
      <c r="L80" s="3801"/>
      <c r="M80" s="412"/>
    </row>
    <row r="81" spans="1:14" s="415" customFormat="1" ht="15" hidden="1" customHeight="1">
      <c r="A81" s="416" t="s">
        <v>14</v>
      </c>
      <c r="B81" s="831">
        <f>+'Tab. 6G - Roln i ochrona środ.'!E119+'Tab. 6E - Administracja'!E263</f>
        <v>0</v>
      </c>
      <c r="C81" s="823">
        <f>+'Tab. 6G - Roln i ochrona środ.'!F119</f>
        <v>0</v>
      </c>
      <c r="D81" s="823">
        <f>+'Tab. 6G - Roln i ochrona środ.'!G119</f>
        <v>0</v>
      </c>
      <c r="E81" s="823">
        <f>+'Tab. 6G - Roln i ochrona środ.'!H119</f>
        <v>0</v>
      </c>
      <c r="F81" s="823">
        <f>+'Tab. 6G - Roln i ochrona środ.'!I119</f>
        <v>0</v>
      </c>
      <c r="G81" s="823">
        <f>+'Tab. 6G - Roln i ochrona środ.'!J119</f>
        <v>0</v>
      </c>
      <c r="H81" s="823">
        <f>+'Tab. 6G - Roln i ochrona środ.'!K119</f>
        <v>0</v>
      </c>
      <c r="I81" s="851">
        <f>+'Tab. 6G - Roln i ochrona środ.'!L119</f>
        <v>0</v>
      </c>
      <c r="J81" s="1330">
        <f>B81+C81+D81+E81+F81+G81+H81+I81</f>
        <v>0</v>
      </c>
      <c r="K81" s="3801"/>
      <c r="L81" s="3801"/>
      <c r="M81" s="412">
        <f>J81-J72</f>
        <v>0</v>
      </c>
    </row>
    <row r="82" spans="1:14" s="415" customFormat="1" ht="14.25" customHeight="1">
      <c r="A82" s="409" t="s">
        <v>18</v>
      </c>
      <c r="B82" s="695">
        <f t="shared" ref="B82:I82" si="39">SUM(B83:B83)</f>
        <v>524900</v>
      </c>
      <c r="C82" s="698">
        <f t="shared" si="39"/>
        <v>22355</v>
      </c>
      <c r="D82" s="698">
        <f t="shared" si="39"/>
        <v>6610397</v>
      </c>
      <c r="E82" s="698">
        <f t="shared" si="39"/>
        <v>31953309</v>
      </c>
      <c r="F82" s="698">
        <f t="shared" si="39"/>
        <v>47274320</v>
      </c>
      <c r="G82" s="698">
        <f t="shared" si="39"/>
        <v>16340407</v>
      </c>
      <c r="H82" s="698">
        <f t="shared" si="39"/>
        <v>10092500</v>
      </c>
      <c r="I82" s="853">
        <f t="shared" si="39"/>
        <v>0</v>
      </c>
      <c r="J82" s="1347">
        <f>+J83</f>
        <v>112818188</v>
      </c>
      <c r="K82" s="3801"/>
      <c r="L82" s="3801"/>
      <c r="M82" s="412"/>
    </row>
    <row r="83" spans="1:14" s="415" customFormat="1" ht="15.75" customHeight="1" thickBot="1">
      <c r="A83" s="854" t="s">
        <v>35</v>
      </c>
      <c r="B83" s="2004">
        <f>+'Tab. 6D - Oświata'!E108+'Tab. 6F - Kultura'!E22+'Tab. 6C - Ochrona zdrowia'!E28</f>
        <v>524900</v>
      </c>
      <c r="C83" s="1098">
        <f>+'Tab. 6D - Oświata'!F108+'Tab. 6F - Kultura'!F22+'Tab. 6C - Ochrona zdrowia'!F28</f>
        <v>22355</v>
      </c>
      <c r="D83" s="856">
        <f>+'Tab. 6D - Oświata'!G108+'Tab. 6F - Kultura'!G22+'Tab. 6C - Ochrona zdrowia'!G28</f>
        <v>6610397</v>
      </c>
      <c r="E83" s="856">
        <f>+'Tab. 6D - Oświata'!H108+'Tab. 6F - Kultura'!H22+'Tab. 6C - Ochrona zdrowia'!H28</f>
        <v>31953309</v>
      </c>
      <c r="F83" s="856">
        <f>+'Tab. 6D - Oświata'!I108+'Tab. 6F - Kultura'!I22+'Tab. 6C - Ochrona zdrowia'!I28</f>
        <v>47274320</v>
      </c>
      <c r="G83" s="856">
        <f>+'Tab. 6D - Oświata'!J108+'Tab. 6F - Kultura'!J22+'Tab. 6C - Ochrona zdrowia'!J28</f>
        <v>16340407</v>
      </c>
      <c r="H83" s="856">
        <f>+'Tab. 6D - Oświata'!K108+'Tab. 6F - Kultura'!K22+'Tab. 6C - Ochrona zdrowia'!K28</f>
        <v>10092500</v>
      </c>
      <c r="I83" s="855">
        <f>+'Tab. 6D - Oświata'!L108+'Tab. 6F - Kultura'!L22+'Tab. 6C - Ochrona zdrowia'!L28</f>
        <v>0</v>
      </c>
      <c r="J83" s="1348">
        <f>B83+C83+D83+E83+F83+G83+H83+I83</f>
        <v>112818188</v>
      </c>
      <c r="K83" s="3802"/>
      <c r="L83" s="3802"/>
      <c r="M83" s="412"/>
      <c r="N83" s="832"/>
    </row>
    <row r="84" spans="1:14" s="415" customFormat="1" ht="9.75" customHeight="1" thickBot="1">
      <c r="A84" s="844"/>
      <c r="B84" s="814"/>
      <c r="C84" s="814"/>
      <c r="D84" s="814"/>
      <c r="E84" s="814"/>
      <c r="F84" s="814"/>
      <c r="G84" s="835"/>
      <c r="H84" s="834"/>
      <c r="I84" s="834"/>
      <c r="J84" s="836"/>
      <c r="K84" s="836"/>
      <c r="L84" s="836"/>
      <c r="M84" s="412"/>
    </row>
    <row r="85" spans="1:14" s="817" customFormat="1" ht="18" customHeight="1" thickBot="1">
      <c r="A85" s="857" t="s">
        <v>27</v>
      </c>
      <c r="B85" s="858">
        <f>+B63-B71-B73-B67</f>
        <v>403555949</v>
      </c>
      <c r="C85" s="858">
        <f t="shared" ref="C85" si="40">+C63-C71-C73-C67</f>
        <v>181271310</v>
      </c>
      <c r="D85" s="859">
        <f t="shared" ref="D85:I85" si="41">+D63-D71-D73-D67</f>
        <v>234880109</v>
      </c>
      <c r="E85" s="859">
        <f t="shared" si="41"/>
        <v>262946721</v>
      </c>
      <c r="F85" s="859">
        <f t="shared" si="41"/>
        <v>213553938</v>
      </c>
      <c r="G85" s="859">
        <f t="shared" si="41"/>
        <v>26124622</v>
      </c>
      <c r="H85" s="858">
        <f t="shared" si="41"/>
        <v>6671797</v>
      </c>
      <c r="I85" s="858">
        <f t="shared" si="41"/>
        <v>4270868</v>
      </c>
      <c r="J85" s="860">
        <f>SUM(C85:I85)+B85+'Tab. 6C - Ochrona zdrowia'!P51+'Tab. 6C - Ochrona zdrowia'!P56</f>
        <v>1367582761</v>
      </c>
      <c r="K85" s="861">
        <f>+C85+D85+E85+F85+G85+H85+I85+'Tab. 6C - Ochrona zdrowia'!P51+'Tab. 6C - Ochrona zdrowia'!P56</f>
        <v>964026812</v>
      </c>
      <c r="L85" s="861">
        <f>+D85+E85+F85+G85+H85+I85+'Tab. 6C - Ochrona zdrowia'!P51+'Tab. 6C - Ochrona zdrowia'!P56</f>
        <v>782755502</v>
      </c>
      <c r="M85" s="840">
        <f>+D85+E85+F85+G85+H85+I85+M86-L85</f>
        <v>0</v>
      </c>
      <c r="N85" s="841">
        <f>J65+J66+J68+J69+J70+J72-J85</f>
        <v>0</v>
      </c>
    </row>
    <row r="86" spans="1:14" s="817" customFormat="1" ht="18" customHeight="1" thickBot="1">
      <c r="A86" s="857" t="s">
        <v>28</v>
      </c>
      <c r="B86" s="862">
        <f>+B75-B82</f>
        <v>56764296</v>
      </c>
      <c r="C86" s="862">
        <f t="shared" ref="C86:I86" si="42">+C75-C82</f>
        <v>49825689</v>
      </c>
      <c r="D86" s="863">
        <f t="shared" si="42"/>
        <v>35163420</v>
      </c>
      <c r="E86" s="863">
        <f t="shared" si="42"/>
        <v>46192916</v>
      </c>
      <c r="F86" s="863">
        <f t="shared" si="42"/>
        <v>41783393</v>
      </c>
      <c r="G86" s="863">
        <f t="shared" si="42"/>
        <v>5675073</v>
      </c>
      <c r="H86" s="862">
        <f t="shared" si="42"/>
        <v>1650729</v>
      </c>
      <c r="I86" s="862">
        <f t="shared" si="42"/>
        <v>0</v>
      </c>
      <c r="J86" s="860">
        <f>SUM(C86:I86)+B86</f>
        <v>237055516</v>
      </c>
      <c r="K86" s="864" t="s">
        <v>23</v>
      </c>
      <c r="L86" s="864" t="s">
        <v>23</v>
      </c>
      <c r="M86" s="840">
        <f>+'Tab. 6C - Ochrona zdrowia'!P51+'Tab. 6C - Ochrona zdrowia'!P56</f>
        <v>34307447</v>
      </c>
      <c r="N86" s="817" t="s">
        <v>485</v>
      </c>
    </row>
    <row r="87" spans="1:14" s="868" customFormat="1" ht="15" customHeight="1" thickBot="1">
      <c r="A87" s="865"/>
      <c r="B87" s="866"/>
      <c r="C87" s="866"/>
      <c r="D87" s="866"/>
      <c r="E87" s="866"/>
      <c r="F87" s="866"/>
      <c r="G87" s="866"/>
      <c r="H87" s="866"/>
      <c r="I87" s="866"/>
      <c r="J87" s="866"/>
      <c r="K87" s="866"/>
      <c r="L87" s="866"/>
      <c r="M87" s="867"/>
    </row>
    <row r="88" spans="1:14" s="868" customFormat="1" ht="18" customHeight="1" thickBot="1">
      <c r="A88" s="869" t="s">
        <v>36</v>
      </c>
      <c r="B88" s="870">
        <f>B89+B90</f>
        <v>496671263</v>
      </c>
      <c r="C88" s="870">
        <f t="shared" ref="C88:D88" si="43">C89+C90</f>
        <v>451982254</v>
      </c>
      <c r="D88" s="870">
        <f t="shared" si="43"/>
        <v>820844730</v>
      </c>
      <c r="E88" s="870">
        <f t="shared" ref="E88:L88" si="44">E89+E90</f>
        <v>506785256</v>
      </c>
      <c r="F88" s="870">
        <f t="shared" si="44"/>
        <v>328327455</v>
      </c>
      <c r="G88" s="870">
        <f t="shared" si="44"/>
        <v>69666665</v>
      </c>
      <c r="H88" s="870">
        <f t="shared" si="44"/>
        <v>45548327</v>
      </c>
      <c r="I88" s="870">
        <f t="shared" si="44"/>
        <v>40488047</v>
      </c>
      <c r="J88" s="871">
        <f t="shared" si="44"/>
        <v>2794621444</v>
      </c>
      <c r="K88" s="872">
        <f>K89+K90</f>
        <v>2297950181</v>
      </c>
      <c r="L88" s="872">
        <f t="shared" si="44"/>
        <v>1845967927</v>
      </c>
      <c r="M88" s="867"/>
    </row>
    <row r="89" spans="1:14" s="868" customFormat="1" ht="18" customHeight="1" thickTop="1">
      <c r="A89" s="873" t="s">
        <v>37</v>
      </c>
      <c r="B89" s="874">
        <f t="shared" ref="B89:I89" si="45">B13+B60</f>
        <v>408223325</v>
      </c>
      <c r="C89" s="874">
        <f t="shared" si="45"/>
        <v>185706925</v>
      </c>
      <c r="D89" s="874">
        <f>D13+D60</f>
        <v>251297447</v>
      </c>
      <c r="E89" s="874">
        <f>E13+E60</f>
        <v>230921096</v>
      </c>
      <c r="F89" s="874">
        <f t="shared" si="45"/>
        <v>211465522</v>
      </c>
      <c r="G89" s="874">
        <f t="shared" si="45"/>
        <v>52665945</v>
      </c>
      <c r="H89" s="874">
        <f t="shared" si="45"/>
        <v>43931582</v>
      </c>
      <c r="I89" s="874">
        <f t="shared" si="45"/>
        <v>40343547</v>
      </c>
      <c r="J89" s="875">
        <f>J13+J60</f>
        <v>1458862836</v>
      </c>
      <c r="K89" s="876">
        <f>K13+K60</f>
        <v>1050639511</v>
      </c>
      <c r="L89" s="876">
        <f>L13+L60</f>
        <v>864932586</v>
      </c>
      <c r="M89" s="867"/>
    </row>
    <row r="90" spans="1:14" s="868" customFormat="1" ht="18" customHeight="1">
      <c r="A90" s="873" t="s">
        <v>38</v>
      </c>
      <c r="B90" s="874">
        <f t="shared" ref="B90:L90" si="46">B14+B61</f>
        <v>88447938</v>
      </c>
      <c r="C90" s="874">
        <f t="shared" si="46"/>
        <v>266275329</v>
      </c>
      <c r="D90" s="874">
        <f>D14+D61</f>
        <v>569547283</v>
      </c>
      <c r="E90" s="874">
        <f t="shared" si="46"/>
        <v>275864160</v>
      </c>
      <c r="F90" s="874">
        <f t="shared" si="46"/>
        <v>116861933</v>
      </c>
      <c r="G90" s="874">
        <f t="shared" si="46"/>
        <v>17000720</v>
      </c>
      <c r="H90" s="874">
        <f t="shared" si="46"/>
        <v>1616745</v>
      </c>
      <c r="I90" s="874">
        <f t="shared" si="46"/>
        <v>144500</v>
      </c>
      <c r="J90" s="875">
        <f>J14+J61</f>
        <v>1335758608</v>
      </c>
      <c r="K90" s="876">
        <f t="shared" ref="K90" si="47">K14+K61</f>
        <v>1247310670</v>
      </c>
      <c r="L90" s="876">
        <f t="shared" si="46"/>
        <v>981035341</v>
      </c>
      <c r="M90" s="867"/>
    </row>
    <row r="91" spans="1:14" s="868" customFormat="1" ht="18" customHeight="1" thickBot="1">
      <c r="A91" s="877" t="s">
        <v>39</v>
      </c>
      <c r="B91" s="878">
        <f>B49+B86</f>
        <v>126127826</v>
      </c>
      <c r="C91" s="878">
        <f t="shared" ref="C91:D91" si="48">C49+C86</f>
        <v>270891649</v>
      </c>
      <c r="D91" s="878">
        <f t="shared" si="48"/>
        <v>537579457</v>
      </c>
      <c r="E91" s="878">
        <f t="shared" ref="E91:I91" si="49">E49+E86</f>
        <v>241510706</v>
      </c>
      <c r="F91" s="878">
        <f>F49+F86</f>
        <v>138133418</v>
      </c>
      <c r="G91" s="878">
        <f t="shared" si="49"/>
        <v>48439617</v>
      </c>
      <c r="H91" s="878">
        <f t="shared" si="49"/>
        <v>35776859</v>
      </c>
      <c r="I91" s="878">
        <f t="shared" si="49"/>
        <v>32142634</v>
      </c>
      <c r="J91" s="878">
        <f>J49+J86</f>
        <v>1437996797</v>
      </c>
      <c r="K91" s="879" t="s">
        <v>23</v>
      </c>
      <c r="L91" s="879" t="s">
        <v>23</v>
      </c>
      <c r="M91" s="867">
        <f>'Tab. 6A -Drogi'!D22+'Tab. 6A -Drogi'!D520+'Tab. 6B Polit społ i rozwój prz'!D18+'Tab. 6C - Ochrona zdrowia'!D24+'Tab. 6D - Oświata'!D20+'Tab. 6E - Administracja'!D20+'Tab. 6E - Administracja'!D245+'Tab. 6F - Kultura'!D19+'Tab. 6G - Roln i ochrona środ.'!D21+'Tab. 6G - Roln i ochrona środ.'!D115+'Tab. 6H - Kultura fiz. i turyst'!D18+'Tab.6I - Planow. przestrz.'!D18</f>
        <v>1437996797</v>
      </c>
      <c r="N91" s="868" t="s">
        <v>247</v>
      </c>
    </row>
    <row r="92" spans="1:14" s="868" customFormat="1" ht="18.75" customHeight="1" thickTop="1">
      <c r="A92" s="873" t="s">
        <v>40</v>
      </c>
      <c r="B92" s="874">
        <f>B98+B102</f>
        <v>90627202</v>
      </c>
      <c r="C92" s="874">
        <f>C98+C102</f>
        <v>88378700</v>
      </c>
      <c r="D92" s="874">
        <f t="shared" ref="C92:D93" si="50">D98+D102</f>
        <v>106014674</v>
      </c>
      <c r="E92" s="874">
        <f t="shared" ref="E92:I93" si="51">E98+E102</f>
        <v>108443107</v>
      </c>
      <c r="F92" s="874">
        <f t="shared" si="51"/>
        <v>95483090</v>
      </c>
      <c r="G92" s="874">
        <f t="shared" si="51"/>
        <v>43353724</v>
      </c>
      <c r="H92" s="874">
        <f t="shared" si="51"/>
        <v>35632359</v>
      </c>
      <c r="I92" s="874">
        <f t="shared" si="51"/>
        <v>31998134</v>
      </c>
      <c r="J92" s="874">
        <f>J98+J102</f>
        <v>607014550</v>
      </c>
      <c r="K92" s="880" t="s">
        <v>23</v>
      </c>
      <c r="L92" s="880" t="s">
        <v>23</v>
      </c>
      <c r="M92" s="867">
        <f>J91-M91</f>
        <v>0</v>
      </c>
      <c r="N92" s="881"/>
    </row>
    <row r="93" spans="1:14" s="868" customFormat="1" ht="16.5" customHeight="1" thickBot="1">
      <c r="A93" s="882" t="s">
        <v>41</v>
      </c>
      <c r="B93" s="883">
        <f>B99+B103</f>
        <v>35500624</v>
      </c>
      <c r="C93" s="883">
        <f t="shared" si="50"/>
        <v>182512949</v>
      </c>
      <c r="D93" s="883">
        <f t="shared" si="50"/>
        <v>431564783</v>
      </c>
      <c r="E93" s="883">
        <f t="shared" si="51"/>
        <v>133067599</v>
      </c>
      <c r="F93" s="883">
        <f t="shared" si="51"/>
        <v>42650328</v>
      </c>
      <c r="G93" s="883">
        <f t="shared" si="51"/>
        <v>5085893</v>
      </c>
      <c r="H93" s="883">
        <f t="shared" si="51"/>
        <v>144500</v>
      </c>
      <c r="I93" s="883">
        <f t="shared" si="51"/>
        <v>144500</v>
      </c>
      <c r="J93" s="883">
        <f>J99+J103</f>
        <v>830982247</v>
      </c>
      <c r="K93" s="884" t="s">
        <v>23</v>
      </c>
      <c r="L93" s="884" t="s">
        <v>23</v>
      </c>
      <c r="M93" s="867">
        <f>M91-J97-J101</f>
        <v>0</v>
      </c>
    </row>
    <row r="94" spans="1:14" s="868" customFormat="1" ht="18" customHeight="1">
      <c r="A94" s="885" t="s">
        <v>42</v>
      </c>
      <c r="B94" s="886">
        <f>B92+B93-B91</f>
        <v>0</v>
      </c>
      <c r="C94" s="886">
        <f>C92+C93-C91</f>
        <v>0</v>
      </c>
      <c r="D94" s="886">
        <f t="shared" ref="D94:I94" si="52">D92+D93-D91</f>
        <v>0</v>
      </c>
      <c r="E94" s="886">
        <f t="shared" si="52"/>
        <v>0</v>
      </c>
      <c r="F94" s="886">
        <f>F92+F93-F91</f>
        <v>0</v>
      </c>
      <c r="G94" s="886">
        <f t="shared" si="52"/>
        <v>0</v>
      </c>
      <c r="H94" s="886">
        <f t="shared" si="52"/>
        <v>0</v>
      </c>
      <c r="I94" s="886">
        <f t="shared" si="52"/>
        <v>0</v>
      </c>
      <c r="J94" s="886">
        <f>J92+J93-J91</f>
        <v>0</v>
      </c>
      <c r="K94" s="867"/>
      <c r="L94" s="867"/>
      <c r="M94" s="867"/>
      <c r="N94" s="881"/>
    </row>
    <row r="95" spans="1:14" s="868" customFormat="1" ht="11.25" customHeight="1">
      <c r="A95" s="887"/>
      <c r="B95" s="886"/>
      <c r="C95" s="886"/>
      <c r="D95" s="2028">
        <v>2018</v>
      </c>
      <c r="E95" s="2028">
        <v>2019</v>
      </c>
      <c r="F95" s="2028">
        <v>2020</v>
      </c>
      <c r="G95" s="2028">
        <v>2021</v>
      </c>
      <c r="H95" s="886"/>
      <c r="I95" s="886"/>
      <c r="J95" s="886"/>
      <c r="K95" s="867"/>
      <c r="L95" s="867"/>
      <c r="M95" s="867"/>
    </row>
    <row r="96" spans="1:14" s="868" customFormat="1" ht="18" customHeight="1" thickBot="1">
      <c r="A96" s="888" t="s">
        <v>43</v>
      </c>
      <c r="B96" s="889">
        <f>B32-B97</f>
        <v>0</v>
      </c>
      <c r="C96" s="889">
        <f t="shared" ref="C96:D96" si="53">C32-C97</f>
        <v>0</v>
      </c>
      <c r="D96" s="889">
        <f t="shared" si="53"/>
        <v>0</v>
      </c>
      <c r="E96" s="889">
        <f t="shared" ref="E96:J96" si="54">E32-E97</f>
        <v>0</v>
      </c>
      <c r="F96" s="889">
        <f t="shared" si="54"/>
        <v>0</v>
      </c>
      <c r="G96" s="889">
        <f t="shared" si="54"/>
        <v>0</v>
      </c>
      <c r="H96" s="889">
        <f t="shared" si="54"/>
        <v>0</v>
      </c>
      <c r="I96" s="889">
        <f t="shared" si="54"/>
        <v>0</v>
      </c>
      <c r="J96" s="889">
        <f t="shared" si="54"/>
        <v>0</v>
      </c>
      <c r="K96" s="867"/>
      <c r="L96" s="1567">
        <f>J97-L97</f>
        <v>0</v>
      </c>
      <c r="M96" s="867"/>
      <c r="N96" s="881">
        <f>M97+M101-M91</f>
        <v>0</v>
      </c>
    </row>
    <row r="97" spans="1:15" s="868" customFormat="1" ht="18" customHeight="1" thickBot="1">
      <c r="A97" s="890" t="s">
        <v>44</v>
      </c>
      <c r="B97" s="891">
        <f t="shared" ref="B97:D97" si="55">B98+B99</f>
        <v>69363530</v>
      </c>
      <c r="C97" s="891">
        <f t="shared" si="55"/>
        <v>221065960</v>
      </c>
      <c r="D97" s="891">
        <f t="shared" si="55"/>
        <v>502416037</v>
      </c>
      <c r="E97" s="891">
        <f t="shared" ref="E97:N97" si="56">E98+E99</f>
        <v>195317790</v>
      </c>
      <c r="F97" s="891">
        <f t="shared" si="56"/>
        <v>96350025</v>
      </c>
      <c r="G97" s="891">
        <f t="shared" si="56"/>
        <v>42764544</v>
      </c>
      <c r="H97" s="891">
        <f t="shared" si="56"/>
        <v>34126130</v>
      </c>
      <c r="I97" s="891">
        <f t="shared" si="56"/>
        <v>32142634</v>
      </c>
      <c r="J97" s="892">
        <f>J98+J99</f>
        <v>1200941281</v>
      </c>
      <c r="K97" s="867"/>
      <c r="L97" s="1567">
        <f>'Tab. 6A -Drogi'!D22+'Tab. 6B Polit społ i rozwój prz'!D18+'Tab. 6D - Oświata'!D20+'Tab. 6E - Administracja'!D20+'Tab. 6G - Roln i ochrona środ.'!D21+'Tab. 6H - Kultura fiz. i turyst'!D18+'Tab.6I - Planow. przestrz.'!D18</f>
        <v>1200941281</v>
      </c>
      <c r="M97" s="892">
        <f>M98+M99</f>
        <v>1200941281</v>
      </c>
      <c r="N97" s="892">
        <f t="shared" si="56"/>
        <v>0</v>
      </c>
      <c r="O97" s="1081" t="s">
        <v>480</v>
      </c>
    </row>
    <row r="98" spans="1:15" s="868" customFormat="1" ht="20.25" customHeight="1" thickTop="1">
      <c r="A98" s="893" t="s">
        <v>40</v>
      </c>
      <c r="B98" s="894">
        <f>'Tab. 6A -Drogi'!E659+'Tab. 6B Polit społ i rozwój prz'!E283+'Tab. 6D - Oświata'!E136+'Tab. 6E - Administracja'!E268+'Tab. 6G - Roln i ochrona środ.'!E144+'Tab. 6H - Kultura fiz. i turyst'!E261+'Tab.6I - Planow. przestrz.'!E104</f>
        <v>33862906</v>
      </c>
      <c r="C98" s="894">
        <f>'Tab. 6A -Drogi'!F659+'Tab. 6B Polit społ i rozwój prz'!F283+'Tab. 6D - Oświata'!F136+'Tab. 6E - Administracja'!F268+'Tab. 6G - Roln i ochrona środ.'!F144+'Tab. 6H - Kultura fiz. i turyst'!F261+'Tab.6I - Planow. przestrz.'!F104</f>
        <v>40735011</v>
      </c>
      <c r="D98" s="894">
        <f>'Tab. 6A -Drogi'!G659+'Tab. 6B Polit społ i rozwój prz'!G283+'Tab. 6D - Oświata'!G136+'Tab. 6E - Administracja'!G268+'Tab. 6G - Roln i ochrona środ.'!G144+'Tab. 6H - Kultura fiz. i turyst'!G261+'Tab.6I - Planow. przestrz.'!G104</f>
        <v>71726254</v>
      </c>
      <c r="E98" s="894">
        <f>'Tab. 6A -Drogi'!H659+'Tab. 6B Polit społ i rozwój prz'!H283+'Tab. 6D - Oświata'!H136+'Tab. 6E - Administracja'!H268+'Tab. 6G - Roln i ochrona środ.'!H144+'Tab. 6H - Kultura fiz. i turyst'!H261+'Tab.6I - Planow. przestrz.'!H104</f>
        <v>62250191</v>
      </c>
      <c r="F98" s="894">
        <f>'Tab. 6A -Drogi'!I659+'Tab. 6B Polit społ i rozwój prz'!I283+'Tab. 6D - Oświata'!I136+'Tab. 6E - Administracja'!I268+'Tab. 6G - Roln i ochrona środ.'!I144+'Tab. 6H - Kultura fiz. i turyst'!I261+'Tab.6I - Planow. przestrz.'!I104</f>
        <v>53699697</v>
      </c>
      <c r="G98" s="894">
        <f>'Tab. 6A -Drogi'!J659+'Tab. 6B Polit społ i rozwój prz'!J283+'Tab. 6D - Oświata'!J136+'Tab. 6E - Administracja'!J268+'Tab. 6G - Roln i ochrona środ.'!J144+'Tab. 6H - Kultura fiz. i turyst'!J261+'Tab.6I - Planow. przestrz.'!J104</f>
        <v>37678651</v>
      </c>
      <c r="H98" s="894">
        <f>'Tab. 6A -Drogi'!K659+'Tab. 6B Polit społ i rozwój prz'!K283+'Tab. 6D - Oświata'!K136+'Tab. 6E - Administracja'!K268+'Tab. 6G - Roln i ochrona środ.'!K144+'Tab. 6H - Kultura fiz. i turyst'!K261+'Tab.6I - Planow. przestrz.'!K104</f>
        <v>33981630</v>
      </c>
      <c r="I98" s="894">
        <f>'Tab. 6A -Drogi'!L659+'Tab. 6B Polit społ i rozwój prz'!L283+'Tab. 6D - Oświata'!L136+'Tab. 6E - Administracja'!L268+'Tab. 6G - Roln i ochrona środ.'!L144+'Tab. 6H - Kultura fiz. i turyst'!L261+'Tab.6I - Planow. przestrz.'!L104</f>
        <v>31998134</v>
      </c>
      <c r="J98" s="895">
        <f>B98+C98+D98+E98+F98+G98+H98+I98+2029435+2998719+2055406</f>
        <v>373016034</v>
      </c>
      <c r="K98" s="867"/>
      <c r="M98" s="1082">
        <f>'Tab. 6A -Drogi'!D659+'Tab. 6B Polit społ i rozwój prz'!D283+'Tab. 6D - Oświata'!D136+'Tab. 6E - Administracja'!D268+'Tab. 6G - Roln i ochrona środ.'!D144+'Tab. 6H - Kultura fiz. i turyst'!D261+'Tab.6I - Planow. przestrz.'!D104</f>
        <v>373016034</v>
      </c>
      <c r="N98" s="1083">
        <f>J98-M98</f>
        <v>0</v>
      </c>
      <c r="O98" s="1083"/>
    </row>
    <row r="99" spans="1:15" s="868" customFormat="1" ht="18" customHeight="1">
      <c r="A99" s="893" t="s">
        <v>41</v>
      </c>
      <c r="B99" s="894">
        <f>'Tab. 6A -Drogi'!E660+'Tab. 6B Polit społ i rozwój prz'!E284+'Tab. 6D - Oświata'!E137+'Tab. 6E - Administracja'!E269+'Tab. 6G - Roln i ochrona środ.'!E145+'Tab. 6H - Kultura fiz. i turyst'!E262+'Tab.6I - Planow. przestrz.'!E105</f>
        <v>35500624</v>
      </c>
      <c r="C99" s="894">
        <f>'Tab. 6A -Drogi'!F660+'Tab. 6B Polit społ i rozwój prz'!F284+'Tab. 6D - Oświata'!F137+'Tab. 6E - Administracja'!F269+'Tab. 6G - Roln i ochrona środ.'!F145+'Tab. 6H - Kultura fiz. i turyst'!F262+'Tab.6I - Planow. przestrz.'!F105</f>
        <v>180330949</v>
      </c>
      <c r="D99" s="894">
        <f>'Tab. 6A -Drogi'!G660+'Tab. 6B Polit społ i rozwój prz'!G284+'Tab. 6D - Oświata'!G137+'Tab. 6E - Administracja'!G269+'Tab. 6G - Roln i ochrona środ.'!G145+'Tab. 6H - Kultura fiz. i turyst'!G262+'Tab.6I - Planow. przestrz.'!G105</f>
        <v>430689783</v>
      </c>
      <c r="E99" s="894">
        <f>'Tab. 6A -Drogi'!H660+'Tab. 6B Polit społ i rozwój prz'!H284+'Tab. 6D - Oświata'!H137+'Tab. 6E - Administracja'!H269+'Tab. 6G - Roln i ochrona środ.'!H145+'Tab. 6H - Kultura fiz. i turyst'!H262+'Tab.6I - Planow. przestrz.'!H105</f>
        <v>133067599</v>
      </c>
      <c r="F99" s="894">
        <f>'Tab. 6A -Drogi'!I660+'Tab. 6B Polit społ i rozwój prz'!I284+'Tab. 6D - Oświata'!I137+'Tab. 6E - Administracja'!I269+'Tab. 6G - Roln i ochrona środ.'!I145+'Tab. 6H - Kultura fiz. i turyst'!I262+'Tab.6I - Planow. przestrz.'!I105</f>
        <v>42650328</v>
      </c>
      <c r="G99" s="894">
        <f>'Tab. 6A -Drogi'!J660+'Tab. 6B Polit społ i rozwój prz'!J284+'Tab. 6D - Oświata'!J137+'Tab. 6E - Administracja'!J269+'Tab. 6G - Roln i ochrona środ.'!J145+'Tab. 6H - Kultura fiz. i turyst'!J262+'Tab.6I - Planow. przestrz.'!J105</f>
        <v>5085893</v>
      </c>
      <c r="H99" s="894">
        <f>'Tab. 6A -Drogi'!K660+'Tab. 6B Polit społ i rozwój prz'!K284+'Tab. 6D - Oświata'!K137+'Tab. 6E - Administracja'!K269+'Tab. 6G - Roln i ochrona środ.'!K145+'Tab. 6H - Kultura fiz. i turyst'!K262+'Tab.6I - Planow. przestrz.'!K105</f>
        <v>144500</v>
      </c>
      <c r="I99" s="894">
        <f>'Tab. 6A -Drogi'!L660+'Tab. 6B Polit społ i rozwój prz'!L284+'Tab. 6D - Oświata'!L137+'Tab. 6E - Administracja'!L269+'Tab. 6G - Roln i ochrona środ.'!L145+'Tab. 6H - Kultura fiz. i turyst'!L262+'Tab.6I - Planow. przestrz.'!L105</f>
        <v>144500</v>
      </c>
      <c r="J99" s="895">
        <f>B99+C99+D99+E99+F99+G99+H99+I99+11590+299481</f>
        <v>827925247</v>
      </c>
      <c r="K99" s="867"/>
      <c r="L99" s="867"/>
      <c r="M99" s="1082">
        <f>'Tab. 6A -Drogi'!D660+'Tab. 6B Polit społ i rozwój prz'!D284+'Tab. 6E - Administracja'!D269+'Tab. 6G - Roln i ochrona środ.'!D145+'Tab. 6H - Kultura fiz. i turyst'!D262+'Tab.6I - Planow. przestrz.'!D105</f>
        <v>827925247</v>
      </c>
      <c r="N99" s="1083">
        <f>J99-M99</f>
        <v>0</v>
      </c>
      <c r="O99" s="1081"/>
    </row>
    <row r="100" spans="1:15" s="868" customFormat="1" ht="24" customHeight="1" thickBot="1">
      <c r="A100" s="888" t="s">
        <v>45</v>
      </c>
      <c r="B100" s="889">
        <f t="shared" ref="B100:J100" si="57">B86-B101</f>
        <v>0</v>
      </c>
      <c r="C100" s="889">
        <f>C86-C101</f>
        <v>0</v>
      </c>
      <c r="D100" s="889">
        <f t="shared" si="57"/>
        <v>0</v>
      </c>
      <c r="E100" s="889">
        <f t="shared" si="57"/>
        <v>0</v>
      </c>
      <c r="F100" s="889">
        <f>F86-F101</f>
        <v>0</v>
      </c>
      <c r="G100" s="889">
        <f t="shared" si="57"/>
        <v>0</v>
      </c>
      <c r="H100" s="889">
        <f t="shared" si="57"/>
        <v>0</v>
      </c>
      <c r="I100" s="889">
        <f t="shared" si="57"/>
        <v>0</v>
      </c>
      <c r="J100" s="889">
        <f t="shared" si="57"/>
        <v>0</v>
      </c>
      <c r="K100" s="867"/>
      <c r="L100" s="867"/>
      <c r="M100" s="1082"/>
      <c r="N100" s="1081"/>
      <c r="O100" s="1081"/>
    </row>
    <row r="101" spans="1:15" s="868" customFormat="1" ht="20.25" customHeight="1" thickBot="1">
      <c r="A101" s="890" t="s">
        <v>44</v>
      </c>
      <c r="B101" s="891">
        <f>B102+B103</f>
        <v>56764296</v>
      </c>
      <c r="C101" s="891">
        <f t="shared" ref="C101:J101" si="58">C102+C103</f>
        <v>49825689</v>
      </c>
      <c r="D101" s="891">
        <f t="shared" si="58"/>
        <v>35163420</v>
      </c>
      <c r="E101" s="891">
        <f t="shared" si="58"/>
        <v>46192916</v>
      </c>
      <c r="F101" s="891">
        <f t="shared" si="58"/>
        <v>41783393</v>
      </c>
      <c r="G101" s="891">
        <f t="shared" si="58"/>
        <v>5675073</v>
      </c>
      <c r="H101" s="891">
        <f>H102+H103</f>
        <v>1650729</v>
      </c>
      <c r="I101" s="891">
        <f>I102+I103</f>
        <v>0</v>
      </c>
      <c r="J101" s="892">
        <f t="shared" si="58"/>
        <v>237055516</v>
      </c>
      <c r="K101" s="881"/>
      <c r="L101" s="881"/>
      <c r="M101" s="892">
        <f t="shared" ref="M101:N101" si="59">M102+M103</f>
        <v>237055516</v>
      </c>
      <c r="N101" s="892">
        <f t="shared" si="59"/>
        <v>0</v>
      </c>
      <c r="O101" s="1081" t="s">
        <v>480</v>
      </c>
    </row>
    <row r="102" spans="1:15" s="868" customFormat="1" ht="19.5" customHeight="1" thickTop="1">
      <c r="A102" s="893" t="s">
        <v>40</v>
      </c>
      <c r="B102" s="894">
        <f>'Tab. 6A -Drogi'!E666+'Tab. 6F - Kultura'!E19</f>
        <v>56764296</v>
      </c>
      <c r="C102" s="894">
        <f>'Tab. 6A -Drogi'!F666+'Tab. 6F - Kultura'!F19</f>
        <v>47643689</v>
      </c>
      <c r="D102" s="894">
        <f>'Tab. 6A -Drogi'!G666+'Tab. 6F - Kultura'!G19</f>
        <v>34288420</v>
      </c>
      <c r="E102" s="894">
        <f>'Tab. 6A -Drogi'!H666+'Tab. 6F - Kultura'!H19</f>
        <v>46192916</v>
      </c>
      <c r="F102" s="894">
        <f>'Tab. 6A -Drogi'!I666+'Tab. 6F - Kultura'!I19</f>
        <v>41783393</v>
      </c>
      <c r="G102" s="894">
        <f>'Tab. 6A -Drogi'!J666+'Tab. 6F - Kultura'!J19</f>
        <v>5675073</v>
      </c>
      <c r="H102" s="894">
        <f>'Tab. 6A -Drogi'!K666+'Tab. 6F - Kultura'!K19</f>
        <v>1650729</v>
      </c>
      <c r="I102" s="894">
        <f>'Tab. 6A -Drogi'!L666+'Tab. 6F - Kultura'!L19</f>
        <v>0</v>
      </c>
      <c r="J102" s="895">
        <f>B102+C102+D102+E102+F102+G102+H102+I102</f>
        <v>233998516</v>
      </c>
      <c r="K102" s="881"/>
      <c r="L102" s="881"/>
      <c r="M102" s="1083">
        <f>'Tab. 6A -Drogi'!D531+'Tab. 6A -Drogi'!D593+'Tab. 6A -Drogi'!D638+'Tab. 6F - Kultura'!D19+'Tab. 6A -Drogi'!D566</f>
        <v>233998516</v>
      </c>
      <c r="N102" s="1083">
        <f>J102-M102</f>
        <v>0</v>
      </c>
      <c r="O102" s="1081"/>
    </row>
    <row r="103" spans="1:15" s="868" customFormat="1" ht="19.5" customHeight="1">
      <c r="A103" s="893" t="s">
        <v>41</v>
      </c>
      <c r="B103" s="894">
        <f>'Tab. 6A -Drogi'!E543+'Tab. 6A -Drogi'!E646+'Tab. 6C - Ochrona zdrowia'!E24+'Tab. 6G - Roln i ochrona środ.'!E126</f>
        <v>0</v>
      </c>
      <c r="C103" s="894">
        <f>'Tab. 6A -Drogi'!F543+'Tab. 6A -Drogi'!F646+'Tab. 6C - Ochrona zdrowia'!F24+'Tab. 6G - Roln i ochrona środ.'!F126</f>
        <v>2182000</v>
      </c>
      <c r="D103" s="894">
        <f>'Tab. 6A -Drogi'!G543+'Tab. 6A -Drogi'!G646+'Tab. 6C - Ochrona zdrowia'!G24+'Tab. 6G - Roln i ochrona środ.'!G126</f>
        <v>875000</v>
      </c>
      <c r="E103" s="894">
        <f>'Tab. 6A -Drogi'!H543+'Tab. 6A -Drogi'!H646+'Tab. 6C - Ochrona zdrowia'!H24+'Tab. 6G - Roln i ochrona środ.'!H126</f>
        <v>0</v>
      </c>
      <c r="F103" s="894">
        <f>'Tab. 6A -Drogi'!I543+'Tab. 6A -Drogi'!I646+'Tab. 6C - Ochrona zdrowia'!I24+'Tab. 6G - Roln i ochrona środ.'!I126</f>
        <v>0</v>
      </c>
      <c r="G103" s="894">
        <f>'Tab. 6A -Drogi'!J543+'Tab. 6A -Drogi'!J646+'Tab. 6C - Ochrona zdrowia'!J24+'Tab. 6G - Roln i ochrona środ.'!J126</f>
        <v>0</v>
      </c>
      <c r="H103" s="894">
        <f>'Tab. 6A -Drogi'!K543+'Tab. 6A -Drogi'!K646+'Tab. 6C - Ochrona zdrowia'!K24+'Tab. 6G - Roln i ochrona środ.'!K126</f>
        <v>0</v>
      </c>
      <c r="I103" s="894">
        <f>'Tab. 6A -Drogi'!L543+'Tab. 6A -Drogi'!L646+'Tab. 6C - Ochrona zdrowia'!L24+'Tab. 6G - Roln i ochrona środ.'!L126</f>
        <v>0</v>
      </c>
      <c r="J103" s="895">
        <f>B103+C103+D103+E103+F103+G103+H103+I103</f>
        <v>3057000</v>
      </c>
      <c r="K103" s="881"/>
      <c r="L103" s="881"/>
      <c r="M103" s="1083">
        <f>'Tab. 6A -Drogi'!D667+'Tab. 6C - Ochrona zdrowia'!D24+'Tab. 6G - Roln i ochrona środ.'!D126</f>
        <v>3057000</v>
      </c>
      <c r="N103" s="1083">
        <f>J103-M103</f>
        <v>0</v>
      </c>
      <c r="O103" s="1081"/>
    </row>
    <row r="104" spans="1:15" s="868" customFormat="1" ht="18" customHeight="1">
      <c r="A104" s="887"/>
      <c r="B104" s="886">
        <f>B101+B97-B91</f>
        <v>0</v>
      </c>
      <c r="C104" s="886">
        <f>C101+C97-C91</f>
        <v>0</v>
      </c>
      <c r="D104" s="886">
        <f t="shared" ref="D104:I104" si="60">D101+D97-D91</f>
        <v>0</v>
      </c>
      <c r="E104" s="886">
        <f t="shared" si="60"/>
        <v>0</v>
      </c>
      <c r="F104" s="886">
        <f t="shared" si="60"/>
        <v>0</v>
      </c>
      <c r="G104" s="886">
        <f t="shared" si="60"/>
        <v>0</v>
      </c>
      <c r="H104" s="886">
        <f t="shared" si="60"/>
        <v>0</v>
      </c>
      <c r="I104" s="886">
        <f t="shared" si="60"/>
        <v>0</v>
      </c>
      <c r="J104" s="886">
        <f>J101+J97-J91</f>
        <v>0</v>
      </c>
      <c r="K104" s="881"/>
      <c r="L104" s="881"/>
      <c r="M104" s="881"/>
    </row>
    <row r="105" spans="1:15" s="868" customFormat="1" ht="18" customHeight="1" thickBot="1">
      <c r="A105" s="896"/>
      <c r="B105" s="897"/>
      <c r="C105" s="897"/>
      <c r="D105" s="897"/>
      <c r="E105" s="897"/>
      <c r="F105" s="897"/>
      <c r="G105" s="897"/>
      <c r="H105" s="897"/>
      <c r="I105" s="897"/>
      <c r="J105" s="897"/>
      <c r="K105" s="881"/>
      <c r="L105" s="881"/>
      <c r="M105" s="881"/>
    </row>
    <row r="106" spans="1:15" s="868" customFormat="1" ht="18" customHeight="1">
      <c r="A106" s="865"/>
      <c r="B106" s="866">
        <f>+B85-B59</f>
        <v>0</v>
      </c>
      <c r="C106" s="866">
        <f>+C85-C59</f>
        <v>0</v>
      </c>
      <c r="D106" s="866">
        <f>+D85-D59</f>
        <v>0</v>
      </c>
      <c r="E106" s="866">
        <f t="shared" ref="E106:I106" si="61">+E85-E59</f>
        <v>0</v>
      </c>
      <c r="F106" s="866">
        <f>+F85-F59</f>
        <v>0</v>
      </c>
      <c r="G106" s="866">
        <f t="shared" si="61"/>
        <v>0</v>
      </c>
      <c r="H106" s="866">
        <f t="shared" si="61"/>
        <v>0</v>
      </c>
      <c r="I106" s="866">
        <f t="shared" si="61"/>
        <v>0</v>
      </c>
      <c r="J106" s="866">
        <f>+J85-J59</f>
        <v>0</v>
      </c>
      <c r="K106" s="866"/>
      <c r="L106" s="866"/>
      <c r="M106" s="881"/>
    </row>
    <row r="107" spans="1:15" s="868" customFormat="1" ht="18" customHeight="1" thickBot="1">
      <c r="A107" s="865"/>
      <c r="B107" s="866">
        <f t="shared" ref="B107:I107" si="62">B12+B59</f>
        <v>496671263</v>
      </c>
      <c r="C107" s="866">
        <f t="shared" si="62"/>
        <v>451982254</v>
      </c>
      <c r="D107" s="866">
        <f t="shared" si="62"/>
        <v>820844730</v>
      </c>
      <c r="E107" s="866">
        <f t="shared" si="62"/>
        <v>506785256</v>
      </c>
      <c r="F107" s="866">
        <f t="shared" si="62"/>
        <v>328327455</v>
      </c>
      <c r="G107" s="866">
        <f t="shared" si="62"/>
        <v>69666665</v>
      </c>
      <c r="H107" s="866">
        <f t="shared" si="62"/>
        <v>45548327</v>
      </c>
      <c r="I107" s="866">
        <f t="shared" si="62"/>
        <v>40488047</v>
      </c>
      <c r="J107" s="866">
        <f>J12+J59</f>
        <v>2794621444</v>
      </c>
      <c r="K107" s="866"/>
      <c r="L107" s="866"/>
      <c r="M107" s="881"/>
    </row>
    <row r="108" spans="1:15" s="868" customFormat="1" ht="16.5" customHeight="1" thickBot="1">
      <c r="A108" s="865"/>
      <c r="B108" s="1937" t="s">
        <v>533</v>
      </c>
      <c r="C108" s="1938" t="s">
        <v>5</v>
      </c>
      <c r="D108" s="1519" t="s">
        <v>6</v>
      </c>
      <c r="E108" s="1506" t="s">
        <v>214</v>
      </c>
      <c r="F108" s="1939" t="s">
        <v>216</v>
      </c>
      <c r="G108" s="1939" t="s">
        <v>260</v>
      </c>
      <c r="H108" s="1939" t="s">
        <v>261</v>
      </c>
      <c r="I108" s="1939" t="s">
        <v>259</v>
      </c>
      <c r="J108" s="1940" t="s">
        <v>46</v>
      </c>
      <c r="K108" s="1940" t="s">
        <v>459</v>
      </c>
      <c r="L108" s="1940" t="s">
        <v>603</v>
      </c>
      <c r="M108" s="881"/>
    </row>
    <row r="109" spans="1:15" s="868" customFormat="1" ht="18" hidden="1" customHeight="1">
      <c r="A109" s="865"/>
      <c r="B109" s="866"/>
      <c r="C109" s="866"/>
      <c r="D109" s="1520"/>
      <c r="E109" s="866"/>
      <c r="F109" s="866"/>
      <c r="G109" s="866"/>
      <c r="H109" s="866"/>
      <c r="I109" s="866"/>
      <c r="J109" s="866"/>
      <c r="K109" s="900"/>
      <c r="L109" s="900"/>
      <c r="M109" s="881"/>
    </row>
    <row r="110" spans="1:15" s="868" customFormat="1" ht="18" hidden="1" customHeight="1">
      <c r="A110" s="865"/>
      <c r="B110" s="866"/>
      <c r="C110" s="866"/>
      <c r="D110" s="1520"/>
      <c r="E110" s="866"/>
      <c r="F110" s="866"/>
      <c r="G110" s="866"/>
      <c r="H110" s="866"/>
      <c r="I110" s="866"/>
      <c r="J110" s="866"/>
      <c r="K110" s="900"/>
      <c r="L110" s="900"/>
      <c r="M110" s="881"/>
    </row>
    <row r="111" spans="1:15" s="415" customFormat="1" ht="12.75" hidden="1" customHeight="1">
      <c r="A111" s="844"/>
      <c r="B111" s="814"/>
      <c r="C111" s="814">
        <f t="shared" ref="C111:D112" si="63">+C13+C60</f>
        <v>185706925</v>
      </c>
      <c r="D111" s="1337">
        <f t="shared" si="63"/>
        <v>251297447</v>
      </c>
      <c r="E111" s="814"/>
      <c r="F111" s="814"/>
      <c r="G111" s="814"/>
      <c r="H111" s="814"/>
      <c r="I111" s="814"/>
      <c r="J111" s="814"/>
      <c r="M111" s="832"/>
    </row>
    <row r="112" spans="1:15" s="415" customFormat="1" ht="28.5" hidden="1" customHeight="1">
      <c r="A112" s="901"/>
      <c r="B112" s="902"/>
      <c r="C112" s="902">
        <f t="shared" si="63"/>
        <v>266275329</v>
      </c>
      <c r="D112" s="1521">
        <f t="shared" si="63"/>
        <v>569547283</v>
      </c>
      <c r="E112" s="902"/>
      <c r="F112" s="902"/>
      <c r="G112" s="902"/>
      <c r="H112" s="902"/>
      <c r="I112" s="902"/>
      <c r="J112" s="901"/>
      <c r="K112" s="901"/>
      <c r="L112" s="901"/>
      <c r="M112" s="832"/>
    </row>
    <row r="113" spans="1:15" s="415" customFormat="1" ht="8.25" hidden="1" customHeight="1" thickBot="1">
      <c r="A113" s="844"/>
      <c r="B113" s="814"/>
      <c r="C113" s="814"/>
      <c r="D113" s="1337"/>
      <c r="E113" s="814"/>
      <c r="F113" s="814"/>
      <c r="G113" s="814"/>
      <c r="H113" s="814"/>
      <c r="I113" s="814"/>
      <c r="J113" s="814"/>
      <c r="M113" s="832"/>
    </row>
    <row r="114" spans="1:15" s="415" customFormat="1" ht="12.75" hidden="1" customHeight="1">
      <c r="A114" s="844"/>
      <c r="B114" s="903"/>
      <c r="C114" s="904">
        <f t="shared" ref="C114:J114" si="64">+C115+C116</f>
        <v>451982254</v>
      </c>
      <c r="D114" s="1522">
        <f>+D115+D116</f>
        <v>820844730</v>
      </c>
      <c r="E114" s="904"/>
      <c r="F114" s="904"/>
      <c r="G114" s="904"/>
      <c r="H114" s="904"/>
      <c r="I114" s="904"/>
      <c r="J114" s="903">
        <f t="shared" si="64"/>
        <v>2794621444</v>
      </c>
      <c r="K114" s="905"/>
      <c r="L114" s="905"/>
      <c r="M114" s="832"/>
    </row>
    <row r="115" spans="1:15" s="415" customFormat="1" ht="12.75" hidden="1" customHeight="1">
      <c r="A115" s="844"/>
      <c r="B115" s="906"/>
      <c r="C115" s="907">
        <f t="shared" ref="C115:D116" si="65">+C13+C60</f>
        <v>185706925</v>
      </c>
      <c r="D115" s="1523">
        <f t="shared" si="65"/>
        <v>251297447</v>
      </c>
      <c r="E115" s="907"/>
      <c r="F115" s="907"/>
      <c r="G115" s="907"/>
      <c r="H115" s="907"/>
      <c r="I115" s="907"/>
      <c r="J115" s="906">
        <f>+J13+J60</f>
        <v>1458862836</v>
      </c>
      <c r="K115" s="908"/>
      <c r="L115" s="908"/>
      <c r="M115" s="832"/>
    </row>
    <row r="116" spans="1:15" s="415" customFormat="1" ht="12.75" hidden="1" customHeight="1" thickBot="1">
      <c r="A116" s="844"/>
      <c r="B116" s="909"/>
      <c r="C116" s="910">
        <f t="shared" si="65"/>
        <v>266275329</v>
      </c>
      <c r="D116" s="1524">
        <f t="shared" si="65"/>
        <v>569547283</v>
      </c>
      <c r="E116" s="910"/>
      <c r="F116" s="910"/>
      <c r="G116" s="910"/>
      <c r="H116" s="910"/>
      <c r="I116" s="910"/>
      <c r="J116" s="909">
        <f>+J14+J61</f>
        <v>1335758608</v>
      </c>
      <c r="K116" s="911"/>
      <c r="L116" s="911"/>
      <c r="M116" s="832"/>
    </row>
    <row r="117" spans="1:15" s="415" customFormat="1" ht="21.75" hidden="1" customHeight="1">
      <c r="A117" s="912" t="s">
        <v>47</v>
      </c>
      <c r="B117" s="913"/>
      <c r="C117" s="913">
        <f t="shared" ref="C117:J117" si="66">+C85+C48</f>
        <v>451982254</v>
      </c>
      <c r="D117" s="1525">
        <f t="shared" si="66"/>
        <v>820844730</v>
      </c>
      <c r="E117" s="913"/>
      <c r="F117" s="913"/>
      <c r="G117" s="913"/>
      <c r="H117" s="913"/>
      <c r="I117" s="913"/>
      <c r="J117" s="913">
        <f t="shared" si="66"/>
        <v>2794621444.3000002</v>
      </c>
      <c r="K117" s="914"/>
      <c r="L117" s="914"/>
      <c r="M117" s="832"/>
    </row>
    <row r="118" spans="1:15" s="415" customFormat="1" ht="9.75" hidden="1" customHeight="1">
      <c r="A118" s="912"/>
      <c r="B118" s="902"/>
      <c r="C118" s="902">
        <f t="shared" ref="C118:J118" si="67">+C117-C114</f>
        <v>0</v>
      </c>
      <c r="D118" s="1521">
        <f t="shared" si="67"/>
        <v>0</v>
      </c>
      <c r="E118" s="902"/>
      <c r="F118" s="902"/>
      <c r="G118" s="902"/>
      <c r="H118" s="902"/>
      <c r="I118" s="902"/>
      <c r="J118" s="902">
        <f t="shared" si="67"/>
        <v>0.30000019073486328</v>
      </c>
      <c r="K118" s="814"/>
      <c r="L118" s="814"/>
      <c r="M118" s="832"/>
    </row>
    <row r="119" spans="1:15" s="415" customFormat="1" ht="15.75" hidden="1" customHeight="1" thickBot="1">
      <c r="A119" s="912" t="s">
        <v>48</v>
      </c>
      <c r="B119" s="913"/>
      <c r="C119" s="913">
        <f t="shared" ref="C119:J119" si="68">+C86+C49</f>
        <v>270891649</v>
      </c>
      <c r="D119" s="1525">
        <f t="shared" si="68"/>
        <v>537579457</v>
      </c>
      <c r="E119" s="913"/>
      <c r="F119" s="913"/>
      <c r="G119" s="913"/>
      <c r="H119" s="913"/>
      <c r="I119" s="913"/>
      <c r="J119" s="913">
        <f t="shared" si="68"/>
        <v>1437996797</v>
      </c>
      <c r="K119" s="814"/>
      <c r="L119" s="814"/>
      <c r="M119" s="832"/>
    </row>
    <row r="120" spans="1:15" ht="1.5" customHeight="1">
      <c r="A120" s="3774" t="s">
        <v>740</v>
      </c>
      <c r="B120" s="915"/>
      <c r="C120" s="917"/>
      <c r="D120" s="1526"/>
      <c r="E120" s="916"/>
      <c r="F120" s="915"/>
      <c r="G120" s="915"/>
      <c r="H120" s="915"/>
      <c r="I120" s="915"/>
      <c r="J120" s="915"/>
      <c r="K120" s="917"/>
      <c r="L120" s="917"/>
      <c r="M120" s="1258"/>
      <c r="N120" s="783"/>
      <c r="O120" s="783"/>
    </row>
    <row r="121" spans="1:15" s="807" customFormat="1" ht="27.75" customHeight="1" thickBot="1">
      <c r="A121" s="3775"/>
      <c r="B121" s="918">
        <f>+B85+B48</f>
        <v>496671263.30000001</v>
      </c>
      <c r="C121" s="920">
        <f t="shared" ref="C121:J121" si="69">+C85+C48</f>
        <v>451982254</v>
      </c>
      <c r="D121" s="1527">
        <f t="shared" si="69"/>
        <v>820844730</v>
      </c>
      <c r="E121" s="919">
        <f t="shared" si="69"/>
        <v>506785256</v>
      </c>
      <c r="F121" s="918">
        <f t="shared" si="69"/>
        <v>328327455</v>
      </c>
      <c r="G121" s="918">
        <f>+G85+G48</f>
        <v>69666665</v>
      </c>
      <c r="H121" s="918">
        <f>+H85+H48</f>
        <v>45548327</v>
      </c>
      <c r="I121" s="918">
        <f>+I85+I48</f>
        <v>40488047</v>
      </c>
      <c r="J121" s="918">
        <f t="shared" si="69"/>
        <v>2794621444.3000002</v>
      </c>
      <c r="K121" s="920">
        <f>+K85+K48</f>
        <v>2297950181</v>
      </c>
      <c r="L121" s="920">
        <f>+L85+L48</f>
        <v>1845967927</v>
      </c>
      <c r="M121" s="246"/>
      <c r="N121" s="1941"/>
      <c r="O121" s="1941"/>
    </row>
    <row r="122" spans="1:15">
      <c r="A122" s="1" t="s">
        <v>49</v>
      </c>
      <c r="B122" s="2">
        <f t="shared" ref="B122:J122" si="70">+B18+B65+B27</f>
        <v>401944915.30000001</v>
      </c>
      <c r="C122" s="1486">
        <f t="shared" si="70"/>
        <v>175602821</v>
      </c>
      <c r="D122" s="1528">
        <f t="shared" si="70"/>
        <v>273293654</v>
      </c>
      <c r="E122" s="231">
        <f t="shared" si="70"/>
        <v>233093599</v>
      </c>
      <c r="F122" s="2">
        <f t="shared" si="70"/>
        <v>196356444</v>
      </c>
      <c r="G122" s="2">
        <f t="shared" si="70"/>
        <v>15533606</v>
      </c>
      <c r="H122" s="2">
        <f t="shared" si="70"/>
        <v>9800887</v>
      </c>
      <c r="I122" s="2">
        <f t="shared" si="70"/>
        <v>8706448</v>
      </c>
      <c r="J122" s="1942">
        <f t="shared" si="70"/>
        <v>1348639821.3</v>
      </c>
      <c r="K122" s="921">
        <f>+K18+K65+K27</f>
        <v>946694906</v>
      </c>
      <c r="L122" s="921">
        <f>+L18+L65+L27</f>
        <v>771092085</v>
      </c>
      <c r="M122" s="1258"/>
      <c r="N122" s="783"/>
      <c r="O122" s="783"/>
    </row>
    <row r="123" spans="1:15">
      <c r="A123" s="1" t="s">
        <v>50</v>
      </c>
      <c r="B123" s="1942">
        <f>+B68</f>
        <v>8217368</v>
      </c>
      <c r="C123" s="1943">
        <f t="shared" ref="C123:D123" si="71">+C68</f>
        <v>7874823</v>
      </c>
      <c r="D123" s="1529">
        <f t="shared" si="71"/>
        <v>21326692</v>
      </c>
      <c r="E123" s="1507">
        <f t="shared" ref="E123:L123" si="72">+E68</f>
        <v>64005701</v>
      </c>
      <c r="F123" s="1942">
        <f t="shared" si="72"/>
        <v>28482568</v>
      </c>
      <c r="G123" s="1942">
        <f t="shared" si="72"/>
        <v>16856220</v>
      </c>
      <c r="H123" s="1942">
        <f t="shared" si="72"/>
        <v>1472245</v>
      </c>
      <c r="I123" s="1942">
        <f t="shared" si="72"/>
        <v>0</v>
      </c>
      <c r="J123" s="1942">
        <f t="shared" si="72"/>
        <v>148235617</v>
      </c>
      <c r="K123" s="1944">
        <f t="shared" ref="K123" si="73">+K68</f>
        <v>140018249</v>
      </c>
      <c r="L123" s="1944">
        <f t="shared" si="72"/>
        <v>132143426</v>
      </c>
      <c r="M123" s="1258"/>
      <c r="N123" s="783"/>
      <c r="O123" s="783"/>
    </row>
    <row r="124" spans="1:15" ht="13.5" thickBot="1">
      <c r="A124" s="922" t="s">
        <v>13</v>
      </c>
      <c r="B124" s="1945">
        <f t="shared" ref="B124:L124" si="74">+B19+B70</f>
        <v>2982180</v>
      </c>
      <c r="C124" s="1491">
        <f t="shared" si="74"/>
        <v>25479231</v>
      </c>
      <c r="D124" s="1534">
        <f t="shared" si="74"/>
        <v>3918181</v>
      </c>
      <c r="E124" s="1946">
        <f t="shared" si="74"/>
        <v>4580479</v>
      </c>
      <c r="F124" s="1945">
        <f t="shared" si="74"/>
        <v>3783610</v>
      </c>
      <c r="G124" s="1945">
        <f t="shared" si="74"/>
        <v>1075392</v>
      </c>
      <c r="H124" s="1945">
        <f t="shared" si="74"/>
        <v>666312</v>
      </c>
      <c r="I124" s="1945">
        <f t="shared" si="74"/>
        <v>567846</v>
      </c>
      <c r="J124" s="1945">
        <f>+J19+J70</f>
        <v>43053231</v>
      </c>
      <c r="K124" s="1947">
        <f t="shared" ref="K124" si="75">+K19+K70</f>
        <v>40071051</v>
      </c>
      <c r="L124" s="1947">
        <f t="shared" si="74"/>
        <v>14591820</v>
      </c>
      <c r="M124" s="515"/>
      <c r="N124" s="1027"/>
      <c r="O124" s="1027"/>
    </row>
    <row r="125" spans="1:15">
      <c r="A125" s="1913" t="s">
        <v>51</v>
      </c>
      <c r="B125" s="1914">
        <f t="shared" ref="B125:L125" si="76">+B20+B72</f>
        <v>0</v>
      </c>
      <c r="C125" s="1915">
        <f t="shared" si="76"/>
        <v>0</v>
      </c>
      <c r="D125" s="1916">
        <f t="shared" si="76"/>
        <v>0</v>
      </c>
      <c r="E125" s="1917">
        <f t="shared" si="76"/>
        <v>0</v>
      </c>
      <c r="F125" s="1914">
        <f t="shared" si="76"/>
        <v>0</v>
      </c>
      <c r="G125" s="1914">
        <f t="shared" si="76"/>
        <v>0</v>
      </c>
      <c r="H125" s="1914">
        <f t="shared" si="76"/>
        <v>0</v>
      </c>
      <c r="I125" s="1914">
        <f t="shared" si="76"/>
        <v>0</v>
      </c>
      <c r="J125" s="1914">
        <f t="shared" si="76"/>
        <v>0</v>
      </c>
      <c r="K125" s="1918">
        <f t="shared" ref="K125" si="77">+K20+K72</f>
        <v>0</v>
      </c>
      <c r="L125" s="1918">
        <f t="shared" si="76"/>
        <v>0</v>
      </c>
      <c r="M125" s="212">
        <f>+J125+J130</f>
        <v>0</v>
      </c>
    </row>
    <row r="126" spans="1:15">
      <c r="A126" s="362" t="s">
        <v>15</v>
      </c>
      <c r="B126" s="3">
        <f t="shared" ref="B126:L126" si="78">+B21+B69</f>
        <v>14168595</v>
      </c>
      <c r="C126" s="1487">
        <f t="shared" si="78"/>
        <v>5739934</v>
      </c>
      <c r="D126" s="1529">
        <f t="shared" si="78"/>
        <v>10050285</v>
      </c>
      <c r="E126" s="1507">
        <f t="shared" si="78"/>
        <v>0</v>
      </c>
      <c r="F126" s="3">
        <f t="shared" si="78"/>
        <v>0</v>
      </c>
      <c r="G126" s="3">
        <f t="shared" si="78"/>
        <v>0</v>
      </c>
      <c r="H126" s="3">
        <f t="shared" si="78"/>
        <v>0</v>
      </c>
      <c r="I126" s="3">
        <f t="shared" si="78"/>
        <v>0</v>
      </c>
      <c r="J126" s="3">
        <f t="shared" si="78"/>
        <v>29958814</v>
      </c>
      <c r="K126" s="1160">
        <f t="shared" ref="K126" si="79">+K21+K69</f>
        <v>15790219</v>
      </c>
      <c r="L126" s="1160">
        <f t="shared" si="78"/>
        <v>10050285</v>
      </c>
    </row>
    <row r="127" spans="1:15">
      <c r="A127" s="362" t="s">
        <v>52</v>
      </c>
      <c r="B127" s="3">
        <f t="shared" ref="B127:L127" si="80">+B22+B66</f>
        <v>0</v>
      </c>
      <c r="C127" s="1487">
        <f t="shared" si="80"/>
        <v>10103578</v>
      </c>
      <c r="D127" s="1529">
        <f t="shared" si="80"/>
        <v>25042763</v>
      </c>
      <c r="E127" s="1507">
        <f t="shared" si="80"/>
        <v>14120000</v>
      </c>
      <c r="F127" s="3">
        <f t="shared" si="80"/>
        <v>14182860</v>
      </c>
      <c r="G127" s="3">
        <f t="shared" si="80"/>
        <v>0</v>
      </c>
      <c r="H127" s="3">
        <f t="shared" si="80"/>
        <v>0</v>
      </c>
      <c r="I127" s="3">
        <f t="shared" si="80"/>
        <v>0</v>
      </c>
      <c r="J127" s="1249">
        <f>+J22+J66</f>
        <v>63449201</v>
      </c>
      <c r="K127" s="1160">
        <f t="shared" ref="K127" si="81">+K22+K66</f>
        <v>63449201</v>
      </c>
      <c r="L127" s="1160">
        <f t="shared" si="80"/>
        <v>53345623</v>
      </c>
    </row>
    <row r="128" spans="1:15">
      <c r="A128" s="362" t="s">
        <v>20</v>
      </c>
      <c r="B128" s="3">
        <f t="shared" ref="B128:L128" si="82">+B29</f>
        <v>770242</v>
      </c>
      <c r="C128" s="1487">
        <f t="shared" si="82"/>
        <v>1000275</v>
      </c>
      <c r="D128" s="1529">
        <f t="shared" si="82"/>
        <v>1351780</v>
      </c>
      <c r="E128" s="1507">
        <f t="shared" si="82"/>
        <v>432771</v>
      </c>
      <c r="F128" s="3">
        <f t="shared" si="82"/>
        <v>287278</v>
      </c>
      <c r="G128" s="3">
        <f t="shared" si="82"/>
        <v>0</v>
      </c>
      <c r="H128" s="3">
        <f t="shared" si="82"/>
        <v>0</v>
      </c>
      <c r="I128" s="3">
        <f t="shared" si="82"/>
        <v>0</v>
      </c>
      <c r="J128" s="1249">
        <f t="shared" si="82"/>
        <v>3842346</v>
      </c>
      <c r="K128" s="1160">
        <f t="shared" ref="K128" si="83">+K29</f>
        <v>3072104</v>
      </c>
      <c r="L128" s="1160">
        <f t="shared" si="82"/>
        <v>2071829</v>
      </c>
    </row>
    <row r="129" spans="1:13">
      <c r="A129" s="362" t="s">
        <v>17</v>
      </c>
      <c r="B129" s="3">
        <f t="shared" ref="B129:L129" si="84">+B24</f>
        <v>0</v>
      </c>
      <c r="C129" s="1487">
        <f t="shared" si="84"/>
        <v>0</v>
      </c>
      <c r="D129" s="1529">
        <f t="shared" si="84"/>
        <v>5013000</v>
      </c>
      <c r="E129" s="1507">
        <f t="shared" si="84"/>
        <v>0</v>
      </c>
      <c r="F129" s="3">
        <f t="shared" si="84"/>
        <v>0</v>
      </c>
      <c r="G129" s="3">
        <f t="shared" si="84"/>
        <v>0</v>
      </c>
      <c r="H129" s="3">
        <f t="shared" si="84"/>
        <v>0</v>
      </c>
      <c r="I129" s="3">
        <f t="shared" si="84"/>
        <v>0</v>
      </c>
      <c r="J129" s="3">
        <f t="shared" si="84"/>
        <v>5013000</v>
      </c>
      <c r="K129" s="1160">
        <f t="shared" ref="K129" si="85">+K24</f>
        <v>5013000</v>
      </c>
      <c r="L129" s="1160">
        <f t="shared" si="84"/>
        <v>5013000</v>
      </c>
    </row>
    <row r="130" spans="1:13" ht="22.5" customHeight="1">
      <c r="A130" s="362" t="s">
        <v>53</v>
      </c>
      <c r="B130" s="3">
        <f t="shared" ref="B130:L130" si="86">+B30</f>
        <v>0</v>
      </c>
      <c r="C130" s="1487">
        <f t="shared" si="86"/>
        <v>0</v>
      </c>
      <c r="D130" s="1529">
        <f t="shared" si="86"/>
        <v>0</v>
      </c>
      <c r="E130" s="1507">
        <f t="shared" si="86"/>
        <v>0</v>
      </c>
      <c r="F130" s="3">
        <f t="shared" si="86"/>
        <v>0</v>
      </c>
      <c r="G130" s="3">
        <f t="shared" si="86"/>
        <v>0</v>
      </c>
      <c r="H130" s="3">
        <f t="shared" si="86"/>
        <v>0</v>
      </c>
      <c r="I130" s="3">
        <f t="shared" si="86"/>
        <v>0</v>
      </c>
      <c r="J130" s="3">
        <f t="shared" si="86"/>
        <v>0</v>
      </c>
      <c r="K130" s="1160">
        <f t="shared" ref="K130" si="87">+K30</f>
        <v>0</v>
      </c>
      <c r="L130" s="1160">
        <f t="shared" si="86"/>
        <v>0</v>
      </c>
    </row>
    <row r="131" spans="1:13" ht="16.5" customHeight="1">
      <c r="A131" s="362" t="s">
        <v>19</v>
      </c>
      <c r="B131" s="3">
        <f t="shared" ref="B131:L131" si="88">+B28</f>
        <v>0</v>
      </c>
      <c r="C131" s="1487">
        <f t="shared" si="88"/>
        <v>0</v>
      </c>
      <c r="D131" s="1529">
        <f t="shared" si="88"/>
        <v>0</v>
      </c>
      <c r="E131" s="1507">
        <f t="shared" si="88"/>
        <v>0</v>
      </c>
      <c r="F131" s="3">
        <f t="shared" si="88"/>
        <v>0</v>
      </c>
      <c r="G131" s="3">
        <f t="shared" si="88"/>
        <v>0</v>
      </c>
      <c r="H131" s="3">
        <f t="shared" si="88"/>
        <v>0</v>
      </c>
      <c r="I131" s="3">
        <f t="shared" si="88"/>
        <v>0</v>
      </c>
      <c r="J131" s="3">
        <f t="shared" si="88"/>
        <v>0</v>
      </c>
      <c r="K131" s="1161">
        <f t="shared" ref="K131" si="89">+K28</f>
        <v>0</v>
      </c>
      <c r="L131" s="1161">
        <f t="shared" si="88"/>
        <v>0</v>
      </c>
    </row>
    <row r="132" spans="1:13" ht="13.5" thickBot="1">
      <c r="A132" s="922" t="s">
        <v>21</v>
      </c>
      <c r="B132" s="5">
        <f t="shared" ref="B132:L132" si="90">+B31</f>
        <v>68587963</v>
      </c>
      <c r="C132" s="1488">
        <f t="shared" si="90"/>
        <v>226181592</v>
      </c>
      <c r="D132" s="1530">
        <f t="shared" si="90"/>
        <v>480848375</v>
      </c>
      <c r="E132" s="1508">
        <f t="shared" si="90"/>
        <v>190552706</v>
      </c>
      <c r="F132" s="5">
        <f t="shared" si="90"/>
        <v>85234695</v>
      </c>
      <c r="G132" s="5">
        <f t="shared" si="90"/>
        <v>36201447</v>
      </c>
      <c r="H132" s="5">
        <f t="shared" si="90"/>
        <v>33608883</v>
      </c>
      <c r="I132" s="5">
        <f t="shared" si="90"/>
        <v>31213753</v>
      </c>
      <c r="J132" s="5">
        <f t="shared" si="90"/>
        <v>1152429414</v>
      </c>
      <c r="K132" s="1162">
        <f t="shared" ref="K132" si="91">+K31</f>
        <v>1083841451</v>
      </c>
      <c r="L132" s="1162">
        <f t="shared" si="90"/>
        <v>857659859</v>
      </c>
    </row>
    <row r="133" spans="1:13" s="807" customFormat="1" ht="18" customHeight="1">
      <c r="A133" s="923"/>
      <c r="B133" s="925">
        <f t="shared" ref="B133:L133" si="92">SUM(B122:B132)</f>
        <v>496671263.30000001</v>
      </c>
      <c r="C133" s="924">
        <f t="shared" si="92"/>
        <v>451982254</v>
      </c>
      <c r="D133" s="1531">
        <f t="shared" si="92"/>
        <v>820844730</v>
      </c>
      <c r="E133" s="924">
        <f t="shared" si="92"/>
        <v>506785256</v>
      </c>
      <c r="F133" s="924">
        <f t="shared" si="92"/>
        <v>328327455</v>
      </c>
      <c r="G133" s="924">
        <f t="shared" si="92"/>
        <v>69666665</v>
      </c>
      <c r="H133" s="924">
        <f t="shared" si="92"/>
        <v>45548327</v>
      </c>
      <c r="I133" s="924">
        <f t="shared" si="92"/>
        <v>40488047</v>
      </c>
      <c r="J133" s="924">
        <f t="shared" si="92"/>
        <v>2794621444.3000002</v>
      </c>
      <c r="K133" s="924">
        <f t="shared" ref="K133" si="93">SUM(K122:K132)</f>
        <v>2297950181</v>
      </c>
      <c r="L133" s="924">
        <f t="shared" si="92"/>
        <v>1845967927</v>
      </c>
      <c r="M133" s="214"/>
    </row>
    <row r="134" spans="1:13" ht="18" customHeight="1" thickBot="1">
      <c r="A134" s="926"/>
      <c r="B134" s="927">
        <f t="shared" ref="B134:I134" si="94">+B133-B88</f>
        <v>0.30000001192092896</v>
      </c>
      <c r="C134" s="927">
        <f t="shared" si="94"/>
        <v>0</v>
      </c>
      <c r="D134" s="1984">
        <f>+D133-D88</f>
        <v>0</v>
      </c>
      <c r="E134" s="1985">
        <f t="shared" si="94"/>
        <v>0</v>
      </c>
      <c r="F134" s="1985">
        <f t="shared" si="94"/>
        <v>0</v>
      </c>
      <c r="G134" s="1985">
        <f t="shared" si="94"/>
        <v>0</v>
      </c>
      <c r="H134" s="927">
        <f t="shared" si="94"/>
        <v>0</v>
      </c>
      <c r="I134" s="927">
        <f t="shared" si="94"/>
        <v>0</v>
      </c>
      <c r="J134" s="927">
        <f>+J133-J88</f>
        <v>0.30000019073486328</v>
      </c>
      <c r="K134" s="927"/>
      <c r="L134" s="927"/>
    </row>
    <row r="135" spans="1:13" ht="30" customHeight="1" thickBot="1">
      <c r="A135" s="928" t="s">
        <v>741</v>
      </c>
      <c r="B135" s="929">
        <f>+B86+B49</f>
        <v>126127826</v>
      </c>
      <c r="C135" s="1489">
        <f t="shared" ref="C135:I135" si="95">+C86+C49</f>
        <v>270891649</v>
      </c>
      <c r="D135" s="1532">
        <f t="shared" si="95"/>
        <v>537579457</v>
      </c>
      <c r="E135" s="930">
        <f t="shared" si="95"/>
        <v>241510706</v>
      </c>
      <c r="F135" s="929">
        <f t="shared" si="95"/>
        <v>138133418</v>
      </c>
      <c r="G135" s="929">
        <f t="shared" si="95"/>
        <v>48439617</v>
      </c>
      <c r="H135" s="929">
        <f t="shared" si="95"/>
        <v>35776859</v>
      </c>
      <c r="I135" s="929">
        <f t="shared" si="95"/>
        <v>32142634</v>
      </c>
      <c r="J135" s="929">
        <f>+J86+J49</f>
        <v>1437996797</v>
      </c>
      <c r="K135" s="931" t="s">
        <v>23</v>
      </c>
      <c r="L135" s="931" t="s">
        <v>23</v>
      </c>
    </row>
    <row r="136" spans="1:13" ht="14.25" customHeight="1">
      <c r="A136" s="1" t="s">
        <v>54</v>
      </c>
      <c r="B136" s="231">
        <f>+B35</f>
        <v>0</v>
      </c>
      <c r="C136" s="1486">
        <f t="shared" ref="C136:L136" si="96">+C35</f>
        <v>0</v>
      </c>
      <c r="D136" s="1528">
        <f t="shared" si="96"/>
        <v>0</v>
      </c>
      <c r="E136" s="231">
        <f>+E35</f>
        <v>0</v>
      </c>
      <c r="F136" s="2">
        <f t="shared" si="96"/>
        <v>0</v>
      </c>
      <c r="G136" s="2">
        <f t="shared" si="96"/>
        <v>0</v>
      </c>
      <c r="H136" s="2">
        <f t="shared" si="96"/>
        <v>0</v>
      </c>
      <c r="I136" s="2">
        <f t="shared" si="96"/>
        <v>0</v>
      </c>
      <c r="J136" s="932">
        <f t="shared" si="96"/>
        <v>0</v>
      </c>
      <c r="K136" s="2">
        <f t="shared" ref="K136" si="97">+K35</f>
        <v>0</v>
      </c>
      <c r="L136" s="2">
        <f t="shared" si="96"/>
        <v>0</v>
      </c>
    </row>
    <row r="137" spans="1:13" ht="14.25" customHeight="1">
      <c r="A137" s="362" t="s">
        <v>13</v>
      </c>
      <c r="B137" s="4">
        <f t="shared" ref="B137:L137" si="98">+B77+B34</f>
        <v>2951841</v>
      </c>
      <c r="C137" s="1487">
        <f t="shared" si="98"/>
        <v>25461540</v>
      </c>
      <c r="D137" s="1529">
        <f t="shared" si="98"/>
        <v>3923877</v>
      </c>
      <c r="E137" s="1507">
        <f t="shared" si="98"/>
        <v>4595448</v>
      </c>
      <c r="F137" s="3">
        <f t="shared" si="98"/>
        <v>3783610</v>
      </c>
      <c r="G137" s="3">
        <f t="shared" si="98"/>
        <v>1102757</v>
      </c>
      <c r="H137" s="3">
        <f t="shared" si="98"/>
        <v>666312</v>
      </c>
      <c r="I137" s="3">
        <f t="shared" si="98"/>
        <v>567846</v>
      </c>
      <c r="J137" s="933">
        <f t="shared" si="98"/>
        <v>43053231</v>
      </c>
      <c r="K137" s="3">
        <f t="shared" ref="K137" si="99">+K77+K34</f>
        <v>0</v>
      </c>
      <c r="L137" s="3">
        <f t="shared" si="98"/>
        <v>0</v>
      </c>
    </row>
    <row r="138" spans="1:13" ht="14.25" customHeight="1">
      <c r="A138" s="362" t="s">
        <v>15</v>
      </c>
      <c r="B138" s="4">
        <f t="shared" ref="B138:L138" si="100">+B37+B78</f>
        <v>14168595</v>
      </c>
      <c r="C138" s="1487">
        <f t="shared" si="100"/>
        <v>5739934</v>
      </c>
      <c r="D138" s="1529">
        <f t="shared" si="100"/>
        <v>10050285</v>
      </c>
      <c r="E138" s="1507">
        <f t="shared" si="100"/>
        <v>0</v>
      </c>
      <c r="F138" s="3">
        <f t="shared" si="100"/>
        <v>0</v>
      </c>
      <c r="G138" s="3">
        <f t="shared" si="100"/>
        <v>0</v>
      </c>
      <c r="H138" s="3">
        <f t="shared" si="100"/>
        <v>0</v>
      </c>
      <c r="I138" s="3">
        <f t="shared" si="100"/>
        <v>0</v>
      </c>
      <c r="J138" s="933">
        <f t="shared" si="100"/>
        <v>29958814</v>
      </c>
      <c r="K138" s="3">
        <f t="shared" ref="K138" si="101">+K37+K78</f>
        <v>0</v>
      </c>
      <c r="L138" s="3">
        <f t="shared" si="100"/>
        <v>0</v>
      </c>
    </row>
    <row r="139" spans="1:13" ht="14.25" customHeight="1">
      <c r="A139" s="362" t="s">
        <v>52</v>
      </c>
      <c r="B139" s="4">
        <f t="shared" ref="B139:L139" si="102">+B38+B79</f>
        <v>28772061</v>
      </c>
      <c r="C139" s="1487">
        <f t="shared" si="102"/>
        <v>8519285</v>
      </c>
      <c r="D139" s="1529">
        <f t="shared" si="102"/>
        <v>9319285</v>
      </c>
      <c r="E139" s="1507">
        <f t="shared" si="102"/>
        <v>8419285</v>
      </c>
      <c r="F139" s="3">
        <f t="shared" si="102"/>
        <v>8419285</v>
      </c>
      <c r="G139" s="3">
        <f t="shared" si="102"/>
        <v>0</v>
      </c>
      <c r="H139" s="3">
        <f t="shared" si="102"/>
        <v>0</v>
      </c>
      <c r="I139" s="3">
        <f t="shared" si="102"/>
        <v>0</v>
      </c>
      <c r="J139" s="933">
        <f t="shared" si="102"/>
        <v>63449201</v>
      </c>
      <c r="K139" s="3">
        <f t="shared" ref="K139" si="103">+K38+K79</f>
        <v>0</v>
      </c>
      <c r="L139" s="3">
        <f t="shared" si="102"/>
        <v>0</v>
      </c>
    </row>
    <row r="140" spans="1:13" ht="14.25" customHeight="1">
      <c r="A140" s="1" t="s">
        <v>12</v>
      </c>
      <c r="B140" s="4">
        <f t="shared" ref="B140:L140" si="104">+B80</f>
        <v>23298471</v>
      </c>
      <c r="C140" s="1487">
        <f t="shared" si="104"/>
        <v>13980246</v>
      </c>
      <c r="D140" s="1529">
        <f t="shared" si="104"/>
        <v>24508533</v>
      </c>
      <c r="E140" s="1507">
        <f t="shared" si="104"/>
        <v>37773631</v>
      </c>
      <c r="F140" s="3">
        <f t="shared" si="104"/>
        <v>33364108</v>
      </c>
      <c r="G140" s="3">
        <f t="shared" si="104"/>
        <v>5675073</v>
      </c>
      <c r="H140" s="3">
        <f t="shared" si="104"/>
        <v>1650729</v>
      </c>
      <c r="I140" s="3">
        <f t="shared" si="104"/>
        <v>0</v>
      </c>
      <c r="J140" s="933">
        <f t="shared" si="104"/>
        <v>140250791</v>
      </c>
      <c r="K140" s="3">
        <f t="shared" ref="K140" si="105">+K80</f>
        <v>0</v>
      </c>
      <c r="L140" s="3">
        <f t="shared" si="104"/>
        <v>0</v>
      </c>
    </row>
    <row r="141" spans="1:13" ht="13.5" customHeight="1">
      <c r="A141" s="362" t="s">
        <v>55</v>
      </c>
      <c r="B141" s="4">
        <f t="shared" ref="B141:L141" si="106">+B81+B36</f>
        <v>0</v>
      </c>
      <c r="C141" s="1487">
        <f t="shared" si="106"/>
        <v>0</v>
      </c>
      <c r="D141" s="1529">
        <f t="shared" si="106"/>
        <v>0</v>
      </c>
      <c r="E141" s="1507">
        <f t="shared" si="106"/>
        <v>0</v>
      </c>
      <c r="F141" s="3">
        <f t="shared" si="106"/>
        <v>0</v>
      </c>
      <c r="G141" s="3">
        <f t="shared" si="106"/>
        <v>0</v>
      </c>
      <c r="H141" s="3">
        <f t="shared" si="106"/>
        <v>0</v>
      </c>
      <c r="I141" s="3">
        <f t="shared" si="106"/>
        <v>0</v>
      </c>
      <c r="J141" s="933">
        <f t="shared" si="106"/>
        <v>0</v>
      </c>
      <c r="K141" s="3">
        <f t="shared" ref="K141" si="107">+K81+K36</f>
        <v>0</v>
      </c>
      <c r="L141" s="3">
        <f t="shared" si="106"/>
        <v>0</v>
      </c>
    </row>
    <row r="142" spans="1:13" ht="12.75" customHeight="1">
      <c r="A142" s="362" t="s">
        <v>56</v>
      </c>
      <c r="B142" s="4">
        <f t="shared" ref="B142:L142" si="108">+B44</f>
        <v>0</v>
      </c>
      <c r="C142" s="1487">
        <f t="shared" si="108"/>
        <v>0</v>
      </c>
      <c r="D142" s="1529">
        <f t="shared" si="108"/>
        <v>0</v>
      </c>
      <c r="E142" s="1507">
        <f t="shared" si="108"/>
        <v>0</v>
      </c>
      <c r="F142" s="3">
        <f t="shared" si="108"/>
        <v>0</v>
      </c>
      <c r="G142" s="3">
        <f t="shared" si="108"/>
        <v>0</v>
      </c>
      <c r="H142" s="3">
        <f t="shared" si="108"/>
        <v>0</v>
      </c>
      <c r="I142" s="3">
        <f t="shared" si="108"/>
        <v>0</v>
      </c>
      <c r="J142" s="933">
        <f t="shared" si="108"/>
        <v>0</v>
      </c>
      <c r="K142" s="3">
        <f t="shared" ref="K142" si="109">+K44</f>
        <v>0</v>
      </c>
      <c r="L142" s="3">
        <f t="shared" si="108"/>
        <v>0</v>
      </c>
    </row>
    <row r="143" spans="1:13" ht="14.25" customHeight="1">
      <c r="A143" s="362" t="s">
        <v>17</v>
      </c>
      <c r="B143" s="4">
        <f t="shared" ref="B143:L143" si="110">+B42+B39</f>
        <v>0</v>
      </c>
      <c r="C143" s="1487">
        <f t="shared" si="110"/>
        <v>0</v>
      </c>
      <c r="D143" s="1529">
        <f t="shared" si="110"/>
        <v>5013000</v>
      </c>
      <c r="E143" s="1507">
        <f t="shared" si="110"/>
        <v>0</v>
      </c>
      <c r="F143" s="3">
        <f t="shared" si="110"/>
        <v>0</v>
      </c>
      <c r="G143" s="3">
        <f t="shared" si="110"/>
        <v>0</v>
      </c>
      <c r="H143" s="3">
        <f t="shared" si="110"/>
        <v>0</v>
      </c>
      <c r="I143" s="3">
        <f t="shared" si="110"/>
        <v>0</v>
      </c>
      <c r="J143" s="933">
        <f t="shared" si="110"/>
        <v>5013000</v>
      </c>
      <c r="K143" s="3">
        <f t="shared" ref="K143" si="111">+K42+K39</f>
        <v>0</v>
      </c>
      <c r="L143" s="3">
        <f t="shared" si="110"/>
        <v>0</v>
      </c>
    </row>
    <row r="144" spans="1:13" ht="21.75" customHeight="1">
      <c r="A144" s="362" t="s">
        <v>26</v>
      </c>
      <c r="B144" s="3">
        <f t="shared" ref="B144:L144" si="112">+B40</f>
        <v>0</v>
      </c>
      <c r="C144" s="1487">
        <f t="shared" si="112"/>
        <v>0</v>
      </c>
      <c r="D144" s="1529">
        <f t="shared" si="112"/>
        <v>0</v>
      </c>
      <c r="E144" s="1507">
        <f t="shared" si="112"/>
        <v>0</v>
      </c>
      <c r="F144" s="3">
        <f t="shared" si="112"/>
        <v>0</v>
      </c>
      <c r="G144" s="3">
        <f t="shared" si="112"/>
        <v>0</v>
      </c>
      <c r="H144" s="3">
        <f t="shared" si="112"/>
        <v>0</v>
      </c>
      <c r="I144" s="3">
        <f t="shared" si="112"/>
        <v>0</v>
      </c>
      <c r="J144" s="933">
        <f t="shared" si="112"/>
        <v>0</v>
      </c>
      <c r="K144" s="3">
        <f t="shared" ref="K144" si="113">+K40</f>
        <v>0</v>
      </c>
      <c r="L144" s="3">
        <f t="shared" si="112"/>
        <v>0</v>
      </c>
    </row>
    <row r="145" spans="1:15" ht="14.25" customHeight="1">
      <c r="A145" s="362" t="s">
        <v>20</v>
      </c>
      <c r="B145" s="4">
        <f t="shared" ref="B145:L145" si="114">+B45</f>
        <v>292115</v>
      </c>
      <c r="C145" s="1487">
        <f t="shared" si="114"/>
        <v>696268</v>
      </c>
      <c r="D145" s="1529">
        <f t="shared" si="114"/>
        <v>1231033</v>
      </c>
      <c r="E145" s="1507">
        <f t="shared" si="114"/>
        <v>1164505</v>
      </c>
      <c r="F145" s="3">
        <f t="shared" si="114"/>
        <v>376410</v>
      </c>
      <c r="G145" s="3">
        <f t="shared" si="114"/>
        <v>82015</v>
      </c>
      <c r="H145" s="3">
        <f t="shared" si="114"/>
        <v>0</v>
      </c>
      <c r="I145" s="3">
        <f t="shared" si="114"/>
        <v>0</v>
      </c>
      <c r="J145" s="933">
        <f t="shared" si="114"/>
        <v>3842346</v>
      </c>
      <c r="K145" s="3">
        <f t="shared" ref="K145" si="115">+K45</f>
        <v>0</v>
      </c>
      <c r="L145" s="3">
        <f t="shared" si="114"/>
        <v>0</v>
      </c>
    </row>
    <row r="146" spans="1:15" ht="14.25" customHeight="1">
      <c r="A146" s="934" t="s">
        <v>19</v>
      </c>
      <c r="B146" s="238">
        <f t="shared" ref="B146:L146" si="116">+B43</f>
        <v>0</v>
      </c>
      <c r="C146" s="1490">
        <f t="shared" si="116"/>
        <v>0</v>
      </c>
      <c r="D146" s="1533">
        <f t="shared" si="116"/>
        <v>0</v>
      </c>
      <c r="E146" s="1509">
        <f t="shared" si="116"/>
        <v>0</v>
      </c>
      <c r="F146" s="238">
        <f t="shared" si="116"/>
        <v>0</v>
      </c>
      <c r="G146" s="238">
        <f t="shared" si="116"/>
        <v>0</v>
      </c>
      <c r="H146" s="238">
        <f t="shared" si="116"/>
        <v>0</v>
      </c>
      <c r="I146" s="238">
        <f t="shared" si="116"/>
        <v>0</v>
      </c>
      <c r="J146" s="933">
        <f t="shared" si="116"/>
        <v>0</v>
      </c>
      <c r="K146" s="238">
        <f t="shared" ref="K146" si="117">+K43</f>
        <v>0</v>
      </c>
      <c r="L146" s="238">
        <f t="shared" si="116"/>
        <v>0</v>
      </c>
    </row>
    <row r="147" spans="1:15" ht="14.25" customHeight="1" thickBot="1">
      <c r="A147" s="922" t="s">
        <v>21</v>
      </c>
      <c r="B147" s="936">
        <f t="shared" ref="B147:L147" si="118">+B46</f>
        <v>56644743</v>
      </c>
      <c r="C147" s="1491">
        <f t="shared" si="118"/>
        <v>216494376</v>
      </c>
      <c r="D147" s="1534">
        <f t="shared" si="118"/>
        <v>483533444</v>
      </c>
      <c r="E147" s="1510">
        <f t="shared" si="118"/>
        <v>189557837</v>
      </c>
      <c r="F147" s="935">
        <f t="shared" si="118"/>
        <v>92190005</v>
      </c>
      <c r="G147" s="935">
        <f t="shared" si="118"/>
        <v>41579772</v>
      </c>
      <c r="H147" s="935">
        <f t="shared" si="118"/>
        <v>33459818</v>
      </c>
      <c r="I147" s="935">
        <f t="shared" si="118"/>
        <v>31574788</v>
      </c>
      <c r="J147" s="937">
        <f t="shared" si="118"/>
        <v>1152429414</v>
      </c>
      <c r="K147" s="935">
        <f t="shared" ref="K147" si="119">+K46</f>
        <v>0</v>
      </c>
      <c r="L147" s="935">
        <f t="shared" si="118"/>
        <v>0</v>
      </c>
    </row>
    <row r="148" spans="1:15" ht="14.25" customHeight="1">
      <c r="A148" s="938"/>
      <c r="B148" s="939">
        <f>SUM(B136:B147)</f>
        <v>126127826</v>
      </c>
      <c r="C148" s="939">
        <f t="shared" ref="C148:J148" si="120">SUM(C136:C147)</f>
        <v>270891649</v>
      </c>
      <c r="D148" s="1535">
        <f t="shared" si="120"/>
        <v>537579457</v>
      </c>
      <c r="E148" s="939">
        <f>SUM(E136:E147)</f>
        <v>241510706</v>
      </c>
      <c r="F148" s="939">
        <f>SUM(F136:F147)</f>
        <v>138133418</v>
      </c>
      <c r="G148" s="939">
        <f t="shared" ref="G148:I148" si="121">SUM(G136:G147)</f>
        <v>48439617</v>
      </c>
      <c r="H148" s="939">
        <f t="shared" si="121"/>
        <v>35776859</v>
      </c>
      <c r="I148" s="939">
        <f t="shared" si="121"/>
        <v>32142634</v>
      </c>
      <c r="J148" s="939">
        <f t="shared" si="120"/>
        <v>1437996797</v>
      </c>
      <c r="K148" s="939">
        <f>SUM(K136:K147)</f>
        <v>0</v>
      </c>
      <c r="L148" s="939">
        <f>SUM(L136:L147)</f>
        <v>0</v>
      </c>
    </row>
    <row r="149" spans="1:15" ht="14.25" customHeight="1">
      <c r="A149" s="940"/>
      <c r="B149" s="941">
        <f t="shared" ref="B149:F149" si="122">+B148-B91</f>
        <v>0</v>
      </c>
      <c r="C149" s="941">
        <f t="shared" si="122"/>
        <v>0</v>
      </c>
      <c r="D149" s="1536">
        <f t="shared" si="122"/>
        <v>0</v>
      </c>
      <c r="E149" s="941">
        <f t="shared" si="122"/>
        <v>0</v>
      </c>
      <c r="F149" s="941">
        <f t="shared" si="122"/>
        <v>0</v>
      </c>
      <c r="G149" s="941">
        <f t="shared" ref="G149:I149" si="123">+G148-G91</f>
        <v>0</v>
      </c>
      <c r="H149" s="941">
        <f t="shared" si="123"/>
        <v>0</v>
      </c>
      <c r="I149" s="941">
        <f t="shared" si="123"/>
        <v>0</v>
      </c>
      <c r="J149" s="941">
        <f>+J148-J91</f>
        <v>0</v>
      </c>
      <c r="K149" s="939"/>
      <c r="L149" s="939"/>
    </row>
    <row r="150" spans="1:15" ht="13.5" thickBot="1">
      <c r="A150" s="783"/>
      <c r="B150" s="942" t="s">
        <v>533</v>
      </c>
      <c r="C150" s="1485" t="s">
        <v>5</v>
      </c>
      <c r="D150" s="1537" t="s">
        <v>6</v>
      </c>
      <c r="E150" s="1506" t="s">
        <v>214</v>
      </c>
      <c r="F150" s="898" t="s">
        <v>216</v>
      </c>
      <c r="G150" s="898" t="s">
        <v>260</v>
      </c>
      <c r="H150" s="898" t="s">
        <v>261</v>
      </c>
      <c r="I150" s="898" t="s">
        <v>259</v>
      </c>
      <c r="J150" s="899" t="s">
        <v>46</v>
      </c>
      <c r="K150" s="943" t="s">
        <v>459</v>
      </c>
      <c r="L150" s="943" t="s">
        <v>603</v>
      </c>
    </row>
    <row r="151" spans="1:15" ht="3" customHeight="1">
      <c r="A151" s="3776" t="s">
        <v>742</v>
      </c>
      <c r="B151" s="945"/>
      <c r="C151" s="945"/>
      <c r="D151" s="1538"/>
      <c r="E151" s="946"/>
      <c r="F151" s="944"/>
      <c r="G151" s="944"/>
      <c r="H151" s="944"/>
      <c r="I151" s="944"/>
      <c r="J151" s="944"/>
      <c r="K151" s="947"/>
      <c r="L151" s="947"/>
    </row>
    <row r="152" spans="1:15" ht="27" customHeight="1" thickBot="1">
      <c r="A152" s="3777"/>
      <c r="B152" s="948">
        <f>SUM(B153:B163)</f>
        <v>496862958.30000001</v>
      </c>
      <c r="C152" s="950">
        <f t="shared" ref="C152:D152" si="124">SUM(C153:C163)</f>
        <v>454540031</v>
      </c>
      <c r="D152" s="1539">
        <f t="shared" si="124"/>
        <v>820197484</v>
      </c>
      <c r="E152" s="949">
        <f t="shared" ref="E152:L152" si="125">SUM(E153:E163)</f>
        <v>498653286</v>
      </c>
      <c r="F152" s="948">
        <f t="shared" si="125"/>
        <v>314440671</v>
      </c>
      <c r="G152" s="948">
        <f t="shared" si="125"/>
        <v>69666665</v>
      </c>
      <c r="H152" s="948">
        <f t="shared" si="125"/>
        <v>45548327</v>
      </c>
      <c r="I152" s="948">
        <f t="shared" si="125"/>
        <v>40488047</v>
      </c>
      <c r="J152" s="948">
        <f t="shared" si="125"/>
        <v>2774704916.3000002</v>
      </c>
      <c r="K152" s="950">
        <f t="shared" ref="K152" si="126">SUM(K153:K163)</f>
        <v>2277841958</v>
      </c>
      <c r="L152" s="950">
        <f t="shared" si="125"/>
        <v>1823301927</v>
      </c>
    </row>
    <row r="153" spans="1:15">
      <c r="A153" s="951" t="s">
        <v>49</v>
      </c>
      <c r="B153" s="954">
        <v>402080170.30000001</v>
      </c>
      <c r="C153" s="1492">
        <v>176066097</v>
      </c>
      <c r="D153" s="1540">
        <v>274241358</v>
      </c>
      <c r="E153" s="1511">
        <v>226817773</v>
      </c>
      <c r="F153" s="952">
        <v>191393115</v>
      </c>
      <c r="G153" s="952">
        <v>15533606</v>
      </c>
      <c r="H153" s="952">
        <v>9800887</v>
      </c>
      <c r="I153" s="952">
        <v>8706448</v>
      </c>
      <c r="J153" s="952">
        <v>1338946901.3</v>
      </c>
      <c r="K153" s="953">
        <v>936866731</v>
      </c>
      <c r="L153" s="953">
        <v>760800634</v>
      </c>
      <c r="N153" s="795"/>
      <c r="O153" s="795"/>
    </row>
    <row r="154" spans="1:15">
      <c r="A154" s="951" t="s">
        <v>50</v>
      </c>
      <c r="B154" s="954">
        <v>8217368</v>
      </c>
      <c r="C154" s="1492">
        <v>7874823</v>
      </c>
      <c r="D154" s="1540">
        <v>17726692</v>
      </c>
      <c r="E154" s="1511">
        <v>63805701</v>
      </c>
      <c r="F154" s="952">
        <v>28482568</v>
      </c>
      <c r="G154" s="952">
        <v>16856220</v>
      </c>
      <c r="H154" s="952">
        <v>1472245</v>
      </c>
      <c r="I154" s="952">
        <v>0</v>
      </c>
      <c r="J154" s="952">
        <v>144435617</v>
      </c>
      <c r="K154" s="953">
        <v>136218249</v>
      </c>
      <c r="L154" s="953">
        <v>128343426</v>
      </c>
      <c r="N154" s="795"/>
      <c r="O154" s="795"/>
    </row>
    <row r="155" spans="1:15">
      <c r="A155" s="151" t="s">
        <v>13</v>
      </c>
      <c r="B155" s="954">
        <v>2982180</v>
      </c>
      <c r="C155" s="1492">
        <v>25479231</v>
      </c>
      <c r="D155" s="1540">
        <v>3770761</v>
      </c>
      <c r="E155" s="1511">
        <v>3896029</v>
      </c>
      <c r="F155" s="952">
        <v>3216280</v>
      </c>
      <c r="G155" s="952">
        <v>1075392</v>
      </c>
      <c r="H155" s="952">
        <v>666312</v>
      </c>
      <c r="I155" s="952">
        <v>567846</v>
      </c>
      <c r="J155" s="952">
        <v>41654031</v>
      </c>
      <c r="K155" s="953">
        <v>38671851</v>
      </c>
      <c r="L155" s="953">
        <v>13192620</v>
      </c>
      <c r="N155" s="795"/>
      <c r="O155" s="795"/>
    </row>
    <row r="156" spans="1:15" ht="24">
      <c r="A156" s="151" t="s">
        <v>51</v>
      </c>
      <c r="B156" s="954">
        <v>0</v>
      </c>
      <c r="C156" s="1492">
        <v>0</v>
      </c>
      <c r="D156" s="1540">
        <v>0</v>
      </c>
      <c r="E156" s="1511">
        <v>0</v>
      </c>
      <c r="F156" s="952">
        <v>0</v>
      </c>
      <c r="G156" s="952">
        <v>0</v>
      </c>
      <c r="H156" s="952">
        <v>0</v>
      </c>
      <c r="I156" s="952">
        <v>0</v>
      </c>
      <c r="J156" s="952">
        <v>0</v>
      </c>
      <c r="K156" s="953">
        <v>0</v>
      </c>
      <c r="L156" s="953">
        <v>0</v>
      </c>
      <c r="N156" s="795"/>
      <c r="O156" s="795"/>
    </row>
    <row r="157" spans="1:15">
      <c r="A157" s="151" t="s">
        <v>15</v>
      </c>
      <c r="B157" s="954">
        <v>14168595</v>
      </c>
      <c r="C157" s="1492">
        <v>5739934</v>
      </c>
      <c r="D157" s="1540">
        <v>9725285</v>
      </c>
      <c r="E157" s="1511">
        <v>0</v>
      </c>
      <c r="F157" s="952">
        <v>0</v>
      </c>
      <c r="G157" s="952">
        <v>0</v>
      </c>
      <c r="H157" s="952">
        <v>0</v>
      </c>
      <c r="I157" s="952">
        <v>0</v>
      </c>
      <c r="J157" s="952">
        <v>29633814</v>
      </c>
      <c r="K157" s="953">
        <v>15465219</v>
      </c>
      <c r="L157" s="953">
        <v>9725285</v>
      </c>
      <c r="N157" s="795"/>
      <c r="O157" s="795"/>
    </row>
    <row r="158" spans="1:15">
      <c r="A158" s="151" t="s">
        <v>52</v>
      </c>
      <c r="B158" s="954">
        <v>0</v>
      </c>
      <c r="C158" s="1492">
        <v>10103578</v>
      </c>
      <c r="D158" s="1540">
        <v>25042763</v>
      </c>
      <c r="E158" s="1511">
        <v>14120000</v>
      </c>
      <c r="F158" s="952">
        <v>14182860</v>
      </c>
      <c r="G158" s="952">
        <v>0</v>
      </c>
      <c r="H158" s="952">
        <v>0</v>
      </c>
      <c r="I158" s="952">
        <v>0</v>
      </c>
      <c r="J158" s="952">
        <v>63449201</v>
      </c>
      <c r="K158" s="953">
        <v>63449201</v>
      </c>
      <c r="L158" s="953">
        <v>53345623</v>
      </c>
      <c r="N158" s="795"/>
      <c r="O158" s="795"/>
    </row>
    <row r="159" spans="1:15">
      <c r="A159" s="151" t="s">
        <v>20</v>
      </c>
      <c r="B159" s="954">
        <v>774447</v>
      </c>
      <c r="C159" s="1492">
        <v>6634121</v>
      </c>
      <c r="D159" s="1540">
        <v>9647984</v>
      </c>
      <c r="E159" s="1511">
        <v>19426117</v>
      </c>
      <c r="F159" s="952">
        <v>287278</v>
      </c>
      <c r="G159" s="952">
        <v>0</v>
      </c>
      <c r="H159" s="952">
        <v>0</v>
      </c>
      <c r="I159" s="952">
        <v>0</v>
      </c>
      <c r="J159" s="952">
        <v>36769947</v>
      </c>
      <c r="K159" s="953">
        <v>35995500</v>
      </c>
      <c r="L159" s="953">
        <v>29361379</v>
      </c>
      <c r="N159" s="795"/>
      <c r="O159" s="795"/>
    </row>
    <row r="160" spans="1:15">
      <c r="A160" s="151" t="s">
        <v>17</v>
      </c>
      <c r="B160" s="954">
        <v>0</v>
      </c>
      <c r="C160" s="1492">
        <v>0</v>
      </c>
      <c r="D160" s="1540">
        <v>5013000</v>
      </c>
      <c r="E160" s="1511">
        <v>0</v>
      </c>
      <c r="F160" s="952">
        <v>0</v>
      </c>
      <c r="G160" s="952">
        <v>0</v>
      </c>
      <c r="H160" s="952">
        <v>0</v>
      </c>
      <c r="I160" s="952">
        <v>0</v>
      </c>
      <c r="J160" s="952">
        <v>5013000</v>
      </c>
      <c r="K160" s="953">
        <v>5013000</v>
      </c>
      <c r="L160" s="953">
        <v>5013000</v>
      </c>
      <c r="N160" s="795"/>
      <c r="O160" s="795"/>
    </row>
    <row r="161" spans="1:15">
      <c r="A161" s="955" t="s">
        <v>53</v>
      </c>
      <c r="B161" s="954">
        <v>0</v>
      </c>
      <c r="C161" s="1492">
        <v>0</v>
      </c>
      <c r="D161" s="1540">
        <v>0</v>
      </c>
      <c r="E161" s="1511">
        <v>0</v>
      </c>
      <c r="F161" s="952">
        <v>0</v>
      </c>
      <c r="G161" s="952">
        <v>0</v>
      </c>
      <c r="H161" s="952">
        <v>0</v>
      </c>
      <c r="I161" s="952">
        <v>0</v>
      </c>
      <c r="J161" s="952">
        <v>0</v>
      </c>
      <c r="K161" s="953">
        <v>0</v>
      </c>
      <c r="L161" s="953">
        <v>0</v>
      </c>
      <c r="M161" s="212"/>
      <c r="N161" s="795"/>
      <c r="O161" s="795"/>
    </row>
    <row r="162" spans="1:15">
      <c r="A162" s="956" t="s">
        <v>19</v>
      </c>
      <c r="B162" s="954">
        <v>0</v>
      </c>
      <c r="C162" s="1493">
        <v>0</v>
      </c>
      <c r="D162" s="1541">
        <v>0</v>
      </c>
      <c r="E162" s="1512">
        <v>0</v>
      </c>
      <c r="F162" s="957">
        <v>0</v>
      </c>
      <c r="G162" s="957">
        <v>0</v>
      </c>
      <c r="H162" s="957">
        <v>0</v>
      </c>
      <c r="I162" s="957">
        <v>0</v>
      </c>
      <c r="J162" s="952">
        <v>0</v>
      </c>
      <c r="K162" s="953">
        <v>0</v>
      </c>
      <c r="L162" s="953">
        <v>0</v>
      </c>
      <c r="N162" s="795"/>
      <c r="O162" s="795"/>
    </row>
    <row r="163" spans="1:15" ht="13.5" thickBot="1">
      <c r="A163" s="549" t="s">
        <v>21</v>
      </c>
      <c r="B163" s="958">
        <v>68640198</v>
      </c>
      <c r="C163" s="1494">
        <v>222642247</v>
      </c>
      <c r="D163" s="1542">
        <v>475029641</v>
      </c>
      <c r="E163" s="1513">
        <v>170587666</v>
      </c>
      <c r="F163" s="958">
        <v>76878570</v>
      </c>
      <c r="G163" s="958">
        <v>36201447</v>
      </c>
      <c r="H163" s="958">
        <v>33608883</v>
      </c>
      <c r="I163" s="958">
        <v>31213753</v>
      </c>
      <c r="J163" s="958">
        <v>1114802405</v>
      </c>
      <c r="K163" s="959">
        <v>1046162207</v>
      </c>
      <c r="L163" s="959">
        <v>823519960</v>
      </c>
      <c r="N163" s="795"/>
      <c r="O163" s="795"/>
    </row>
    <row r="164" spans="1:15">
      <c r="A164" s="961"/>
      <c r="B164" s="963">
        <f t="shared" ref="B164:J164" si="127">SUM(B153:B163)</f>
        <v>496862958.30000001</v>
      </c>
      <c r="C164" s="962">
        <f t="shared" ref="C164:I164" si="128">SUM(C153:C163)</f>
        <v>454540031</v>
      </c>
      <c r="D164" s="1543">
        <f t="shared" si="128"/>
        <v>820197484</v>
      </c>
      <c r="E164" s="962">
        <f t="shared" si="128"/>
        <v>498653286</v>
      </c>
      <c r="F164" s="962">
        <f t="shared" si="128"/>
        <v>314440671</v>
      </c>
      <c r="G164" s="962">
        <f t="shared" si="128"/>
        <v>69666665</v>
      </c>
      <c r="H164" s="962">
        <f t="shared" si="128"/>
        <v>45548327</v>
      </c>
      <c r="I164" s="962">
        <f t="shared" si="128"/>
        <v>40488047</v>
      </c>
      <c r="J164" s="962">
        <f t="shared" si="127"/>
        <v>2774704916.3000002</v>
      </c>
      <c r="K164" s="962">
        <f>SUM(K153:K163)</f>
        <v>2277841958</v>
      </c>
      <c r="L164" s="962">
        <f>SUM(L153:L163)</f>
        <v>1823301927</v>
      </c>
    </row>
    <row r="165" spans="1:15">
      <c r="A165" s="964" t="s">
        <v>42</v>
      </c>
      <c r="B165" s="966">
        <f t="shared" ref="B165:L165" si="129">+B164-B152</f>
        <v>0</v>
      </c>
      <c r="C165" s="965">
        <f>+C164-C152</f>
        <v>0</v>
      </c>
      <c r="D165" s="1544">
        <f>+D164-D152</f>
        <v>0</v>
      </c>
      <c r="E165" s="965">
        <f>+E164-E152</f>
        <v>0</v>
      </c>
      <c r="F165" s="965">
        <f>+F164-F152</f>
        <v>0</v>
      </c>
      <c r="G165" s="965"/>
      <c r="H165" s="965"/>
      <c r="I165" s="965"/>
      <c r="J165" s="965">
        <f t="shared" si="129"/>
        <v>0</v>
      </c>
      <c r="K165" s="965">
        <f t="shared" ref="K165" si="130">+K164-K152</f>
        <v>0</v>
      </c>
      <c r="L165" s="965">
        <f t="shared" si="129"/>
        <v>0</v>
      </c>
    </row>
    <row r="166" spans="1:15" ht="3.75" customHeight="1" thickBot="1">
      <c r="A166" s="926"/>
      <c r="B166" s="967"/>
      <c r="C166" s="967"/>
      <c r="D166" s="1545"/>
      <c r="E166" s="967"/>
      <c r="F166" s="967"/>
      <c r="G166" s="967"/>
      <c r="H166" s="967"/>
      <c r="I166" s="967"/>
      <c r="J166" s="967"/>
    </row>
    <row r="167" spans="1:15" ht="32.25" customHeight="1" thickBot="1">
      <c r="A167" s="968" t="s">
        <v>689</v>
      </c>
      <c r="B167" s="969">
        <f>SUM(B168:B179)</f>
        <v>126127826</v>
      </c>
      <c r="C167" s="1495">
        <f t="shared" ref="C167:J167" si="131">SUM(C168:C179)</f>
        <v>272920116</v>
      </c>
      <c r="D167" s="1546">
        <f t="shared" si="131"/>
        <v>533880934</v>
      </c>
      <c r="E167" s="970">
        <f>SUM(E168:E179)</f>
        <v>239803337</v>
      </c>
      <c r="F167" s="969">
        <f>SUM(F168:F179)</f>
        <v>133412811</v>
      </c>
      <c r="G167" s="969">
        <f>SUM(G168:G179)</f>
        <v>46522249</v>
      </c>
      <c r="H167" s="969">
        <f>SUM(H168:H179)</f>
        <v>35776859</v>
      </c>
      <c r="I167" s="969">
        <f>SUM(I168:I179)</f>
        <v>32142634</v>
      </c>
      <c r="J167" s="969">
        <f t="shared" si="131"/>
        <v>1427981397</v>
      </c>
      <c r="K167" s="971"/>
      <c r="L167" s="971"/>
    </row>
    <row r="168" spans="1:15">
      <c r="A168" s="951" t="s">
        <v>54</v>
      </c>
      <c r="B168" s="972">
        <v>0</v>
      </c>
      <c r="C168" s="1496">
        <v>0</v>
      </c>
      <c r="D168" s="1547">
        <v>0</v>
      </c>
      <c r="E168" s="973">
        <v>0</v>
      </c>
      <c r="F168" s="972">
        <v>0</v>
      </c>
      <c r="G168" s="974">
        <v>0</v>
      </c>
      <c r="H168" s="974">
        <v>0</v>
      </c>
      <c r="I168" s="974">
        <v>0</v>
      </c>
      <c r="J168" s="952">
        <v>0</v>
      </c>
      <c r="K168" s="975">
        <v>0</v>
      </c>
      <c r="L168" s="975">
        <v>0</v>
      </c>
    </row>
    <row r="169" spans="1:15">
      <c r="A169" s="151" t="s">
        <v>13</v>
      </c>
      <c r="B169" s="952">
        <v>2951841</v>
      </c>
      <c r="C169" s="1492">
        <v>25461540</v>
      </c>
      <c r="D169" s="1540">
        <v>3776457</v>
      </c>
      <c r="E169" s="1511">
        <v>3910998</v>
      </c>
      <c r="F169" s="952">
        <v>3216280</v>
      </c>
      <c r="G169" s="952">
        <v>1102757</v>
      </c>
      <c r="H169" s="952">
        <v>666312</v>
      </c>
      <c r="I169" s="952">
        <v>567846</v>
      </c>
      <c r="J169" s="952">
        <v>41654031</v>
      </c>
      <c r="K169" s="975">
        <v>0</v>
      </c>
      <c r="L169" s="975">
        <v>0</v>
      </c>
    </row>
    <row r="170" spans="1:15" ht="14.25" customHeight="1">
      <c r="A170" s="151" t="s">
        <v>15</v>
      </c>
      <c r="B170" s="952">
        <v>14168595</v>
      </c>
      <c r="C170" s="1492">
        <v>5739934</v>
      </c>
      <c r="D170" s="1540">
        <v>9725285</v>
      </c>
      <c r="E170" s="1511">
        <v>0</v>
      </c>
      <c r="F170" s="952">
        <v>0</v>
      </c>
      <c r="G170" s="952">
        <v>0</v>
      </c>
      <c r="H170" s="952">
        <v>0</v>
      </c>
      <c r="I170" s="952">
        <v>0</v>
      </c>
      <c r="J170" s="952">
        <v>29633814</v>
      </c>
      <c r="K170" s="975">
        <v>0</v>
      </c>
      <c r="L170" s="975">
        <v>0</v>
      </c>
    </row>
    <row r="171" spans="1:15" ht="14.25" customHeight="1">
      <c r="A171" s="151" t="s">
        <v>52</v>
      </c>
      <c r="B171" s="952">
        <v>28772061</v>
      </c>
      <c r="C171" s="1492">
        <v>8519285</v>
      </c>
      <c r="D171" s="1540">
        <v>9319285</v>
      </c>
      <c r="E171" s="1511">
        <v>8419285</v>
      </c>
      <c r="F171" s="952">
        <v>8419285</v>
      </c>
      <c r="G171" s="952">
        <v>0</v>
      </c>
      <c r="H171" s="952">
        <v>0</v>
      </c>
      <c r="I171" s="952">
        <v>0</v>
      </c>
      <c r="J171" s="952">
        <v>63449201</v>
      </c>
      <c r="K171" s="975">
        <v>0</v>
      </c>
      <c r="L171" s="975">
        <v>0</v>
      </c>
    </row>
    <row r="172" spans="1:15">
      <c r="A172" s="951" t="s">
        <v>12</v>
      </c>
      <c r="B172" s="952">
        <v>23298471</v>
      </c>
      <c r="C172" s="1492">
        <v>13980246</v>
      </c>
      <c r="D172" s="1540">
        <v>20916741</v>
      </c>
      <c r="E172" s="1511">
        <v>37773631</v>
      </c>
      <c r="F172" s="952">
        <v>33364108</v>
      </c>
      <c r="G172" s="952">
        <v>5675073</v>
      </c>
      <c r="H172" s="952">
        <v>1650729</v>
      </c>
      <c r="I172" s="952">
        <v>0</v>
      </c>
      <c r="J172" s="952">
        <v>136658999</v>
      </c>
      <c r="K172" s="975">
        <v>0</v>
      </c>
      <c r="L172" s="975">
        <v>0</v>
      </c>
    </row>
    <row r="173" spans="1:15">
      <c r="A173" s="151" t="s">
        <v>57</v>
      </c>
      <c r="B173" s="952">
        <v>0</v>
      </c>
      <c r="C173" s="1492">
        <v>0</v>
      </c>
      <c r="D173" s="1540">
        <v>0</v>
      </c>
      <c r="E173" s="1511">
        <v>0</v>
      </c>
      <c r="F173" s="952">
        <v>0</v>
      </c>
      <c r="G173" s="952">
        <v>0</v>
      </c>
      <c r="H173" s="952">
        <v>0</v>
      </c>
      <c r="I173" s="952">
        <v>0</v>
      </c>
      <c r="J173" s="952">
        <v>0</v>
      </c>
      <c r="K173" s="975">
        <v>0</v>
      </c>
      <c r="L173" s="975">
        <v>0</v>
      </c>
    </row>
    <row r="174" spans="1:15">
      <c r="A174" s="151" t="s">
        <v>58</v>
      </c>
      <c r="B174" s="952">
        <v>0</v>
      </c>
      <c r="C174" s="1492">
        <v>0</v>
      </c>
      <c r="D174" s="1540">
        <v>0</v>
      </c>
      <c r="E174" s="1511">
        <v>0</v>
      </c>
      <c r="F174" s="952">
        <v>0</v>
      </c>
      <c r="G174" s="952">
        <v>0</v>
      </c>
      <c r="H174" s="952">
        <v>0</v>
      </c>
      <c r="I174" s="952">
        <v>0</v>
      </c>
      <c r="J174" s="952">
        <v>0</v>
      </c>
      <c r="K174" s="975">
        <v>0</v>
      </c>
      <c r="L174" s="975">
        <v>0</v>
      </c>
    </row>
    <row r="175" spans="1:15">
      <c r="A175" s="151" t="s">
        <v>17</v>
      </c>
      <c r="B175" s="952">
        <v>0</v>
      </c>
      <c r="C175" s="1492">
        <v>0</v>
      </c>
      <c r="D175" s="1540">
        <v>5013000</v>
      </c>
      <c r="E175" s="1511">
        <v>0</v>
      </c>
      <c r="F175" s="952">
        <v>0</v>
      </c>
      <c r="G175" s="952">
        <v>0</v>
      </c>
      <c r="H175" s="952">
        <v>0</v>
      </c>
      <c r="I175" s="952">
        <v>0</v>
      </c>
      <c r="J175" s="952">
        <v>5013000</v>
      </c>
      <c r="K175" s="975">
        <v>0</v>
      </c>
      <c r="L175" s="975">
        <v>0</v>
      </c>
    </row>
    <row r="176" spans="1:15" ht="24">
      <c r="A176" s="151" t="s">
        <v>26</v>
      </c>
      <c r="B176" s="976">
        <v>0</v>
      </c>
      <c r="C176" s="1497">
        <v>0</v>
      </c>
      <c r="D176" s="1548">
        <v>0</v>
      </c>
      <c r="E176" s="1514">
        <v>0</v>
      </c>
      <c r="F176" s="976">
        <v>0</v>
      </c>
      <c r="G176" s="976">
        <v>0</v>
      </c>
      <c r="H176" s="976">
        <v>0</v>
      </c>
      <c r="I176" s="976">
        <v>0</v>
      </c>
      <c r="J176" s="952">
        <v>0</v>
      </c>
      <c r="K176" s="977">
        <v>0</v>
      </c>
      <c r="L176" s="977">
        <v>0</v>
      </c>
    </row>
    <row r="177" spans="1:12" ht="13.5" customHeight="1">
      <c r="A177" s="151" t="s">
        <v>20</v>
      </c>
      <c r="B177" s="952">
        <v>292115</v>
      </c>
      <c r="C177" s="1492">
        <v>696268</v>
      </c>
      <c r="D177" s="1540">
        <v>8738091</v>
      </c>
      <c r="E177" s="1511">
        <v>17433668</v>
      </c>
      <c r="F177" s="952">
        <v>9527790</v>
      </c>
      <c r="G177" s="952">
        <v>82015</v>
      </c>
      <c r="H177" s="952">
        <v>0</v>
      </c>
      <c r="I177" s="952">
        <v>0</v>
      </c>
      <c r="J177" s="952">
        <v>36769947</v>
      </c>
      <c r="K177" s="975">
        <v>0</v>
      </c>
      <c r="L177" s="975">
        <v>0</v>
      </c>
    </row>
    <row r="178" spans="1:12" ht="14.25" customHeight="1">
      <c r="A178" s="978" t="s">
        <v>19</v>
      </c>
      <c r="B178" s="952">
        <v>0</v>
      </c>
      <c r="C178" s="1493">
        <v>0</v>
      </c>
      <c r="D178" s="1541">
        <v>0</v>
      </c>
      <c r="E178" s="1512">
        <v>0</v>
      </c>
      <c r="F178" s="957">
        <v>0</v>
      </c>
      <c r="G178" s="957">
        <v>0</v>
      </c>
      <c r="H178" s="957">
        <v>0</v>
      </c>
      <c r="I178" s="957">
        <v>0</v>
      </c>
      <c r="J178" s="952">
        <v>0</v>
      </c>
      <c r="K178" s="975">
        <v>0</v>
      </c>
      <c r="L178" s="975">
        <v>0</v>
      </c>
    </row>
    <row r="179" spans="1:12" ht="13.5" thickBot="1">
      <c r="A179" s="549" t="s">
        <v>21</v>
      </c>
      <c r="B179" s="960">
        <v>56644743</v>
      </c>
      <c r="C179" s="1494">
        <v>218522843</v>
      </c>
      <c r="D179" s="1542">
        <v>476392075</v>
      </c>
      <c r="E179" s="1513">
        <v>172265755</v>
      </c>
      <c r="F179" s="1278">
        <v>78885348</v>
      </c>
      <c r="G179" s="1278">
        <v>39662404</v>
      </c>
      <c r="H179" s="1278">
        <v>33459818</v>
      </c>
      <c r="I179" s="1278">
        <v>31574788</v>
      </c>
      <c r="J179" s="1278">
        <v>1114802405</v>
      </c>
      <c r="K179" s="975">
        <v>0</v>
      </c>
      <c r="L179" s="975">
        <v>0</v>
      </c>
    </row>
    <row r="180" spans="1:12">
      <c r="A180" s="979"/>
      <c r="B180" s="1276">
        <f t="shared" ref="B180:J180" si="132">SUM(B168:B179)</f>
        <v>126127826</v>
      </c>
      <c r="C180" s="1498">
        <f t="shared" si="132"/>
        <v>272920116</v>
      </c>
      <c r="D180" s="1549">
        <f t="shared" si="132"/>
        <v>533880934</v>
      </c>
      <c r="E180" s="1515">
        <f t="shared" si="132"/>
        <v>239803337</v>
      </c>
      <c r="F180" s="1277">
        <f t="shared" si="132"/>
        <v>133412811</v>
      </c>
      <c r="G180" s="1277">
        <f t="shared" si="132"/>
        <v>46522249</v>
      </c>
      <c r="H180" s="1277">
        <f t="shared" si="132"/>
        <v>35776859</v>
      </c>
      <c r="I180" s="1277">
        <f t="shared" si="132"/>
        <v>32142634</v>
      </c>
      <c r="J180" s="980">
        <f t="shared" si="132"/>
        <v>1427981397</v>
      </c>
      <c r="K180" s="981"/>
      <c r="L180" s="981"/>
    </row>
    <row r="181" spans="1:12" ht="17.25" customHeight="1" thickBot="1">
      <c r="A181" s="982"/>
      <c r="B181" s="942" t="s">
        <v>533</v>
      </c>
      <c r="C181" s="1485" t="s">
        <v>5</v>
      </c>
      <c r="D181" s="1537" t="s">
        <v>6</v>
      </c>
      <c r="E181" s="1506" t="s">
        <v>214</v>
      </c>
      <c r="F181" s="898" t="s">
        <v>216</v>
      </c>
      <c r="G181" s="898" t="s">
        <v>260</v>
      </c>
      <c r="H181" s="898" t="s">
        <v>261</v>
      </c>
      <c r="I181" s="898" t="s">
        <v>259</v>
      </c>
      <c r="J181" s="899" t="s">
        <v>46</v>
      </c>
    </row>
    <row r="182" spans="1:12" ht="9" customHeight="1">
      <c r="A182" s="983"/>
      <c r="B182" s="985"/>
      <c r="C182" s="985"/>
      <c r="D182" s="1550"/>
      <c r="E182" s="986"/>
      <c r="F182" s="984"/>
      <c r="G182" s="984"/>
      <c r="H182" s="984"/>
      <c r="I182" s="984"/>
      <c r="J182" s="984"/>
      <c r="K182" s="987"/>
      <c r="L182" s="987"/>
    </row>
    <row r="183" spans="1:12" ht="13.5" thickBot="1">
      <c r="A183" s="988" t="s">
        <v>59</v>
      </c>
      <c r="B183" s="989">
        <f>+B121-B152</f>
        <v>-191695</v>
      </c>
      <c r="C183" s="1499">
        <f t="shared" ref="C183:J183" si="133">+C121-C152</f>
        <v>-2557777</v>
      </c>
      <c r="D183" s="1551">
        <f t="shared" si="133"/>
        <v>647246</v>
      </c>
      <c r="E183" s="990">
        <f t="shared" si="133"/>
        <v>8131970</v>
      </c>
      <c r="F183" s="989">
        <f t="shared" si="133"/>
        <v>13886784</v>
      </c>
      <c r="G183" s="989">
        <f t="shared" si="133"/>
        <v>0</v>
      </c>
      <c r="H183" s="989">
        <f t="shared" si="133"/>
        <v>0</v>
      </c>
      <c r="I183" s="989">
        <f t="shared" si="133"/>
        <v>0</v>
      </c>
      <c r="J183" s="989">
        <f t="shared" si="133"/>
        <v>19916528</v>
      </c>
      <c r="K183" s="991"/>
      <c r="L183" s="991"/>
    </row>
    <row r="184" spans="1:12">
      <c r="A184" s="992" t="s">
        <v>12</v>
      </c>
      <c r="B184" s="993">
        <f t="shared" ref="B184:J184" si="134">+B122-B153</f>
        <v>-135255</v>
      </c>
      <c r="C184" s="1500">
        <f t="shared" si="134"/>
        <v>-463276</v>
      </c>
      <c r="D184" s="1552">
        <f t="shared" si="134"/>
        <v>-947704</v>
      </c>
      <c r="E184" s="994">
        <f t="shared" si="134"/>
        <v>6275826</v>
      </c>
      <c r="F184" s="993">
        <f t="shared" si="134"/>
        <v>4963329</v>
      </c>
      <c r="G184" s="993">
        <f t="shared" si="134"/>
        <v>0</v>
      </c>
      <c r="H184" s="993">
        <f t="shared" si="134"/>
        <v>0</v>
      </c>
      <c r="I184" s="993">
        <f t="shared" si="134"/>
        <v>0</v>
      </c>
      <c r="J184" s="995">
        <f t="shared" si="134"/>
        <v>9692920</v>
      </c>
      <c r="K184" s="996"/>
      <c r="L184" s="996"/>
    </row>
    <row r="185" spans="1:12">
      <c r="A185" s="997" t="s">
        <v>50</v>
      </c>
      <c r="B185" s="995">
        <f t="shared" ref="B185:J185" si="135">+B123-B154</f>
        <v>0</v>
      </c>
      <c r="C185" s="1501">
        <f t="shared" si="135"/>
        <v>0</v>
      </c>
      <c r="D185" s="1553">
        <f t="shared" si="135"/>
        <v>3600000</v>
      </c>
      <c r="E185" s="1516">
        <f t="shared" si="135"/>
        <v>200000</v>
      </c>
      <c r="F185" s="995">
        <f t="shared" si="135"/>
        <v>0</v>
      </c>
      <c r="G185" s="995">
        <f t="shared" si="135"/>
        <v>0</v>
      </c>
      <c r="H185" s="995">
        <f t="shared" si="135"/>
        <v>0</v>
      </c>
      <c r="I185" s="995">
        <f t="shared" si="135"/>
        <v>0</v>
      </c>
      <c r="J185" s="995">
        <f t="shared" si="135"/>
        <v>3800000</v>
      </c>
      <c r="K185" s="996"/>
      <c r="L185" s="996"/>
    </row>
    <row r="186" spans="1:12">
      <c r="A186" s="997" t="s">
        <v>13</v>
      </c>
      <c r="B186" s="995">
        <f t="shared" ref="B186:J186" si="136">+B124-B155</f>
        <v>0</v>
      </c>
      <c r="C186" s="1501">
        <f t="shared" si="136"/>
        <v>0</v>
      </c>
      <c r="D186" s="1553">
        <f t="shared" si="136"/>
        <v>147420</v>
      </c>
      <c r="E186" s="1516">
        <f t="shared" si="136"/>
        <v>684450</v>
      </c>
      <c r="F186" s="995">
        <f t="shared" si="136"/>
        <v>567330</v>
      </c>
      <c r="G186" s="995">
        <f t="shared" si="136"/>
        <v>0</v>
      </c>
      <c r="H186" s="995">
        <f t="shared" si="136"/>
        <v>0</v>
      </c>
      <c r="I186" s="995">
        <f t="shared" si="136"/>
        <v>0</v>
      </c>
      <c r="J186" s="995">
        <f t="shared" si="136"/>
        <v>1399200</v>
      </c>
      <c r="K186" s="996"/>
      <c r="L186" s="996"/>
    </row>
    <row r="187" spans="1:12">
      <c r="A187" s="997" t="s">
        <v>15</v>
      </c>
      <c r="B187" s="995">
        <f t="shared" ref="B187:J187" si="137">+B126-B157</f>
        <v>0</v>
      </c>
      <c r="C187" s="1501">
        <f t="shared" si="137"/>
        <v>0</v>
      </c>
      <c r="D187" s="1553">
        <f t="shared" si="137"/>
        <v>325000</v>
      </c>
      <c r="E187" s="1516">
        <f t="shared" si="137"/>
        <v>0</v>
      </c>
      <c r="F187" s="995">
        <f t="shared" si="137"/>
        <v>0</v>
      </c>
      <c r="G187" s="995">
        <f t="shared" si="137"/>
        <v>0</v>
      </c>
      <c r="H187" s="995">
        <f t="shared" si="137"/>
        <v>0</v>
      </c>
      <c r="I187" s="995">
        <f t="shared" si="137"/>
        <v>0</v>
      </c>
      <c r="J187" s="995">
        <f t="shared" si="137"/>
        <v>325000</v>
      </c>
      <c r="K187" s="996"/>
      <c r="L187" s="996"/>
    </row>
    <row r="188" spans="1:12">
      <c r="A188" s="997" t="s">
        <v>52</v>
      </c>
      <c r="B188" s="995">
        <f t="shared" ref="B188:J188" si="138">+B127-B158</f>
        <v>0</v>
      </c>
      <c r="C188" s="1501">
        <f t="shared" si="138"/>
        <v>0</v>
      </c>
      <c r="D188" s="1553">
        <f t="shared" si="138"/>
        <v>0</v>
      </c>
      <c r="E188" s="1516">
        <f t="shared" si="138"/>
        <v>0</v>
      </c>
      <c r="F188" s="995">
        <f t="shared" si="138"/>
        <v>0</v>
      </c>
      <c r="G188" s="995">
        <f t="shared" si="138"/>
        <v>0</v>
      </c>
      <c r="H188" s="995">
        <f t="shared" si="138"/>
        <v>0</v>
      </c>
      <c r="I188" s="995">
        <f t="shared" si="138"/>
        <v>0</v>
      </c>
      <c r="J188" s="995">
        <f t="shared" si="138"/>
        <v>0</v>
      </c>
      <c r="K188" s="996"/>
      <c r="L188" s="996"/>
    </row>
    <row r="189" spans="1:12">
      <c r="A189" s="997" t="s">
        <v>20</v>
      </c>
      <c r="B189" s="995">
        <f>+B128-B159</f>
        <v>-4205</v>
      </c>
      <c r="C189" s="1501">
        <f t="shared" ref="C189:J190" si="139">+C128-C159</f>
        <v>-5633846</v>
      </c>
      <c r="D189" s="1553">
        <f t="shared" si="139"/>
        <v>-8296204</v>
      </c>
      <c r="E189" s="1516">
        <f t="shared" ref="E189:I190" si="140">+E128-E159</f>
        <v>-18993346</v>
      </c>
      <c r="F189" s="995">
        <f t="shared" si="140"/>
        <v>0</v>
      </c>
      <c r="G189" s="995">
        <f t="shared" si="140"/>
        <v>0</v>
      </c>
      <c r="H189" s="995">
        <f t="shared" si="140"/>
        <v>0</v>
      </c>
      <c r="I189" s="995">
        <f t="shared" si="140"/>
        <v>0</v>
      </c>
      <c r="J189" s="995">
        <f t="shared" si="139"/>
        <v>-32927601</v>
      </c>
      <c r="K189" s="996"/>
      <c r="L189" s="996"/>
    </row>
    <row r="190" spans="1:12">
      <c r="A190" s="997" t="s">
        <v>17</v>
      </c>
      <c r="B190" s="995">
        <f>+B129-B160</f>
        <v>0</v>
      </c>
      <c r="C190" s="1501">
        <f t="shared" si="139"/>
        <v>0</v>
      </c>
      <c r="D190" s="1553">
        <f t="shared" si="139"/>
        <v>0</v>
      </c>
      <c r="E190" s="1516">
        <f t="shared" si="140"/>
        <v>0</v>
      </c>
      <c r="F190" s="995">
        <f t="shared" si="140"/>
        <v>0</v>
      </c>
      <c r="G190" s="995">
        <f t="shared" si="140"/>
        <v>0</v>
      </c>
      <c r="H190" s="995">
        <f t="shared" si="140"/>
        <v>0</v>
      </c>
      <c r="I190" s="995">
        <f t="shared" si="140"/>
        <v>0</v>
      </c>
      <c r="J190" s="995">
        <f t="shared" si="139"/>
        <v>0</v>
      </c>
      <c r="K190" s="996"/>
      <c r="L190" s="996"/>
    </row>
    <row r="191" spans="1:12">
      <c r="A191" s="997" t="s">
        <v>57</v>
      </c>
      <c r="B191" s="995">
        <f t="shared" ref="B191:J191" si="141">+B125-B156</f>
        <v>0</v>
      </c>
      <c r="C191" s="1501">
        <f t="shared" si="141"/>
        <v>0</v>
      </c>
      <c r="D191" s="1553">
        <f t="shared" si="141"/>
        <v>0</v>
      </c>
      <c r="E191" s="1516">
        <f t="shared" si="141"/>
        <v>0</v>
      </c>
      <c r="F191" s="995">
        <f t="shared" si="141"/>
        <v>0</v>
      </c>
      <c r="G191" s="995">
        <f t="shared" si="141"/>
        <v>0</v>
      </c>
      <c r="H191" s="995">
        <f t="shared" si="141"/>
        <v>0</v>
      </c>
      <c r="I191" s="995">
        <f t="shared" si="141"/>
        <v>0</v>
      </c>
      <c r="J191" s="995">
        <f t="shared" si="141"/>
        <v>0</v>
      </c>
      <c r="K191" s="996"/>
      <c r="L191" s="996"/>
    </row>
    <row r="192" spans="1:12" ht="13.5" customHeight="1">
      <c r="A192" s="997" t="s">
        <v>56</v>
      </c>
      <c r="B192" s="995">
        <f>+B130-B161</f>
        <v>0</v>
      </c>
      <c r="C192" s="1501">
        <f t="shared" ref="C192:J194" si="142">+C130-C161</f>
        <v>0</v>
      </c>
      <c r="D192" s="1553">
        <f t="shared" si="142"/>
        <v>0</v>
      </c>
      <c r="E192" s="1516">
        <f t="shared" ref="E192:I194" si="143">+E130-E161</f>
        <v>0</v>
      </c>
      <c r="F192" s="995">
        <f t="shared" si="143"/>
        <v>0</v>
      </c>
      <c r="G192" s="995">
        <f t="shared" si="143"/>
        <v>0</v>
      </c>
      <c r="H192" s="995">
        <f t="shared" si="143"/>
        <v>0</v>
      </c>
      <c r="I192" s="995">
        <f t="shared" si="143"/>
        <v>0</v>
      </c>
      <c r="J192" s="995">
        <f t="shared" si="142"/>
        <v>0</v>
      </c>
      <c r="K192" s="996"/>
      <c r="L192" s="996"/>
    </row>
    <row r="193" spans="1:17" ht="13.5" customHeight="1">
      <c r="A193" s="998" t="s">
        <v>19</v>
      </c>
      <c r="B193" s="995">
        <f>+B131-B162</f>
        <v>0</v>
      </c>
      <c r="C193" s="1501">
        <f t="shared" si="142"/>
        <v>0</v>
      </c>
      <c r="D193" s="1553">
        <f t="shared" si="142"/>
        <v>0</v>
      </c>
      <c r="E193" s="1516">
        <f t="shared" si="143"/>
        <v>0</v>
      </c>
      <c r="F193" s="995">
        <f t="shared" si="143"/>
        <v>0</v>
      </c>
      <c r="G193" s="995">
        <f t="shared" si="143"/>
        <v>0</v>
      </c>
      <c r="H193" s="995">
        <f t="shared" si="143"/>
        <v>0</v>
      </c>
      <c r="I193" s="995">
        <f t="shared" si="143"/>
        <v>0</v>
      </c>
      <c r="J193" s="995">
        <f t="shared" si="142"/>
        <v>0</v>
      </c>
      <c r="K193" s="996"/>
      <c r="L193" s="996"/>
    </row>
    <row r="194" spans="1:17" ht="13.5" thickBot="1">
      <c r="A194" s="999" t="s">
        <v>21</v>
      </c>
      <c r="B194" s="1000">
        <f>+B132-B163</f>
        <v>-52235</v>
      </c>
      <c r="C194" s="1502">
        <f t="shared" si="142"/>
        <v>3539345</v>
      </c>
      <c r="D194" s="1554">
        <f t="shared" si="142"/>
        <v>5818734</v>
      </c>
      <c r="E194" s="1517">
        <f t="shared" si="143"/>
        <v>19965040</v>
      </c>
      <c r="F194" s="1000">
        <f t="shared" si="143"/>
        <v>8356125</v>
      </c>
      <c r="G194" s="1000">
        <f t="shared" si="143"/>
        <v>0</v>
      </c>
      <c r="H194" s="1000">
        <f t="shared" si="143"/>
        <v>0</v>
      </c>
      <c r="I194" s="1000">
        <f t="shared" si="143"/>
        <v>0</v>
      </c>
      <c r="J194" s="995">
        <f>+J132-J163</f>
        <v>37627009</v>
      </c>
      <c r="K194" s="996">
        <f>+I194-I209</f>
        <v>0</v>
      </c>
      <c r="L194" s="996">
        <f>+J194-J209</f>
        <v>0</v>
      </c>
      <c r="Q194" s="795">
        <f>+J194-J209</f>
        <v>0</v>
      </c>
    </row>
    <row r="195" spans="1:17" ht="15" customHeight="1" thickBot="1">
      <c r="A195" s="1001"/>
      <c r="B195" s="1002">
        <f>SUM(B184:B194)</f>
        <v>-191695</v>
      </c>
      <c r="C195" s="1503">
        <f t="shared" ref="C195:J195" si="144">SUM(C184:C194)</f>
        <v>-2557777</v>
      </c>
      <c r="D195" s="1555">
        <f t="shared" si="144"/>
        <v>647246</v>
      </c>
      <c r="E195" s="1003">
        <f>SUM(E184:E194)</f>
        <v>8131970</v>
      </c>
      <c r="F195" s="1002">
        <f>SUM(F184:F194)</f>
        <v>13886784</v>
      </c>
      <c r="G195" s="1002">
        <f>SUM(G184:G194)</f>
        <v>0</v>
      </c>
      <c r="H195" s="1002">
        <f>SUM(H184:H194)</f>
        <v>0</v>
      </c>
      <c r="I195" s="1002">
        <f>SUM(I184:I194)</f>
        <v>0</v>
      </c>
      <c r="J195" s="1002">
        <f t="shared" si="144"/>
        <v>19916528</v>
      </c>
      <c r="K195" s="1004"/>
      <c r="L195" s="1004"/>
    </row>
    <row r="196" spans="1:17" ht="14.25" customHeight="1" thickBot="1">
      <c r="A196" s="1005" t="s">
        <v>42</v>
      </c>
      <c r="B196" s="1007">
        <f t="shared" ref="B196:J196" si="145">+B121-B152</f>
        <v>-191695</v>
      </c>
      <c r="C196" s="1006">
        <f t="shared" si="145"/>
        <v>-2557777</v>
      </c>
      <c r="D196" s="1556">
        <f t="shared" si="145"/>
        <v>647246</v>
      </c>
      <c r="E196" s="1006">
        <f t="shared" si="145"/>
        <v>8131970</v>
      </c>
      <c r="F196" s="1006">
        <f t="shared" si="145"/>
        <v>13886784</v>
      </c>
      <c r="G196" s="1006">
        <f t="shared" si="145"/>
        <v>0</v>
      </c>
      <c r="H196" s="1006">
        <f t="shared" si="145"/>
        <v>0</v>
      </c>
      <c r="I196" s="1006">
        <f t="shared" si="145"/>
        <v>0</v>
      </c>
      <c r="J196" s="1006">
        <f t="shared" si="145"/>
        <v>19916528</v>
      </c>
      <c r="K196" s="1006"/>
      <c r="L196" s="1006"/>
    </row>
    <row r="197" spans="1:17" ht="16.5" customHeight="1" thickBot="1">
      <c r="A197" s="1008" t="s">
        <v>60</v>
      </c>
      <c r="B197" s="1009">
        <f>+B135-B167</f>
        <v>0</v>
      </c>
      <c r="C197" s="1504">
        <f t="shared" ref="C197:J209" si="146">+C135-C167</f>
        <v>-2028467</v>
      </c>
      <c r="D197" s="1557">
        <f t="shared" si="146"/>
        <v>3698523</v>
      </c>
      <c r="E197" s="1010">
        <f t="shared" ref="E197:I209" si="147">+E135-E167</f>
        <v>1707369</v>
      </c>
      <c r="F197" s="1009">
        <f t="shared" si="147"/>
        <v>4720607</v>
      </c>
      <c r="G197" s="1009">
        <f t="shared" si="147"/>
        <v>1917368</v>
      </c>
      <c r="H197" s="1009">
        <f t="shared" si="147"/>
        <v>0</v>
      </c>
      <c r="I197" s="1009">
        <f t="shared" si="147"/>
        <v>0</v>
      </c>
      <c r="J197" s="1009">
        <f>SUM(J198:J209)</f>
        <v>10015400</v>
      </c>
      <c r="K197" s="1011"/>
      <c r="L197" s="1011"/>
    </row>
    <row r="198" spans="1:17">
      <c r="A198" s="992" t="s">
        <v>54</v>
      </c>
      <c r="B198" s="993">
        <f t="shared" ref="B198:B209" si="148">+B136-B168</f>
        <v>0</v>
      </c>
      <c r="C198" s="1500">
        <f t="shared" si="146"/>
        <v>0</v>
      </c>
      <c r="D198" s="1552">
        <f t="shared" si="146"/>
        <v>0</v>
      </c>
      <c r="E198" s="994">
        <f t="shared" si="147"/>
        <v>0</v>
      </c>
      <c r="F198" s="993">
        <f t="shared" si="147"/>
        <v>0</v>
      </c>
      <c r="G198" s="993">
        <f t="shared" si="147"/>
        <v>0</v>
      </c>
      <c r="H198" s="993">
        <f t="shared" si="147"/>
        <v>0</v>
      </c>
      <c r="I198" s="993">
        <f t="shared" si="147"/>
        <v>0</v>
      </c>
      <c r="J198" s="1012">
        <f>+J136-J168</f>
        <v>0</v>
      </c>
      <c r="K198" s="1013"/>
      <c r="L198" s="1013"/>
    </row>
    <row r="199" spans="1:17">
      <c r="A199" s="997" t="s">
        <v>13</v>
      </c>
      <c r="B199" s="995">
        <f t="shared" si="148"/>
        <v>0</v>
      </c>
      <c r="C199" s="1501">
        <f t="shared" si="146"/>
        <v>0</v>
      </c>
      <c r="D199" s="1553">
        <f t="shared" si="146"/>
        <v>147420</v>
      </c>
      <c r="E199" s="1516">
        <f t="shared" si="147"/>
        <v>684450</v>
      </c>
      <c r="F199" s="995">
        <f t="shared" si="147"/>
        <v>567330</v>
      </c>
      <c r="G199" s="995">
        <f t="shared" si="147"/>
        <v>0</v>
      </c>
      <c r="H199" s="995">
        <f t="shared" si="147"/>
        <v>0</v>
      </c>
      <c r="I199" s="995">
        <f t="shared" si="147"/>
        <v>0</v>
      </c>
      <c r="J199" s="1014">
        <f t="shared" si="146"/>
        <v>1399200</v>
      </c>
      <c r="K199" s="1013"/>
      <c r="L199" s="1013"/>
    </row>
    <row r="200" spans="1:17">
      <c r="A200" s="997" t="s">
        <v>15</v>
      </c>
      <c r="B200" s="995">
        <f t="shared" si="148"/>
        <v>0</v>
      </c>
      <c r="C200" s="1501">
        <f t="shared" si="146"/>
        <v>0</v>
      </c>
      <c r="D200" s="1553">
        <f t="shared" si="146"/>
        <v>325000</v>
      </c>
      <c r="E200" s="1516">
        <f t="shared" si="147"/>
        <v>0</v>
      </c>
      <c r="F200" s="995">
        <f t="shared" si="147"/>
        <v>0</v>
      </c>
      <c r="G200" s="995">
        <f t="shared" si="147"/>
        <v>0</v>
      </c>
      <c r="H200" s="995">
        <f t="shared" si="147"/>
        <v>0</v>
      </c>
      <c r="I200" s="995">
        <f t="shared" si="147"/>
        <v>0</v>
      </c>
      <c r="J200" s="1014">
        <f t="shared" si="146"/>
        <v>325000</v>
      </c>
      <c r="K200" s="1013"/>
      <c r="L200" s="1013"/>
    </row>
    <row r="201" spans="1:17">
      <c r="A201" s="997" t="s">
        <v>62</v>
      </c>
      <c r="B201" s="995">
        <f t="shared" si="148"/>
        <v>0</v>
      </c>
      <c r="C201" s="1501">
        <f t="shared" si="146"/>
        <v>0</v>
      </c>
      <c r="D201" s="1553">
        <f t="shared" si="146"/>
        <v>0</v>
      </c>
      <c r="E201" s="1516">
        <f t="shared" si="147"/>
        <v>0</v>
      </c>
      <c r="F201" s="995">
        <f t="shared" si="147"/>
        <v>0</v>
      </c>
      <c r="G201" s="995">
        <f t="shared" si="147"/>
        <v>0</v>
      </c>
      <c r="H201" s="995">
        <f t="shared" si="147"/>
        <v>0</v>
      </c>
      <c r="I201" s="995">
        <f t="shared" si="147"/>
        <v>0</v>
      </c>
      <c r="J201" s="1014">
        <f t="shared" si="146"/>
        <v>0</v>
      </c>
      <c r="K201" s="1013"/>
      <c r="L201" s="1013"/>
    </row>
    <row r="202" spans="1:17">
      <c r="A202" s="992" t="s">
        <v>12</v>
      </c>
      <c r="B202" s="995">
        <f t="shared" si="148"/>
        <v>0</v>
      </c>
      <c r="C202" s="1501">
        <f t="shared" si="146"/>
        <v>0</v>
      </c>
      <c r="D202" s="1553">
        <f t="shared" si="146"/>
        <v>3591792</v>
      </c>
      <c r="E202" s="1516">
        <f t="shared" si="147"/>
        <v>0</v>
      </c>
      <c r="F202" s="995">
        <f t="shared" si="147"/>
        <v>0</v>
      </c>
      <c r="G202" s="995">
        <f t="shared" si="147"/>
        <v>0</v>
      </c>
      <c r="H202" s="995">
        <f t="shared" si="147"/>
        <v>0</v>
      </c>
      <c r="I202" s="995">
        <f t="shared" si="147"/>
        <v>0</v>
      </c>
      <c r="J202" s="1014">
        <f t="shared" si="146"/>
        <v>3591792</v>
      </c>
      <c r="K202" s="1013"/>
      <c r="L202" s="1013"/>
    </row>
    <row r="203" spans="1:17">
      <c r="A203" s="997" t="s">
        <v>57</v>
      </c>
      <c r="B203" s="995">
        <f t="shared" si="148"/>
        <v>0</v>
      </c>
      <c r="C203" s="1501">
        <f t="shared" si="146"/>
        <v>0</v>
      </c>
      <c r="D203" s="1553">
        <f t="shared" si="146"/>
        <v>0</v>
      </c>
      <c r="E203" s="1516">
        <f t="shared" si="147"/>
        <v>0</v>
      </c>
      <c r="F203" s="995">
        <f t="shared" si="147"/>
        <v>0</v>
      </c>
      <c r="G203" s="995">
        <f t="shared" si="147"/>
        <v>0</v>
      </c>
      <c r="H203" s="995">
        <f t="shared" si="147"/>
        <v>0</v>
      </c>
      <c r="I203" s="995">
        <f t="shared" si="147"/>
        <v>0</v>
      </c>
      <c r="J203" s="1014">
        <f t="shared" si="146"/>
        <v>0</v>
      </c>
      <c r="K203" s="996"/>
      <c r="L203" s="996"/>
    </row>
    <row r="204" spans="1:17">
      <c r="A204" s="997" t="s">
        <v>58</v>
      </c>
      <c r="B204" s="995">
        <f t="shared" si="148"/>
        <v>0</v>
      </c>
      <c r="C204" s="1501">
        <f t="shared" si="146"/>
        <v>0</v>
      </c>
      <c r="D204" s="1553">
        <f t="shared" si="146"/>
        <v>0</v>
      </c>
      <c r="E204" s="1516">
        <f t="shared" si="147"/>
        <v>0</v>
      </c>
      <c r="F204" s="995">
        <f t="shared" si="147"/>
        <v>0</v>
      </c>
      <c r="G204" s="995">
        <f t="shared" si="147"/>
        <v>0</v>
      </c>
      <c r="H204" s="995">
        <f t="shared" si="147"/>
        <v>0</v>
      </c>
      <c r="I204" s="995">
        <f t="shared" si="147"/>
        <v>0</v>
      </c>
      <c r="J204" s="1014">
        <f t="shared" si="146"/>
        <v>0</v>
      </c>
      <c r="K204" s="1013"/>
      <c r="L204" s="1013"/>
    </row>
    <row r="205" spans="1:17">
      <c r="A205" s="997" t="s">
        <v>17</v>
      </c>
      <c r="B205" s="995">
        <f t="shared" si="148"/>
        <v>0</v>
      </c>
      <c r="C205" s="1501">
        <f t="shared" si="146"/>
        <v>0</v>
      </c>
      <c r="D205" s="1553">
        <f t="shared" si="146"/>
        <v>0</v>
      </c>
      <c r="E205" s="1516">
        <f t="shared" si="147"/>
        <v>0</v>
      </c>
      <c r="F205" s="995">
        <f t="shared" si="147"/>
        <v>0</v>
      </c>
      <c r="G205" s="995">
        <f t="shared" si="147"/>
        <v>0</v>
      </c>
      <c r="H205" s="995">
        <f t="shared" si="147"/>
        <v>0</v>
      </c>
      <c r="I205" s="995">
        <f t="shared" si="147"/>
        <v>0</v>
      </c>
      <c r="J205" s="1014">
        <f t="shared" si="146"/>
        <v>0</v>
      </c>
      <c r="K205" s="1013"/>
      <c r="L205" s="1013"/>
    </row>
    <row r="206" spans="1:17" ht="24">
      <c r="A206" s="997" t="s">
        <v>26</v>
      </c>
      <c r="B206" s="1015">
        <f t="shared" si="148"/>
        <v>0</v>
      </c>
      <c r="C206" s="1505">
        <f t="shared" si="146"/>
        <v>0</v>
      </c>
      <c r="D206" s="1558">
        <f t="shared" si="146"/>
        <v>0</v>
      </c>
      <c r="E206" s="1518">
        <f t="shared" si="147"/>
        <v>0</v>
      </c>
      <c r="F206" s="1015">
        <f t="shared" si="147"/>
        <v>0</v>
      </c>
      <c r="G206" s="1015">
        <f t="shared" si="147"/>
        <v>0</v>
      </c>
      <c r="H206" s="1015">
        <f t="shared" si="147"/>
        <v>0</v>
      </c>
      <c r="I206" s="1015">
        <f t="shared" si="147"/>
        <v>0</v>
      </c>
      <c r="J206" s="1014">
        <f>+J144-J176</f>
        <v>0</v>
      </c>
      <c r="K206" s="1016"/>
      <c r="L206" s="1016"/>
    </row>
    <row r="207" spans="1:17" ht="13.5" customHeight="1">
      <c r="A207" s="997" t="s">
        <v>20</v>
      </c>
      <c r="B207" s="995">
        <f t="shared" si="148"/>
        <v>0</v>
      </c>
      <c r="C207" s="1501">
        <f t="shared" si="146"/>
        <v>0</v>
      </c>
      <c r="D207" s="1553">
        <f t="shared" si="146"/>
        <v>-7507058</v>
      </c>
      <c r="E207" s="1516">
        <f t="shared" si="147"/>
        <v>-16269163</v>
      </c>
      <c r="F207" s="995">
        <f t="shared" si="147"/>
        <v>-9151380</v>
      </c>
      <c r="G207" s="995">
        <f t="shared" si="147"/>
        <v>0</v>
      </c>
      <c r="H207" s="995">
        <f t="shared" si="147"/>
        <v>0</v>
      </c>
      <c r="I207" s="995">
        <f t="shared" si="147"/>
        <v>0</v>
      </c>
      <c r="J207" s="1014">
        <f>+J145-J177</f>
        <v>-32927601</v>
      </c>
      <c r="K207" s="1013"/>
      <c r="L207" s="1013"/>
    </row>
    <row r="208" spans="1:17" ht="13.5" customHeight="1">
      <c r="A208" s="998" t="s">
        <v>19</v>
      </c>
      <c r="B208" s="995">
        <f t="shared" si="148"/>
        <v>0</v>
      </c>
      <c r="C208" s="1501">
        <f t="shared" si="146"/>
        <v>0</v>
      </c>
      <c r="D208" s="1553">
        <f t="shared" si="146"/>
        <v>0</v>
      </c>
      <c r="E208" s="1516">
        <f t="shared" si="147"/>
        <v>0</v>
      </c>
      <c r="F208" s="995">
        <f t="shared" si="147"/>
        <v>0</v>
      </c>
      <c r="G208" s="995">
        <f t="shared" si="147"/>
        <v>0</v>
      </c>
      <c r="H208" s="995">
        <f t="shared" si="147"/>
        <v>0</v>
      </c>
      <c r="I208" s="995">
        <f t="shared" si="147"/>
        <v>0</v>
      </c>
      <c r="J208" s="1014">
        <f>+J146-J178</f>
        <v>0</v>
      </c>
      <c r="K208" s="1013"/>
      <c r="L208" s="1013"/>
    </row>
    <row r="209" spans="1:12" ht="13.5" thickBot="1">
      <c r="A209" s="999" t="s">
        <v>21</v>
      </c>
      <c r="B209" s="1000">
        <f t="shared" si="148"/>
        <v>0</v>
      </c>
      <c r="C209" s="1502">
        <f t="shared" si="146"/>
        <v>-2028467</v>
      </c>
      <c r="D209" s="1554">
        <f t="shared" si="146"/>
        <v>7141369</v>
      </c>
      <c r="E209" s="1517">
        <f t="shared" si="147"/>
        <v>17292082</v>
      </c>
      <c r="F209" s="1000">
        <f t="shared" si="147"/>
        <v>13304657</v>
      </c>
      <c r="G209" s="1000">
        <f t="shared" si="147"/>
        <v>1917368</v>
      </c>
      <c r="H209" s="1000">
        <f t="shared" si="147"/>
        <v>0</v>
      </c>
      <c r="I209" s="1000">
        <f t="shared" si="147"/>
        <v>0</v>
      </c>
      <c r="J209" s="1014">
        <f>+J147-J179</f>
        <v>37627009</v>
      </c>
      <c r="K209" s="1013"/>
      <c r="L209" s="1013"/>
    </row>
    <row r="210" spans="1:12" ht="13.5" thickBot="1">
      <c r="A210" s="1017"/>
      <c r="B210" s="1019">
        <f>SUM(B198:B209)</f>
        <v>0</v>
      </c>
      <c r="C210" s="1018">
        <f t="shared" ref="C210:J210" si="149">SUM(C198:C209)</f>
        <v>-2028467</v>
      </c>
      <c r="D210" s="1559">
        <f t="shared" si="149"/>
        <v>3698523</v>
      </c>
      <c r="E210" s="1018">
        <f t="shared" si="149"/>
        <v>1707369</v>
      </c>
      <c r="F210" s="1018">
        <f t="shared" si="149"/>
        <v>4720607</v>
      </c>
      <c r="G210" s="1018">
        <f t="shared" si="149"/>
        <v>1917368</v>
      </c>
      <c r="H210" s="1018">
        <f t="shared" si="149"/>
        <v>0</v>
      </c>
      <c r="I210" s="1018">
        <f t="shared" si="149"/>
        <v>0</v>
      </c>
      <c r="J210" s="1018">
        <f t="shared" si="149"/>
        <v>10015400</v>
      </c>
      <c r="K210" s="1020"/>
      <c r="L210" s="1020"/>
    </row>
    <row r="211" spans="1:12" ht="2.25" customHeight="1">
      <c r="A211" s="783"/>
      <c r="B211" s="1021"/>
      <c r="J211" s="783"/>
    </row>
    <row r="212" spans="1:12">
      <c r="A212" s="1005" t="s">
        <v>42</v>
      </c>
      <c r="B212" s="1023">
        <f>+B135-B167</f>
        <v>0</v>
      </c>
      <c r="C212" s="1022">
        <f t="shared" ref="C212:J212" si="150">+C135-C167</f>
        <v>-2028467</v>
      </c>
      <c r="D212" s="1022">
        <f t="shared" si="150"/>
        <v>3698523</v>
      </c>
      <c r="E212" s="1022">
        <f>+E135-E167</f>
        <v>1707369</v>
      </c>
      <c r="F212" s="1022">
        <f>+F135-F167</f>
        <v>4720607</v>
      </c>
      <c r="G212" s="1022">
        <f>+G135-G167</f>
        <v>1917368</v>
      </c>
      <c r="H212" s="1022">
        <f>+H135-H167</f>
        <v>0</v>
      </c>
      <c r="I212" s="1022">
        <f>+I135-I167</f>
        <v>0</v>
      </c>
      <c r="J212" s="1022">
        <f t="shared" si="150"/>
        <v>10015400</v>
      </c>
    </row>
    <row r="213" spans="1:12" ht="14.25" customHeight="1">
      <c r="A213" s="783"/>
      <c r="B213" s="790">
        <f>+B212-B210</f>
        <v>0</v>
      </c>
      <c r="C213" s="790">
        <f t="shared" ref="C213:J213" si="151">+C212-C210</f>
        <v>0</v>
      </c>
      <c r="D213" s="790">
        <f t="shared" si="151"/>
        <v>0</v>
      </c>
      <c r="E213" s="790">
        <f>+E212-E210</f>
        <v>0</v>
      </c>
      <c r="F213" s="790">
        <f>+F212-F210</f>
        <v>0</v>
      </c>
      <c r="G213" s="790">
        <f>+G212-G210</f>
        <v>0</v>
      </c>
      <c r="H213" s="790">
        <f>+H212-H210</f>
        <v>0</v>
      </c>
      <c r="I213" s="790">
        <f>+I212-I210</f>
        <v>0</v>
      </c>
      <c r="J213" s="790">
        <f t="shared" si="151"/>
        <v>0</v>
      </c>
    </row>
    <row r="214" spans="1:12" ht="12" customHeight="1">
      <c r="A214" s="783"/>
      <c r="J214" s="790"/>
    </row>
    <row r="215" spans="1:12">
      <c r="A215" s="783"/>
      <c r="J215" s="783"/>
    </row>
    <row r="216" spans="1:12">
      <c r="A216" s="783"/>
    </row>
    <row r="217" spans="1:12">
      <c r="A217" s="783"/>
      <c r="J217" s="783"/>
    </row>
    <row r="218" spans="1:12">
      <c r="A218" s="783"/>
      <c r="J218" s="783"/>
    </row>
    <row r="219" spans="1:12" ht="41.25" customHeight="1">
      <c r="A219" s="783"/>
    </row>
    <row r="220" spans="1:12">
      <c r="A220" s="783"/>
      <c r="J220" s="783"/>
    </row>
    <row r="221" spans="1:12">
      <c r="A221" s="783"/>
      <c r="J221" s="783"/>
    </row>
    <row r="222" spans="1:12">
      <c r="A222" s="783"/>
      <c r="J222" s="783"/>
    </row>
    <row r="223" spans="1:12">
      <c r="A223" s="783"/>
      <c r="J223" s="783"/>
    </row>
    <row r="224" spans="1:12">
      <c r="A224" s="783"/>
      <c r="J224" s="783"/>
    </row>
    <row r="225" spans="1:10">
      <c r="A225" s="783"/>
      <c r="J225" s="783"/>
    </row>
    <row r="226" spans="1:10">
      <c r="A226" s="783"/>
      <c r="J226" s="783"/>
    </row>
    <row r="227" spans="1:10">
      <c r="A227" s="783"/>
      <c r="J227" s="783"/>
    </row>
    <row r="228" spans="1:10">
      <c r="A228" s="783"/>
      <c r="J228" s="783"/>
    </row>
    <row r="229" spans="1:10">
      <c r="A229" s="783"/>
      <c r="J229" s="783"/>
    </row>
    <row r="230" spans="1:10">
      <c r="A230" s="783"/>
      <c r="J230" s="783"/>
    </row>
    <row r="231" spans="1:10">
      <c r="A231" s="783"/>
      <c r="J231" s="783"/>
    </row>
    <row r="232" spans="1:10">
      <c r="A232" s="783"/>
      <c r="J232" s="783"/>
    </row>
    <row r="233" spans="1:10">
      <c r="A233" s="783"/>
      <c r="J233" s="783"/>
    </row>
    <row r="234" spans="1:10">
      <c r="A234" s="783"/>
      <c r="J234" s="783"/>
    </row>
    <row r="235" spans="1:10">
      <c r="A235" s="783"/>
      <c r="J235" s="783"/>
    </row>
    <row r="236" spans="1:10">
      <c r="A236" s="783"/>
      <c r="J236" s="783"/>
    </row>
    <row r="237" spans="1:10">
      <c r="A237" s="783"/>
      <c r="J237" s="783"/>
    </row>
    <row r="238" spans="1:10">
      <c r="A238" s="783"/>
      <c r="J238" s="783"/>
    </row>
    <row r="239" spans="1:10">
      <c r="A239" s="783"/>
      <c r="J239" s="783"/>
    </row>
    <row r="240" spans="1:10">
      <c r="A240" s="783"/>
      <c r="J240" s="783"/>
    </row>
    <row r="241" spans="1:10">
      <c r="A241" s="783"/>
      <c r="J241" s="783"/>
    </row>
    <row r="242" spans="1:10">
      <c r="A242" s="783"/>
      <c r="J242" s="783"/>
    </row>
    <row r="243" spans="1:10">
      <c r="A243" s="783"/>
      <c r="J243" s="783"/>
    </row>
    <row r="244" spans="1:10">
      <c r="A244" s="783"/>
      <c r="J244" s="783"/>
    </row>
    <row r="245" spans="1:10">
      <c r="A245" s="783"/>
      <c r="J245" s="783"/>
    </row>
    <row r="246" spans="1:10">
      <c r="A246" s="783"/>
      <c r="J246" s="783"/>
    </row>
    <row r="247" spans="1:10">
      <c r="A247" s="783"/>
      <c r="J247" s="783"/>
    </row>
    <row r="248" spans="1:10">
      <c r="A248" s="783"/>
      <c r="J248" s="783"/>
    </row>
    <row r="249" spans="1:10">
      <c r="A249" s="783"/>
      <c r="J249" s="783"/>
    </row>
    <row r="250" spans="1:10">
      <c r="A250" s="783"/>
      <c r="J250" s="783"/>
    </row>
    <row r="251" spans="1:10">
      <c r="A251" s="783"/>
      <c r="J251" s="783"/>
    </row>
    <row r="252" spans="1:10">
      <c r="A252" s="783"/>
      <c r="J252" s="783"/>
    </row>
    <row r="253" spans="1:10">
      <c r="A253" s="783"/>
      <c r="J253" s="783"/>
    </row>
    <row r="254" spans="1:10">
      <c r="A254" s="783"/>
      <c r="J254" s="783"/>
    </row>
    <row r="255" spans="1:10">
      <c r="A255" s="783"/>
      <c r="J255" s="783"/>
    </row>
    <row r="256" spans="1:10">
      <c r="A256" s="783"/>
      <c r="J256" s="783"/>
    </row>
    <row r="257" spans="1:10">
      <c r="A257" s="783"/>
      <c r="J257" s="783"/>
    </row>
    <row r="258" spans="1:10">
      <c r="A258" s="783"/>
      <c r="J258" s="783"/>
    </row>
    <row r="259" spans="1:10">
      <c r="A259" s="783"/>
      <c r="J259" s="783"/>
    </row>
    <row r="260" spans="1:10">
      <c r="A260" s="783"/>
      <c r="J260" s="783"/>
    </row>
    <row r="261" spans="1:10">
      <c r="A261" s="783"/>
      <c r="J261" s="783"/>
    </row>
    <row r="262" spans="1:10">
      <c r="A262" s="783"/>
      <c r="J262" s="783"/>
    </row>
    <row r="263" spans="1:10">
      <c r="A263" s="783"/>
      <c r="J263" s="783"/>
    </row>
    <row r="264" spans="1:10">
      <c r="A264" s="783"/>
      <c r="J264" s="783"/>
    </row>
    <row r="265" spans="1:10">
      <c r="A265" s="783"/>
      <c r="J265" s="783"/>
    </row>
    <row r="266" spans="1:10">
      <c r="A266" s="783"/>
      <c r="J266" s="783"/>
    </row>
    <row r="267" spans="1:10">
      <c r="A267" s="783"/>
      <c r="J267" s="783"/>
    </row>
    <row r="268" spans="1:10">
      <c r="A268" s="783"/>
      <c r="J268" s="783"/>
    </row>
    <row r="269" spans="1:10">
      <c r="A269" s="783"/>
      <c r="J269" s="783"/>
    </row>
    <row r="270" spans="1:10">
      <c r="A270" s="783"/>
      <c r="J270" s="783"/>
    </row>
    <row r="271" spans="1:10">
      <c r="A271" s="783"/>
      <c r="J271" s="783"/>
    </row>
    <row r="272" spans="1:10">
      <c r="A272" s="783"/>
      <c r="J272" s="783"/>
    </row>
    <row r="273" spans="1:10">
      <c r="A273" s="783"/>
      <c r="J273" s="783"/>
    </row>
    <row r="274" spans="1:10">
      <c r="A274" s="783"/>
      <c r="J274" s="783"/>
    </row>
    <row r="275" spans="1:10">
      <c r="A275" s="783"/>
      <c r="J275" s="783"/>
    </row>
    <row r="276" spans="1:10">
      <c r="A276" s="783"/>
      <c r="J276" s="783"/>
    </row>
    <row r="277" spans="1:10">
      <c r="A277" s="783"/>
      <c r="J277" s="783"/>
    </row>
    <row r="278" spans="1:10">
      <c r="A278" s="783"/>
      <c r="J278" s="783"/>
    </row>
    <row r="279" spans="1:10">
      <c r="A279" s="783"/>
      <c r="J279" s="783"/>
    </row>
    <row r="280" spans="1:10">
      <c r="A280" s="783"/>
      <c r="J280" s="783"/>
    </row>
    <row r="281" spans="1:10">
      <c r="A281" s="783"/>
      <c r="J281" s="783"/>
    </row>
    <row r="282" spans="1:10">
      <c r="A282" s="783"/>
      <c r="J282" s="783"/>
    </row>
    <row r="283" spans="1:10">
      <c r="A283" s="783"/>
      <c r="J283" s="783"/>
    </row>
    <row r="284" spans="1:10">
      <c r="A284" s="783"/>
      <c r="J284" s="783"/>
    </row>
    <row r="285" spans="1:10">
      <c r="A285" s="783"/>
      <c r="J285" s="783"/>
    </row>
    <row r="286" spans="1:10">
      <c r="A286" s="783"/>
      <c r="J286" s="783"/>
    </row>
    <row r="287" spans="1:10">
      <c r="A287" s="783"/>
      <c r="J287" s="783"/>
    </row>
    <row r="288" spans="1:10">
      <c r="A288" s="783"/>
      <c r="J288" s="783"/>
    </row>
    <row r="289" spans="1:10">
      <c r="A289" s="783"/>
      <c r="J289" s="783"/>
    </row>
    <row r="290" spans="1:10">
      <c r="A290" s="783"/>
      <c r="J290" s="783"/>
    </row>
    <row r="291" spans="1:10">
      <c r="A291" s="783"/>
      <c r="J291" s="783"/>
    </row>
    <row r="292" spans="1:10">
      <c r="A292" s="783"/>
      <c r="J292" s="783"/>
    </row>
    <row r="293" spans="1:10">
      <c r="A293" s="783"/>
      <c r="J293" s="783"/>
    </row>
    <row r="294" spans="1:10">
      <c r="A294" s="783"/>
      <c r="J294" s="783"/>
    </row>
    <row r="295" spans="1:10">
      <c r="A295" s="783"/>
      <c r="J295" s="783"/>
    </row>
    <row r="296" spans="1:10">
      <c r="A296" s="783"/>
      <c r="J296" s="783"/>
    </row>
    <row r="297" spans="1:10">
      <c r="A297" s="783"/>
      <c r="J297" s="783"/>
    </row>
    <row r="298" spans="1:10">
      <c r="A298" s="783"/>
      <c r="J298" s="783"/>
    </row>
    <row r="299" spans="1:10">
      <c r="A299" s="783"/>
      <c r="J299" s="783"/>
    </row>
    <row r="300" spans="1:10">
      <c r="A300" s="783"/>
      <c r="J300" s="783"/>
    </row>
    <row r="301" spans="1:10">
      <c r="A301" s="783"/>
      <c r="J301" s="783"/>
    </row>
    <row r="302" spans="1:10">
      <c r="A302" s="783"/>
      <c r="J302" s="783"/>
    </row>
    <row r="303" spans="1:10">
      <c r="A303" s="783"/>
      <c r="J303" s="783"/>
    </row>
    <row r="304" spans="1:10">
      <c r="A304" s="783"/>
      <c r="J304" s="783"/>
    </row>
    <row r="305" spans="1:10">
      <c r="A305" s="783"/>
      <c r="J305" s="783"/>
    </row>
    <row r="306" spans="1:10">
      <c r="A306" s="783"/>
      <c r="J306" s="783"/>
    </row>
    <row r="307" spans="1:10">
      <c r="A307" s="783"/>
      <c r="J307" s="783"/>
    </row>
    <row r="308" spans="1:10">
      <c r="A308" s="783"/>
      <c r="J308" s="783"/>
    </row>
    <row r="309" spans="1:10">
      <c r="A309" s="783"/>
      <c r="J309" s="783"/>
    </row>
    <row r="310" spans="1:10">
      <c r="A310" s="783"/>
      <c r="J310" s="783"/>
    </row>
    <row r="311" spans="1:10">
      <c r="A311" s="783"/>
      <c r="J311" s="783"/>
    </row>
    <row r="312" spans="1:10">
      <c r="A312" s="783"/>
      <c r="J312" s="783"/>
    </row>
    <row r="313" spans="1:10">
      <c r="A313" s="783"/>
      <c r="J313" s="783"/>
    </row>
    <row r="314" spans="1:10">
      <c r="A314" s="783"/>
      <c r="J314" s="783"/>
    </row>
    <row r="315" spans="1:10">
      <c r="A315" s="783"/>
      <c r="J315" s="783"/>
    </row>
    <row r="316" spans="1:10">
      <c r="A316" s="783"/>
      <c r="J316" s="783"/>
    </row>
    <row r="317" spans="1:10">
      <c r="A317" s="783"/>
      <c r="J317" s="783"/>
    </row>
    <row r="318" spans="1:10">
      <c r="A318" s="783"/>
      <c r="J318" s="783"/>
    </row>
    <row r="319" spans="1:10">
      <c r="A319" s="783"/>
      <c r="J319" s="783"/>
    </row>
    <row r="320" spans="1:10">
      <c r="A320" s="783"/>
      <c r="J320" s="783"/>
    </row>
    <row r="321" spans="1:10">
      <c r="A321" s="783"/>
      <c r="J321" s="783"/>
    </row>
    <row r="322" spans="1:10">
      <c r="A322" s="783"/>
      <c r="J322" s="783"/>
    </row>
    <row r="323" spans="1:10">
      <c r="A323" s="783"/>
      <c r="J323" s="783"/>
    </row>
    <row r="324" spans="1:10">
      <c r="A324" s="783"/>
      <c r="J324" s="783"/>
    </row>
    <row r="325" spans="1:10">
      <c r="A325" s="783"/>
      <c r="J325" s="783"/>
    </row>
    <row r="326" spans="1:10">
      <c r="A326" s="783"/>
      <c r="J326" s="783"/>
    </row>
    <row r="327" spans="1:10">
      <c r="A327" s="783"/>
      <c r="J327" s="783"/>
    </row>
    <row r="328" spans="1:10">
      <c r="A328" s="783"/>
      <c r="J328" s="783"/>
    </row>
    <row r="329" spans="1:10">
      <c r="A329" s="783"/>
      <c r="J329" s="783"/>
    </row>
    <row r="330" spans="1:10">
      <c r="A330" s="783"/>
      <c r="J330" s="783"/>
    </row>
    <row r="331" spans="1:10">
      <c r="A331" s="783"/>
      <c r="J331" s="783"/>
    </row>
    <row r="332" spans="1:10">
      <c r="A332" s="783"/>
      <c r="J332" s="783"/>
    </row>
    <row r="333" spans="1:10">
      <c r="A333" s="783"/>
      <c r="J333" s="783"/>
    </row>
    <row r="334" spans="1:10">
      <c r="A334" s="783"/>
      <c r="J334" s="783"/>
    </row>
    <row r="335" spans="1:10">
      <c r="A335" s="783"/>
      <c r="J335" s="783"/>
    </row>
    <row r="336" spans="1:10">
      <c r="A336" s="783"/>
      <c r="J336" s="783"/>
    </row>
    <row r="337" spans="1:10">
      <c r="A337" s="783"/>
      <c r="J337" s="783"/>
    </row>
    <row r="338" spans="1:10">
      <c r="A338" s="783"/>
      <c r="J338" s="783"/>
    </row>
    <row r="339" spans="1:10">
      <c r="A339" s="783"/>
      <c r="J339" s="783"/>
    </row>
    <row r="340" spans="1:10">
      <c r="A340" s="783"/>
      <c r="J340" s="783"/>
    </row>
    <row r="341" spans="1:10">
      <c r="A341" s="783"/>
      <c r="J341" s="783"/>
    </row>
    <row r="342" spans="1:10">
      <c r="A342" s="783"/>
      <c r="J342" s="783"/>
    </row>
    <row r="343" spans="1:10">
      <c r="A343" s="783"/>
      <c r="J343" s="783"/>
    </row>
    <row r="344" spans="1:10">
      <c r="A344" s="783"/>
      <c r="J344" s="783"/>
    </row>
    <row r="345" spans="1:10">
      <c r="A345" s="783"/>
      <c r="J345" s="783"/>
    </row>
    <row r="346" spans="1:10">
      <c r="A346" s="783"/>
      <c r="J346" s="783"/>
    </row>
    <row r="347" spans="1:10">
      <c r="A347" s="783"/>
      <c r="J347" s="783"/>
    </row>
    <row r="348" spans="1:10">
      <c r="A348" s="783"/>
      <c r="J348" s="783"/>
    </row>
    <row r="349" spans="1:10">
      <c r="A349" s="783"/>
      <c r="J349" s="783"/>
    </row>
    <row r="350" spans="1:10">
      <c r="A350" s="783"/>
      <c r="J350" s="783"/>
    </row>
    <row r="351" spans="1:10">
      <c r="A351" s="783"/>
      <c r="J351" s="783"/>
    </row>
    <row r="352" spans="1:10">
      <c r="A352" s="783"/>
      <c r="J352" s="783"/>
    </row>
    <row r="353" spans="1:10">
      <c r="A353" s="783"/>
      <c r="J353" s="783"/>
    </row>
    <row r="354" spans="1:10">
      <c r="A354" s="783"/>
      <c r="J354" s="783"/>
    </row>
    <row r="355" spans="1:10">
      <c r="A355" s="783"/>
      <c r="J355" s="783"/>
    </row>
    <row r="356" spans="1:10">
      <c r="A356" s="783"/>
      <c r="J356" s="783"/>
    </row>
    <row r="357" spans="1:10">
      <c r="A357" s="783"/>
      <c r="J357" s="783"/>
    </row>
    <row r="358" spans="1:10">
      <c r="A358" s="783"/>
      <c r="J358" s="783"/>
    </row>
    <row r="359" spans="1:10">
      <c r="A359" s="783"/>
      <c r="J359" s="783"/>
    </row>
    <row r="360" spans="1:10">
      <c r="A360" s="783"/>
      <c r="J360" s="783"/>
    </row>
    <row r="361" spans="1:10">
      <c r="A361" s="783"/>
      <c r="J361" s="783"/>
    </row>
    <row r="362" spans="1:10">
      <c r="A362" s="783"/>
      <c r="J362" s="783"/>
    </row>
    <row r="363" spans="1:10">
      <c r="A363" s="783"/>
      <c r="J363" s="783"/>
    </row>
    <row r="364" spans="1:10">
      <c r="A364" s="783"/>
      <c r="J364" s="783"/>
    </row>
    <row r="365" spans="1:10">
      <c r="A365" s="783"/>
      <c r="J365" s="783"/>
    </row>
    <row r="366" spans="1:10">
      <c r="A366" s="783"/>
      <c r="J366" s="783"/>
    </row>
    <row r="367" spans="1:10">
      <c r="A367" s="783"/>
      <c r="J367" s="783"/>
    </row>
    <row r="368" spans="1:10">
      <c r="A368" s="783"/>
      <c r="J368" s="783"/>
    </row>
    <row r="369" spans="1:10">
      <c r="A369" s="783"/>
      <c r="J369" s="783"/>
    </row>
    <row r="370" spans="1:10">
      <c r="A370" s="783"/>
      <c r="J370" s="783"/>
    </row>
    <row r="371" spans="1:10">
      <c r="A371" s="783"/>
      <c r="J371" s="783"/>
    </row>
    <row r="372" spans="1:10">
      <c r="A372" s="783"/>
      <c r="J372" s="783"/>
    </row>
    <row r="373" spans="1:10">
      <c r="A373" s="783"/>
      <c r="J373" s="783"/>
    </row>
    <row r="374" spans="1:10">
      <c r="A374" s="783"/>
      <c r="J374" s="783"/>
    </row>
    <row r="375" spans="1:10">
      <c r="A375" s="783"/>
      <c r="J375" s="783"/>
    </row>
    <row r="376" spans="1:10">
      <c r="A376" s="783"/>
      <c r="J376" s="783"/>
    </row>
    <row r="377" spans="1:10">
      <c r="A377" s="783"/>
      <c r="J377" s="783"/>
    </row>
    <row r="378" spans="1:10">
      <c r="A378" s="783"/>
      <c r="J378" s="783"/>
    </row>
    <row r="379" spans="1:10">
      <c r="A379" s="783"/>
      <c r="J379" s="783"/>
    </row>
    <row r="380" spans="1:10">
      <c r="A380" s="783"/>
      <c r="J380" s="783"/>
    </row>
    <row r="381" spans="1:10">
      <c r="A381" s="783"/>
      <c r="J381" s="783"/>
    </row>
    <row r="382" spans="1:10">
      <c r="A382" s="783"/>
      <c r="J382" s="783"/>
    </row>
    <row r="383" spans="1:10">
      <c r="A383" s="783"/>
      <c r="J383" s="783"/>
    </row>
    <row r="384" spans="1:10">
      <c r="A384" s="783"/>
      <c r="J384" s="783"/>
    </row>
    <row r="385" spans="1:13">
      <c r="A385" s="783"/>
      <c r="J385" s="783"/>
    </row>
    <row r="386" spans="1:13">
      <c r="A386" s="783"/>
      <c r="J386" s="783"/>
    </row>
    <row r="387" spans="1:13" ht="13.5" thickBot="1">
      <c r="A387" s="783"/>
      <c r="J387" s="783"/>
    </row>
    <row r="388" spans="1:13" ht="45">
      <c r="A388" s="1024" t="s">
        <v>69</v>
      </c>
      <c r="B388" s="1025"/>
      <c r="C388" s="1025"/>
      <c r="D388" s="1025"/>
      <c r="E388" s="1025"/>
      <c r="F388" s="1025"/>
      <c r="G388" s="1025"/>
      <c r="H388" s="1025"/>
      <c r="I388" s="1025"/>
      <c r="J388" s="1025"/>
      <c r="K388" s="1026"/>
      <c r="L388" s="1026"/>
      <c r="M388" s="1026"/>
    </row>
    <row r="389" spans="1:13">
      <c r="A389" s="783"/>
      <c r="J389" s="783"/>
      <c r="K389" s="1258"/>
      <c r="L389" s="1258"/>
      <c r="M389" s="1258"/>
    </row>
    <row r="390" spans="1:13">
      <c r="A390" s="783"/>
      <c r="J390" s="783"/>
      <c r="K390" s="1258"/>
      <c r="L390" s="1258"/>
      <c r="M390" s="1258"/>
    </row>
    <row r="391" spans="1:13">
      <c r="A391" s="783"/>
      <c r="J391" s="783"/>
      <c r="K391" s="1258"/>
      <c r="L391" s="1258"/>
      <c r="M391" s="1258"/>
    </row>
    <row r="392" spans="1:13">
      <c r="A392" s="783"/>
      <c r="J392" s="783"/>
      <c r="K392" s="1258"/>
      <c r="L392" s="1258"/>
      <c r="M392" s="1258"/>
    </row>
    <row r="393" spans="1:13">
      <c r="A393" s="783"/>
      <c r="J393" s="783"/>
      <c r="K393" s="1258"/>
      <c r="L393" s="1258"/>
      <c r="M393" s="1258"/>
    </row>
    <row r="394" spans="1:13">
      <c r="A394" s="783"/>
      <c r="J394" s="783"/>
      <c r="K394" s="1258"/>
      <c r="L394" s="1258"/>
      <c r="M394" s="1258"/>
    </row>
    <row r="395" spans="1:13">
      <c r="A395" s="783"/>
      <c r="J395" s="783"/>
      <c r="K395" s="1258"/>
      <c r="L395" s="1258"/>
      <c r="M395" s="1258"/>
    </row>
    <row r="396" spans="1:13">
      <c r="A396" s="783"/>
      <c r="J396" s="783"/>
      <c r="K396" s="1258"/>
      <c r="L396" s="1258"/>
      <c r="M396" s="1258"/>
    </row>
    <row r="397" spans="1:13">
      <c r="A397" s="783"/>
      <c r="J397" s="783"/>
      <c r="K397" s="1258"/>
      <c r="L397" s="1258"/>
      <c r="M397" s="1258"/>
    </row>
    <row r="398" spans="1:13">
      <c r="A398" s="783"/>
      <c r="J398" s="783"/>
      <c r="K398" s="1258"/>
      <c r="L398" s="1258"/>
      <c r="M398" s="1258"/>
    </row>
    <row r="399" spans="1:13" ht="13.5" thickBot="1">
      <c r="A399" s="1027"/>
      <c r="B399" s="1027"/>
      <c r="C399" s="1027"/>
      <c r="D399" s="1027"/>
      <c r="E399" s="1027"/>
      <c r="F399" s="1027"/>
      <c r="G399" s="1027"/>
      <c r="H399" s="1027"/>
      <c r="I399" s="1027"/>
      <c r="J399" s="1027"/>
      <c r="K399" s="515"/>
      <c r="L399" s="515"/>
      <c r="M399" s="515"/>
    </row>
    <row r="400" spans="1:13">
      <c r="A400" s="783"/>
      <c r="J400" s="783"/>
    </row>
    <row r="401" spans="1:10">
      <c r="A401" s="783"/>
      <c r="J401" s="783"/>
    </row>
    <row r="402" spans="1:10">
      <c r="A402" s="783"/>
      <c r="J402" s="783"/>
    </row>
    <row r="403" spans="1:10">
      <c r="A403" s="783"/>
      <c r="J403" s="783"/>
    </row>
    <row r="404" spans="1:10">
      <c r="A404" s="783"/>
      <c r="J404" s="783"/>
    </row>
    <row r="405" spans="1:10">
      <c r="A405" s="783"/>
      <c r="J405" s="783"/>
    </row>
    <row r="406" spans="1:10">
      <c r="A406" s="783"/>
      <c r="J406" s="783"/>
    </row>
    <row r="407" spans="1:10">
      <c r="A407" s="783"/>
      <c r="J407" s="783"/>
    </row>
    <row r="408" spans="1:10">
      <c r="A408" s="783"/>
      <c r="J408" s="783"/>
    </row>
    <row r="409" spans="1:10">
      <c r="A409" s="783"/>
      <c r="J409" s="783"/>
    </row>
    <row r="410" spans="1:10">
      <c r="A410" s="783"/>
      <c r="J410" s="783"/>
    </row>
    <row r="411" spans="1:10">
      <c r="A411" s="783"/>
      <c r="J411" s="783"/>
    </row>
    <row r="412" spans="1:10">
      <c r="A412" s="783"/>
      <c r="J412" s="783"/>
    </row>
    <row r="413" spans="1:10">
      <c r="A413" s="783"/>
      <c r="J413" s="783"/>
    </row>
    <row r="414" spans="1:10">
      <c r="A414" s="783"/>
      <c r="J414" s="783"/>
    </row>
    <row r="415" spans="1:10">
      <c r="A415" s="783"/>
      <c r="J415" s="783"/>
    </row>
    <row r="416" spans="1:10">
      <c r="A416" s="783"/>
      <c r="J416" s="783"/>
    </row>
    <row r="417" spans="1:10">
      <c r="A417" s="783"/>
      <c r="J417" s="783"/>
    </row>
    <row r="418" spans="1:10">
      <c r="A418" s="783"/>
      <c r="J418" s="783"/>
    </row>
    <row r="419" spans="1:10">
      <c r="A419" s="783"/>
      <c r="J419" s="783"/>
    </row>
    <row r="420" spans="1:10">
      <c r="A420" s="783"/>
      <c r="J420" s="783"/>
    </row>
    <row r="421" spans="1:10">
      <c r="A421" s="783"/>
      <c r="J421" s="783"/>
    </row>
    <row r="422" spans="1:10">
      <c r="A422" s="783"/>
      <c r="J422" s="783"/>
    </row>
    <row r="423" spans="1:10">
      <c r="A423" s="783"/>
      <c r="J423" s="783"/>
    </row>
    <row r="424" spans="1:10">
      <c r="A424" s="783"/>
      <c r="J424" s="783"/>
    </row>
    <row r="425" spans="1:10">
      <c r="A425" s="783"/>
      <c r="J425" s="783"/>
    </row>
    <row r="426" spans="1:10">
      <c r="A426" s="783"/>
      <c r="J426" s="783"/>
    </row>
    <row r="427" spans="1:10">
      <c r="A427" s="783"/>
      <c r="J427" s="783"/>
    </row>
    <row r="428" spans="1:10">
      <c r="A428" s="783"/>
      <c r="J428" s="783"/>
    </row>
    <row r="429" spans="1:10">
      <c r="A429" s="783"/>
      <c r="J429" s="783"/>
    </row>
    <row r="430" spans="1:10">
      <c r="A430" s="783"/>
      <c r="J430" s="783"/>
    </row>
    <row r="431" spans="1:10">
      <c r="A431" s="783"/>
      <c r="J431" s="783"/>
    </row>
    <row r="432" spans="1:10">
      <c r="A432" s="783"/>
      <c r="J432" s="783"/>
    </row>
    <row r="433" spans="1:10">
      <c r="A433" s="783"/>
      <c r="J433" s="783"/>
    </row>
    <row r="434" spans="1:10">
      <c r="A434" s="783"/>
      <c r="J434" s="783"/>
    </row>
    <row r="435" spans="1:10">
      <c r="A435" s="783"/>
      <c r="J435" s="783"/>
    </row>
    <row r="436" spans="1:10">
      <c r="A436" s="783"/>
      <c r="J436" s="783"/>
    </row>
    <row r="437" spans="1:10">
      <c r="A437" s="783"/>
      <c r="J437" s="783"/>
    </row>
    <row r="438" spans="1:10">
      <c r="A438" s="783"/>
      <c r="J438" s="783"/>
    </row>
    <row r="439" spans="1:10">
      <c r="A439" s="783"/>
      <c r="J439" s="783"/>
    </row>
    <row r="440" spans="1:10">
      <c r="A440" s="783"/>
      <c r="J440" s="783"/>
    </row>
    <row r="441" spans="1:10">
      <c r="A441" s="783"/>
      <c r="J441" s="783"/>
    </row>
    <row r="442" spans="1:10">
      <c r="A442" s="783"/>
      <c r="J442" s="783"/>
    </row>
    <row r="443" spans="1:10">
      <c r="A443" s="783"/>
      <c r="J443" s="783"/>
    </row>
    <row r="444" spans="1:10">
      <c r="A444" s="783"/>
      <c r="J444" s="783"/>
    </row>
    <row r="445" spans="1:10">
      <c r="A445" s="783"/>
      <c r="J445" s="783"/>
    </row>
    <row r="446" spans="1:10">
      <c r="A446" s="783"/>
      <c r="J446" s="783"/>
    </row>
    <row r="447" spans="1:10">
      <c r="A447" s="783"/>
      <c r="J447" s="783"/>
    </row>
    <row r="448" spans="1:10">
      <c r="A448" s="783"/>
      <c r="J448" s="783"/>
    </row>
    <row r="449" spans="1:10">
      <c r="A449" s="783"/>
      <c r="J449" s="783"/>
    </row>
    <row r="450" spans="1:10">
      <c r="A450" s="783"/>
      <c r="J450" s="783"/>
    </row>
    <row r="451" spans="1:10">
      <c r="A451" s="783"/>
      <c r="J451" s="783"/>
    </row>
    <row r="452" spans="1:10">
      <c r="A452" s="783"/>
      <c r="J452" s="783"/>
    </row>
    <row r="453" spans="1:10">
      <c r="A453" s="783"/>
      <c r="J453" s="783"/>
    </row>
    <row r="454" spans="1:10">
      <c r="A454" s="783"/>
      <c r="J454" s="783"/>
    </row>
    <row r="455" spans="1:10">
      <c r="A455" s="783"/>
      <c r="J455" s="783"/>
    </row>
    <row r="456" spans="1:10">
      <c r="A456" s="783"/>
      <c r="J456" s="783"/>
    </row>
    <row r="457" spans="1:10">
      <c r="A457" s="783"/>
      <c r="J457" s="783"/>
    </row>
    <row r="458" spans="1:10">
      <c r="A458" s="783"/>
      <c r="J458" s="783"/>
    </row>
    <row r="459" spans="1:10">
      <c r="A459" s="783"/>
      <c r="J459" s="783"/>
    </row>
    <row r="460" spans="1:10">
      <c r="A460" s="783"/>
      <c r="J460" s="783"/>
    </row>
    <row r="461" spans="1:10">
      <c r="A461" s="783"/>
      <c r="J461" s="783"/>
    </row>
    <row r="462" spans="1:10">
      <c r="A462" s="783"/>
      <c r="J462" s="783"/>
    </row>
    <row r="463" spans="1:10">
      <c r="A463" s="783"/>
      <c r="J463" s="783"/>
    </row>
    <row r="464" spans="1:10">
      <c r="A464" s="783"/>
      <c r="J464" s="783"/>
    </row>
    <row r="465" spans="1:10">
      <c r="A465" s="783"/>
      <c r="J465" s="783"/>
    </row>
    <row r="466" spans="1:10">
      <c r="A466" s="783"/>
      <c r="J466" s="783"/>
    </row>
    <row r="467" spans="1:10">
      <c r="A467" s="783"/>
      <c r="J467" s="783"/>
    </row>
    <row r="468" spans="1:10">
      <c r="A468" s="783"/>
      <c r="J468" s="783"/>
    </row>
    <row r="469" spans="1:10">
      <c r="A469" s="783"/>
      <c r="J469" s="783"/>
    </row>
    <row r="470" spans="1:10">
      <c r="A470" s="783"/>
      <c r="J470" s="783"/>
    </row>
    <row r="471" spans="1:10">
      <c r="A471" s="783"/>
      <c r="J471" s="783"/>
    </row>
    <row r="472" spans="1:10">
      <c r="A472" s="783"/>
      <c r="J472" s="783"/>
    </row>
    <row r="473" spans="1:10">
      <c r="A473" s="783"/>
      <c r="J473" s="783"/>
    </row>
    <row r="474" spans="1:10">
      <c r="A474" s="783"/>
      <c r="J474" s="783"/>
    </row>
    <row r="475" spans="1:10">
      <c r="A475" s="783"/>
      <c r="J475" s="783"/>
    </row>
    <row r="476" spans="1:10">
      <c r="A476" s="783"/>
      <c r="J476" s="783"/>
    </row>
    <row r="477" spans="1:10">
      <c r="A477" s="783"/>
      <c r="J477" s="783"/>
    </row>
    <row r="478" spans="1:10">
      <c r="A478" s="783"/>
      <c r="J478" s="783"/>
    </row>
    <row r="479" spans="1:10">
      <c r="A479" s="783"/>
      <c r="J479" s="783"/>
    </row>
    <row r="480" spans="1:10">
      <c r="A480" s="783"/>
      <c r="J480" s="783"/>
    </row>
    <row r="481" spans="1:10">
      <c r="A481" s="783"/>
      <c r="J481" s="783"/>
    </row>
    <row r="482" spans="1:10">
      <c r="A482" s="783"/>
      <c r="J482" s="783"/>
    </row>
    <row r="483" spans="1:10">
      <c r="A483" s="783"/>
      <c r="J483" s="783"/>
    </row>
    <row r="484" spans="1:10">
      <c r="A484" s="783"/>
      <c r="J484" s="783"/>
    </row>
    <row r="485" spans="1:10">
      <c r="A485" s="783"/>
      <c r="J485" s="783"/>
    </row>
    <row r="486" spans="1:10">
      <c r="A486" s="783"/>
      <c r="J486" s="783"/>
    </row>
    <row r="487" spans="1:10">
      <c r="A487" s="783"/>
      <c r="J487" s="783"/>
    </row>
    <row r="488" spans="1:10">
      <c r="A488" s="783"/>
      <c r="J488" s="783"/>
    </row>
    <row r="489" spans="1:10">
      <c r="A489" s="783"/>
      <c r="J489" s="783"/>
    </row>
    <row r="490" spans="1:10">
      <c r="A490" s="783"/>
      <c r="J490" s="783"/>
    </row>
    <row r="491" spans="1:10">
      <c r="A491" s="783"/>
      <c r="J491" s="783"/>
    </row>
    <row r="492" spans="1:10">
      <c r="A492" s="783"/>
      <c r="J492" s="783"/>
    </row>
    <row r="493" spans="1:10">
      <c r="A493" s="783"/>
      <c r="J493" s="783"/>
    </row>
    <row r="494" spans="1:10">
      <c r="A494" s="783"/>
      <c r="J494" s="783"/>
    </row>
    <row r="495" spans="1:10">
      <c r="A495" s="783"/>
      <c r="J495" s="783"/>
    </row>
    <row r="496" spans="1:10">
      <c r="A496" s="783"/>
      <c r="J496" s="783"/>
    </row>
    <row r="497" spans="1:10">
      <c r="A497" s="783"/>
      <c r="J497" s="783"/>
    </row>
    <row r="498" spans="1:10">
      <c r="A498" s="783"/>
      <c r="J498" s="783"/>
    </row>
    <row r="499" spans="1:10">
      <c r="A499" s="783"/>
      <c r="J499" s="783"/>
    </row>
    <row r="500" spans="1:10">
      <c r="A500" s="783"/>
      <c r="J500" s="783"/>
    </row>
    <row r="501" spans="1:10">
      <c r="A501" s="783"/>
      <c r="J501" s="783"/>
    </row>
    <row r="502" spans="1:10">
      <c r="A502" s="783"/>
      <c r="J502" s="783"/>
    </row>
    <row r="503" spans="1:10">
      <c r="A503" s="783"/>
      <c r="J503" s="783"/>
    </row>
    <row r="504" spans="1:10">
      <c r="A504" s="783"/>
      <c r="J504" s="783"/>
    </row>
    <row r="505" spans="1:10">
      <c r="A505" s="783"/>
      <c r="J505" s="783"/>
    </row>
    <row r="506" spans="1:10">
      <c r="A506" s="783"/>
      <c r="J506" s="783"/>
    </row>
    <row r="507" spans="1:10">
      <c r="A507" s="783"/>
      <c r="J507" s="783"/>
    </row>
    <row r="508" spans="1:10">
      <c r="A508" s="783"/>
      <c r="J508" s="783"/>
    </row>
    <row r="509" spans="1:10">
      <c r="A509" s="783"/>
      <c r="J509" s="783"/>
    </row>
    <row r="510" spans="1:10">
      <c r="A510" s="783"/>
      <c r="J510" s="783"/>
    </row>
    <row r="511" spans="1:10">
      <c r="A511" s="783"/>
      <c r="J511" s="783"/>
    </row>
    <row r="512" spans="1:10">
      <c r="A512" s="783"/>
      <c r="J512" s="783"/>
    </row>
    <row r="513" spans="1:10">
      <c r="A513" s="783"/>
      <c r="J513" s="783"/>
    </row>
    <row r="514" spans="1:10">
      <c r="A514" s="783"/>
      <c r="J514" s="783"/>
    </row>
    <row r="515" spans="1:10">
      <c r="A515" s="783"/>
      <c r="J515" s="783"/>
    </row>
    <row r="516" spans="1:10">
      <c r="A516" s="783"/>
      <c r="J516" s="783"/>
    </row>
    <row r="517" spans="1:10">
      <c r="A517" s="783"/>
      <c r="J517" s="783"/>
    </row>
    <row r="518" spans="1:10">
      <c r="A518" s="783"/>
      <c r="J518" s="783"/>
    </row>
    <row r="519" spans="1:10">
      <c r="A519" s="783"/>
      <c r="J519" s="783"/>
    </row>
    <row r="520" spans="1:10">
      <c r="A520" s="783"/>
      <c r="J520" s="783"/>
    </row>
    <row r="521" spans="1:10">
      <c r="A521" s="783"/>
      <c r="J521" s="783"/>
    </row>
    <row r="522" spans="1:10">
      <c r="A522" s="783"/>
      <c r="J522" s="783"/>
    </row>
    <row r="523" spans="1:10">
      <c r="A523" s="783"/>
      <c r="J523" s="783"/>
    </row>
    <row r="524" spans="1:10">
      <c r="A524" s="783"/>
      <c r="J524" s="783"/>
    </row>
    <row r="525" spans="1:10">
      <c r="A525" s="783"/>
      <c r="J525" s="783"/>
    </row>
    <row r="526" spans="1:10">
      <c r="A526" s="783"/>
      <c r="J526" s="783"/>
    </row>
    <row r="527" spans="1:10">
      <c r="A527" s="783"/>
      <c r="J527" s="783"/>
    </row>
    <row r="528" spans="1:10">
      <c r="A528" s="783"/>
      <c r="J528" s="783"/>
    </row>
    <row r="529" spans="1:10">
      <c r="A529" s="783"/>
      <c r="J529" s="783"/>
    </row>
    <row r="530" spans="1:10">
      <c r="A530" s="783"/>
      <c r="J530" s="783"/>
    </row>
    <row r="531" spans="1:10">
      <c r="A531" s="783"/>
      <c r="J531" s="783"/>
    </row>
    <row r="532" spans="1:10">
      <c r="A532" s="783"/>
      <c r="J532" s="783"/>
    </row>
    <row r="533" spans="1:10">
      <c r="A533" s="783"/>
      <c r="J533" s="783"/>
    </row>
    <row r="534" spans="1:10">
      <c r="A534" s="783"/>
      <c r="J534" s="783"/>
    </row>
    <row r="535" spans="1:10">
      <c r="A535" s="783"/>
      <c r="J535" s="783"/>
    </row>
    <row r="536" spans="1:10">
      <c r="A536" s="783"/>
      <c r="J536" s="783"/>
    </row>
    <row r="537" spans="1:10">
      <c r="A537" s="783"/>
      <c r="J537" s="783"/>
    </row>
    <row r="538" spans="1:10">
      <c r="A538" s="783"/>
      <c r="J538" s="783"/>
    </row>
    <row r="539" spans="1:10">
      <c r="A539" s="783"/>
      <c r="J539" s="783"/>
    </row>
    <row r="540" spans="1:10">
      <c r="A540" s="783"/>
      <c r="J540" s="783"/>
    </row>
    <row r="541" spans="1:10">
      <c r="A541" s="783"/>
      <c r="J541" s="783"/>
    </row>
    <row r="542" spans="1:10">
      <c r="A542" s="783"/>
      <c r="J542" s="783"/>
    </row>
    <row r="543" spans="1:10">
      <c r="A543" s="783"/>
      <c r="J543" s="783"/>
    </row>
    <row r="544" spans="1:10">
      <c r="A544" s="783"/>
      <c r="J544" s="783"/>
    </row>
    <row r="545" spans="1:10">
      <c r="A545" s="783"/>
      <c r="J545" s="783"/>
    </row>
    <row r="546" spans="1:10">
      <c r="A546" s="783"/>
      <c r="J546" s="783"/>
    </row>
    <row r="547" spans="1:10">
      <c r="A547" s="783"/>
      <c r="J547" s="783"/>
    </row>
    <row r="548" spans="1:10">
      <c r="A548" s="783"/>
      <c r="J548" s="783"/>
    </row>
    <row r="549" spans="1:10">
      <c r="A549" s="783"/>
      <c r="J549" s="783"/>
    </row>
    <row r="550" spans="1:10">
      <c r="A550" s="783"/>
      <c r="J550" s="783"/>
    </row>
    <row r="551" spans="1:10">
      <c r="A551" s="783"/>
      <c r="J551" s="783"/>
    </row>
    <row r="552" spans="1:10">
      <c r="A552" s="783"/>
      <c r="J552" s="783"/>
    </row>
    <row r="553" spans="1:10">
      <c r="A553" s="783"/>
      <c r="J553" s="783"/>
    </row>
    <row r="554" spans="1:10">
      <c r="A554" s="783"/>
      <c r="J554" s="783"/>
    </row>
    <row r="555" spans="1:10">
      <c r="A555" s="783"/>
      <c r="J555" s="783"/>
    </row>
    <row r="556" spans="1:10">
      <c r="A556" s="783"/>
      <c r="J556" s="783"/>
    </row>
    <row r="557" spans="1:10">
      <c r="A557" s="783"/>
      <c r="J557" s="783"/>
    </row>
    <row r="558" spans="1:10">
      <c r="A558" s="783"/>
      <c r="J558" s="783"/>
    </row>
    <row r="559" spans="1:10">
      <c r="A559" s="783"/>
      <c r="J559" s="783"/>
    </row>
    <row r="560" spans="1:10">
      <c r="A560" s="783"/>
      <c r="J560" s="783"/>
    </row>
    <row r="561" spans="1:10">
      <c r="A561" s="783"/>
      <c r="J561" s="783"/>
    </row>
    <row r="562" spans="1:10">
      <c r="A562" s="783"/>
      <c r="J562" s="783"/>
    </row>
    <row r="563" spans="1:10">
      <c r="A563" s="783"/>
      <c r="J563" s="783"/>
    </row>
    <row r="564" spans="1:10">
      <c r="A564" s="783"/>
      <c r="J564" s="783"/>
    </row>
    <row r="565" spans="1:10">
      <c r="A565" s="783"/>
      <c r="J565" s="783"/>
    </row>
    <row r="566" spans="1:10">
      <c r="A566" s="783"/>
      <c r="J566" s="783"/>
    </row>
    <row r="567" spans="1:10">
      <c r="A567" s="783"/>
      <c r="J567" s="783"/>
    </row>
    <row r="568" spans="1:10">
      <c r="A568" s="783"/>
      <c r="J568" s="783"/>
    </row>
    <row r="569" spans="1:10">
      <c r="A569" s="783"/>
      <c r="J569" s="783"/>
    </row>
    <row r="570" spans="1:10">
      <c r="A570" s="783"/>
      <c r="J570" s="783"/>
    </row>
    <row r="571" spans="1:10">
      <c r="A571" s="783"/>
      <c r="J571" s="783"/>
    </row>
    <row r="572" spans="1:10">
      <c r="A572" s="783"/>
      <c r="J572" s="783"/>
    </row>
    <row r="573" spans="1:10">
      <c r="A573" s="783"/>
      <c r="J573" s="783"/>
    </row>
    <row r="574" spans="1:10">
      <c r="A574" s="783"/>
      <c r="J574" s="783"/>
    </row>
    <row r="575" spans="1:10">
      <c r="A575" s="783"/>
      <c r="J575" s="783"/>
    </row>
    <row r="576" spans="1:10">
      <c r="A576" s="783"/>
      <c r="J576" s="783"/>
    </row>
    <row r="577" spans="1:10">
      <c r="A577" s="783"/>
      <c r="J577" s="783"/>
    </row>
    <row r="578" spans="1:10">
      <c r="A578" s="783"/>
      <c r="J578" s="783"/>
    </row>
    <row r="579" spans="1:10">
      <c r="A579" s="783"/>
      <c r="J579" s="783"/>
    </row>
    <row r="580" spans="1:10">
      <c r="A580" s="783"/>
      <c r="J580" s="783"/>
    </row>
    <row r="581" spans="1:10">
      <c r="A581" s="783"/>
      <c r="J581" s="783"/>
    </row>
    <row r="582" spans="1:10">
      <c r="A582" s="783"/>
      <c r="J582" s="783"/>
    </row>
    <row r="583" spans="1:10">
      <c r="A583" s="783"/>
      <c r="J583" s="783"/>
    </row>
    <row r="584" spans="1:10">
      <c r="A584" s="783"/>
      <c r="J584" s="783"/>
    </row>
    <row r="585" spans="1:10">
      <c r="A585" s="783"/>
      <c r="J585" s="783"/>
    </row>
    <row r="586" spans="1:10">
      <c r="A586" s="783"/>
      <c r="J586" s="783"/>
    </row>
    <row r="587" spans="1:10">
      <c r="A587" s="783"/>
      <c r="J587" s="783"/>
    </row>
    <row r="588" spans="1:10">
      <c r="A588" s="783"/>
      <c r="J588" s="783"/>
    </row>
    <row r="589" spans="1:10">
      <c r="A589" s="783"/>
      <c r="J589" s="783"/>
    </row>
    <row r="590" spans="1:10">
      <c r="A590" s="783"/>
      <c r="J590" s="783"/>
    </row>
    <row r="591" spans="1:10">
      <c r="A591" s="783"/>
      <c r="J591" s="783"/>
    </row>
    <row r="592" spans="1:10">
      <c r="A592" s="783"/>
      <c r="J592" s="783"/>
    </row>
    <row r="593" spans="1:10">
      <c r="A593" s="783"/>
      <c r="J593" s="783"/>
    </row>
    <row r="594" spans="1:10">
      <c r="A594" s="783"/>
      <c r="J594" s="783"/>
    </row>
    <row r="595" spans="1:10">
      <c r="A595" s="783"/>
      <c r="J595" s="783"/>
    </row>
    <row r="596" spans="1:10">
      <c r="A596" s="783"/>
      <c r="J596" s="783"/>
    </row>
    <row r="597" spans="1:10">
      <c r="A597" s="783"/>
      <c r="J597" s="783"/>
    </row>
    <row r="598" spans="1:10">
      <c r="A598" s="783"/>
      <c r="J598" s="783"/>
    </row>
    <row r="599" spans="1:10">
      <c r="A599" s="783"/>
      <c r="J599" s="783"/>
    </row>
    <row r="600" spans="1:10">
      <c r="A600" s="783"/>
      <c r="J600" s="783"/>
    </row>
    <row r="601" spans="1:10">
      <c r="A601" s="783"/>
      <c r="J601" s="783"/>
    </row>
    <row r="602" spans="1:10">
      <c r="A602" s="783"/>
      <c r="J602" s="783"/>
    </row>
    <row r="603" spans="1:10">
      <c r="A603" s="783"/>
      <c r="J603" s="783"/>
    </row>
    <row r="604" spans="1:10">
      <c r="A604" s="783"/>
      <c r="J604" s="783"/>
    </row>
    <row r="605" spans="1:10">
      <c r="A605" s="783"/>
      <c r="J605" s="783"/>
    </row>
    <row r="606" spans="1:10">
      <c r="A606" s="783"/>
      <c r="J606" s="783"/>
    </row>
    <row r="607" spans="1:10">
      <c r="A607" s="783"/>
      <c r="J607" s="783"/>
    </row>
    <row r="608" spans="1:10">
      <c r="A608" s="783"/>
      <c r="J608" s="783"/>
    </row>
    <row r="609" spans="1:10">
      <c r="A609" s="783"/>
      <c r="J609" s="783"/>
    </row>
    <row r="610" spans="1:10">
      <c r="A610" s="783"/>
      <c r="J610" s="783"/>
    </row>
    <row r="611" spans="1:10">
      <c r="A611" s="783"/>
      <c r="J611" s="783"/>
    </row>
    <row r="612" spans="1:10">
      <c r="A612" s="783"/>
      <c r="J612" s="783"/>
    </row>
    <row r="613" spans="1:10">
      <c r="A613" s="783"/>
      <c r="J613" s="783"/>
    </row>
    <row r="614" spans="1:10">
      <c r="A614" s="783"/>
      <c r="J614" s="783"/>
    </row>
    <row r="615" spans="1:10">
      <c r="A615" s="783"/>
      <c r="J615" s="783"/>
    </row>
    <row r="616" spans="1:10">
      <c r="A616" s="783"/>
      <c r="J616" s="783"/>
    </row>
    <row r="617" spans="1:10">
      <c r="A617" s="783"/>
      <c r="J617" s="783"/>
    </row>
    <row r="618" spans="1:10">
      <c r="A618" s="783"/>
      <c r="J618" s="783"/>
    </row>
    <row r="619" spans="1:10">
      <c r="A619" s="783"/>
      <c r="J619" s="783"/>
    </row>
    <row r="620" spans="1:10">
      <c r="A620" s="783"/>
      <c r="J620" s="783"/>
    </row>
    <row r="621" spans="1:10">
      <c r="A621" s="783"/>
      <c r="J621" s="783"/>
    </row>
    <row r="622" spans="1:10">
      <c r="A622" s="783"/>
      <c r="J622" s="783"/>
    </row>
    <row r="623" spans="1:10">
      <c r="A623" s="783"/>
      <c r="J623" s="783"/>
    </row>
    <row r="624" spans="1:10">
      <c r="A624" s="783"/>
      <c r="J624" s="783"/>
    </row>
    <row r="625" spans="1:10">
      <c r="A625" s="783"/>
      <c r="J625" s="783"/>
    </row>
    <row r="626" spans="1:10">
      <c r="A626" s="783"/>
      <c r="J626" s="783"/>
    </row>
    <row r="627" spans="1:10">
      <c r="A627" s="783"/>
      <c r="J627" s="783"/>
    </row>
    <row r="628" spans="1:10">
      <c r="A628" s="783"/>
      <c r="J628" s="783"/>
    </row>
    <row r="629" spans="1:10">
      <c r="A629" s="783"/>
      <c r="J629" s="783"/>
    </row>
    <row r="630" spans="1:10">
      <c r="A630" s="783"/>
      <c r="J630" s="783"/>
    </row>
    <row r="631" spans="1:10">
      <c r="A631" s="783"/>
      <c r="J631" s="783"/>
    </row>
    <row r="632" spans="1:10">
      <c r="A632" s="783"/>
      <c r="J632" s="783"/>
    </row>
    <row r="633" spans="1:10">
      <c r="A633" s="783"/>
      <c r="J633" s="783"/>
    </row>
    <row r="634" spans="1:10">
      <c r="A634" s="783"/>
      <c r="J634" s="783"/>
    </row>
    <row r="635" spans="1:10">
      <c r="A635" s="783"/>
      <c r="J635" s="783"/>
    </row>
    <row r="636" spans="1:10">
      <c r="A636" s="783"/>
      <c r="J636" s="783"/>
    </row>
    <row r="637" spans="1:10">
      <c r="A637" s="783"/>
      <c r="J637" s="783"/>
    </row>
    <row r="638" spans="1:10">
      <c r="A638" s="783"/>
      <c r="J638" s="783"/>
    </row>
    <row r="639" spans="1:10">
      <c r="A639" s="783"/>
      <c r="J639" s="783"/>
    </row>
    <row r="640" spans="1:10">
      <c r="A640" s="783"/>
      <c r="J640" s="783"/>
    </row>
    <row r="641" spans="1:10">
      <c r="A641" s="783"/>
      <c r="J641" s="783"/>
    </row>
    <row r="642" spans="1:10">
      <c r="A642" s="783"/>
      <c r="J642" s="783"/>
    </row>
    <row r="643" spans="1:10">
      <c r="A643" s="783"/>
      <c r="J643" s="783"/>
    </row>
    <row r="644" spans="1:10">
      <c r="A644" s="783"/>
      <c r="J644" s="783"/>
    </row>
    <row r="645" spans="1:10">
      <c r="A645" s="783"/>
      <c r="J645" s="783"/>
    </row>
    <row r="646" spans="1:10">
      <c r="A646" s="783"/>
      <c r="J646" s="783"/>
    </row>
    <row r="647" spans="1:10">
      <c r="A647" s="783"/>
      <c r="J647" s="783"/>
    </row>
    <row r="648" spans="1:10">
      <c r="A648" s="783"/>
      <c r="J648" s="783"/>
    </row>
    <row r="649" spans="1:10">
      <c r="A649" s="783"/>
      <c r="J649" s="783"/>
    </row>
    <row r="650" spans="1:10">
      <c r="A650" s="783"/>
      <c r="J650" s="783"/>
    </row>
    <row r="651" spans="1:10">
      <c r="A651" s="783"/>
      <c r="J651" s="783"/>
    </row>
    <row r="652" spans="1:10">
      <c r="A652" s="783"/>
      <c r="J652" s="783"/>
    </row>
    <row r="653" spans="1:10">
      <c r="A653" s="783"/>
      <c r="J653" s="783"/>
    </row>
    <row r="654" spans="1:10">
      <c r="A654" s="783"/>
      <c r="J654" s="783"/>
    </row>
    <row r="655" spans="1:10">
      <c r="A655" s="783"/>
      <c r="J655" s="783"/>
    </row>
    <row r="656" spans="1:10">
      <c r="A656" s="783"/>
      <c r="J656" s="783"/>
    </row>
    <row r="657" spans="1:10">
      <c r="A657" s="783"/>
      <c r="J657" s="783"/>
    </row>
    <row r="658" spans="1:10">
      <c r="A658" s="783"/>
      <c r="J658" s="783"/>
    </row>
    <row r="659" spans="1:10">
      <c r="A659" s="783"/>
      <c r="J659" s="783"/>
    </row>
    <row r="660" spans="1:10">
      <c r="A660" s="783"/>
      <c r="J660" s="783"/>
    </row>
    <row r="661" spans="1:10">
      <c r="A661" s="783"/>
      <c r="J661" s="783"/>
    </row>
    <row r="662" spans="1:10">
      <c r="A662" s="783"/>
      <c r="J662" s="783"/>
    </row>
    <row r="663" spans="1:10">
      <c r="A663" s="783"/>
      <c r="J663" s="783"/>
    </row>
    <row r="664" spans="1:10">
      <c r="A664" s="783"/>
      <c r="J664" s="783"/>
    </row>
    <row r="665" spans="1:10">
      <c r="A665" s="783"/>
      <c r="J665" s="783"/>
    </row>
    <row r="666" spans="1:10">
      <c r="A666" s="783"/>
      <c r="J666" s="783"/>
    </row>
    <row r="667" spans="1:10">
      <c r="A667" s="783"/>
      <c r="J667" s="783"/>
    </row>
    <row r="668" spans="1:10">
      <c r="A668" s="783"/>
      <c r="J668" s="783"/>
    </row>
    <row r="669" spans="1:10">
      <c r="A669" s="783"/>
      <c r="J669" s="783"/>
    </row>
    <row r="670" spans="1:10">
      <c r="A670" s="783"/>
      <c r="J670" s="783"/>
    </row>
    <row r="671" spans="1:10">
      <c r="A671" s="783"/>
      <c r="J671" s="783"/>
    </row>
    <row r="672" spans="1:10">
      <c r="A672" s="783"/>
      <c r="J672" s="783"/>
    </row>
    <row r="673" spans="1:10">
      <c r="A673" s="783"/>
      <c r="J673" s="783"/>
    </row>
    <row r="674" spans="1:10">
      <c r="A674" s="783"/>
      <c r="J674" s="783"/>
    </row>
    <row r="675" spans="1:10">
      <c r="A675" s="783"/>
      <c r="J675" s="783"/>
    </row>
    <row r="676" spans="1:10">
      <c r="A676" s="783"/>
      <c r="J676" s="783"/>
    </row>
    <row r="677" spans="1:10">
      <c r="A677" s="783"/>
      <c r="J677" s="783"/>
    </row>
    <row r="678" spans="1:10">
      <c r="A678" s="783"/>
      <c r="J678" s="783"/>
    </row>
    <row r="679" spans="1:10">
      <c r="A679" s="783"/>
      <c r="J679" s="783"/>
    </row>
    <row r="680" spans="1:10">
      <c r="A680" s="783"/>
      <c r="J680" s="783"/>
    </row>
    <row r="681" spans="1:10">
      <c r="A681" s="783"/>
      <c r="J681" s="783"/>
    </row>
    <row r="682" spans="1:10">
      <c r="A682" s="783"/>
      <c r="J682" s="783"/>
    </row>
    <row r="683" spans="1:10">
      <c r="A683" s="783"/>
      <c r="J683" s="783"/>
    </row>
    <row r="684" spans="1:10">
      <c r="A684" s="783"/>
      <c r="J684" s="783"/>
    </row>
    <row r="685" spans="1:10">
      <c r="A685" s="783"/>
      <c r="J685" s="783"/>
    </row>
    <row r="686" spans="1:10">
      <c r="A686" s="783"/>
      <c r="J686" s="783"/>
    </row>
    <row r="687" spans="1:10">
      <c r="A687" s="783"/>
      <c r="J687" s="783"/>
    </row>
    <row r="688" spans="1:10">
      <c r="A688" s="783"/>
      <c r="J688" s="783"/>
    </row>
    <row r="689" spans="1:10">
      <c r="A689" s="783"/>
      <c r="J689" s="783"/>
    </row>
    <row r="690" spans="1:10">
      <c r="A690" s="783"/>
      <c r="J690" s="783"/>
    </row>
    <row r="691" spans="1:10">
      <c r="A691" s="783"/>
      <c r="J691" s="783"/>
    </row>
    <row r="692" spans="1:10">
      <c r="A692" s="783"/>
      <c r="J692" s="783"/>
    </row>
    <row r="693" spans="1:10">
      <c r="A693" s="783"/>
      <c r="J693" s="783"/>
    </row>
    <row r="694" spans="1:10">
      <c r="A694" s="783"/>
      <c r="J694" s="783"/>
    </row>
    <row r="695" spans="1:10">
      <c r="A695" s="783"/>
      <c r="J695" s="783"/>
    </row>
    <row r="696" spans="1:10">
      <c r="A696" s="783"/>
      <c r="J696" s="783"/>
    </row>
    <row r="697" spans="1:10">
      <c r="A697" s="783"/>
      <c r="J697" s="783"/>
    </row>
    <row r="698" spans="1:10">
      <c r="A698" s="783"/>
      <c r="J698" s="783"/>
    </row>
    <row r="699" spans="1:10">
      <c r="A699" s="783"/>
      <c r="J699" s="783"/>
    </row>
    <row r="700" spans="1:10">
      <c r="A700" s="783"/>
      <c r="J700" s="783"/>
    </row>
    <row r="701" spans="1:10">
      <c r="A701" s="783"/>
      <c r="J701" s="783"/>
    </row>
    <row r="702" spans="1:10">
      <c r="A702" s="783"/>
      <c r="J702" s="783"/>
    </row>
    <row r="703" spans="1:10">
      <c r="A703" s="783"/>
      <c r="J703" s="783"/>
    </row>
    <row r="704" spans="1:10">
      <c r="A704" s="783"/>
      <c r="J704" s="783"/>
    </row>
    <row r="705" spans="1:10">
      <c r="A705" s="783"/>
      <c r="J705" s="783"/>
    </row>
    <row r="706" spans="1:10">
      <c r="A706" s="783"/>
      <c r="J706" s="783"/>
    </row>
    <row r="707" spans="1:10">
      <c r="A707" s="783"/>
      <c r="J707" s="783"/>
    </row>
    <row r="708" spans="1:10">
      <c r="A708" s="783"/>
      <c r="J708" s="783"/>
    </row>
    <row r="709" spans="1:10">
      <c r="A709" s="783"/>
      <c r="J709" s="783"/>
    </row>
    <row r="710" spans="1:10">
      <c r="A710" s="783"/>
      <c r="J710" s="783"/>
    </row>
    <row r="711" spans="1:10">
      <c r="A711" s="783"/>
      <c r="J711" s="783"/>
    </row>
    <row r="712" spans="1:10">
      <c r="A712" s="783"/>
      <c r="J712" s="783"/>
    </row>
    <row r="713" spans="1:10">
      <c r="A713" s="783"/>
      <c r="J713" s="783"/>
    </row>
    <row r="714" spans="1:10">
      <c r="A714" s="783"/>
      <c r="J714" s="783"/>
    </row>
    <row r="715" spans="1:10">
      <c r="A715" s="783"/>
      <c r="J715" s="783"/>
    </row>
    <row r="716" spans="1:10">
      <c r="A716" s="783"/>
      <c r="J716" s="783"/>
    </row>
    <row r="717" spans="1:10">
      <c r="A717" s="783"/>
      <c r="J717" s="783"/>
    </row>
    <row r="718" spans="1:10">
      <c r="A718" s="783"/>
      <c r="J718" s="783"/>
    </row>
    <row r="719" spans="1:10">
      <c r="A719" s="783"/>
      <c r="J719" s="783"/>
    </row>
    <row r="720" spans="1:10">
      <c r="A720" s="783"/>
      <c r="J720" s="783"/>
    </row>
    <row r="721" spans="1:10">
      <c r="A721" s="783"/>
      <c r="J721" s="783"/>
    </row>
    <row r="722" spans="1:10">
      <c r="A722" s="783"/>
      <c r="J722" s="783"/>
    </row>
    <row r="723" spans="1:10">
      <c r="A723" s="783"/>
      <c r="J723" s="783"/>
    </row>
    <row r="724" spans="1:10">
      <c r="A724" s="783"/>
      <c r="J724" s="783"/>
    </row>
    <row r="725" spans="1:10">
      <c r="A725" s="783"/>
      <c r="J725" s="783"/>
    </row>
    <row r="726" spans="1:10">
      <c r="A726" s="783"/>
      <c r="J726" s="783"/>
    </row>
    <row r="727" spans="1:10">
      <c r="A727" s="783"/>
      <c r="J727" s="783"/>
    </row>
    <row r="728" spans="1:10">
      <c r="A728" s="783"/>
      <c r="J728" s="783"/>
    </row>
    <row r="729" spans="1:10">
      <c r="A729" s="783"/>
      <c r="J729" s="783"/>
    </row>
    <row r="730" spans="1:10">
      <c r="A730" s="783"/>
      <c r="J730" s="783"/>
    </row>
    <row r="731" spans="1:10">
      <c r="A731" s="783"/>
      <c r="J731" s="783"/>
    </row>
    <row r="732" spans="1:10">
      <c r="A732" s="783"/>
      <c r="J732" s="783"/>
    </row>
    <row r="733" spans="1:10">
      <c r="A733" s="783"/>
      <c r="J733" s="783"/>
    </row>
    <row r="734" spans="1:10">
      <c r="A734" s="783"/>
      <c r="J734" s="783"/>
    </row>
    <row r="735" spans="1:10">
      <c r="A735" s="783"/>
      <c r="J735" s="783"/>
    </row>
    <row r="736" spans="1:10">
      <c r="A736" s="783"/>
      <c r="J736" s="783"/>
    </row>
    <row r="737" spans="1:10">
      <c r="A737" s="783"/>
      <c r="J737" s="783"/>
    </row>
    <row r="738" spans="1:10">
      <c r="A738" s="783"/>
      <c r="J738" s="783"/>
    </row>
    <row r="739" spans="1:10">
      <c r="A739" s="783"/>
      <c r="J739" s="783"/>
    </row>
    <row r="740" spans="1:10">
      <c r="A740" s="783"/>
      <c r="J740" s="783"/>
    </row>
    <row r="741" spans="1:10">
      <c r="A741" s="783"/>
      <c r="J741" s="783"/>
    </row>
    <row r="742" spans="1:10">
      <c r="A742" s="783"/>
      <c r="J742" s="783"/>
    </row>
    <row r="743" spans="1:10">
      <c r="A743" s="783"/>
      <c r="J743" s="783"/>
    </row>
    <row r="744" spans="1:10">
      <c r="A744" s="783"/>
      <c r="J744" s="783"/>
    </row>
    <row r="745" spans="1:10">
      <c r="A745" s="783"/>
      <c r="J745" s="783"/>
    </row>
    <row r="746" spans="1:10">
      <c r="A746" s="783"/>
      <c r="J746" s="783"/>
    </row>
    <row r="747" spans="1:10">
      <c r="A747" s="783"/>
      <c r="J747" s="783"/>
    </row>
    <row r="748" spans="1:10">
      <c r="A748" s="783"/>
      <c r="J748" s="783"/>
    </row>
    <row r="749" spans="1:10">
      <c r="A749" s="783"/>
      <c r="J749" s="783"/>
    </row>
    <row r="750" spans="1:10">
      <c r="A750" s="783"/>
      <c r="J750" s="783"/>
    </row>
    <row r="751" spans="1:10">
      <c r="A751" s="783"/>
      <c r="J751" s="783"/>
    </row>
    <row r="752" spans="1:10">
      <c r="A752" s="783"/>
      <c r="J752" s="783"/>
    </row>
    <row r="753" spans="1:10">
      <c r="A753" s="783"/>
      <c r="J753" s="783"/>
    </row>
    <row r="754" spans="1:10">
      <c r="A754" s="783"/>
      <c r="J754" s="783"/>
    </row>
    <row r="755" spans="1:10">
      <c r="A755" s="783"/>
      <c r="J755" s="783"/>
    </row>
    <row r="756" spans="1:10">
      <c r="A756" s="783"/>
      <c r="J756" s="783"/>
    </row>
    <row r="757" spans="1:10">
      <c r="A757" s="783"/>
      <c r="J757" s="783"/>
    </row>
    <row r="758" spans="1:10">
      <c r="A758" s="783"/>
      <c r="J758" s="783"/>
    </row>
    <row r="759" spans="1:10">
      <c r="A759" s="783"/>
      <c r="J759" s="783"/>
    </row>
    <row r="760" spans="1:10">
      <c r="A760" s="783"/>
      <c r="J760" s="783"/>
    </row>
    <row r="761" spans="1:10">
      <c r="A761" s="783"/>
      <c r="J761" s="783"/>
    </row>
    <row r="762" spans="1:10">
      <c r="A762" s="783"/>
      <c r="J762" s="783"/>
    </row>
    <row r="763" spans="1:10">
      <c r="A763" s="783"/>
      <c r="J763" s="783"/>
    </row>
    <row r="764" spans="1:10">
      <c r="A764" s="783"/>
      <c r="J764" s="783"/>
    </row>
    <row r="765" spans="1:10">
      <c r="A765" s="783"/>
      <c r="J765" s="783"/>
    </row>
    <row r="766" spans="1:10">
      <c r="A766" s="783"/>
      <c r="J766" s="783"/>
    </row>
    <row r="767" spans="1:10">
      <c r="A767" s="783"/>
      <c r="J767" s="783"/>
    </row>
    <row r="768" spans="1:10">
      <c r="A768" s="783"/>
      <c r="J768" s="783"/>
    </row>
    <row r="769" spans="1:10">
      <c r="A769" s="783"/>
      <c r="J769" s="783"/>
    </row>
    <row r="770" spans="1:10">
      <c r="A770" s="783"/>
      <c r="J770" s="783"/>
    </row>
    <row r="771" spans="1:10">
      <c r="A771" s="783"/>
      <c r="J771" s="783"/>
    </row>
    <row r="772" spans="1:10">
      <c r="A772" s="783"/>
      <c r="J772" s="783"/>
    </row>
    <row r="773" spans="1:10">
      <c r="A773" s="783"/>
      <c r="J773" s="783"/>
    </row>
    <row r="774" spans="1:10">
      <c r="A774" s="783"/>
      <c r="J774" s="783"/>
    </row>
    <row r="775" spans="1:10">
      <c r="A775" s="783"/>
      <c r="J775" s="783"/>
    </row>
    <row r="776" spans="1:10">
      <c r="A776" s="783"/>
      <c r="J776" s="783"/>
    </row>
    <row r="777" spans="1:10">
      <c r="A777" s="783"/>
      <c r="J777" s="783"/>
    </row>
    <row r="778" spans="1:10">
      <c r="A778" s="783"/>
      <c r="J778" s="783"/>
    </row>
    <row r="779" spans="1:10">
      <c r="A779" s="783"/>
      <c r="J779" s="783"/>
    </row>
    <row r="780" spans="1:10">
      <c r="A780" s="783"/>
      <c r="J780" s="783"/>
    </row>
    <row r="781" spans="1:10">
      <c r="A781" s="783"/>
      <c r="J781" s="783"/>
    </row>
    <row r="782" spans="1:10">
      <c r="A782" s="783"/>
      <c r="J782" s="783"/>
    </row>
    <row r="783" spans="1:10">
      <c r="A783" s="783"/>
      <c r="J783" s="783"/>
    </row>
    <row r="784" spans="1:10">
      <c r="A784" s="783"/>
      <c r="J784" s="783"/>
    </row>
    <row r="785" spans="1:10">
      <c r="A785" s="783"/>
      <c r="J785" s="783"/>
    </row>
    <row r="786" spans="1:10">
      <c r="A786" s="783"/>
      <c r="J786" s="783"/>
    </row>
    <row r="787" spans="1:10">
      <c r="A787" s="783"/>
      <c r="J787" s="783"/>
    </row>
    <row r="788" spans="1:10">
      <c r="A788" s="783"/>
      <c r="J788" s="783"/>
    </row>
    <row r="789" spans="1:10">
      <c r="A789" s="783"/>
      <c r="J789" s="783"/>
    </row>
    <row r="790" spans="1:10">
      <c r="A790" s="783"/>
      <c r="J790" s="783"/>
    </row>
    <row r="791" spans="1:10">
      <c r="A791" s="783"/>
      <c r="J791" s="783"/>
    </row>
    <row r="792" spans="1:10">
      <c r="A792" s="783"/>
      <c r="J792" s="783"/>
    </row>
    <row r="793" spans="1:10">
      <c r="A793" s="783"/>
      <c r="J793" s="783"/>
    </row>
    <row r="794" spans="1:10">
      <c r="A794" s="783"/>
      <c r="J794" s="783"/>
    </row>
    <row r="795" spans="1:10">
      <c r="A795" s="783"/>
      <c r="J795" s="783"/>
    </row>
    <row r="796" spans="1:10">
      <c r="A796" s="783"/>
      <c r="J796" s="783"/>
    </row>
    <row r="797" spans="1:10">
      <c r="A797" s="783"/>
      <c r="J797" s="783"/>
    </row>
    <row r="798" spans="1:10">
      <c r="A798" s="783"/>
      <c r="J798" s="783"/>
    </row>
    <row r="799" spans="1:10">
      <c r="A799" s="783"/>
      <c r="J799" s="783"/>
    </row>
    <row r="800" spans="1:10">
      <c r="A800" s="783"/>
      <c r="J800" s="783"/>
    </row>
    <row r="801" spans="1:10">
      <c r="A801" s="783"/>
      <c r="J801" s="783"/>
    </row>
    <row r="802" spans="1:10">
      <c r="A802" s="783"/>
      <c r="J802" s="783"/>
    </row>
    <row r="803" spans="1:10">
      <c r="A803" s="783"/>
      <c r="J803" s="783"/>
    </row>
    <row r="804" spans="1:10">
      <c r="A804" s="783"/>
      <c r="J804" s="783"/>
    </row>
    <row r="805" spans="1:10">
      <c r="A805" s="783"/>
      <c r="J805" s="783"/>
    </row>
    <row r="806" spans="1:10">
      <c r="A806" s="783"/>
      <c r="J806" s="783"/>
    </row>
    <row r="807" spans="1:10">
      <c r="A807" s="783"/>
      <c r="J807" s="783"/>
    </row>
    <row r="808" spans="1:10">
      <c r="A808" s="783"/>
      <c r="J808" s="783"/>
    </row>
    <row r="809" spans="1:10">
      <c r="A809" s="783"/>
      <c r="J809" s="783"/>
    </row>
    <row r="810" spans="1:10">
      <c r="A810" s="783"/>
      <c r="J810" s="783"/>
    </row>
    <row r="811" spans="1:10">
      <c r="A811" s="783"/>
      <c r="J811" s="783"/>
    </row>
    <row r="812" spans="1:10">
      <c r="A812" s="783"/>
      <c r="J812" s="783"/>
    </row>
    <row r="813" spans="1:10">
      <c r="A813" s="783"/>
      <c r="J813" s="783"/>
    </row>
    <row r="814" spans="1:10">
      <c r="A814" s="783"/>
      <c r="J814" s="783"/>
    </row>
    <row r="815" spans="1:10">
      <c r="A815" s="783"/>
      <c r="J815" s="783"/>
    </row>
    <row r="816" spans="1:10">
      <c r="A816" s="783"/>
      <c r="J816" s="783"/>
    </row>
    <row r="817" spans="1:10">
      <c r="A817" s="783"/>
      <c r="J817" s="783"/>
    </row>
    <row r="818" spans="1:10">
      <c r="A818" s="783"/>
      <c r="J818" s="783"/>
    </row>
    <row r="819" spans="1:10">
      <c r="A819" s="783"/>
      <c r="J819" s="783"/>
    </row>
    <row r="820" spans="1:10">
      <c r="A820" s="783"/>
      <c r="J820" s="783"/>
    </row>
    <row r="821" spans="1:10">
      <c r="A821" s="783"/>
      <c r="J821" s="783"/>
    </row>
    <row r="822" spans="1:10">
      <c r="A822" s="783"/>
      <c r="J822" s="783"/>
    </row>
    <row r="823" spans="1:10">
      <c r="A823" s="783"/>
      <c r="J823" s="783"/>
    </row>
    <row r="824" spans="1:10">
      <c r="A824" s="783"/>
      <c r="J824" s="783"/>
    </row>
    <row r="825" spans="1:10">
      <c r="A825" s="783"/>
      <c r="J825" s="783"/>
    </row>
    <row r="826" spans="1:10">
      <c r="A826" s="783"/>
      <c r="J826" s="783"/>
    </row>
    <row r="827" spans="1:10">
      <c r="A827" s="783"/>
      <c r="J827" s="783"/>
    </row>
    <row r="828" spans="1:10">
      <c r="A828" s="783"/>
      <c r="J828" s="783"/>
    </row>
    <row r="829" spans="1:10">
      <c r="A829" s="783"/>
      <c r="J829" s="783"/>
    </row>
    <row r="830" spans="1:10">
      <c r="A830" s="783"/>
      <c r="J830" s="783"/>
    </row>
    <row r="831" spans="1:10">
      <c r="A831" s="783"/>
      <c r="J831" s="783"/>
    </row>
    <row r="832" spans="1:10">
      <c r="A832" s="783"/>
      <c r="J832" s="783"/>
    </row>
    <row r="833" spans="1:10">
      <c r="A833" s="783"/>
      <c r="J833" s="783"/>
    </row>
    <row r="834" spans="1:10">
      <c r="A834" s="783"/>
      <c r="J834" s="783"/>
    </row>
    <row r="835" spans="1:10">
      <c r="A835" s="783"/>
      <c r="J835" s="783"/>
    </row>
    <row r="836" spans="1:10">
      <c r="A836" s="783"/>
      <c r="J836" s="783"/>
    </row>
    <row r="837" spans="1:10">
      <c r="A837" s="783"/>
      <c r="J837" s="783"/>
    </row>
    <row r="838" spans="1:10">
      <c r="A838" s="783"/>
      <c r="J838" s="783"/>
    </row>
    <row r="839" spans="1:10">
      <c r="A839" s="783"/>
      <c r="J839" s="783"/>
    </row>
    <row r="840" spans="1:10">
      <c r="A840" s="783"/>
      <c r="J840" s="783"/>
    </row>
    <row r="841" spans="1:10">
      <c r="A841" s="783"/>
      <c r="J841" s="783"/>
    </row>
    <row r="842" spans="1:10">
      <c r="A842" s="783"/>
      <c r="J842" s="783"/>
    </row>
    <row r="843" spans="1:10">
      <c r="A843" s="783"/>
      <c r="J843" s="783"/>
    </row>
    <row r="844" spans="1:10">
      <c r="A844" s="783"/>
      <c r="J844" s="783"/>
    </row>
    <row r="845" spans="1:10">
      <c r="A845" s="783"/>
      <c r="J845" s="783"/>
    </row>
    <row r="846" spans="1:10">
      <c r="A846" s="783"/>
      <c r="J846" s="783"/>
    </row>
    <row r="847" spans="1:10">
      <c r="A847" s="783"/>
      <c r="J847" s="783"/>
    </row>
    <row r="848" spans="1:10">
      <c r="A848" s="783"/>
      <c r="J848" s="783"/>
    </row>
    <row r="849" spans="1:10">
      <c r="A849" s="783"/>
      <c r="J849" s="783"/>
    </row>
    <row r="850" spans="1:10">
      <c r="A850" s="783"/>
      <c r="J850" s="783"/>
    </row>
    <row r="851" spans="1:10">
      <c r="A851" s="783"/>
      <c r="J851" s="783"/>
    </row>
    <row r="852" spans="1:10">
      <c r="A852" s="783"/>
      <c r="J852" s="783"/>
    </row>
    <row r="853" spans="1:10">
      <c r="A853" s="783"/>
      <c r="J853" s="783"/>
    </row>
    <row r="854" spans="1:10">
      <c r="A854" s="783"/>
      <c r="J854" s="783"/>
    </row>
    <row r="855" spans="1:10">
      <c r="A855" s="783"/>
      <c r="J855" s="783"/>
    </row>
    <row r="856" spans="1:10">
      <c r="A856" s="783"/>
      <c r="J856" s="783"/>
    </row>
    <row r="857" spans="1:10">
      <c r="A857" s="783"/>
      <c r="J857" s="783"/>
    </row>
    <row r="858" spans="1:10">
      <c r="A858" s="783"/>
      <c r="J858" s="783"/>
    </row>
    <row r="859" spans="1:10">
      <c r="A859" s="783"/>
      <c r="J859" s="783"/>
    </row>
    <row r="860" spans="1:10">
      <c r="A860" s="783"/>
      <c r="J860" s="783"/>
    </row>
    <row r="861" spans="1:10">
      <c r="A861" s="783"/>
      <c r="J861" s="783"/>
    </row>
    <row r="862" spans="1:10">
      <c r="A862" s="783"/>
      <c r="J862" s="783"/>
    </row>
    <row r="863" spans="1:10">
      <c r="A863" s="783"/>
      <c r="J863" s="783"/>
    </row>
    <row r="864" spans="1:10">
      <c r="A864" s="783"/>
      <c r="J864" s="783"/>
    </row>
    <row r="865" spans="1:10">
      <c r="A865" s="783"/>
      <c r="J865" s="783"/>
    </row>
    <row r="866" spans="1:10">
      <c r="A866" s="783"/>
      <c r="J866" s="783"/>
    </row>
    <row r="867" spans="1:10">
      <c r="A867" s="783"/>
      <c r="J867" s="783"/>
    </row>
    <row r="868" spans="1:10">
      <c r="A868" s="783"/>
      <c r="J868" s="783"/>
    </row>
    <row r="869" spans="1:10">
      <c r="A869" s="783"/>
      <c r="J869" s="783"/>
    </row>
    <row r="870" spans="1:10">
      <c r="A870" s="783"/>
      <c r="J870" s="783"/>
    </row>
    <row r="871" spans="1:10">
      <c r="A871" s="783"/>
      <c r="J871" s="783"/>
    </row>
    <row r="872" spans="1:10">
      <c r="A872" s="783"/>
      <c r="J872" s="783"/>
    </row>
    <row r="873" spans="1:10">
      <c r="A873" s="783"/>
      <c r="J873" s="783"/>
    </row>
    <row r="874" spans="1:10">
      <c r="A874" s="783"/>
      <c r="J874" s="783"/>
    </row>
    <row r="875" spans="1:10">
      <c r="A875" s="783"/>
      <c r="J875" s="783"/>
    </row>
    <row r="876" spans="1:10">
      <c r="A876" s="783"/>
      <c r="J876" s="783"/>
    </row>
    <row r="877" spans="1:10">
      <c r="A877" s="783"/>
      <c r="J877" s="783"/>
    </row>
    <row r="878" spans="1:10">
      <c r="A878" s="783"/>
      <c r="J878" s="783"/>
    </row>
    <row r="879" spans="1:10">
      <c r="A879" s="783"/>
      <c r="J879" s="783"/>
    </row>
    <row r="880" spans="1:10">
      <c r="A880" s="783"/>
      <c r="J880" s="783"/>
    </row>
    <row r="881" spans="1:10">
      <c r="A881" s="783"/>
      <c r="J881" s="783"/>
    </row>
    <row r="882" spans="1:10">
      <c r="A882" s="783"/>
      <c r="J882" s="783"/>
    </row>
    <row r="883" spans="1:10">
      <c r="A883" s="783"/>
      <c r="J883" s="783"/>
    </row>
    <row r="884" spans="1:10">
      <c r="A884" s="783"/>
      <c r="J884" s="783"/>
    </row>
    <row r="885" spans="1:10">
      <c r="A885" s="783"/>
      <c r="J885" s="783"/>
    </row>
    <row r="886" spans="1:10">
      <c r="A886" s="783"/>
      <c r="J886" s="783"/>
    </row>
    <row r="887" spans="1:10">
      <c r="A887" s="783"/>
      <c r="J887" s="783"/>
    </row>
    <row r="888" spans="1:10">
      <c r="A888" s="783"/>
      <c r="J888" s="783"/>
    </row>
    <row r="889" spans="1:10">
      <c r="A889" s="783"/>
      <c r="J889" s="783"/>
    </row>
    <row r="890" spans="1:10">
      <c r="A890" s="783"/>
      <c r="J890" s="783"/>
    </row>
    <row r="891" spans="1:10">
      <c r="A891" s="783"/>
      <c r="J891" s="783"/>
    </row>
    <row r="892" spans="1:10">
      <c r="A892" s="783"/>
      <c r="J892" s="783"/>
    </row>
    <row r="893" spans="1:10">
      <c r="A893" s="783"/>
      <c r="J893" s="783"/>
    </row>
    <row r="894" spans="1:10">
      <c r="A894" s="783"/>
      <c r="J894" s="783"/>
    </row>
    <row r="895" spans="1:10">
      <c r="A895" s="783"/>
      <c r="J895" s="783"/>
    </row>
    <row r="896" spans="1:10">
      <c r="A896" s="783"/>
      <c r="J896" s="783"/>
    </row>
    <row r="897" spans="1:10">
      <c r="A897" s="783"/>
      <c r="J897" s="783"/>
    </row>
    <row r="898" spans="1:10">
      <c r="A898" s="783"/>
      <c r="J898" s="783"/>
    </row>
    <row r="899" spans="1:10">
      <c r="A899" s="783"/>
      <c r="J899" s="783"/>
    </row>
    <row r="900" spans="1:10">
      <c r="A900" s="783"/>
      <c r="J900" s="783"/>
    </row>
    <row r="901" spans="1:10">
      <c r="A901" s="783"/>
      <c r="J901" s="783"/>
    </row>
    <row r="902" spans="1:10">
      <c r="A902" s="783"/>
      <c r="J902" s="783"/>
    </row>
    <row r="903" spans="1:10">
      <c r="A903" s="783"/>
      <c r="J903" s="783"/>
    </row>
    <row r="904" spans="1:10">
      <c r="A904" s="783"/>
      <c r="J904" s="783"/>
    </row>
    <row r="905" spans="1:10">
      <c r="A905" s="783"/>
      <c r="J905" s="783"/>
    </row>
    <row r="906" spans="1:10">
      <c r="A906" s="783"/>
      <c r="J906" s="783"/>
    </row>
    <row r="907" spans="1:10">
      <c r="A907" s="783"/>
      <c r="J907" s="783"/>
    </row>
    <row r="908" spans="1:10">
      <c r="A908" s="783"/>
      <c r="J908" s="783"/>
    </row>
    <row r="909" spans="1:10">
      <c r="A909" s="783"/>
      <c r="J909" s="783"/>
    </row>
    <row r="910" spans="1:10">
      <c r="A910" s="783"/>
      <c r="J910" s="783"/>
    </row>
    <row r="911" spans="1:10">
      <c r="A911" s="783"/>
      <c r="J911" s="783"/>
    </row>
    <row r="912" spans="1:10">
      <c r="A912" s="783"/>
      <c r="J912" s="783"/>
    </row>
    <row r="913" spans="1:10">
      <c r="A913" s="783"/>
      <c r="J913" s="783"/>
    </row>
    <row r="914" spans="1:10">
      <c r="A914" s="783"/>
      <c r="J914" s="783"/>
    </row>
    <row r="915" spans="1:10">
      <c r="A915" s="783"/>
      <c r="J915" s="783"/>
    </row>
    <row r="916" spans="1:10">
      <c r="A916" s="783"/>
      <c r="J916" s="783"/>
    </row>
    <row r="917" spans="1:10">
      <c r="A917" s="783"/>
      <c r="J917" s="783"/>
    </row>
    <row r="918" spans="1:10">
      <c r="A918" s="783"/>
      <c r="J918" s="783"/>
    </row>
    <row r="919" spans="1:10">
      <c r="A919" s="783"/>
      <c r="J919" s="783"/>
    </row>
    <row r="920" spans="1:10">
      <c r="A920" s="783"/>
      <c r="J920" s="783"/>
    </row>
    <row r="921" spans="1:10">
      <c r="A921" s="783"/>
      <c r="J921" s="783"/>
    </row>
    <row r="922" spans="1:10">
      <c r="A922" s="783"/>
      <c r="J922" s="783"/>
    </row>
    <row r="923" spans="1:10">
      <c r="A923" s="783"/>
      <c r="J923" s="783"/>
    </row>
    <row r="924" spans="1:10">
      <c r="A924" s="783"/>
      <c r="J924" s="783"/>
    </row>
    <row r="925" spans="1:10">
      <c r="A925" s="783"/>
      <c r="J925" s="783"/>
    </row>
    <row r="926" spans="1:10">
      <c r="A926" s="783"/>
      <c r="J926" s="783"/>
    </row>
    <row r="927" spans="1:10">
      <c r="A927" s="783"/>
      <c r="J927" s="783"/>
    </row>
    <row r="928" spans="1:10">
      <c r="A928" s="783"/>
      <c r="J928" s="783"/>
    </row>
    <row r="929" spans="1:10">
      <c r="A929" s="783"/>
      <c r="J929" s="783"/>
    </row>
    <row r="930" spans="1:10">
      <c r="A930" s="783"/>
      <c r="J930" s="783"/>
    </row>
    <row r="931" spans="1:10">
      <c r="A931" s="783"/>
      <c r="J931" s="783"/>
    </row>
    <row r="932" spans="1:10">
      <c r="A932" s="783"/>
      <c r="J932" s="783"/>
    </row>
    <row r="933" spans="1:10">
      <c r="A933" s="783"/>
      <c r="J933" s="783"/>
    </row>
    <row r="934" spans="1:10">
      <c r="A934" s="783"/>
      <c r="J934" s="783"/>
    </row>
    <row r="935" spans="1:10">
      <c r="A935" s="783"/>
      <c r="J935" s="783"/>
    </row>
    <row r="936" spans="1:10">
      <c r="A936" s="783"/>
      <c r="J936" s="783"/>
    </row>
    <row r="937" spans="1:10">
      <c r="A937" s="783"/>
      <c r="J937" s="783"/>
    </row>
    <row r="938" spans="1:10">
      <c r="A938" s="783"/>
      <c r="J938" s="783"/>
    </row>
    <row r="939" spans="1:10">
      <c r="A939" s="783"/>
      <c r="J939" s="783"/>
    </row>
    <row r="940" spans="1:10">
      <c r="A940" s="783"/>
      <c r="J940" s="783"/>
    </row>
    <row r="941" spans="1:10">
      <c r="A941" s="783"/>
      <c r="J941" s="783"/>
    </row>
    <row r="942" spans="1:10">
      <c r="A942" s="783"/>
      <c r="J942" s="783"/>
    </row>
    <row r="943" spans="1:10">
      <c r="A943" s="783"/>
      <c r="J943" s="783"/>
    </row>
    <row r="944" spans="1:10">
      <c r="A944" s="783"/>
      <c r="J944" s="783"/>
    </row>
    <row r="945" spans="1:10">
      <c r="A945" s="783"/>
      <c r="J945" s="783"/>
    </row>
    <row r="946" spans="1:10">
      <c r="A946" s="783"/>
      <c r="J946" s="783"/>
    </row>
    <row r="947" spans="1:10">
      <c r="A947" s="783"/>
      <c r="J947" s="783"/>
    </row>
    <row r="948" spans="1:10">
      <c r="A948" s="783"/>
      <c r="J948" s="783"/>
    </row>
    <row r="949" spans="1:10">
      <c r="A949" s="783"/>
      <c r="J949" s="783"/>
    </row>
    <row r="950" spans="1:10">
      <c r="A950" s="783"/>
      <c r="J950" s="783"/>
    </row>
    <row r="951" spans="1:10">
      <c r="A951" s="783"/>
      <c r="J951" s="783"/>
    </row>
    <row r="952" spans="1:10">
      <c r="A952" s="783"/>
      <c r="J952" s="783"/>
    </row>
    <row r="953" spans="1:10">
      <c r="A953" s="783"/>
      <c r="J953" s="783"/>
    </row>
    <row r="954" spans="1:10">
      <c r="A954" s="783"/>
      <c r="J954" s="783"/>
    </row>
    <row r="955" spans="1:10">
      <c r="A955" s="783"/>
      <c r="J955" s="783"/>
    </row>
    <row r="956" spans="1:10">
      <c r="A956" s="783"/>
      <c r="J956" s="783"/>
    </row>
    <row r="957" spans="1:10">
      <c r="A957" s="783"/>
      <c r="J957" s="783"/>
    </row>
    <row r="958" spans="1:10">
      <c r="A958" s="783"/>
      <c r="J958" s="783"/>
    </row>
    <row r="959" spans="1:10">
      <c r="A959" s="783"/>
      <c r="J959" s="783"/>
    </row>
    <row r="960" spans="1:10">
      <c r="A960" s="783"/>
      <c r="J960" s="783"/>
    </row>
    <row r="961" spans="1:10">
      <c r="A961" s="783"/>
      <c r="J961" s="783"/>
    </row>
    <row r="962" spans="1:10">
      <c r="A962" s="783"/>
      <c r="J962" s="783"/>
    </row>
    <row r="963" spans="1:10">
      <c r="A963" s="783"/>
      <c r="J963" s="783"/>
    </row>
    <row r="964" spans="1:10">
      <c r="A964" s="783"/>
      <c r="J964" s="783"/>
    </row>
    <row r="965" spans="1:10">
      <c r="A965" s="783"/>
      <c r="J965" s="783"/>
    </row>
    <row r="966" spans="1:10">
      <c r="A966" s="783"/>
      <c r="J966" s="783"/>
    </row>
    <row r="967" spans="1:10">
      <c r="A967" s="783"/>
      <c r="J967" s="783"/>
    </row>
    <row r="968" spans="1:10">
      <c r="A968" s="783"/>
      <c r="J968" s="783"/>
    </row>
    <row r="969" spans="1:10">
      <c r="A969" s="783"/>
      <c r="J969" s="783"/>
    </row>
    <row r="970" spans="1:10">
      <c r="A970" s="783"/>
      <c r="J970" s="783"/>
    </row>
    <row r="971" spans="1:10">
      <c r="A971" s="783"/>
      <c r="J971" s="783"/>
    </row>
    <row r="972" spans="1:10">
      <c r="A972" s="783"/>
      <c r="J972" s="783"/>
    </row>
    <row r="973" spans="1:10">
      <c r="A973" s="783"/>
      <c r="J973" s="783"/>
    </row>
    <row r="974" spans="1:10">
      <c r="A974" s="783"/>
      <c r="J974" s="783"/>
    </row>
    <row r="975" spans="1:10">
      <c r="A975" s="783"/>
      <c r="J975" s="783"/>
    </row>
    <row r="976" spans="1:10">
      <c r="A976" s="783"/>
      <c r="J976" s="783"/>
    </row>
    <row r="977" spans="1:10">
      <c r="A977" s="783"/>
      <c r="J977" s="783"/>
    </row>
    <row r="978" spans="1:10">
      <c r="A978" s="783"/>
      <c r="J978" s="783"/>
    </row>
    <row r="979" spans="1:10">
      <c r="A979" s="783"/>
      <c r="J979" s="783"/>
    </row>
    <row r="980" spans="1:10">
      <c r="A980" s="783"/>
      <c r="J980" s="783"/>
    </row>
    <row r="981" spans="1:10">
      <c r="A981" s="783"/>
      <c r="J981" s="783"/>
    </row>
    <row r="982" spans="1:10">
      <c r="A982" s="783"/>
      <c r="J982" s="783"/>
    </row>
    <row r="983" spans="1:10">
      <c r="A983" s="783"/>
      <c r="J983" s="783"/>
    </row>
    <row r="984" spans="1:10">
      <c r="A984" s="783"/>
      <c r="J984" s="783"/>
    </row>
    <row r="985" spans="1:10">
      <c r="A985" s="783"/>
      <c r="J985" s="783"/>
    </row>
    <row r="986" spans="1:10">
      <c r="A986" s="783"/>
      <c r="J986" s="783"/>
    </row>
    <row r="987" spans="1:10">
      <c r="A987" s="783"/>
      <c r="J987" s="783"/>
    </row>
    <row r="988" spans="1:10">
      <c r="A988" s="783"/>
      <c r="J988" s="783"/>
    </row>
    <row r="989" spans="1:10">
      <c r="A989" s="783"/>
      <c r="J989" s="783"/>
    </row>
    <row r="990" spans="1:10">
      <c r="A990" s="783"/>
      <c r="J990" s="783"/>
    </row>
    <row r="991" spans="1:10">
      <c r="A991" s="783"/>
      <c r="J991" s="783"/>
    </row>
    <row r="992" spans="1:10">
      <c r="A992" s="783"/>
      <c r="J992" s="783"/>
    </row>
    <row r="993" spans="1:10">
      <c r="A993" s="783"/>
      <c r="J993" s="783"/>
    </row>
    <row r="994" spans="1:10">
      <c r="A994" s="783"/>
      <c r="J994" s="783"/>
    </row>
    <row r="995" spans="1:10">
      <c r="A995" s="783"/>
      <c r="J995" s="783"/>
    </row>
    <row r="996" spans="1:10">
      <c r="A996" s="783"/>
      <c r="J996" s="783"/>
    </row>
    <row r="997" spans="1:10">
      <c r="A997" s="783"/>
      <c r="J997" s="783"/>
    </row>
    <row r="998" spans="1:10">
      <c r="A998" s="783"/>
      <c r="J998" s="783"/>
    </row>
    <row r="999" spans="1:10">
      <c r="A999" s="783"/>
      <c r="J999" s="783"/>
    </row>
    <row r="1000" spans="1:10">
      <c r="A1000" s="783"/>
      <c r="J1000" s="783"/>
    </row>
    <row r="1001" spans="1:10">
      <c r="A1001" s="783"/>
      <c r="J1001" s="783"/>
    </row>
    <row r="1002" spans="1:10">
      <c r="A1002" s="783"/>
      <c r="J1002" s="783"/>
    </row>
    <row r="1003" spans="1:10">
      <c r="A1003" s="783"/>
      <c r="J1003" s="783"/>
    </row>
    <row r="1004" spans="1:10">
      <c r="A1004" s="783"/>
      <c r="J1004" s="783"/>
    </row>
    <row r="1005" spans="1:10">
      <c r="A1005" s="783"/>
      <c r="J1005" s="783"/>
    </row>
    <row r="1006" spans="1:10">
      <c r="A1006" s="783"/>
      <c r="J1006" s="783"/>
    </row>
    <row r="1007" spans="1:10">
      <c r="A1007" s="783"/>
      <c r="J1007" s="783"/>
    </row>
    <row r="1008" spans="1:10">
      <c r="A1008" s="783"/>
      <c r="J1008" s="783"/>
    </row>
    <row r="1009" spans="1:10">
      <c r="A1009" s="783"/>
      <c r="J1009" s="783"/>
    </row>
    <row r="1010" spans="1:10">
      <c r="A1010" s="783"/>
      <c r="J1010" s="783"/>
    </row>
    <row r="1011" spans="1:10">
      <c r="A1011" s="783"/>
      <c r="J1011" s="783"/>
    </row>
    <row r="1012" spans="1:10">
      <c r="A1012" s="783"/>
      <c r="J1012" s="783"/>
    </row>
    <row r="1013" spans="1:10">
      <c r="A1013" s="783"/>
      <c r="J1013" s="783"/>
    </row>
    <row r="1014" spans="1:10">
      <c r="A1014" s="783"/>
      <c r="J1014" s="783"/>
    </row>
    <row r="1015" spans="1:10">
      <c r="A1015" s="783"/>
      <c r="J1015" s="783"/>
    </row>
    <row r="1016" spans="1:10">
      <c r="A1016" s="783"/>
      <c r="J1016" s="783"/>
    </row>
    <row r="1017" spans="1:10">
      <c r="A1017" s="783"/>
      <c r="J1017" s="783"/>
    </row>
    <row r="1018" spans="1:10">
      <c r="A1018" s="783"/>
      <c r="J1018" s="783"/>
    </row>
    <row r="1019" spans="1:10">
      <c r="A1019" s="783"/>
      <c r="J1019" s="783"/>
    </row>
    <row r="1020" spans="1:10">
      <c r="A1020" s="783"/>
      <c r="J1020" s="783"/>
    </row>
    <row r="1021" spans="1:10">
      <c r="A1021" s="783"/>
      <c r="J1021" s="783"/>
    </row>
    <row r="1022" spans="1:10">
      <c r="A1022" s="783"/>
      <c r="J1022" s="783"/>
    </row>
    <row r="1023" spans="1:10">
      <c r="A1023" s="783"/>
      <c r="J1023" s="783"/>
    </row>
    <row r="1024" spans="1:10">
      <c r="A1024" s="783"/>
      <c r="J1024" s="783"/>
    </row>
    <row r="1025" spans="1:10">
      <c r="A1025" s="783"/>
      <c r="J1025" s="783"/>
    </row>
    <row r="1026" spans="1:10">
      <c r="A1026" s="783"/>
      <c r="J1026" s="783"/>
    </row>
    <row r="1027" spans="1:10">
      <c r="A1027" s="783"/>
      <c r="J1027" s="783"/>
    </row>
    <row r="1028" spans="1:10">
      <c r="A1028" s="783"/>
      <c r="J1028" s="783"/>
    </row>
    <row r="1029" spans="1:10">
      <c r="A1029" s="783"/>
      <c r="J1029" s="783"/>
    </row>
    <row r="1030" spans="1:10">
      <c r="A1030" s="783"/>
      <c r="J1030" s="783"/>
    </row>
    <row r="1031" spans="1:10">
      <c r="A1031" s="783"/>
      <c r="J1031" s="783"/>
    </row>
    <row r="1032" spans="1:10">
      <c r="A1032" s="783"/>
      <c r="J1032" s="783"/>
    </row>
    <row r="1033" spans="1:10">
      <c r="A1033" s="783"/>
      <c r="J1033" s="783"/>
    </row>
    <row r="1034" spans="1:10">
      <c r="A1034" s="783"/>
      <c r="J1034" s="783"/>
    </row>
    <row r="1035" spans="1:10">
      <c r="A1035" s="783"/>
      <c r="J1035" s="783"/>
    </row>
    <row r="1036" spans="1:10">
      <c r="A1036" s="783"/>
      <c r="J1036" s="783"/>
    </row>
    <row r="1037" spans="1:10">
      <c r="A1037" s="783"/>
      <c r="J1037" s="783"/>
    </row>
    <row r="1038" spans="1:10">
      <c r="A1038" s="783"/>
      <c r="J1038" s="783"/>
    </row>
    <row r="1039" spans="1:10">
      <c r="A1039" s="783"/>
      <c r="J1039" s="783"/>
    </row>
    <row r="1040" spans="1:10">
      <c r="A1040" s="783"/>
      <c r="J1040" s="783"/>
    </row>
    <row r="1041" spans="1:10">
      <c r="A1041" s="783"/>
      <c r="J1041" s="783"/>
    </row>
    <row r="1042" spans="1:10">
      <c r="A1042" s="783"/>
      <c r="J1042" s="783"/>
    </row>
    <row r="1043" spans="1:10">
      <c r="A1043" s="783"/>
      <c r="J1043" s="783"/>
    </row>
  </sheetData>
  <mergeCells count="22">
    <mergeCell ref="K8:K10"/>
    <mergeCell ref="K32:K46"/>
    <mergeCell ref="K55:K57"/>
    <mergeCell ref="K75:K83"/>
    <mergeCell ref="N11:O11"/>
    <mergeCell ref="L8:L10"/>
    <mergeCell ref="L32:L46"/>
    <mergeCell ref="L55:L57"/>
    <mergeCell ref="L75:L83"/>
    <mergeCell ref="A120:A121"/>
    <mergeCell ref="A151:A152"/>
    <mergeCell ref="A5:J5"/>
    <mergeCell ref="A7:J7"/>
    <mergeCell ref="J8:J10"/>
    <mergeCell ref="B8:B9"/>
    <mergeCell ref="A54:J54"/>
    <mergeCell ref="J55:J57"/>
    <mergeCell ref="B55:B56"/>
    <mergeCell ref="D8:I9"/>
    <mergeCell ref="C8:C10"/>
    <mergeCell ref="C55:C57"/>
    <mergeCell ref="D55:I56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0" firstPageNumber="14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1" manualBreakCount="1">
    <brk id="5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EA669"/>
  <sheetViews>
    <sheetView showGridLines="0" tabSelected="1" view="pageBreakPreview" zoomScale="106" zoomScaleSheetLayoutView="106" workbookViewId="0">
      <selection activeCell="B655" sqref="B655"/>
    </sheetView>
  </sheetViews>
  <sheetFormatPr defaultColWidth="9.140625" defaultRowHeight="12.75"/>
  <cols>
    <col min="1" max="1" width="3.42578125" style="214" customWidth="1"/>
    <col min="2" max="2" width="61.42578125" style="214" customWidth="1"/>
    <col min="3" max="3" width="11" style="214" customWidth="1"/>
    <col min="4" max="5" width="13.28515625" style="214" customWidth="1"/>
    <col min="6" max="6" width="12" style="214" customWidth="1"/>
    <col min="7" max="7" width="11.42578125" style="214" customWidth="1"/>
    <col min="8" max="8" width="11.28515625" style="214" customWidth="1"/>
    <col min="9" max="9" width="11.5703125" style="214" customWidth="1"/>
    <col min="10" max="10" width="9.28515625" style="214" customWidth="1"/>
    <col min="11" max="11" width="7.85546875" style="214" customWidth="1"/>
    <col min="12" max="12" width="7" style="214" customWidth="1"/>
    <col min="13" max="13" width="12.7109375" style="214" hidden="1" customWidth="1"/>
    <col min="14" max="15" width="12.7109375" style="214" customWidth="1"/>
    <col min="16" max="16" width="14.140625" style="214" customWidth="1"/>
    <col min="17" max="17" width="16" style="214" customWidth="1"/>
    <col min="18" max="18" width="10" style="214" customWidth="1"/>
    <col min="19" max="19" width="16.42578125" style="214" customWidth="1"/>
    <col min="20" max="16384" width="9.140625" style="214"/>
  </cols>
  <sheetData>
    <row r="1" spans="1:19" ht="15.75" customHeight="1">
      <c r="F1" s="597"/>
      <c r="G1" s="597"/>
      <c r="H1" s="597"/>
      <c r="I1" s="232" t="s">
        <v>70</v>
      </c>
      <c r="J1" s="232"/>
      <c r="K1" s="232"/>
      <c r="L1" s="232"/>
      <c r="M1" s="6"/>
      <c r="N1" s="6"/>
      <c r="O1" s="7"/>
    </row>
    <row r="2" spans="1:19" ht="18.75"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7"/>
    </row>
    <row r="3" spans="1:19" ht="43.5" customHeight="1">
      <c r="A3" s="3906" t="s">
        <v>236</v>
      </c>
      <c r="B3" s="3906"/>
      <c r="C3" s="3906"/>
      <c r="D3" s="3906"/>
      <c r="E3" s="3906"/>
      <c r="F3" s="3906"/>
      <c r="G3" s="3906"/>
      <c r="H3" s="3906"/>
      <c r="I3" s="3906"/>
      <c r="J3" s="3906"/>
      <c r="K3" s="3906"/>
      <c r="L3" s="3906"/>
      <c r="M3" s="3906"/>
      <c r="N3" s="3906"/>
      <c r="O3" s="3906"/>
    </row>
    <row r="4" spans="1:19" ht="13.5" thickBot="1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</row>
    <row r="5" spans="1:19" ht="75.75" customHeight="1">
      <c r="A5" s="3929" t="s">
        <v>74</v>
      </c>
      <c r="B5" s="3931" t="s">
        <v>75</v>
      </c>
      <c r="C5" s="3907" t="s">
        <v>71</v>
      </c>
      <c r="D5" s="3909" t="s">
        <v>72</v>
      </c>
      <c r="E5" s="2066" t="s">
        <v>269</v>
      </c>
      <c r="F5" s="3927" t="s">
        <v>625</v>
      </c>
      <c r="G5" s="3924" t="s">
        <v>553</v>
      </c>
      <c r="H5" s="3925"/>
      <c r="I5" s="3925"/>
      <c r="J5" s="3925"/>
      <c r="K5" s="3925"/>
      <c r="L5" s="3926"/>
      <c r="M5" s="3916" t="s">
        <v>570</v>
      </c>
      <c r="N5" s="3916" t="s">
        <v>652</v>
      </c>
      <c r="O5" s="3911" t="s">
        <v>73</v>
      </c>
    </row>
    <row r="6" spans="1:19" ht="18.75" customHeight="1" thickBot="1">
      <c r="A6" s="3930"/>
      <c r="B6" s="3932"/>
      <c r="C6" s="3908"/>
      <c r="D6" s="3910"/>
      <c r="E6" s="2078" t="s">
        <v>533</v>
      </c>
      <c r="F6" s="3928"/>
      <c r="G6" s="2057" t="s">
        <v>6</v>
      </c>
      <c r="H6" s="2057" t="s">
        <v>214</v>
      </c>
      <c r="I6" s="2057" t="s">
        <v>216</v>
      </c>
      <c r="J6" s="2057" t="s">
        <v>260</v>
      </c>
      <c r="K6" s="2057" t="s">
        <v>261</v>
      </c>
      <c r="L6" s="2057" t="s">
        <v>259</v>
      </c>
      <c r="M6" s="3917"/>
      <c r="N6" s="3917"/>
      <c r="O6" s="3912"/>
      <c r="P6" s="401"/>
      <c r="Q6" s="401"/>
    </row>
    <row r="7" spans="1:19" s="236" customFormat="1" ht="12.75" customHeight="1" thickBot="1">
      <c r="A7" s="8">
        <v>1</v>
      </c>
      <c r="B7" s="9">
        <v>2</v>
      </c>
      <c r="C7" s="10">
        <v>3</v>
      </c>
      <c r="D7" s="11">
        <v>4</v>
      </c>
      <c r="E7" s="13">
        <v>5</v>
      </c>
      <c r="F7" s="12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4">
        <v>13</v>
      </c>
      <c r="N7" s="14">
        <v>13</v>
      </c>
      <c r="O7" s="15">
        <v>14</v>
      </c>
      <c r="P7" s="235"/>
      <c r="Q7" s="235"/>
    </row>
    <row r="8" spans="1:19" ht="16.5" customHeight="1">
      <c r="A8" s="3913" t="s">
        <v>68</v>
      </c>
      <c r="B8" s="195" t="s">
        <v>76</v>
      </c>
      <c r="C8" s="196"/>
      <c r="D8" s="197">
        <f>+D9+D10</f>
        <v>786992994</v>
      </c>
      <c r="E8" s="197">
        <f>+E9+E10</f>
        <v>45432232</v>
      </c>
      <c r="F8" s="197">
        <f t="shared" ref="F8:G8" si="0">+F9+F10</f>
        <v>221049116</v>
      </c>
      <c r="G8" s="197">
        <f t="shared" si="0"/>
        <v>400558468</v>
      </c>
      <c r="H8" s="197">
        <f t="shared" ref="H8:L8" si="1">+H9+H10</f>
        <v>100820028</v>
      </c>
      <c r="I8" s="197">
        <f t="shared" si="1"/>
        <v>19133150</v>
      </c>
      <c r="J8" s="197">
        <f t="shared" si="1"/>
        <v>0</v>
      </c>
      <c r="K8" s="197">
        <f t="shared" si="1"/>
        <v>0</v>
      </c>
      <c r="L8" s="197">
        <f t="shared" si="1"/>
        <v>0</v>
      </c>
      <c r="M8" s="16">
        <f>+M9+M10</f>
        <v>741560762</v>
      </c>
      <c r="N8" s="16">
        <f>+N9+N10</f>
        <v>520511646</v>
      </c>
      <c r="O8" s="598"/>
      <c r="P8" s="401"/>
    </row>
    <row r="9" spans="1:19" ht="16.5" customHeight="1">
      <c r="A9" s="3914"/>
      <c r="B9" s="198" t="s">
        <v>77</v>
      </c>
      <c r="C9" s="199"/>
      <c r="D9" s="200">
        <f>+D484+D502+D420+D435</f>
        <v>944587</v>
      </c>
      <c r="E9" s="200">
        <f>+E484+E502+E420+E435</f>
        <v>48374</v>
      </c>
      <c r="F9" s="200">
        <f t="shared" ref="F9:J9" si="2">+F484+F502+F420+F435</f>
        <v>150710</v>
      </c>
      <c r="G9" s="200">
        <f t="shared" si="2"/>
        <v>467096</v>
      </c>
      <c r="H9" s="200">
        <f t="shared" si="2"/>
        <v>196235</v>
      </c>
      <c r="I9" s="200">
        <f t="shared" si="2"/>
        <v>82172</v>
      </c>
      <c r="J9" s="200">
        <f t="shared" si="2"/>
        <v>0</v>
      </c>
      <c r="K9" s="200">
        <f t="shared" ref="K9:L9" si="3">+K484+K502+K420</f>
        <v>0</v>
      </c>
      <c r="L9" s="200">
        <f t="shared" si="3"/>
        <v>0</v>
      </c>
      <c r="M9" s="756">
        <f>SUM(F9:K9)</f>
        <v>896213</v>
      </c>
      <c r="N9" s="756">
        <f>SUM(G9:L9)</f>
        <v>745503</v>
      </c>
      <c r="O9" s="599"/>
    </row>
    <row r="10" spans="1:19" ht="16.5" customHeight="1" thickBot="1">
      <c r="A10" s="3914"/>
      <c r="B10" s="600" t="s">
        <v>9</v>
      </c>
      <c r="C10" s="601"/>
      <c r="D10" s="602">
        <f>+D114+D129+D54+D68+D145+D313+D289+D327+D80+D92+D104+D352+D466+D301+D363+D157+D169+D181+D193+D372+D384+D393+D402+D411+D205+D217+D229+D241+D253+D265+D277</f>
        <v>786048407</v>
      </c>
      <c r="E10" s="602">
        <f t="shared" ref="E10:L10" si="4">+E114+E129+E54+E68+E145+E313+E289+E327+E80+E92+E104+E352+E466+E301+E363+E157+E169+E181+E193+E372+E384+E393+E402+E411+E205+E217+E229+E241+E253+E265+E277</f>
        <v>45383858</v>
      </c>
      <c r="F10" s="602">
        <f t="shared" si="4"/>
        <v>220898406</v>
      </c>
      <c r="G10" s="602">
        <f t="shared" si="4"/>
        <v>400091372</v>
      </c>
      <c r="H10" s="602">
        <f t="shared" si="4"/>
        <v>100623793</v>
      </c>
      <c r="I10" s="602">
        <f t="shared" si="4"/>
        <v>19050978</v>
      </c>
      <c r="J10" s="602">
        <f t="shared" si="4"/>
        <v>0</v>
      </c>
      <c r="K10" s="602">
        <f t="shared" si="4"/>
        <v>0</v>
      </c>
      <c r="L10" s="602">
        <f t="shared" si="4"/>
        <v>0</v>
      </c>
      <c r="M10" s="145">
        <f>SUM(F10:K10)</f>
        <v>740664549</v>
      </c>
      <c r="N10" s="145">
        <f>SUM(G10:L10)</f>
        <v>519766143</v>
      </c>
      <c r="O10" s="599"/>
    </row>
    <row r="11" spans="1:19" ht="14.25" customHeight="1">
      <c r="A11" s="3914"/>
      <c r="B11" s="19" t="s">
        <v>10</v>
      </c>
      <c r="C11" s="20"/>
      <c r="D11" s="603">
        <f>+D12+D18</f>
        <v>786992994</v>
      </c>
      <c r="E11" s="603">
        <f t="shared" ref="E11" si="5">+E12+E18</f>
        <v>45432232</v>
      </c>
      <c r="F11" s="603">
        <f t="shared" ref="F11:N11" si="6">+F12+F18</f>
        <v>221049116</v>
      </c>
      <c r="G11" s="603">
        <f t="shared" si="6"/>
        <v>400558468</v>
      </c>
      <c r="H11" s="603">
        <f t="shared" si="6"/>
        <v>100820028</v>
      </c>
      <c r="I11" s="603">
        <f t="shared" si="6"/>
        <v>19133150</v>
      </c>
      <c r="J11" s="603">
        <f t="shared" si="6"/>
        <v>0</v>
      </c>
      <c r="K11" s="603">
        <f t="shared" si="6"/>
        <v>0</v>
      </c>
      <c r="L11" s="603">
        <f t="shared" si="6"/>
        <v>0</v>
      </c>
      <c r="M11" s="604">
        <f t="shared" ref="M11" si="7">+M12+M18</f>
        <v>741560762</v>
      </c>
      <c r="N11" s="604">
        <f t="shared" si="6"/>
        <v>520511646</v>
      </c>
      <c r="O11" s="587"/>
      <c r="P11" s="605"/>
      <c r="Q11" s="401"/>
      <c r="S11" s="401"/>
    </row>
    <row r="12" spans="1:19" s="608" customFormat="1" ht="14.25" customHeight="1">
      <c r="A12" s="3914"/>
      <c r="B12" s="150" t="s">
        <v>11</v>
      </c>
      <c r="C12" s="1954"/>
      <c r="D12" s="757">
        <f>+D13+D14+D15+D16+D17</f>
        <v>153109131</v>
      </c>
      <c r="E12" s="757">
        <f t="shared" ref="E12" si="8">+E13+E14+E15+E16+E17</f>
        <v>14007215</v>
      </c>
      <c r="F12" s="757">
        <f t="shared" ref="F12:L12" si="9">+F13+F14+F15+F16+F17</f>
        <v>34093681</v>
      </c>
      <c r="G12" s="757">
        <f t="shared" si="9"/>
        <v>75606571</v>
      </c>
      <c r="H12" s="757">
        <f t="shared" si="9"/>
        <v>22842180</v>
      </c>
      <c r="I12" s="757">
        <f t="shared" si="9"/>
        <v>6559484</v>
      </c>
      <c r="J12" s="757">
        <f t="shared" si="9"/>
        <v>0</v>
      </c>
      <c r="K12" s="757">
        <f t="shared" si="9"/>
        <v>0</v>
      </c>
      <c r="L12" s="757">
        <f t="shared" si="9"/>
        <v>0</v>
      </c>
      <c r="M12" s="1955">
        <f>SUM(M13:M17)</f>
        <v>139101916</v>
      </c>
      <c r="N12" s="1955">
        <f>SUM(N13:N17)</f>
        <v>105008235</v>
      </c>
      <c r="O12" s="606"/>
      <c r="P12" s="607"/>
      <c r="Q12" s="605"/>
    </row>
    <row r="13" spans="1:19" ht="14.25" customHeight="1">
      <c r="A13" s="3914"/>
      <c r="B13" s="153" t="s">
        <v>12</v>
      </c>
      <c r="C13" s="609"/>
      <c r="D13" s="758">
        <f>+D37+D341+D452+D495</f>
        <v>131318294</v>
      </c>
      <c r="E13" s="758">
        <f t="shared" ref="E13:I13" si="10">+E37+E341+E452+E495</f>
        <v>4652384</v>
      </c>
      <c r="F13" s="758">
        <f t="shared" si="10"/>
        <v>32399800</v>
      </c>
      <c r="G13" s="758">
        <f t="shared" si="10"/>
        <v>64864446</v>
      </c>
      <c r="H13" s="758">
        <f t="shared" si="10"/>
        <v>22842180</v>
      </c>
      <c r="I13" s="758">
        <f t="shared" si="10"/>
        <v>6559484</v>
      </c>
      <c r="J13" s="758">
        <f>+J37+J341+J452+J495+J267</f>
        <v>0</v>
      </c>
      <c r="K13" s="758">
        <f>+K37+K341+K452+K495+K267</f>
        <v>0</v>
      </c>
      <c r="L13" s="758">
        <f>+L37+L341+L452+L495+L267</f>
        <v>0</v>
      </c>
      <c r="M13" s="1956">
        <f>SUM(F13:K13)</f>
        <v>126665910</v>
      </c>
      <c r="N13" s="1956">
        <f>SUM(G13:L13)</f>
        <v>94266110</v>
      </c>
      <c r="O13" s="587"/>
      <c r="P13" s="401"/>
      <c r="Q13" s="401"/>
      <c r="S13" s="401"/>
    </row>
    <row r="14" spans="1:19" ht="14.25" hidden="1" customHeight="1">
      <c r="A14" s="3914"/>
      <c r="B14" s="760" t="s">
        <v>78</v>
      </c>
      <c r="C14" s="1957"/>
      <c r="D14" s="758">
        <f>+D453</f>
        <v>0</v>
      </c>
      <c r="E14" s="758">
        <f t="shared" ref="E14" si="11">+E453</f>
        <v>0</v>
      </c>
      <c r="F14" s="758">
        <f t="shared" ref="F14:L14" si="12">+F453</f>
        <v>0</v>
      </c>
      <c r="G14" s="758">
        <f t="shared" si="12"/>
        <v>0</v>
      </c>
      <c r="H14" s="758">
        <f t="shared" si="12"/>
        <v>0</v>
      </c>
      <c r="I14" s="758">
        <f t="shared" si="12"/>
        <v>0</v>
      </c>
      <c r="J14" s="758">
        <f t="shared" si="12"/>
        <v>0</v>
      </c>
      <c r="K14" s="758">
        <f t="shared" si="12"/>
        <v>0</v>
      </c>
      <c r="L14" s="758">
        <f t="shared" si="12"/>
        <v>0</v>
      </c>
      <c r="M14" s="1956">
        <f>SUM(E14:K14)</f>
        <v>0</v>
      </c>
      <c r="N14" s="1956">
        <f>SUM(F14:L14)</f>
        <v>0</v>
      </c>
      <c r="O14" s="612"/>
      <c r="P14" s="401"/>
    </row>
    <row r="15" spans="1:19" ht="14.25" customHeight="1">
      <c r="A15" s="3914"/>
      <c r="B15" s="153" t="s">
        <v>15</v>
      </c>
      <c r="C15" s="609"/>
      <c r="D15" s="758">
        <f t="shared" ref="D15:L15" si="13">+D38+D342</f>
        <v>16777837</v>
      </c>
      <c r="E15" s="758">
        <f t="shared" si="13"/>
        <v>9354831</v>
      </c>
      <c r="F15" s="758">
        <f t="shared" si="13"/>
        <v>1693881</v>
      </c>
      <c r="G15" s="758">
        <f t="shared" si="13"/>
        <v>5729125</v>
      </c>
      <c r="H15" s="758">
        <f t="shared" si="13"/>
        <v>0</v>
      </c>
      <c r="I15" s="758">
        <f t="shared" si="13"/>
        <v>0</v>
      </c>
      <c r="J15" s="758">
        <f t="shared" si="13"/>
        <v>0</v>
      </c>
      <c r="K15" s="758">
        <f t="shared" si="13"/>
        <v>0</v>
      </c>
      <c r="L15" s="758">
        <f t="shared" si="13"/>
        <v>0</v>
      </c>
      <c r="M15" s="727">
        <f>SUM(F15:K15)</f>
        <v>7423006</v>
      </c>
      <c r="N15" s="727">
        <f>SUM(G15:L15)</f>
        <v>5729125</v>
      </c>
      <c r="O15" s="612"/>
      <c r="P15" s="401"/>
    </row>
    <row r="16" spans="1:19" ht="14.25" hidden="1" customHeight="1">
      <c r="A16" s="3914"/>
      <c r="B16" s="153" t="s">
        <v>52</v>
      </c>
      <c r="C16" s="609"/>
      <c r="D16" s="758">
        <f t="shared" ref="D16:L16" si="14">+D454+D40</f>
        <v>0</v>
      </c>
      <c r="E16" s="758">
        <f t="shared" si="14"/>
        <v>0</v>
      </c>
      <c r="F16" s="758">
        <f t="shared" si="14"/>
        <v>0</v>
      </c>
      <c r="G16" s="758">
        <f t="shared" si="14"/>
        <v>0</v>
      </c>
      <c r="H16" s="758">
        <f t="shared" si="14"/>
        <v>0</v>
      </c>
      <c r="I16" s="758">
        <f t="shared" si="14"/>
        <v>0</v>
      </c>
      <c r="J16" s="758">
        <f t="shared" si="14"/>
        <v>0</v>
      </c>
      <c r="K16" s="758">
        <f t="shared" si="14"/>
        <v>0</v>
      </c>
      <c r="L16" s="758">
        <f t="shared" si="14"/>
        <v>0</v>
      </c>
      <c r="M16" s="1956">
        <f>SUM(E16:K16)</f>
        <v>0</v>
      </c>
      <c r="N16" s="1956">
        <f>SUM(F16:L16)</f>
        <v>0</v>
      </c>
      <c r="O16" s="612"/>
      <c r="P16" s="401"/>
    </row>
    <row r="17" spans="1:19" ht="14.25" customHeight="1">
      <c r="A17" s="3914"/>
      <c r="B17" s="153" t="s">
        <v>17</v>
      </c>
      <c r="C17" s="609"/>
      <c r="D17" s="758">
        <f>+D39</f>
        <v>5013000</v>
      </c>
      <c r="E17" s="758">
        <f t="shared" ref="E17" si="15">+E39</f>
        <v>0</v>
      </c>
      <c r="F17" s="758">
        <f t="shared" ref="F17:L17" si="16">+F39</f>
        <v>0</v>
      </c>
      <c r="G17" s="758">
        <f t="shared" si="16"/>
        <v>5013000</v>
      </c>
      <c r="H17" s="758">
        <f t="shared" si="16"/>
        <v>0</v>
      </c>
      <c r="I17" s="758">
        <f t="shared" si="16"/>
        <v>0</v>
      </c>
      <c r="J17" s="758">
        <f t="shared" si="16"/>
        <v>0</v>
      </c>
      <c r="K17" s="758">
        <f t="shared" si="16"/>
        <v>0</v>
      </c>
      <c r="L17" s="758">
        <f t="shared" si="16"/>
        <v>0</v>
      </c>
      <c r="M17" s="727">
        <f>SUM(F17:K17)</f>
        <v>5013000</v>
      </c>
      <c r="N17" s="727">
        <f>SUM(G17:L17)</f>
        <v>5013000</v>
      </c>
      <c r="O17" s="612"/>
      <c r="P17" s="401"/>
    </row>
    <row r="18" spans="1:19" s="608" customFormat="1" ht="14.25" customHeight="1">
      <c r="A18" s="3914"/>
      <c r="B18" s="150" t="s">
        <v>18</v>
      </c>
      <c r="C18" s="613"/>
      <c r="D18" s="757">
        <f>+D19+D20+D21</f>
        <v>633883863</v>
      </c>
      <c r="E18" s="757">
        <f t="shared" ref="E18" si="17">+E19+E20+E21</f>
        <v>31425017</v>
      </c>
      <c r="F18" s="757">
        <f t="shared" ref="F18:I18" si="18">+F19+F20+F21</f>
        <v>186955435</v>
      </c>
      <c r="G18" s="757">
        <f t="shared" si="18"/>
        <v>324951897</v>
      </c>
      <c r="H18" s="757">
        <f t="shared" si="18"/>
        <v>77977848</v>
      </c>
      <c r="I18" s="757">
        <f t="shared" si="18"/>
        <v>12573666</v>
      </c>
      <c r="J18" s="757">
        <f>+J19+J20+J21</f>
        <v>0</v>
      </c>
      <c r="K18" s="757">
        <f>+K19+K20+K21</f>
        <v>0</v>
      </c>
      <c r="L18" s="757">
        <f>+L19+L20+L21</f>
        <v>0</v>
      </c>
      <c r="M18" s="1958">
        <f>+M19+M20+M21</f>
        <v>602458846</v>
      </c>
      <c r="N18" s="1958">
        <f>+N19+N20+N21</f>
        <v>415503411</v>
      </c>
      <c r="O18" s="614"/>
      <c r="P18" s="607"/>
      <c r="Q18" s="605"/>
    </row>
    <row r="19" spans="1:19" ht="14.25" customHeight="1">
      <c r="A19" s="3914"/>
      <c r="B19" s="761" t="s">
        <v>20</v>
      </c>
      <c r="C19" s="1959"/>
      <c r="D19" s="758">
        <f t="shared" ref="D19:L19" si="19">+D344+D497</f>
        <v>799122</v>
      </c>
      <c r="E19" s="758">
        <f t="shared" ref="E19" si="20">+E344+E497</f>
        <v>40826</v>
      </c>
      <c r="F19" s="758">
        <f t="shared" si="19"/>
        <v>127959</v>
      </c>
      <c r="G19" s="758">
        <f t="shared" si="19"/>
        <v>394966</v>
      </c>
      <c r="H19" s="758">
        <f t="shared" si="19"/>
        <v>165865</v>
      </c>
      <c r="I19" s="758">
        <f t="shared" si="19"/>
        <v>69506</v>
      </c>
      <c r="J19" s="758">
        <f t="shared" si="19"/>
        <v>0</v>
      </c>
      <c r="K19" s="758">
        <f t="shared" si="19"/>
        <v>0</v>
      </c>
      <c r="L19" s="758">
        <f t="shared" si="19"/>
        <v>0</v>
      </c>
      <c r="M19" s="727">
        <f>SUM(F19:K19)</f>
        <v>758296</v>
      </c>
      <c r="N19" s="727">
        <f>SUM(G19:L19)</f>
        <v>630337</v>
      </c>
      <c r="O19" s="612"/>
      <c r="P19" s="401"/>
    </row>
    <row r="20" spans="1:19" ht="14.25" customHeight="1">
      <c r="A20" s="3914"/>
      <c r="B20" s="1960" t="s">
        <v>21</v>
      </c>
      <c r="C20" s="1959"/>
      <c r="D20" s="758">
        <f>+D42+D456+D345</f>
        <v>633084741</v>
      </c>
      <c r="E20" s="758">
        <f t="shared" ref="E20:L20" si="21">+E42+E456+E345</f>
        <v>31384191</v>
      </c>
      <c r="F20" s="758">
        <f t="shared" si="21"/>
        <v>186827476</v>
      </c>
      <c r="G20" s="758">
        <f t="shared" si="21"/>
        <v>324556931</v>
      </c>
      <c r="H20" s="758">
        <f t="shared" si="21"/>
        <v>77811983</v>
      </c>
      <c r="I20" s="758">
        <f t="shared" si="21"/>
        <v>12504160</v>
      </c>
      <c r="J20" s="758">
        <f t="shared" si="21"/>
        <v>0</v>
      </c>
      <c r="K20" s="758">
        <f t="shared" si="21"/>
        <v>0</v>
      </c>
      <c r="L20" s="758">
        <f t="shared" si="21"/>
        <v>0</v>
      </c>
      <c r="M20" s="727">
        <f>SUM(F20:K20)</f>
        <v>601700550</v>
      </c>
      <c r="N20" s="727">
        <f>SUM(G20:L20)</f>
        <v>414873074</v>
      </c>
      <c r="O20" s="587"/>
      <c r="P20" s="401"/>
      <c r="Q20" s="401"/>
    </row>
    <row r="21" spans="1:19" ht="14.25" hidden="1" customHeight="1">
      <c r="A21" s="3914"/>
      <c r="B21" s="1960" t="s">
        <v>79</v>
      </c>
      <c r="C21" s="1959"/>
      <c r="D21" s="758">
        <f>+D457</f>
        <v>0</v>
      </c>
      <c r="E21" s="758">
        <f t="shared" ref="E21" si="22">+E457</f>
        <v>0</v>
      </c>
      <c r="F21" s="758">
        <f t="shared" ref="F21:L21" si="23">+F457</f>
        <v>0</v>
      </c>
      <c r="G21" s="758">
        <f t="shared" si="23"/>
        <v>0</v>
      </c>
      <c r="H21" s="758">
        <f t="shared" si="23"/>
        <v>0</v>
      </c>
      <c r="I21" s="758">
        <f t="shared" si="23"/>
        <v>0</v>
      </c>
      <c r="J21" s="758">
        <f t="shared" si="23"/>
        <v>0</v>
      </c>
      <c r="K21" s="758">
        <f t="shared" si="23"/>
        <v>0</v>
      </c>
      <c r="L21" s="758">
        <f t="shared" si="23"/>
        <v>0</v>
      </c>
      <c r="M21" s="1956">
        <f>SUM(E21:H21)</f>
        <v>0</v>
      </c>
      <c r="N21" s="1956">
        <f>SUM(F21:I21)</f>
        <v>0</v>
      </c>
      <c r="O21" s="587"/>
      <c r="P21" s="401"/>
      <c r="Q21" s="401"/>
    </row>
    <row r="22" spans="1:19" ht="14.25" customHeight="1">
      <c r="A22" s="3914"/>
      <c r="B22" s="1961" t="s">
        <v>22</v>
      </c>
      <c r="C22" s="1231"/>
      <c r="D22" s="579">
        <f>+D23+D29</f>
        <v>655674700</v>
      </c>
      <c r="E22" s="579">
        <f t="shared" ref="E22" si="24">+E23+E29</f>
        <v>34852146</v>
      </c>
      <c r="F22" s="579">
        <f>+F23+F29</f>
        <v>178912192</v>
      </c>
      <c r="G22" s="579">
        <f t="shared" ref="G22:L22" si="25">+G23+G29</f>
        <v>342906993</v>
      </c>
      <c r="H22" s="579">
        <f t="shared" si="25"/>
        <v>79480805</v>
      </c>
      <c r="I22" s="579">
        <f t="shared" si="25"/>
        <v>17605196</v>
      </c>
      <c r="J22" s="579">
        <f t="shared" si="25"/>
        <v>1917368</v>
      </c>
      <c r="K22" s="579">
        <f t="shared" si="25"/>
        <v>0</v>
      </c>
      <c r="L22" s="579">
        <f t="shared" si="25"/>
        <v>0</v>
      </c>
      <c r="M22" s="3918" t="s">
        <v>23</v>
      </c>
      <c r="N22" s="3918" t="s">
        <v>23</v>
      </c>
      <c r="O22" s="587"/>
      <c r="P22" s="401"/>
      <c r="S22" s="605"/>
    </row>
    <row r="23" spans="1:19" ht="14.25" customHeight="1">
      <c r="A23" s="3914"/>
      <c r="B23" s="1962" t="s">
        <v>24</v>
      </c>
      <c r="C23" s="1963"/>
      <c r="D23" s="762">
        <f>+D24+D25+D26+D27+D28</f>
        <v>21790837</v>
      </c>
      <c r="E23" s="762">
        <f t="shared" ref="E23" si="26">+E24+E25+E26+E27+E28</f>
        <v>9354831</v>
      </c>
      <c r="F23" s="762">
        <f t="shared" ref="F23:L23" si="27">+F24+F25+F26+F27+F28</f>
        <v>1693881</v>
      </c>
      <c r="G23" s="762">
        <f t="shared" si="27"/>
        <v>10742125</v>
      </c>
      <c r="H23" s="762">
        <f t="shared" si="27"/>
        <v>0</v>
      </c>
      <c r="I23" s="762">
        <f t="shared" si="27"/>
        <v>0</v>
      </c>
      <c r="J23" s="762">
        <f t="shared" si="27"/>
        <v>0</v>
      </c>
      <c r="K23" s="762">
        <f t="shared" si="27"/>
        <v>0</v>
      </c>
      <c r="L23" s="762">
        <f t="shared" si="27"/>
        <v>0</v>
      </c>
      <c r="M23" s="3919"/>
      <c r="N23" s="3919"/>
      <c r="O23" s="587"/>
    </row>
    <row r="24" spans="1:19" ht="14.25" hidden="1" customHeight="1">
      <c r="A24" s="3914"/>
      <c r="B24" s="760" t="s">
        <v>78</v>
      </c>
      <c r="C24" s="615"/>
      <c r="D24" s="763">
        <f>+D460</f>
        <v>0</v>
      </c>
      <c r="E24" s="763">
        <f t="shared" ref="E24" si="28">+E460</f>
        <v>0</v>
      </c>
      <c r="F24" s="763">
        <f t="shared" ref="F24:L24" si="29">+F460</f>
        <v>0</v>
      </c>
      <c r="G24" s="763">
        <f t="shared" si="29"/>
        <v>0</v>
      </c>
      <c r="H24" s="763">
        <f t="shared" si="29"/>
        <v>0</v>
      </c>
      <c r="I24" s="763">
        <f t="shared" si="29"/>
        <v>0</v>
      </c>
      <c r="J24" s="763">
        <f t="shared" si="29"/>
        <v>0</v>
      </c>
      <c r="K24" s="763">
        <f t="shared" si="29"/>
        <v>0</v>
      </c>
      <c r="L24" s="763">
        <f t="shared" si="29"/>
        <v>0</v>
      </c>
      <c r="M24" s="3919"/>
      <c r="N24" s="3919"/>
      <c r="O24" s="612"/>
    </row>
    <row r="25" spans="1:19" ht="14.25" customHeight="1">
      <c r="A25" s="3914"/>
      <c r="B25" s="23" t="s">
        <v>15</v>
      </c>
      <c r="C25" s="24"/>
      <c r="D25" s="758">
        <f t="shared" ref="D25:L25" si="30">+D45+D342</f>
        <v>16777837</v>
      </c>
      <c r="E25" s="758">
        <f t="shared" si="30"/>
        <v>9354831</v>
      </c>
      <c r="F25" s="758">
        <f t="shared" si="30"/>
        <v>1693881</v>
      </c>
      <c r="G25" s="758">
        <f t="shared" si="30"/>
        <v>5729125</v>
      </c>
      <c r="H25" s="758">
        <f t="shared" si="30"/>
        <v>0</v>
      </c>
      <c r="I25" s="758">
        <f t="shared" si="30"/>
        <v>0</v>
      </c>
      <c r="J25" s="758">
        <f t="shared" si="30"/>
        <v>0</v>
      </c>
      <c r="K25" s="758">
        <f t="shared" si="30"/>
        <v>0</v>
      </c>
      <c r="L25" s="758">
        <f t="shared" si="30"/>
        <v>0</v>
      </c>
      <c r="M25" s="3919"/>
      <c r="N25" s="3919"/>
      <c r="O25" s="612"/>
      <c r="P25" s="401">
        <f>D25-D15</f>
        <v>0</v>
      </c>
      <c r="Q25" s="401">
        <f>G25-'[1]Tab. 6A -Drogi'!$G$25</f>
        <v>652960</v>
      </c>
    </row>
    <row r="26" spans="1:19" ht="14.25" hidden="1" customHeight="1">
      <c r="A26" s="3914"/>
      <c r="B26" s="23" t="s">
        <v>52</v>
      </c>
      <c r="C26" s="24"/>
      <c r="D26" s="758">
        <f t="shared" ref="D26:L26" si="31">+D461+D48</f>
        <v>0</v>
      </c>
      <c r="E26" s="758">
        <f t="shared" si="31"/>
        <v>0</v>
      </c>
      <c r="F26" s="758">
        <f t="shared" si="31"/>
        <v>0</v>
      </c>
      <c r="G26" s="758">
        <f t="shared" si="31"/>
        <v>0</v>
      </c>
      <c r="H26" s="758">
        <f t="shared" si="31"/>
        <v>0</v>
      </c>
      <c r="I26" s="758">
        <f t="shared" si="31"/>
        <v>0</v>
      </c>
      <c r="J26" s="758">
        <f t="shared" si="31"/>
        <v>0</v>
      </c>
      <c r="K26" s="758">
        <f t="shared" si="31"/>
        <v>0</v>
      </c>
      <c r="L26" s="758">
        <f t="shared" si="31"/>
        <v>0</v>
      </c>
      <c r="M26" s="3919"/>
      <c r="N26" s="3919"/>
      <c r="O26" s="612"/>
      <c r="P26" s="401">
        <f>D16-D26</f>
        <v>0</v>
      </c>
    </row>
    <row r="27" spans="1:19" ht="14.25" customHeight="1">
      <c r="A27" s="3914"/>
      <c r="B27" s="153" t="s">
        <v>17</v>
      </c>
      <c r="C27" s="25"/>
      <c r="D27" s="758">
        <f>+D46</f>
        <v>5013000</v>
      </c>
      <c r="E27" s="758">
        <f t="shared" ref="E27:E28" si="32">+E46</f>
        <v>0</v>
      </c>
      <c r="F27" s="758">
        <f t="shared" ref="F27:L28" si="33">+F46</f>
        <v>0</v>
      </c>
      <c r="G27" s="758">
        <f t="shared" si="33"/>
        <v>5013000</v>
      </c>
      <c r="H27" s="758">
        <f t="shared" si="33"/>
        <v>0</v>
      </c>
      <c r="I27" s="758">
        <f t="shared" si="33"/>
        <v>0</v>
      </c>
      <c r="J27" s="758">
        <f t="shared" si="33"/>
        <v>0</v>
      </c>
      <c r="K27" s="758">
        <f t="shared" si="33"/>
        <v>0</v>
      </c>
      <c r="L27" s="758">
        <f t="shared" si="33"/>
        <v>0</v>
      </c>
      <c r="M27" s="3919"/>
      <c r="N27" s="3919"/>
      <c r="O27" s="612"/>
      <c r="P27" s="401">
        <f>D17-D27</f>
        <v>0</v>
      </c>
    </row>
    <row r="28" spans="1:19" ht="14.25" hidden="1" customHeight="1">
      <c r="A28" s="3914"/>
      <c r="B28" s="153" t="s">
        <v>80</v>
      </c>
      <c r="C28" s="25"/>
      <c r="D28" s="758">
        <f>+D47</f>
        <v>0</v>
      </c>
      <c r="E28" s="758">
        <f t="shared" si="32"/>
        <v>0</v>
      </c>
      <c r="F28" s="758">
        <f t="shared" si="33"/>
        <v>0</v>
      </c>
      <c r="G28" s="758">
        <f t="shared" si="33"/>
        <v>0</v>
      </c>
      <c r="H28" s="758">
        <f t="shared" si="33"/>
        <v>0</v>
      </c>
      <c r="I28" s="758">
        <f t="shared" si="33"/>
        <v>0</v>
      </c>
      <c r="J28" s="758">
        <f t="shared" si="33"/>
        <v>0</v>
      </c>
      <c r="K28" s="758">
        <f t="shared" si="33"/>
        <v>0</v>
      </c>
      <c r="L28" s="758">
        <f t="shared" si="33"/>
        <v>0</v>
      </c>
      <c r="M28" s="3919"/>
      <c r="N28" s="3919"/>
      <c r="O28" s="612"/>
    </row>
    <row r="29" spans="1:19" ht="14.25" customHeight="1">
      <c r="A29" s="3914"/>
      <c r="B29" s="1964" t="s">
        <v>18</v>
      </c>
      <c r="C29" s="1965"/>
      <c r="D29" s="762">
        <f>+D30+D31+D32+D33</f>
        <v>633883863</v>
      </c>
      <c r="E29" s="762">
        <f t="shared" ref="E29" si="34">+E30+E31+E32+E33</f>
        <v>25497315</v>
      </c>
      <c r="F29" s="762">
        <f>+F30+F31+F32+F33</f>
        <v>177218311</v>
      </c>
      <c r="G29" s="762">
        <f t="shared" ref="G29:L29" si="35">+G30+G31+G32+G33</f>
        <v>332164868</v>
      </c>
      <c r="H29" s="762">
        <f t="shared" si="35"/>
        <v>79480805</v>
      </c>
      <c r="I29" s="762">
        <f t="shared" si="35"/>
        <v>17605196</v>
      </c>
      <c r="J29" s="762">
        <f t="shared" si="35"/>
        <v>1917368</v>
      </c>
      <c r="K29" s="762">
        <f t="shared" si="35"/>
        <v>0</v>
      </c>
      <c r="L29" s="762">
        <f t="shared" si="35"/>
        <v>0</v>
      </c>
      <c r="M29" s="3919"/>
      <c r="N29" s="3919"/>
      <c r="O29" s="612"/>
      <c r="P29" s="401">
        <f>D31-D19</f>
        <v>0</v>
      </c>
    </row>
    <row r="30" spans="1:19" ht="14.25" hidden="1" customHeight="1">
      <c r="A30" s="3914"/>
      <c r="B30" s="764" t="s">
        <v>17</v>
      </c>
      <c r="C30" s="1966"/>
      <c r="D30" s="758">
        <f t="shared" ref="D30:L30" si="36">+D50</f>
        <v>0</v>
      </c>
      <c r="E30" s="758">
        <f t="shared" si="36"/>
        <v>0</v>
      </c>
      <c r="F30" s="758">
        <f t="shared" si="36"/>
        <v>0</v>
      </c>
      <c r="G30" s="758">
        <f t="shared" si="36"/>
        <v>0</v>
      </c>
      <c r="H30" s="758">
        <f t="shared" si="36"/>
        <v>0</v>
      </c>
      <c r="I30" s="758">
        <f t="shared" si="36"/>
        <v>0</v>
      </c>
      <c r="J30" s="758">
        <f t="shared" si="36"/>
        <v>0</v>
      </c>
      <c r="K30" s="758">
        <f t="shared" si="36"/>
        <v>0</v>
      </c>
      <c r="L30" s="758">
        <f t="shared" si="36"/>
        <v>0</v>
      </c>
      <c r="M30" s="3919"/>
      <c r="N30" s="3919"/>
      <c r="O30" s="612"/>
    </row>
    <row r="31" spans="1:19" ht="14.25" customHeight="1">
      <c r="A31" s="3914"/>
      <c r="B31" s="761" t="s">
        <v>20</v>
      </c>
      <c r="C31" s="1957"/>
      <c r="D31" s="1967">
        <f t="shared" ref="D31:F31" si="37">+D350+D500</f>
        <v>799122</v>
      </c>
      <c r="E31" s="1967">
        <f t="shared" ref="E31" si="38">+E350+E500</f>
        <v>0</v>
      </c>
      <c r="F31" s="1967">
        <f t="shared" si="37"/>
        <v>45734</v>
      </c>
      <c r="G31" s="1967">
        <f t="shared" ref="G31:L31" si="39">+G350</f>
        <v>259104</v>
      </c>
      <c r="H31" s="1967">
        <f t="shared" si="39"/>
        <v>341780</v>
      </c>
      <c r="I31" s="1967">
        <f t="shared" si="39"/>
        <v>152504</v>
      </c>
      <c r="J31" s="1967">
        <f t="shared" si="39"/>
        <v>0</v>
      </c>
      <c r="K31" s="1967">
        <f t="shared" si="39"/>
        <v>0</v>
      </c>
      <c r="L31" s="1967">
        <f t="shared" si="39"/>
        <v>0</v>
      </c>
      <c r="M31" s="3919"/>
      <c r="N31" s="3919"/>
      <c r="O31" s="612"/>
      <c r="P31" s="401">
        <f>D32-D20</f>
        <v>0</v>
      </c>
    </row>
    <row r="32" spans="1:19" ht="14.25" customHeight="1" thickBot="1">
      <c r="A32" s="3914"/>
      <c r="B32" s="761" t="s">
        <v>21</v>
      </c>
      <c r="C32" s="1966"/>
      <c r="D32" s="1967">
        <f>+D51+D463+D360</f>
        <v>633084741</v>
      </c>
      <c r="E32" s="1967">
        <f t="shared" ref="E32:L32" si="40">+E51+E463+E360</f>
        <v>25497315</v>
      </c>
      <c r="F32" s="1967">
        <f t="shared" si="40"/>
        <v>177172577</v>
      </c>
      <c r="G32" s="1967">
        <f t="shared" si="40"/>
        <v>331905764</v>
      </c>
      <c r="H32" s="1967">
        <f t="shared" si="40"/>
        <v>79139025</v>
      </c>
      <c r="I32" s="1967">
        <f t="shared" si="40"/>
        <v>17452692</v>
      </c>
      <c r="J32" s="1967">
        <f t="shared" si="40"/>
        <v>1917368</v>
      </c>
      <c r="K32" s="1967">
        <f t="shared" si="40"/>
        <v>0</v>
      </c>
      <c r="L32" s="1967">
        <f t="shared" si="40"/>
        <v>0</v>
      </c>
      <c r="M32" s="3919"/>
      <c r="N32" s="3919"/>
      <c r="O32" s="612"/>
    </row>
    <row r="33" spans="1:17" ht="13.5" hidden="1" thickBot="1">
      <c r="A33" s="3915"/>
      <c r="B33" s="26" t="s">
        <v>79</v>
      </c>
      <c r="C33" s="27"/>
      <c r="D33" s="617">
        <f>+D464</f>
        <v>0</v>
      </c>
      <c r="E33" s="617">
        <f t="shared" ref="E33" si="41">+E464</f>
        <v>0</v>
      </c>
      <c r="F33" s="617">
        <f t="shared" ref="F33:L33" si="42">+F464</f>
        <v>0</v>
      </c>
      <c r="G33" s="617">
        <f t="shared" si="42"/>
        <v>0</v>
      </c>
      <c r="H33" s="617">
        <f t="shared" si="42"/>
        <v>0</v>
      </c>
      <c r="I33" s="617">
        <f t="shared" si="42"/>
        <v>0</v>
      </c>
      <c r="J33" s="617">
        <f t="shared" si="42"/>
        <v>0</v>
      </c>
      <c r="K33" s="617">
        <f t="shared" si="42"/>
        <v>0</v>
      </c>
      <c r="L33" s="617">
        <f t="shared" si="42"/>
        <v>0</v>
      </c>
      <c r="M33" s="3920"/>
      <c r="N33" s="3920"/>
      <c r="O33" s="1968"/>
    </row>
    <row r="34" spans="1:17" ht="29.25" customHeight="1">
      <c r="A34" s="1969" t="s">
        <v>233</v>
      </c>
      <c r="B34" s="1970" t="s">
        <v>250</v>
      </c>
      <c r="C34" s="1971"/>
      <c r="D34" s="1972"/>
      <c r="E34" s="1973"/>
      <c r="F34" s="1973"/>
      <c r="G34" s="1973"/>
      <c r="H34" s="1973"/>
      <c r="I34" s="1973"/>
      <c r="J34" s="1973"/>
      <c r="K34" s="1973"/>
      <c r="L34" s="1973"/>
      <c r="M34" s="1974"/>
      <c r="N34" s="1975"/>
      <c r="O34" s="1976"/>
    </row>
    <row r="35" spans="1:17" ht="14.25" customHeight="1">
      <c r="A35" s="618"/>
      <c r="B35" s="743" t="s">
        <v>10</v>
      </c>
      <c r="C35" s="1231"/>
      <c r="D35" s="720">
        <f>+D36+D41</f>
        <v>740449079</v>
      </c>
      <c r="E35" s="720">
        <f t="shared" ref="E35:L35" si="43">+E36+E41</f>
        <v>44967942</v>
      </c>
      <c r="F35" s="720">
        <f t="shared" si="43"/>
        <v>213466976</v>
      </c>
      <c r="G35" s="720">
        <f t="shared" si="43"/>
        <v>391543058</v>
      </c>
      <c r="H35" s="720">
        <f t="shared" si="43"/>
        <v>79494509</v>
      </c>
      <c r="I35" s="720">
        <f t="shared" si="43"/>
        <v>10976594</v>
      </c>
      <c r="J35" s="720">
        <f t="shared" si="43"/>
        <v>0</v>
      </c>
      <c r="K35" s="720">
        <f t="shared" si="43"/>
        <v>0</v>
      </c>
      <c r="L35" s="720">
        <f t="shared" si="43"/>
        <v>0</v>
      </c>
      <c r="M35" s="1576">
        <f t="shared" ref="M35" si="44">+M36+M41</f>
        <v>695481137</v>
      </c>
      <c r="N35" s="1576">
        <f t="shared" ref="N35" si="45">+N36+N41</f>
        <v>482014161</v>
      </c>
      <c r="O35" s="619"/>
      <c r="P35" s="401"/>
    </row>
    <row r="36" spans="1:17" s="608" customFormat="1" ht="14.25" customHeight="1">
      <c r="A36" s="618"/>
      <c r="B36" s="765" t="s">
        <v>24</v>
      </c>
      <c r="C36" s="1977"/>
      <c r="D36" s="744">
        <f>+D37+D38+D39+D40</f>
        <v>131419883</v>
      </c>
      <c r="E36" s="744">
        <f t="shared" ref="E36:L36" si="46">+E37+E38+E39+E40</f>
        <v>13583751</v>
      </c>
      <c r="F36" s="744">
        <f t="shared" si="46"/>
        <v>32273346</v>
      </c>
      <c r="G36" s="744">
        <f t="shared" si="46"/>
        <v>71552281</v>
      </c>
      <c r="H36" s="744">
        <f t="shared" si="46"/>
        <v>12007016</v>
      </c>
      <c r="I36" s="744">
        <f t="shared" si="46"/>
        <v>2003489</v>
      </c>
      <c r="J36" s="744">
        <f t="shared" si="46"/>
        <v>0</v>
      </c>
      <c r="K36" s="744">
        <f t="shared" si="46"/>
        <v>0</v>
      </c>
      <c r="L36" s="744">
        <f t="shared" si="46"/>
        <v>0</v>
      </c>
      <c r="M36" s="766">
        <f>+M37+M38+M39+M40</f>
        <v>117836132</v>
      </c>
      <c r="N36" s="766">
        <f>+N37+N38+N39+N40</f>
        <v>85562786</v>
      </c>
      <c r="O36" s="619"/>
      <c r="Q36" s="605"/>
    </row>
    <row r="37" spans="1:17" ht="14.25" customHeight="1">
      <c r="A37" s="618"/>
      <c r="B37" s="767" t="s">
        <v>12</v>
      </c>
      <c r="C37" s="1978"/>
      <c r="D37" s="745">
        <f>+D303+D147+D315+D291+D329+D82+D131+D56+D94+D70+D106+D116+D159+D171+D183+D195+D207+D219+D231+D243+D255+D267+D279</f>
        <v>109686049</v>
      </c>
      <c r="E37" s="745">
        <f t="shared" ref="E37:L37" si="47">+E303+E147+E315+E291+E329+E82+E131+E56+E94+E70+E106+E116+E159+E171+E183+E195+E207+E219+E231+E243+E255+E267+E279</f>
        <v>4285923</v>
      </c>
      <c r="F37" s="745">
        <f t="shared" si="47"/>
        <v>30579465</v>
      </c>
      <c r="G37" s="745">
        <f t="shared" si="47"/>
        <v>60810156</v>
      </c>
      <c r="H37" s="745">
        <f t="shared" si="47"/>
        <v>12007016</v>
      </c>
      <c r="I37" s="745">
        <f t="shared" si="47"/>
        <v>2003489</v>
      </c>
      <c r="J37" s="745">
        <f t="shared" si="47"/>
        <v>0</v>
      </c>
      <c r="K37" s="745">
        <f t="shared" si="47"/>
        <v>0</v>
      </c>
      <c r="L37" s="745">
        <f t="shared" si="47"/>
        <v>0</v>
      </c>
      <c r="M37" s="727">
        <f>SUM(F37:K37)</f>
        <v>105400126</v>
      </c>
      <c r="N37" s="727">
        <f t="shared" ref="M37:N39" si="48">SUM(G37:L37)</f>
        <v>74820661</v>
      </c>
      <c r="O37" s="622"/>
      <c r="P37" s="401"/>
      <c r="Q37" s="605"/>
    </row>
    <row r="38" spans="1:17" ht="14.25" customHeight="1">
      <c r="A38" s="618"/>
      <c r="B38" s="723" t="s">
        <v>15</v>
      </c>
      <c r="C38" s="1979"/>
      <c r="D38" s="745">
        <f t="shared" ref="D38:L38" si="49">+D148+D317+D292+D83+D118+D133+D95+D208+D220+D172+D232</f>
        <v>16720834</v>
      </c>
      <c r="E38" s="745">
        <f t="shared" si="49"/>
        <v>9297828</v>
      </c>
      <c r="F38" s="745">
        <f t="shared" si="49"/>
        <v>1693881</v>
      </c>
      <c r="G38" s="745">
        <f t="shared" si="49"/>
        <v>5729125</v>
      </c>
      <c r="H38" s="745">
        <f t="shared" si="49"/>
        <v>0</v>
      </c>
      <c r="I38" s="745">
        <f t="shared" si="49"/>
        <v>0</v>
      </c>
      <c r="J38" s="745">
        <f t="shared" si="49"/>
        <v>0</v>
      </c>
      <c r="K38" s="745">
        <f t="shared" si="49"/>
        <v>0</v>
      </c>
      <c r="L38" s="745">
        <f t="shared" si="49"/>
        <v>0</v>
      </c>
      <c r="M38" s="727">
        <f t="shared" si="48"/>
        <v>7423006</v>
      </c>
      <c r="N38" s="727">
        <f t="shared" si="48"/>
        <v>5729125</v>
      </c>
      <c r="O38" s="622"/>
      <c r="P38" s="401">
        <f>D38-D45</f>
        <v>0</v>
      </c>
      <c r="Q38" s="605"/>
    </row>
    <row r="39" spans="1:17" ht="14.25" customHeight="1">
      <c r="A39" s="618"/>
      <c r="B39" s="723" t="s">
        <v>17</v>
      </c>
      <c r="C39" s="1979"/>
      <c r="D39" s="745">
        <f t="shared" ref="D39:L39" si="50">+D117+D132+D57+D71+D330</f>
        <v>5013000</v>
      </c>
      <c r="E39" s="745">
        <f t="shared" si="50"/>
        <v>0</v>
      </c>
      <c r="F39" s="745">
        <f t="shared" si="50"/>
        <v>0</v>
      </c>
      <c r="G39" s="745">
        <f t="shared" si="50"/>
        <v>5013000</v>
      </c>
      <c r="H39" s="745">
        <f t="shared" si="50"/>
        <v>0</v>
      </c>
      <c r="I39" s="745">
        <f t="shared" si="50"/>
        <v>0</v>
      </c>
      <c r="J39" s="745">
        <f t="shared" si="50"/>
        <v>0</v>
      </c>
      <c r="K39" s="745">
        <f t="shared" si="50"/>
        <v>0</v>
      </c>
      <c r="L39" s="745">
        <f t="shared" si="50"/>
        <v>0</v>
      </c>
      <c r="M39" s="727">
        <f t="shared" si="48"/>
        <v>5013000</v>
      </c>
      <c r="N39" s="727">
        <f t="shared" si="48"/>
        <v>5013000</v>
      </c>
      <c r="O39" s="622"/>
      <c r="P39" s="401">
        <f>D39-D46</f>
        <v>0</v>
      </c>
      <c r="Q39" s="605"/>
    </row>
    <row r="40" spans="1:17" ht="14.25" hidden="1" customHeight="1">
      <c r="A40" s="618"/>
      <c r="B40" s="723" t="s">
        <v>52</v>
      </c>
      <c r="C40" s="1979"/>
      <c r="D40" s="745">
        <f>+D304+D316</f>
        <v>0</v>
      </c>
      <c r="E40" s="745">
        <f t="shared" ref="E40:L40" si="51">+E304+E316</f>
        <v>0</v>
      </c>
      <c r="F40" s="745">
        <f t="shared" si="51"/>
        <v>0</v>
      </c>
      <c r="G40" s="745">
        <f t="shared" si="51"/>
        <v>0</v>
      </c>
      <c r="H40" s="745">
        <f t="shared" si="51"/>
        <v>0</v>
      </c>
      <c r="I40" s="745">
        <f t="shared" si="51"/>
        <v>0</v>
      </c>
      <c r="J40" s="745">
        <f t="shared" si="51"/>
        <v>0</v>
      </c>
      <c r="K40" s="745">
        <f t="shared" si="51"/>
        <v>0</v>
      </c>
      <c r="L40" s="745">
        <f t="shared" si="51"/>
        <v>0</v>
      </c>
      <c r="M40" s="727">
        <f>SUM(E40:K40)</f>
        <v>0</v>
      </c>
      <c r="N40" s="727">
        <f>SUM(F40:L40)</f>
        <v>0</v>
      </c>
      <c r="O40" s="622"/>
      <c r="P40" s="401"/>
      <c r="Q40" s="605"/>
    </row>
    <row r="41" spans="1:17" s="608" customFormat="1" ht="14.25" customHeight="1">
      <c r="A41" s="618"/>
      <c r="B41" s="746" t="s">
        <v>18</v>
      </c>
      <c r="C41" s="1980"/>
      <c r="D41" s="744">
        <f>+D42</f>
        <v>609029196</v>
      </c>
      <c r="E41" s="744">
        <f t="shared" ref="E41:L41" si="52">+E42</f>
        <v>31384191</v>
      </c>
      <c r="F41" s="744">
        <f t="shared" si="52"/>
        <v>181193630</v>
      </c>
      <c r="G41" s="744">
        <f t="shared" si="52"/>
        <v>319990777</v>
      </c>
      <c r="H41" s="744">
        <f t="shared" si="52"/>
        <v>67487493</v>
      </c>
      <c r="I41" s="744">
        <f t="shared" si="52"/>
        <v>8973105</v>
      </c>
      <c r="J41" s="744">
        <f t="shared" si="52"/>
        <v>0</v>
      </c>
      <c r="K41" s="744">
        <f t="shared" si="52"/>
        <v>0</v>
      </c>
      <c r="L41" s="744">
        <f t="shared" si="52"/>
        <v>0</v>
      </c>
      <c r="M41" s="1981">
        <f>+M42</f>
        <v>577645005</v>
      </c>
      <c r="N41" s="1981">
        <f>+N42</f>
        <v>396451375</v>
      </c>
      <c r="O41" s="622"/>
      <c r="Q41" s="605"/>
    </row>
    <row r="42" spans="1:17" ht="14.25" customHeight="1">
      <c r="A42" s="618"/>
      <c r="B42" s="768" t="s">
        <v>21</v>
      </c>
      <c r="C42" s="769"/>
      <c r="D42" s="770">
        <f>+D306+D150+D120+D319+D294+D332+D85+D136+D60+D97+D73+D108+D162+D174+D186+D198+D210+D222+D234+D246+D258+D270+D282</f>
        <v>609029196</v>
      </c>
      <c r="E42" s="770">
        <f t="shared" ref="E42:L42" si="53">+E306+E150+E120+E319+E294+E332+E85+E136+E60+E97+E73+E108+E162+E174+E186+E198+E210+E222+E234+E246+E258+E270+E282</f>
        <v>31384191</v>
      </c>
      <c r="F42" s="770">
        <f t="shared" si="53"/>
        <v>181193630</v>
      </c>
      <c r="G42" s="770">
        <f t="shared" si="53"/>
        <v>319990777</v>
      </c>
      <c r="H42" s="770">
        <f t="shared" si="53"/>
        <v>67487493</v>
      </c>
      <c r="I42" s="770">
        <f t="shared" si="53"/>
        <v>8973105</v>
      </c>
      <c r="J42" s="770">
        <f t="shared" si="53"/>
        <v>0</v>
      </c>
      <c r="K42" s="770">
        <f t="shared" si="53"/>
        <v>0</v>
      </c>
      <c r="L42" s="770">
        <f t="shared" si="53"/>
        <v>0</v>
      </c>
      <c r="M42" s="727">
        <f>SUM(F42:K42)</f>
        <v>577645005</v>
      </c>
      <c r="N42" s="727">
        <f>SUM(G42:L42)</f>
        <v>396451375</v>
      </c>
      <c r="O42" s="619"/>
      <c r="P42" s="401">
        <f>D42-D51</f>
        <v>0</v>
      </c>
      <c r="Q42" s="605"/>
    </row>
    <row r="43" spans="1:17" ht="14.25" customHeight="1">
      <c r="A43" s="618"/>
      <c r="B43" s="1961" t="s">
        <v>22</v>
      </c>
      <c r="C43" s="1231"/>
      <c r="D43" s="720">
        <f>+D44+D49</f>
        <v>630763030</v>
      </c>
      <c r="E43" s="720">
        <f t="shared" ref="E43:L43" si="54">+E44+E49</f>
        <v>34795143</v>
      </c>
      <c r="F43" s="720">
        <f t="shared" si="54"/>
        <v>178866458</v>
      </c>
      <c r="G43" s="720">
        <f t="shared" si="54"/>
        <v>336640831</v>
      </c>
      <c r="H43" s="720">
        <f t="shared" si="54"/>
        <v>71487493</v>
      </c>
      <c r="I43" s="720">
        <f t="shared" si="54"/>
        <v>8973105</v>
      </c>
      <c r="J43" s="720">
        <f t="shared" si="54"/>
        <v>0</v>
      </c>
      <c r="K43" s="720">
        <f t="shared" si="54"/>
        <v>0</v>
      </c>
      <c r="L43" s="720">
        <f t="shared" si="54"/>
        <v>0</v>
      </c>
      <c r="M43" s="3921" t="s">
        <v>23</v>
      </c>
      <c r="N43" s="3921" t="s">
        <v>23</v>
      </c>
      <c r="O43" s="622"/>
    </row>
    <row r="44" spans="1:17" ht="14.25" customHeight="1">
      <c r="A44" s="618"/>
      <c r="B44" s="721" t="s">
        <v>24</v>
      </c>
      <c r="C44" s="625"/>
      <c r="D44" s="35">
        <f>+D45+D46+D47+D48</f>
        <v>21733834</v>
      </c>
      <c r="E44" s="35">
        <f t="shared" ref="E44:L44" si="55">+E45+E46+E47+E48</f>
        <v>9297828</v>
      </c>
      <c r="F44" s="35">
        <f t="shared" si="55"/>
        <v>1693881</v>
      </c>
      <c r="G44" s="35">
        <f t="shared" si="55"/>
        <v>10742125</v>
      </c>
      <c r="H44" s="35">
        <f t="shared" si="55"/>
        <v>0</v>
      </c>
      <c r="I44" s="35">
        <f t="shared" si="55"/>
        <v>0</v>
      </c>
      <c r="J44" s="35">
        <f t="shared" si="55"/>
        <v>0</v>
      </c>
      <c r="K44" s="35">
        <f t="shared" si="55"/>
        <v>0</v>
      </c>
      <c r="L44" s="35">
        <f t="shared" si="55"/>
        <v>0</v>
      </c>
      <c r="M44" s="3922"/>
      <c r="N44" s="3922"/>
      <c r="O44" s="622"/>
      <c r="P44" s="401"/>
    </row>
    <row r="45" spans="1:17" ht="14.25" customHeight="1">
      <c r="A45" s="618"/>
      <c r="B45" s="36" t="s">
        <v>15</v>
      </c>
      <c r="C45" s="37"/>
      <c r="D45" s="722">
        <f t="shared" ref="D45:L45" si="56">+D153+D323+D297+D88+D124+D140+D100+D213+D225+D177+D237</f>
        <v>16720834</v>
      </c>
      <c r="E45" s="722">
        <f t="shared" si="56"/>
        <v>9297828</v>
      </c>
      <c r="F45" s="722">
        <f t="shared" si="56"/>
        <v>1693881</v>
      </c>
      <c r="G45" s="722">
        <f t="shared" si="56"/>
        <v>5729125</v>
      </c>
      <c r="H45" s="722">
        <f t="shared" si="56"/>
        <v>0</v>
      </c>
      <c r="I45" s="722">
        <f t="shared" si="56"/>
        <v>0</v>
      </c>
      <c r="J45" s="722">
        <f t="shared" si="56"/>
        <v>0</v>
      </c>
      <c r="K45" s="722">
        <f t="shared" si="56"/>
        <v>0</v>
      </c>
      <c r="L45" s="722">
        <f t="shared" si="56"/>
        <v>0</v>
      </c>
      <c r="M45" s="3922"/>
      <c r="N45" s="3922"/>
      <c r="O45" s="622"/>
    </row>
    <row r="46" spans="1:17" ht="14.25" customHeight="1">
      <c r="A46" s="618"/>
      <c r="B46" s="723" t="s">
        <v>17</v>
      </c>
      <c r="C46" s="37"/>
      <c r="D46" s="722">
        <f t="shared" ref="D46:L46" si="57">+D123+D139+D63+D76+D335</f>
        <v>5013000</v>
      </c>
      <c r="E46" s="722">
        <f t="shared" si="57"/>
        <v>0</v>
      </c>
      <c r="F46" s="722">
        <f t="shared" si="57"/>
        <v>0</v>
      </c>
      <c r="G46" s="722">
        <f t="shared" si="57"/>
        <v>5013000</v>
      </c>
      <c r="H46" s="722">
        <f t="shared" si="57"/>
        <v>0</v>
      </c>
      <c r="I46" s="722">
        <f t="shared" si="57"/>
        <v>0</v>
      </c>
      <c r="J46" s="722">
        <f t="shared" si="57"/>
        <v>0</v>
      </c>
      <c r="K46" s="722">
        <f t="shared" si="57"/>
        <v>0</v>
      </c>
      <c r="L46" s="722">
        <f t="shared" si="57"/>
        <v>0</v>
      </c>
      <c r="M46" s="3922"/>
      <c r="N46" s="3922"/>
      <c r="O46" s="622"/>
    </row>
    <row r="47" spans="1:17" ht="14.25" hidden="1" customHeight="1">
      <c r="A47" s="618"/>
      <c r="B47" s="723" t="s">
        <v>26</v>
      </c>
      <c r="C47" s="37"/>
      <c r="D47" s="722"/>
      <c r="E47" s="722"/>
      <c r="F47" s="722"/>
      <c r="G47" s="722"/>
      <c r="H47" s="722"/>
      <c r="I47" s="722"/>
      <c r="J47" s="722"/>
      <c r="K47" s="722"/>
      <c r="L47" s="722"/>
      <c r="M47" s="3922"/>
      <c r="N47" s="3922"/>
      <c r="O47" s="622"/>
    </row>
    <row r="48" spans="1:17" ht="14.25" hidden="1" customHeight="1">
      <c r="A48" s="618"/>
      <c r="B48" s="723" t="s">
        <v>52</v>
      </c>
      <c r="C48" s="37"/>
      <c r="D48" s="722">
        <f>+D309+D322</f>
        <v>0</v>
      </c>
      <c r="E48" s="722">
        <f t="shared" ref="E48:L48" si="58">+E309+E322</f>
        <v>0</v>
      </c>
      <c r="F48" s="722">
        <f t="shared" si="58"/>
        <v>0</v>
      </c>
      <c r="G48" s="722">
        <f t="shared" si="58"/>
        <v>0</v>
      </c>
      <c r="H48" s="722">
        <f t="shared" si="58"/>
        <v>0</v>
      </c>
      <c r="I48" s="722">
        <f t="shared" si="58"/>
        <v>0</v>
      </c>
      <c r="J48" s="722">
        <f t="shared" si="58"/>
        <v>0</v>
      </c>
      <c r="K48" s="722">
        <f t="shared" si="58"/>
        <v>0</v>
      </c>
      <c r="L48" s="722">
        <f t="shared" si="58"/>
        <v>0</v>
      </c>
      <c r="M48" s="3922"/>
      <c r="N48" s="3922"/>
      <c r="O48" s="622"/>
    </row>
    <row r="49" spans="1:16" ht="14.25" customHeight="1">
      <c r="A49" s="618"/>
      <c r="B49" s="724" t="s">
        <v>18</v>
      </c>
      <c r="C49" s="1982"/>
      <c r="D49" s="725">
        <f t="shared" ref="D49:L49" si="59">+D50+D51</f>
        <v>609029196</v>
      </c>
      <c r="E49" s="725">
        <f t="shared" si="59"/>
        <v>25497315</v>
      </c>
      <c r="F49" s="725">
        <f t="shared" si="59"/>
        <v>177172577</v>
      </c>
      <c r="G49" s="725">
        <f t="shared" si="59"/>
        <v>325898706</v>
      </c>
      <c r="H49" s="725">
        <f t="shared" si="59"/>
        <v>71487493</v>
      </c>
      <c r="I49" s="725">
        <f t="shared" si="59"/>
        <v>8973105</v>
      </c>
      <c r="J49" s="725">
        <f t="shared" si="59"/>
        <v>0</v>
      </c>
      <c r="K49" s="725">
        <f t="shared" si="59"/>
        <v>0</v>
      </c>
      <c r="L49" s="725">
        <f t="shared" si="59"/>
        <v>0</v>
      </c>
      <c r="M49" s="3922"/>
      <c r="N49" s="3922"/>
      <c r="O49" s="622"/>
    </row>
    <row r="50" spans="1:16" ht="14.25" hidden="1" customHeight="1">
      <c r="A50" s="618"/>
      <c r="B50" s="723" t="s">
        <v>17</v>
      </c>
      <c r="C50" s="1979"/>
      <c r="D50" s="722">
        <f>+D126+D142+D65</f>
        <v>0</v>
      </c>
      <c r="E50" s="722">
        <f t="shared" ref="E50:L50" si="60">+E126+E142+E65</f>
        <v>0</v>
      </c>
      <c r="F50" s="722">
        <f t="shared" si="60"/>
        <v>0</v>
      </c>
      <c r="G50" s="722">
        <f t="shared" si="60"/>
        <v>0</v>
      </c>
      <c r="H50" s="722">
        <f t="shared" si="60"/>
        <v>0</v>
      </c>
      <c r="I50" s="722">
        <f t="shared" si="60"/>
        <v>0</v>
      </c>
      <c r="J50" s="722">
        <f t="shared" si="60"/>
        <v>0</v>
      </c>
      <c r="K50" s="722">
        <f t="shared" si="60"/>
        <v>0</v>
      </c>
      <c r="L50" s="722">
        <f t="shared" si="60"/>
        <v>0</v>
      </c>
      <c r="M50" s="3922"/>
      <c r="N50" s="3922"/>
      <c r="O50" s="622"/>
      <c r="P50" s="401"/>
    </row>
    <row r="51" spans="1:16" ht="14.25" customHeight="1" thickBot="1">
      <c r="A51" s="626"/>
      <c r="B51" s="38" t="s">
        <v>21</v>
      </c>
      <c r="C51" s="39"/>
      <c r="D51" s="1983">
        <f>+D311+D155+D127+D325+D299+D337++D90+D143+D66+D102+D78+D111+D167+D179+D191+D203+D215+D227+D239+D251+D263+D275+D287</f>
        <v>609029196</v>
      </c>
      <c r="E51" s="1983">
        <f t="shared" ref="E51:L51" si="61">+E311+E155+E127+E325+E299+E337++E90+E143+E66+E102+E78+E111+E167+E179+E191+E203+E215+E227+E239+E251+E263+E275+E287</f>
        <v>25497315</v>
      </c>
      <c r="F51" s="1983">
        <f t="shared" si="61"/>
        <v>177172577</v>
      </c>
      <c r="G51" s="1983">
        <f t="shared" si="61"/>
        <v>325898706</v>
      </c>
      <c r="H51" s="1983">
        <f t="shared" si="61"/>
        <v>71487493</v>
      </c>
      <c r="I51" s="1983">
        <f t="shared" si="61"/>
        <v>8973105</v>
      </c>
      <c r="J51" s="1983">
        <f t="shared" si="61"/>
        <v>0</v>
      </c>
      <c r="K51" s="1983">
        <f t="shared" si="61"/>
        <v>0</v>
      </c>
      <c r="L51" s="1983">
        <f t="shared" si="61"/>
        <v>0</v>
      </c>
      <c r="M51" s="3923"/>
      <c r="N51" s="3923"/>
      <c r="O51" s="627"/>
      <c r="P51" s="401"/>
    </row>
    <row r="52" spans="1:16" s="242" customFormat="1" ht="19.5" customHeight="1" thickBot="1">
      <c r="A52" s="402"/>
      <c r="B52" s="245" t="s">
        <v>424</v>
      </c>
      <c r="C52" s="403"/>
      <c r="D52" s="636"/>
      <c r="E52" s="1155"/>
      <c r="F52" s="637"/>
      <c r="G52" s="637"/>
      <c r="H52" s="637"/>
      <c r="I52" s="637"/>
      <c r="J52" s="637"/>
      <c r="K52" s="637"/>
      <c r="L52" s="637"/>
      <c r="M52" s="404"/>
      <c r="N52" s="404"/>
      <c r="O52" s="405"/>
    </row>
    <row r="53" spans="1:16" ht="23.25" hidden="1" customHeight="1">
      <c r="A53" s="3898"/>
      <c r="B53" s="370" t="s">
        <v>616</v>
      </c>
      <c r="C53" s="56" t="s">
        <v>82</v>
      </c>
      <c r="D53" s="57"/>
      <c r="E53" s="40"/>
      <c r="F53" s="42"/>
      <c r="G53" s="42"/>
      <c r="H53" s="42"/>
      <c r="I53" s="42"/>
      <c r="J53" s="42"/>
      <c r="K53" s="42"/>
      <c r="L53" s="42"/>
      <c r="M53" s="43"/>
      <c r="N53" s="43"/>
      <c r="O53" s="44" t="s">
        <v>83</v>
      </c>
    </row>
    <row r="54" spans="1:16" ht="13.5" hidden="1" thickBot="1">
      <c r="A54" s="3899"/>
      <c r="B54" s="534" t="s">
        <v>10</v>
      </c>
      <c r="C54" s="1231"/>
      <c r="D54" s="1240">
        <f t="shared" ref="D54" si="62">+D55+D58</f>
        <v>0</v>
      </c>
      <c r="E54" s="1240">
        <f>+E55+E58</f>
        <v>0</v>
      </c>
      <c r="F54" s="1240">
        <f>+F55+F58</f>
        <v>0</v>
      </c>
      <c r="G54" s="1240"/>
      <c r="H54" s="1240"/>
      <c r="I54" s="1240"/>
      <c r="J54" s="1240"/>
      <c r="K54" s="1240"/>
      <c r="L54" s="1240"/>
      <c r="M54" s="1233">
        <f>+M55+M58</f>
        <v>0</v>
      </c>
      <c r="N54" s="1233">
        <f>+N55+N58</f>
        <v>0</v>
      </c>
      <c r="O54" s="3824" t="s">
        <v>84</v>
      </c>
    </row>
    <row r="55" spans="1:16" ht="12" hidden="1" customHeight="1">
      <c r="A55" s="3899"/>
      <c r="B55" s="513" t="s">
        <v>24</v>
      </c>
      <c r="C55" s="3827" t="s">
        <v>85</v>
      </c>
      <c r="D55" s="1241">
        <f t="shared" ref="D55" si="63">+D56+D57</f>
        <v>0</v>
      </c>
      <c r="E55" s="1241">
        <f>+E56+E57</f>
        <v>0</v>
      </c>
      <c r="F55" s="1241">
        <f>+F56+F57</f>
        <v>0</v>
      </c>
      <c r="G55" s="1241"/>
      <c r="H55" s="1241"/>
      <c r="I55" s="1241"/>
      <c r="J55" s="1241"/>
      <c r="K55" s="1241"/>
      <c r="L55" s="1241"/>
      <c r="M55" s="1235">
        <f>+M56+M57</f>
        <v>0</v>
      </c>
      <c r="N55" s="1235">
        <f>+N56+N57</f>
        <v>0</v>
      </c>
      <c r="O55" s="3824"/>
    </row>
    <row r="56" spans="1:16" ht="12" hidden="1" customHeight="1">
      <c r="A56" s="3899"/>
      <c r="B56" s="733" t="s">
        <v>12</v>
      </c>
      <c r="C56" s="3821"/>
      <c r="D56" s="1159">
        <f>E56+F56+G56+H56+I56+J56+K56+L56</f>
        <v>0</v>
      </c>
      <c r="E56" s="1206"/>
      <c r="F56" s="1242"/>
      <c r="G56" s="1243"/>
      <c r="H56" s="1243"/>
      <c r="I56" s="1243"/>
      <c r="J56" s="1243"/>
      <c r="K56" s="1243"/>
      <c r="L56" s="1243"/>
      <c r="M56" s="1244">
        <f>SUM(F56:K56)</f>
        <v>0</v>
      </c>
      <c r="N56" s="1244">
        <f>SUM(G56:L56)</f>
        <v>0</v>
      </c>
      <c r="O56" s="3824"/>
    </row>
    <row r="57" spans="1:16" ht="12" hidden="1" customHeight="1">
      <c r="A57" s="3899"/>
      <c r="B57" s="1311" t="s">
        <v>17</v>
      </c>
      <c r="C57" s="3821"/>
      <c r="D57" s="1159">
        <f>E57+F57+G57+H57+I57+J57+K57+L57</f>
        <v>0</v>
      </c>
      <c r="E57" s="1206"/>
      <c r="F57" s="1243"/>
      <c r="G57" s="1243"/>
      <c r="H57" s="1243"/>
      <c r="I57" s="1243"/>
      <c r="J57" s="1243"/>
      <c r="K57" s="1243"/>
      <c r="L57" s="1243"/>
      <c r="M57" s="1244">
        <f>SUM(F57:K57)</f>
        <v>0</v>
      </c>
      <c r="N57" s="1244">
        <f>SUM(G57:L57)</f>
        <v>0</v>
      </c>
      <c r="O57" s="3824"/>
    </row>
    <row r="58" spans="1:16" ht="12" hidden="1" customHeight="1">
      <c r="A58" s="3899"/>
      <c r="B58" s="1264" t="s">
        <v>18</v>
      </c>
      <c r="C58" s="3821"/>
      <c r="D58" s="1234">
        <f>+D59+D60</f>
        <v>0</v>
      </c>
      <c r="E58" s="1234">
        <f t="shared" ref="E58" si="64">+E59+E60</f>
        <v>0</v>
      </c>
      <c r="F58" s="1234"/>
      <c r="G58" s="1234"/>
      <c r="H58" s="1234"/>
      <c r="I58" s="1234"/>
      <c r="J58" s="1234"/>
      <c r="K58" s="1234"/>
      <c r="L58" s="1234"/>
      <c r="M58" s="1235">
        <f>+M59+M60</f>
        <v>0</v>
      </c>
      <c r="N58" s="1235">
        <f>+N59+N60</f>
        <v>0</v>
      </c>
      <c r="O58" s="3824"/>
    </row>
    <row r="59" spans="1:16" ht="12" hidden="1" customHeight="1">
      <c r="A59" s="3899"/>
      <c r="B59" s="581" t="s">
        <v>17</v>
      </c>
      <c r="C59" s="3821"/>
      <c r="D59" s="1159">
        <f>E59+F59+G59+H59+I59+J59+K59+L59</f>
        <v>0</v>
      </c>
      <c r="E59" s="1239"/>
      <c r="F59" s="1243"/>
      <c r="G59" s="1243"/>
      <c r="H59" s="1243"/>
      <c r="I59" s="1243"/>
      <c r="J59" s="189"/>
      <c r="K59" s="189"/>
      <c r="L59" s="189"/>
      <c r="M59" s="66"/>
      <c r="N59" s="66"/>
      <c r="O59" s="3824"/>
    </row>
    <row r="60" spans="1:16" ht="12" hidden="1" customHeight="1">
      <c r="A60" s="3899"/>
      <c r="B60" s="581" t="s">
        <v>21</v>
      </c>
      <c r="C60" s="3872"/>
      <c r="D60" s="1159">
        <f>E60+F60+G60+H60+I60+J60+K60+L60</f>
        <v>0</v>
      </c>
      <c r="E60" s="1206"/>
      <c r="F60" s="1243"/>
      <c r="G60" s="1243"/>
      <c r="H60" s="1243"/>
      <c r="I60" s="1243"/>
      <c r="J60" s="1243"/>
      <c r="K60" s="1243"/>
      <c r="L60" s="1243"/>
      <c r="M60" s="1244">
        <f>SUM(F60:K60)</f>
        <v>0</v>
      </c>
      <c r="N60" s="1244">
        <f>SUM(G60:L60)</f>
        <v>0</v>
      </c>
      <c r="O60" s="3836"/>
    </row>
    <row r="61" spans="1:16" ht="13.5" hidden="1" thickBot="1">
      <c r="A61" s="3899"/>
      <c r="B61" s="79" t="s">
        <v>22</v>
      </c>
      <c r="C61" s="1231"/>
      <c r="D61" s="1232">
        <f t="shared" ref="D61" si="65">+D64+D62</f>
        <v>0</v>
      </c>
      <c r="E61" s="1232">
        <f>+E64+E62</f>
        <v>0</v>
      </c>
      <c r="F61" s="1232"/>
      <c r="G61" s="1232"/>
      <c r="H61" s="1232"/>
      <c r="I61" s="1232"/>
      <c r="J61" s="1366"/>
      <c r="K61" s="1366"/>
      <c r="L61" s="1366"/>
      <c r="M61" s="3901" t="s">
        <v>23</v>
      </c>
      <c r="N61" s="3901" t="s">
        <v>23</v>
      </c>
      <c r="O61" s="3876" t="s">
        <v>238</v>
      </c>
      <c r="P61" s="401">
        <v>0</v>
      </c>
    </row>
    <row r="62" spans="1:16" ht="12" hidden="1" customHeight="1">
      <c r="A62" s="3899"/>
      <c r="B62" s="1237" t="s">
        <v>24</v>
      </c>
      <c r="C62" s="3827" t="s">
        <v>86</v>
      </c>
      <c r="D62" s="1234">
        <f t="shared" ref="D62:E62" si="66">+D63</f>
        <v>0</v>
      </c>
      <c r="E62" s="1234">
        <f t="shared" si="66"/>
        <v>0</v>
      </c>
      <c r="F62" s="1234"/>
      <c r="G62" s="1234"/>
      <c r="H62" s="1234"/>
      <c r="I62" s="1234"/>
      <c r="J62" s="1234"/>
      <c r="K62" s="1234"/>
      <c r="L62" s="1234"/>
      <c r="M62" s="3896"/>
      <c r="N62" s="3896"/>
      <c r="O62" s="3868"/>
    </row>
    <row r="63" spans="1:16" ht="12" hidden="1" customHeight="1">
      <c r="A63" s="3899"/>
      <c r="B63" s="1257" t="s">
        <v>17</v>
      </c>
      <c r="C63" s="3821"/>
      <c r="D63" s="1159">
        <f>E63+F63+G63+H63+I63+J63+K63+L63</f>
        <v>0</v>
      </c>
      <c r="E63" s="1206"/>
      <c r="F63" s="1247"/>
      <c r="G63" s="1247"/>
      <c r="H63" s="1247"/>
      <c r="I63" s="1234"/>
      <c r="J63" s="1234"/>
      <c r="K63" s="1234"/>
      <c r="L63" s="1234"/>
      <c r="M63" s="3896"/>
      <c r="N63" s="3896"/>
      <c r="O63" s="3868"/>
    </row>
    <row r="64" spans="1:16" ht="12" hidden="1" customHeight="1">
      <c r="A64" s="3899"/>
      <c r="B64" s="729" t="s">
        <v>18</v>
      </c>
      <c r="C64" s="3821"/>
      <c r="D64" s="1248">
        <f t="shared" ref="D64:E64" si="67">+D65+D66</f>
        <v>0</v>
      </c>
      <c r="E64" s="1248">
        <f t="shared" si="67"/>
        <v>0</v>
      </c>
      <c r="F64" s="1367"/>
      <c r="G64" s="1367"/>
      <c r="H64" s="1367"/>
      <c r="I64" s="1247"/>
      <c r="J64" s="1247"/>
      <c r="K64" s="1247"/>
      <c r="L64" s="1247"/>
      <c r="M64" s="3896"/>
      <c r="N64" s="3896"/>
      <c r="O64" s="3868"/>
    </row>
    <row r="65" spans="1:19" ht="12" hidden="1" customHeight="1">
      <c r="A65" s="3899"/>
      <c r="B65" s="581" t="s">
        <v>17</v>
      </c>
      <c r="C65" s="3821"/>
      <c r="D65" s="1159">
        <f>E65+F65+G65+H65+I65+J65+K65+L65</f>
        <v>0</v>
      </c>
      <c r="E65" s="1288"/>
      <c r="F65" s="1247"/>
      <c r="G65" s="1247"/>
      <c r="H65" s="1247"/>
      <c r="I65" s="1367"/>
      <c r="J65" s="1367"/>
      <c r="K65" s="1367"/>
      <c r="L65" s="1367"/>
      <c r="M65" s="3896"/>
      <c r="N65" s="3896"/>
      <c r="O65" s="3868"/>
    </row>
    <row r="66" spans="1:19" ht="10.5" hidden="1" customHeight="1" thickBot="1">
      <c r="A66" s="3900"/>
      <c r="B66" s="1105" t="s">
        <v>21</v>
      </c>
      <c r="C66" s="3822"/>
      <c r="D66" s="1319">
        <f>E66+F66+G66+H66+I66+J66+K66+L66</f>
        <v>0</v>
      </c>
      <c r="E66" s="1319"/>
      <c r="F66" s="1106"/>
      <c r="G66" s="1106"/>
      <c r="H66" s="1106"/>
      <c r="I66" s="1368"/>
      <c r="J66" s="1368"/>
      <c r="K66" s="1368"/>
      <c r="L66" s="1368"/>
      <c r="M66" s="3897"/>
      <c r="N66" s="3897"/>
      <c r="O66" s="3869"/>
    </row>
    <row r="67" spans="1:19" ht="25.5" hidden="1" customHeight="1">
      <c r="A67" s="3811"/>
      <c r="B67" s="71" t="s">
        <v>617</v>
      </c>
      <c r="C67" s="56" t="s">
        <v>82</v>
      </c>
      <c r="D67" s="57"/>
      <c r="E67" s="41"/>
      <c r="F67" s="40"/>
      <c r="G67" s="40"/>
      <c r="H67" s="216"/>
      <c r="I67" s="41"/>
      <c r="J67" s="216"/>
      <c r="K67" s="216"/>
      <c r="L67" s="216"/>
      <c r="M67" s="59"/>
      <c r="N67" s="59"/>
      <c r="O67" s="44" t="s">
        <v>83</v>
      </c>
      <c r="S67" s="631"/>
    </row>
    <row r="68" spans="1:19" ht="13.5" hidden="1" customHeight="1">
      <c r="A68" s="3812"/>
      <c r="B68" s="77" t="s">
        <v>10</v>
      </c>
      <c r="C68" s="22"/>
      <c r="D68" s="60">
        <f>+D69+D72</f>
        <v>0</v>
      </c>
      <c r="E68" s="60">
        <f>+E69+E72</f>
        <v>0</v>
      </c>
      <c r="F68" s="60">
        <f>+F69+F72</f>
        <v>0</v>
      </c>
      <c r="G68" s="60"/>
      <c r="H68" s="60"/>
      <c r="I68" s="60"/>
      <c r="J68" s="60"/>
      <c r="K68" s="60"/>
      <c r="L68" s="60"/>
      <c r="M68" s="62">
        <f>+M69+M72</f>
        <v>0</v>
      </c>
      <c r="N68" s="62">
        <f>+N69+N72</f>
        <v>0</v>
      </c>
      <c r="O68" s="3824" t="s">
        <v>84</v>
      </c>
      <c r="P68" s="401"/>
      <c r="Q68" s="401"/>
      <c r="R68" s="401"/>
      <c r="S68" s="401"/>
    </row>
    <row r="69" spans="1:19" ht="12" hidden="1" customHeight="1">
      <c r="A69" s="3812"/>
      <c r="B69" s="209" t="s">
        <v>24</v>
      </c>
      <c r="C69" s="3820" t="s">
        <v>85</v>
      </c>
      <c r="D69" s="63">
        <f>+D70+D71</f>
        <v>0</v>
      </c>
      <c r="E69" s="63">
        <f>+E70+E71</f>
        <v>0</v>
      </c>
      <c r="F69" s="63">
        <f>+F70+F71</f>
        <v>0</v>
      </c>
      <c r="G69" s="63"/>
      <c r="H69" s="63"/>
      <c r="I69" s="63"/>
      <c r="J69" s="63"/>
      <c r="K69" s="63"/>
      <c r="L69" s="63"/>
      <c r="M69" s="64">
        <f>+M70+M71</f>
        <v>0</v>
      </c>
      <c r="N69" s="64">
        <f>+N70+N71</f>
        <v>0</v>
      </c>
      <c r="O69" s="3824"/>
    </row>
    <row r="70" spans="1:19" ht="12" hidden="1" customHeight="1">
      <c r="A70" s="3812"/>
      <c r="B70" s="381" t="s">
        <v>12</v>
      </c>
      <c r="C70" s="3821"/>
      <c r="D70" s="226">
        <f>E70+F70+G70+H70+I70+J70+K70+L70</f>
        <v>0</v>
      </c>
      <c r="E70" s="249"/>
      <c r="F70" s="83"/>
      <c r="G70" s="46"/>
      <c r="H70" s="46"/>
      <c r="I70" s="46"/>
      <c r="J70" s="46"/>
      <c r="K70" s="46"/>
      <c r="L70" s="46"/>
      <c r="M70" s="727">
        <f>SUM(F70:K70)</f>
        <v>0</v>
      </c>
      <c r="N70" s="727">
        <f>SUM(G70:L70)</f>
        <v>0</v>
      </c>
      <c r="O70" s="3824"/>
    </row>
    <row r="71" spans="1:19" ht="12" hidden="1" customHeight="1">
      <c r="A71" s="3812"/>
      <c r="B71" s="381" t="s">
        <v>17</v>
      </c>
      <c r="C71" s="3821"/>
      <c r="D71" s="226">
        <f>E71+F71+G71+H71+I71+J71+K71+L71</f>
        <v>0</v>
      </c>
      <c r="E71" s="249"/>
      <c r="F71" s="46"/>
      <c r="G71" s="46"/>
      <c r="H71" s="46"/>
      <c r="I71" s="46"/>
      <c r="J71" s="46"/>
      <c r="K71" s="46"/>
      <c r="L71" s="46"/>
      <c r="M71" s="727">
        <f>SUM(F71:K71)</f>
        <v>0</v>
      </c>
      <c r="N71" s="727">
        <f>SUM(G71:L71)</f>
        <v>0</v>
      </c>
      <c r="O71" s="3824"/>
    </row>
    <row r="72" spans="1:19" ht="12" hidden="1" customHeight="1">
      <c r="A72" s="3812"/>
      <c r="B72" s="629" t="s">
        <v>18</v>
      </c>
      <c r="C72" s="3821"/>
      <c r="D72" s="47">
        <f>+D73</f>
        <v>0</v>
      </c>
      <c r="E72" s="47">
        <f t="shared" ref="E72" si="68">+E73</f>
        <v>0</v>
      </c>
      <c r="F72" s="47"/>
      <c r="G72" s="47"/>
      <c r="H72" s="47"/>
      <c r="I72" s="47"/>
      <c r="J72" s="47"/>
      <c r="K72" s="47"/>
      <c r="L72" s="47"/>
      <c r="M72" s="64">
        <f>+M73</f>
        <v>0</v>
      </c>
      <c r="N72" s="64">
        <f>+N73</f>
        <v>0</v>
      </c>
      <c r="O72" s="3824"/>
    </row>
    <row r="73" spans="1:19" ht="12" hidden="1" customHeight="1">
      <c r="A73" s="3812"/>
      <c r="B73" s="381" t="s">
        <v>21</v>
      </c>
      <c r="C73" s="239"/>
      <c r="D73" s="1104">
        <f>E73+F73+G73+H73+I73+J73+K73+L73</f>
        <v>0</v>
      </c>
      <c r="E73" s="249"/>
      <c r="F73" s="46"/>
      <c r="G73" s="46"/>
      <c r="H73" s="46"/>
      <c r="I73" s="46"/>
      <c r="J73" s="46"/>
      <c r="K73" s="46"/>
      <c r="L73" s="46"/>
      <c r="M73" s="727">
        <f>SUM(F73:K73)</f>
        <v>0</v>
      </c>
      <c r="N73" s="727">
        <f>SUM(G73:L73)</f>
        <v>0</v>
      </c>
      <c r="O73" s="3836"/>
    </row>
    <row r="74" spans="1:19" ht="12" hidden="1" customHeight="1">
      <c r="A74" s="3812"/>
      <c r="B74" s="178" t="s">
        <v>22</v>
      </c>
      <c r="C74" s="87"/>
      <c r="D74" s="96">
        <f t="shared" ref="D74" si="69">+D77+D75</f>
        <v>0</v>
      </c>
      <c r="E74" s="96">
        <f>+E77+E75</f>
        <v>0</v>
      </c>
      <c r="F74" s="96"/>
      <c r="G74" s="96"/>
      <c r="H74" s="96"/>
      <c r="I74" s="96"/>
      <c r="J74" s="96"/>
      <c r="K74" s="96"/>
      <c r="L74" s="96"/>
      <c r="M74" s="3896" t="s">
        <v>23</v>
      </c>
      <c r="N74" s="3896" t="s">
        <v>23</v>
      </c>
      <c r="O74" s="3894" t="s">
        <v>238</v>
      </c>
      <c r="P74" s="401"/>
    </row>
    <row r="75" spans="1:19" ht="12" hidden="1" customHeight="1">
      <c r="A75" s="3812"/>
      <c r="B75" s="628" t="s">
        <v>24</v>
      </c>
      <c r="C75" s="3820" t="s">
        <v>86</v>
      </c>
      <c r="D75" s="47">
        <f t="shared" ref="D75:E75" si="70">+D76</f>
        <v>0</v>
      </c>
      <c r="E75" s="47">
        <f t="shared" si="70"/>
        <v>0</v>
      </c>
      <c r="F75" s="47"/>
      <c r="G75" s="47"/>
      <c r="H75" s="47"/>
      <c r="I75" s="47"/>
      <c r="J75" s="47"/>
      <c r="K75" s="47"/>
      <c r="L75" s="47"/>
      <c r="M75" s="3896"/>
      <c r="N75" s="3896"/>
      <c r="O75" s="3824"/>
    </row>
    <row r="76" spans="1:19" ht="12" hidden="1" customHeight="1">
      <c r="A76" s="3812"/>
      <c r="B76" s="589" t="s">
        <v>17</v>
      </c>
      <c r="C76" s="3821"/>
      <c r="D76" s="226">
        <f>E76+F76+G76+H76+I76+J76+K76+L76</f>
        <v>0</v>
      </c>
      <c r="E76" s="249"/>
      <c r="F76" s="52"/>
      <c r="G76" s="52"/>
      <c r="H76" s="52"/>
      <c r="I76" s="52"/>
      <c r="J76" s="52"/>
      <c r="K76" s="52"/>
      <c r="L76" s="52"/>
      <c r="M76" s="3896"/>
      <c r="N76" s="3896"/>
      <c r="O76" s="3824"/>
    </row>
    <row r="77" spans="1:19" ht="12" hidden="1" customHeight="1">
      <c r="A77" s="3812"/>
      <c r="B77" s="629" t="s">
        <v>18</v>
      </c>
      <c r="C77" s="3821"/>
      <c r="D77" s="588">
        <f>+D78</f>
        <v>0</v>
      </c>
      <c r="E77" s="588">
        <f t="shared" ref="E77" si="71">+E78</f>
        <v>0</v>
      </c>
      <c r="F77" s="588"/>
      <c r="G77" s="588"/>
      <c r="H77" s="588"/>
      <c r="I77" s="588"/>
      <c r="J77" s="588"/>
      <c r="K77" s="588"/>
      <c r="L77" s="588"/>
      <c r="M77" s="3896"/>
      <c r="N77" s="3896"/>
      <c r="O77" s="3824"/>
    </row>
    <row r="78" spans="1:19" ht="12" hidden="1" customHeight="1" thickBot="1">
      <c r="A78" s="3862"/>
      <c r="B78" s="73" t="s">
        <v>21</v>
      </c>
      <c r="C78" s="3822"/>
      <c r="D78" s="226">
        <f>E78+F78+G78+H78+I78+J78+K78+L78</f>
        <v>0</v>
      </c>
      <c r="E78" s="249"/>
      <c r="F78" s="85"/>
      <c r="G78" s="85"/>
      <c r="H78" s="85"/>
      <c r="I78" s="85"/>
      <c r="J78" s="85"/>
      <c r="K78" s="85"/>
      <c r="L78" s="85"/>
      <c r="M78" s="3897"/>
      <c r="N78" s="3897"/>
      <c r="O78" s="3895"/>
    </row>
    <row r="79" spans="1:19" ht="23.25" customHeight="1">
      <c r="A79" s="3811" t="s">
        <v>63</v>
      </c>
      <c r="B79" s="1584" t="s">
        <v>705</v>
      </c>
      <c r="C79" s="56" t="s">
        <v>82</v>
      </c>
      <c r="D79" s="57"/>
      <c r="E79" s="92"/>
      <c r="F79" s="92"/>
      <c r="G79" s="92"/>
      <c r="H79" s="92"/>
      <c r="I79" s="92"/>
      <c r="J79" s="92"/>
      <c r="K79" s="92"/>
      <c r="L79" s="92"/>
      <c r="M79" s="43"/>
      <c r="N79" s="43"/>
      <c r="O79" s="86"/>
    </row>
    <row r="80" spans="1:19">
      <c r="A80" s="3812"/>
      <c r="B80" s="743" t="s">
        <v>10</v>
      </c>
      <c r="C80" s="445"/>
      <c r="D80" s="726">
        <f>+D81+D84</f>
        <v>21340701</v>
      </c>
      <c r="E80" s="726">
        <f>+E81+E84</f>
        <v>21203332</v>
      </c>
      <c r="F80" s="726">
        <f>+F81+F84</f>
        <v>110369</v>
      </c>
      <c r="G80" s="726">
        <f>+G81+G84</f>
        <v>27000</v>
      </c>
      <c r="H80" s="726"/>
      <c r="I80" s="726"/>
      <c r="J80" s="726"/>
      <c r="K80" s="726"/>
      <c r="L80" s="726"/>
      <c r="M80" s="1570">
        <f>+M81+M84</f>
        <v>137369</v>
      </c>
      <c r="N80" s="1570">
        <f>+N81+N84</f>
        <v>27000</v>
      </c>
      <c r="O80" s="3824" t="s">
        <v>87</v>
      </c>
      <c r="P80" s="401"/>
    </row>
    <row r="81" spans="1:16" ht="12.75" customHeight="1">
      <c r="A81" s="3812"/>
      <c r="B81" s="513" t="s">
        <v>24</v>
      </c>
      <c r="C81" s="3818" t="s">
        <v>85</v>
      </c>
      <c r="D81" s="1036">
        <f>+D82+D83</f>
        <v>8880167</v>
      </c>
      <c r="E81" s="1036">
        <f>+E82+E83</f>
        <v>8742798</v>
      </c>
      <c r="F81" s="1036">
        <f>+F82+F83</f>
        <v>110369</v>
      </c>
      <c r="G81" s="1036">
        <f>+G82+G83</f>
        <v>27000</v>
      </c>
      <c r="H81" s="1036"/>
      <c r="I81" s="1036"/>
      <c r="J81" s="1036"/>
      <c r="K81" s="1036"/>
      <c r="L81" s="1036"/>
      <c r="M81" s="520">
        <f>M82</f>
        <v>137369</v>
      </c>
      <c r="N81" s="520">
        <f>N82</f>
        <v>27000</v>
      </c>
      <c r="O81" s="3824"/>
      <c r="P81" s="401"/>
    </row>
    <row r="82" spans="1:16" ht="10.5" customHeight="1">
      <c r="A82" s="3812"/>
      <c r="B82" s="581" t="s">
        <v>12</v>
      </c>
      <c r="C82" s="3821"/>
      <c r="D82" s="704">
        <f>E82+F82+G82+H82+I82+J82+K82+L82</f>
        <v>1390303</v>
      </c>
      <c r="E82" s="719">
        <f>1252934</f>
        <v>1252934</v>
      </c>
      <c r="F82" s="1585">
        <f>89000+111000-62631-27000</f>
        <v>110369</v>
      </c>
      <c r="G82" s="573">
        <v>27000</v>
      </c>
      <c r="H82" s="573"/>
      <c r="I82" s="573"/>
      <c r="J82" s="573"/>
      <c r="K82" s="573"/>
      <c r="L82" s="573"/>
      <c r="M82" s="727">
        <f>SUM(F82:K82)</f>
        <v>137369</v>
      </c>
      <c r="N82" s="727">
        <f>SUM(G82:L82)</f>
        <v>27000</v>
      </c>
      <c r="O82" s="3824"/>
    </row>
    <row r="83" spans="1:16" ht="12" customHeight="1">
      <c r="A83" s="3812"/>
      <c r="B83" s="89" t="s">
        <v>15</v>
      </c>
      <c r="C83" s="3821"/>
      <c r="D83" s="704">
        <f>E83+F83+G83+H83+I83+J83+K83+L83</f>
        <v>7489864</v>
      </c>
      <c r="E83" s="719">
        <f>7489864</f>
        <v>7489864</v>
      </c>
      <c r="F83" s="1585"/>
      <c r="G83" s="573"/>
      <c r="H83" s="573"/>
      <c r="I83" s="573"/>
      <c r="J83" s="573"/>
      <c r="K83" s="573"/>
      <c r="L83" s="573"/>
      <c r="M83" s="727">
        <f>SUM(F83:K83)</f>
        <v>0</v>
      </c>
      <c r="N83" s="727">
        <f>SUM(G83:L83)</f>
        <v>0</v>
      </c>
      <c r="O83" s="3824"/>
    </row>
    <row r="84" spans="1:16" ht="12" customHeight="1">
      <c r="A84" s="3812"/>
      <c r="B84" s="729" t="s">
        <v>18</v>
      </c>
      <c r="C84" s="3821"/>
      <c r="D84" s="521">
        <f>+D85</f>
        <v>12460534</v>
      </c>
      <c r="E84" s="1579">
        <f>+E85</f>
        <v>12460534</v>
      </c>
      <c r="F84" s="1579"/>
      <c r="G84" s="1579"/>
      <c r="H84" s="521"/>
      <c r="I84" s="521"/>
      <c r="J84" s="521"/>
      <c r="K84" s="521"/>
      <c r="L84" s="521"/>
      <c r="M84" s="520">
        <f>+M85</f>
        <v>0</v>
      </c>
      <c r="N84" s="520">
        <f>+N85</f>
        <v>0</v>
      </c>
      <c r="O84" s="3824"/>
    </row>
    <row r="85" spans="1:16" ht="11.25" customHeight="1">
      <c r="A85" s="3812"/>
      <c r="B85" s="581" t="s">
        <v>21</v>
      </c>
      <c r="C85" s="3872"/>
      <c r="D85" s="1582">
        <f>E85+F85+G85+H85+I85+J85+K85+L85</f>
        <v>12460534</v>
      </c>
      <c r="E85" s="719">
        <f>12460534</f>
        <v>12460534</v>
      </c>
      <c r="F85" s="573"/>
      <c r="G85" s="573"/>
      <c r="H85" s="573"/>
      <c r="I85" s="573"/>
      <c r="J85" s="573"/>
      <c r="K85" s="573"/>
      <c r="L85" s="573"/>
      <c r="M85" s="727">
        <f>SUM(F85:K85)</f>
        <v>0</v>
      </c>
      <c r="N85" s="727">
        <f>SUM(G85:L85)</f>
        <v>0</v>
      </c>
      <c r="O85" s="3836"/>
    </row>
    <row r="86" spans="1:16">
      <c r="A86" s="3813"/>
      <c r="B86" s="79" t="s">
        <v>22</v>
      </c>
      <c r="C86" s="87"/>
      <c r="D86" s="96">
        <f>+D87+D89</f>
        <v>19950398</v>
      </c>
      <c r="E86" s="96">
        <f>+E87+E89</f>
        <v>19950398</v>
      </c>
      <c r="F86" s="96"/>
      <c r="G86" s="96"/>
      <c r="H86" s="96"/>
      <c r="I86" s="96"/>
      <c r="J86" s="96"/>
      <c r="K86" s="96"/>
      <c r="L86" s="96"/>
      <c r="M86" s="3933" t="s">
        <v>23</v>
      </c>
      <c r="N86" s="3933" t="s">
        <v>23</v>
      </c>
      <c r="O86" s="3867" t="s">
        <v>103</v>
      </c>
      <c r="P86" s="401"/>
    </row>
    <row r="87" spans="1:16" ht="13.5" customHeight="1">
      <c r="A87" s="3813"/>
      <c r="B87" s="731" t="s">
        <v>24</v>
      </c>
      <c r="C87" s="3818" t="s">
        <v>86</v>
      </c>
      <c r="D87" s="50">
        <f>+D88</f>
        <v>7489864</v>
      </c>
      <c r="E87" s="50">
        <f t="shared" ref="E87" si="72">+E88</f>
        <v>7489864</v>
      </c>
      <c r="F87" s="50"/>
      <c r="G87" s="50"/>
      <c r="H87" s="50"/>
      <c r="I87" s="50"/>
      <c r="J87" s="50"/>
      <c r="K87" s="50"/>
      <c r="L87" s="50"/>
      <c r="M87" s="3934"/>
      <c r="N87" s="3934"/>
      <c r="O87" s="3868"/>
    </row>
    <row r="88" spans="1:16" ht="11.25" customHeight="1">
      <c r="A88" s="3813"/>
      <c r="B88" s="89" t="s">
        <v>15</v>
      </c>
      <c r="C88" s="3821"/>
      <c r="D88" s="704">
        <f>E88+F88+G88+H88+I88+J88+K88+L88</f>
        <v>7489864</v>
      </c>
      <c r="E88" s="719">
        <f>7489864</f>
        <v>7489864</v>
      </c>
      <c r="F88" s="1577"/>
      <c r="G88" s="1577"/>
      <c r="H88" s="1577"/>
      <c r="I88" s="1577"/>
      <c r="J88" s="1577"/>
      <c r="K88" s="1577"/>
      <c r="L88" s="1577"/>
      <c r="M88" s="3934"/>
      <c r="N88" s="3934"/>
      <c r="O88" s="3868"/>
    </row>
    <row r="89" spans="1:16" s="242" customFormat="1" ht="12.75" customHeight="1">
      <c r="A89" s="3813"/>
      <c r="B89" s="729" t="s">
        <v>18</v>
      </c>
      <c r="C89" s="3821"/>
      <c r="D89" s="649">
        <f t="shared" ref="D89:E89" si="73">+D90</f>
        <v>12460534</v>
      </c>
      <c r="E89" s="1581">
        <f t="shared" si="73"/>
        <v>12460534</v>
      </c>
      <c r="F89" s="1581"/>
      <c r="G89" s="1581"/>
      <c r="H89" s="1581"/>
      <c r="I89" s="1581"/>
      <c r="J89" s="1581"/>
      <c r="K89" s="1581"/>
      <c r="L89" s="1581"/>
      <c r="M89" s="3934"/>
      <c r="N89" s="3934"/>
      <c r="O89" s="3868"/>
    </row>
    <row r="90" spans="1:16" ht="12.75" customHeight="1" thickBot="1">
      <c r="A90" s="3814"/>
      <c r="B90" s="73" t="s">
        <v>21</v>
      </c>
      <c r="C90" s="3822"/>
      <c r="D90" s="1429">
        <f>E90+F90+G90+H90+I90+J90+K90+L90</f>
        <v>12460534</v>
      </c>
      <c r="E90" s="1429">
        <f>12460534</f>
        <v>12460534</v>
      </c>
      <c r="F90" s="55"/>
      <c r="G90" s="55"/>
      <c r="H90" s="55"/>
      <c r="I90" s="55"/>
      <c r="J90" s="55"/>
      <c r="K90" s="55"/>
      <c r="L90" s="55"/>
      <c r="M90" s="3935"/>
      <c r="N90" s="3935"/>
      <c r="O90" s="3869"/>
    </row>
    <row r="91" spans="1:16" ht="27.75" hidden="1" customHeight="1">
      <c r="A91" s="3811"/>
      <c r="B91" s="370" t="s">
        <v>618</v>
      </c>
      <c r="C91" s="56" t="s">
        <v>82</v>
      </c>
      <c r="D91" s="633"/>
      <c r="E91" s="91"/>
      <c r="F91" s="92"/>
      <c r="G91" s="92"/>
      <c r="H91" s="92"/>
      <c r="I91" s="92"/>
      <c r="J91" s="92"/>
      <c r="K91" s="92"/>
      <c r="L91" s="92"/>
      <c r="M91" s="43"/>
      <c r="N91" s="43"/>
      <c r="O91" s="86"/>
      <c r="P91" s="401"/>
    </row>
    <row r="92" spans="1:16" ht="12" hidden="1" customHeight="1">
      <c r="A92" s="3812"/>
      <c r="B92" s="427" t="s">
        <v>10</v>
      </c>
      <c r="C92" s="1231"/>
      <c r="D92" s="1240">
        <f>+D93+D96</f>
        <v>0</v>
      </c>
      <c r="E92" s="1240">
        <f>+E93+E96</f>
        <v>0</v>
      </c>
      <c r="F92" s="1240">
        <f>+F93+F96</f>
        <v>0</v>
      </c>
      <c r="G92" s="1240"/>
      <c r="H92" s="1240"/>
      <c r="I92" s="1240"/>
      <c r="J92" s="1240"/>
      <c r="K92" s="1240"/>
      <c r="L92" s="1240"/>
      <c r="M92" s="1233">
        <f>+M93+M96</f>
        <v>0</v>
      </c>
      <c r="N92" s="1233">
        <f>+N93+N96</f>
        <v>0</v>
      </c>
      <c r="O92" s="3824" t="s">
        <v>87</v>
      </c>
    </row>
    <row r="93" spans="1:16" ht="13.5" hidden="1" customHeight="1">
      <c r="A93" s="3812"/>
      <c r="B93" s="538" t="s">
        <v>24</v>
      </c>
      <c r="C93" s="3827" t="s">
        <v>85</v>
      </c>
      <c r="D93" s="1241">
        <f>+D94+D95</f>
        <v>0</v>
      </c>
      <c r="E93" s="1241">
        <f>+E94+E95</f>
        <v>0</v>
      </c>
      <c r="F93" s="1241">
        <f>+F94+F95</f>
        <v>0</v>
      </c>
      <c r="G93" s="1241"/>
      <c r="H93" s="1241"/>
      <c r="I93" s="1241"/>
      <c r="J93" s="1241"/>
      <c r="K93" s="1241"/>
      <c r="L93" s="1241"/>
      <c r="M93" s="1235">
        <f>+M94+M95</f>
        <v>0</v>
      </c>
      <c r="N93" s="1235">
        <f>+N94+N95</f>
        <v>0</v>
      </c>
      <c r="O93" s="3824"/>
      <c r="P93" s="401"/>
    </row>
    <row r="94" spans="1:16" ht="11.25" hidden="1" customHeight="1">
      <c r="A94" s="3812"/>
      <c r="B94" s="581" t="s">
        <v>12</v>
      </c>
      <c r="C94" s="3828"/>
      <c r="D94" s="1159">
        <f>E94+F94+G94+H94+I94+J94+K94+L94</f>
        <v>0</v>
      </c>
      <c r="E94" s="1206"/>
      <c r="F94" s="1242"/>
      <c r="G94" s="1243"/>
      <c r="H94" s="1243"/>
      <c r="I94" s="1243"/>
      <c r="J94" s="1243"/>
      <c r="K94" s="1243"/>
      <c r="L94" s="1243"/>
      <c r="M94" s="727">
        <f>SUM(F94:K94)</f>
        <v>0</v>
      </c>
      <c r="N94" s="727">
        <f>SUM(G94:L94)</f>
        <v>0</v>
      </c>
      <c r="O94" s="3824"/>
      <c r="P94" s="401"/>
    </row>
    <row r="95" spans="1:16" ht="11.25" hidden="1" customHeight="1">
      <c r="A95" s="3812"/>
      <c r="B95" s="581" t="s">
        <v>15</v>
      </c>
      <c r="C95" s="3828"/>
      <c r="D95" s="1159">
        <f>E95+F95+G95+H95+I95+J95+K95+L95</f>
        <v>0</v>
      </c>
      <c r="E95" s="1206"/>
      <c r="F95" s="1243"/>
      <c r="G95" s="1243"/>
      <c r="H95" s="1243"/>
      <c r="I95" s="1243"/>
      <c r="J95" s="1243"/>
      <c r="K95" s="1243"/>
      <c r="L95" s="1243"/>
      <c r="M95" s="727">
        <f>SUM(F95:K95)</f>
        <v>0</v>
      </c>
      <c r="N95" s="727">
        <f>SUM(G95:L95)</f>
        <v>0</v>
      </c>
      <c r="O95" s="3824"/>
      <c r="P95" s="401"/>
    </row>
    <row r="96" spans="1:16" ht="11.25" hidden="1" customHeight="1">
      <c r="A96" s="3812"/>
      <c r="B96" s="540" t="s">
        <v>18</v>
      </c>
      <c r="C96" s="3828"/>
      <c r="D96" s="1234">
        <f>+D97</f>
        <v>0</v>
      </c>
      <c r="E96" s="1234">
        <f t="shared" ref="E96" si="74">+E97</f>
        <v>0</v>
      </c>
      <c r="F96" s="1234"/>
      <c r="G96" s="1234"/>
      <c r="H96" s="1234"/>
      <c r="I96" s="1234"/>
      <c r="J96" s="1234"/>
      <c r="K96" s="1234"/>
      <c r="L96" s="1234"/>
      <c r="M96" s="1235">
        <f>+M97</f>
        <v>0</v>
      </c>
      <c r="N96" s="1235">
        <f>+N97</f>
        <v>0</v>
      </c>
      <c r="O96" s="3824"/>
    </row>
    <row r="97" spans="1:16" ht="11.25" hidden="1" customHeight="1">
      <c r="A97" s="3812"/>
      <c r="B97" s="1245" t="s">
        <v>21</v>
      </c>
      <c r="C97" s="3890"/>
      <c r="D97" s="1159">
        <f>E97+F97+G97+H97+I97+J97+K97+L97</f>
        <v>0</v>
      </c>
      <c r="E97" s="1206"/>
      <c r="F97" s="1236"/>
      <c r="G97" s="1236"/>
      <c r="H97" s="1236"/>
      <c r="I97" s="1236"/>
      <c r="J97" s="1236"/>
      <c r="K97" s="1236"/>
      <c r="L97" s="1236"/>
      <c r="M97" s="727">
        <f>SUM(F97:K97)</f>
        <v>0</v>
      </c>
      <c r="N97" s="727">
        <f>SUM(G97:L97)</f>
        <v>0</v>
      </c>
      <c r="O97" s="3836"/>
    </row>
    <row r="98" spans="1:16" ht="11.25" hidden="1" customHeight="1">
      <c r="A98" s="3813"/>
      <c r="B98" s="427" t="s">
        <v>22</v>
      </c>
      <c r="C98" s="1231"/>
      <c r="D98" s="1232">
        <f>+D101+D99</f>
        <v>0</v>
      </c>
      <c r="E98" s="1232">
        <f>+E101+E99</f>
        <v>0</v>
      </c>
      <c r="F98" s="1232"/>
      <c r="G98" s="1232"/>
      <c r="H98" s="1232"/>
      <c r="I98" s="1232"/>
      <c r="J98" s="1232"/>
      <c r="K98" s="1232"/>
      <c r="L98" s="1232"/>
      <c r="M98" s="3883" t="s">
        <v>23</v>
      </c>
      <c r="N98" s="3883" t="s">
        <v>23</v>
      </c>
      <c r="O98" s="3876" t="s">
        <v>103</v>
      </c>
    </row>
    <row r="99" spans="1:16" ht="13.5" hidden="1" customHeight="1">
      <c r="A99" s="3813"/>
      <c r="B99" s="1246" t="s">
        <v>24</v>
      </c>
      <c r="C99" s="3827" t="s">
        <v>86</v>
      </c>
      <c r="D99" s="50">
        <f>+D100</f>
        <v>0</v>
      </c>
      <c r="E99" s="50">
        <f t="shared" ref="E99" si="75">+E100</f>
        <v>0</v>
      </c>
      <c r="F99" s="50"/>
      <c r="G99" s="50"/>
      <c r="H99" s="50"/>
      <c r="I99" s="50"/>
      <c r="J99" s="50"/>
      <c r="K99" s="50"/>
      <c r="L99" s="50"/>
      <c r="M99" s="3884"/>
      <c r="N99" s="3884"/>
      <c r="O99" s="3868"/>
    </row>
    <row r="100" spans="1:16" ht="11.25" hidden="1" customHeight="1">
      <c r="A100" s="3813"/>
      <c r="B100" s="89" t="s">
        <v>15</v>
      </c>
      <c r="C100" s="3821"/>
      <c r="D100" s="1159">
        <f>E100+F100+G100+H100+I100+J100+K100+L100</f>
        <v>0</v>
      </c>
      <c r="E100" s="1206"/>
      <c r="F100" s="1247"/>
      <c r="G100" s="1247"/>
      <c r="H100" s="1247"/>
      <c r="I100" s="1247"/>
      <c r="J100" s="1247"/>
      <c r="K100" s="1247"/>
      <c r="L100" s="1247"/>
      <c r="M100" s="3884"/>
      <c r="N100" s="3884"/>
      <c r="O100" s="3868"/>
    </row>
    <row r="101" spans="1:16" s="242" customFormat="1" ht="13.5" hidden="1" thickBot="1">
      <c r="A101" s="3813"/>
      <c r="B101" s="540" t="s">
        <v>18</v>
      </c>
      <c r="C101" s="3821"/>
      <c r="D101" s="1248">
        <f>+D102</f>
        <v>0</v>
      </c>
      <c r="E101" s="1248">
        <f t="shared" ref="E101" si="76">+E102</f>
        <v>0</v>
      </c>
      <c r="F101" s="1248"/>
      <c r="G101" s="1248"/>
      <c r="H101" s="1248"/>
      <c r="I101" s="1248"/>
      <c r="J101" s="1248"/>
      <c r="K101" s="1248"/>
      <c r="L101" s="1248"/>
      <c r="M101" s="3884"/>
      <c r="N101" s="3884"/>
      <c r="O101" s="3868"/>
    </row>
    <row r="102" spans="1:16" ht="13.5" hidden="1" thickBot="1">
      <c r="A102" s="3814"/>
      <c r="B102" s="73" t="s">
        <v>21</v>
      </c>
      <c r="C102" s="3822"/>
      <c r="D102" s="1896">
        <f>E102+F102+G102+H102+I102+J102+K102+L102</f>
        <v>0</v>
      </c>
      <c r="E102" s="1896"/>
      <c r="F102" s="1107"/>
      <c r="G102" s="1107"/>
      <c r="H102" s="1107"/>
      <c r="I102" s="1107"/>
      <c r="J102" s="1107"/>
      <c r="K102" s="1107"/>
      <c r="L102" s="1107"/>
      <c r="M102" s="3885"/>
      <c r="N102" s="3885"/>
      <c r="O102" s="3869"/>
    </row>
    <row r="103" spans="1:16" ht="26.25" hidden="1" customHeight="1">
      <c r="A103" s="3811"/>
      <c r="B103" s="370" t="s">
        <v>619</v>
      </c>
      <c r="C103" s="56" t="s">
        <v>82</v>
      </c>
      <c r="D103" s="633"/>
      <c r="E103" s="92"/>
      <c r="F103" s="92"/>
      <c r="G103" s="92"/>
      <c r="H103" s="92"/>
      <c r="I103" s="92"/>
      <c r="J103" s="92"/>
      <c r="K103" s="92"/>
      <c r="L103" s="92"/>
      <c r="M103" s="1108"/>
      <c r="N103" s="1108"/>
      <c r="O103" s="86"/>
    </row>
    <row r="104" spans="1:16" ht="13.5" hidden="1" customHeight="1">
      <c r="A104" s="3812"/>
      <c r="B104" s="427" t="s">
        <v>10</v>
      </c>
      <c r="C104" s="1231"/>
      <c r="D104" s="1240">
        <f>+D105+D107</f>
        <v>0</v>
      </c>
      <c r="E104" s="1240">
        <f t="shared" ref="E104" si="77">+E105+E107</f>
        <v>0</v>
      </c>
      <c r="F104" s="1240">
        <f>+F105+F107</f>
        <v>0</v>
      </c>
      <c r="G104" s="1240"/>
      <c r="H104" s="1240"/>
      <c r="I104" s="1240"/>
      <c r="J104" s="1240"/>
      <c r="K104" s="1240"/>
      <c r="L104" s="1240"/>
      <c r="M104" s="1233">
        <f>+M105+M107</f>
        <v>0</v>
      </c>
      <c r="N104" s="1233">
        <f>+N105+N107</f>
        <v>0</v>
      </c>
      <c r="O104" s="3824" t="s">
        <v>87</v>
      </c>
      <c r="P104" s="401"/>
    </row>
    <row r="105" spans="1:16" ht="13.5" hidden="1" customHeight="1">
      <c r="A105" s="3812"/>
      <c r="B105" s="538" t="s">
        <v>24</v>
      </c>
      <c r="C105" s="3827" t="s">
        <v>85</v>
      </c>
      <c r="D105" s="1241">
        <f>+D106</f>
        <v>0</v>
      </c>
      <c r="E105" s="1241">
        <f t="shared" ref="E105:F105" si="78">+E106</f>
        <v>0</v>
      </c>
      <c r="F105" s="1241">
        <f t="shared" si="78"/>
        <v>0</v>
      </c>
      <c r="G105" s="1241"/>
      <c r="H105" s="1241"/>
      <c r="I105" s="1241"/>
      <c r="J105" s="1241"/>
      <c r="K105" s="1241"/>
      <c r="L105" s="1241"/>
      <c r="M105" s="1369">
        <f>+M106</f>
        <v>0</v>
      </c>
      <c r="N105" s="1369">
        <f>+N106</f>
        <v>0</v>
      </c>
      <c r="O105" s="3824"/>
      <c r="P105" s="401"/>
    </row>
    <row r="106" spans="1:16" ht="13.5" hidden="1" customHeight="1">
      <c r="A106" s="3812"/>
      <c r="B106" s="581" t="s">
        <v>12</v>
      </c>
      <c r="C106" s="3828"/>
      <c r="D106" s="704">
        <f>E106+F106+G106+H106+I106+J106+K106+L106</f>
        <v>0</v>
      </c>
      <c r="E106" s="1206"/>
      <c r="F106" s="1239"/>
      <c r="G106" s="1239"/>
      <c r="H106" s="1243"/>
      <c r="I106" s="1243"/>
      <c r="J106" s="1243"/>
      <c r="K106" s="1243"/>
      <c r="L106" s="1243"/>
      <c r="M106" s="1244">
        <f>SUM(F106:K106)</f>
        <v>0</v>
      </c>
      <c r="N106" s="1244">
        <f>SUM(G106:L106)</f>
        <v>0</v>
      </c>
      <c r="O106" s="3824"/>
    </row>
    <row r="107" spans="1:16" ht="13.5" hidden="1" customHeight="1">
      <c r="A107" s="3812"/>
      <c r="B107" s="540" t="s">
        <v>18</v>
      </c>
      <c r="C107" s="3828"/>
      <c r="D107" s="1234">
        <f>+D108</f>
        <v>0</v>
      </c>
      <c r="E107" s="1234">
        <f t="shared" ref="E107" si="79">+E108</f>
        <v>0</v>
      </c>
      <c r="F107" s="1234"/>
      <c r="G107" s="1234"/>
      <c r="H107" s="1234"/>
      <c r="I107" s="1234"/>
      <c r="J107" s="1234"/>
      <c r="K107" s="1234"/>
      <c r="L107" s="1234"/>
      <c r="M107" s="1369">
        <f>+M108</f>
        <v>0</v>
      </c>
      <c r="N107" s="1369">
        <f>+N108</f>
        <v>0</v>
      </c>
      <c r="O107" s="3824"/>
    </row>
    <row r="108" spans="1:16" ht="13.5" hidden="1" customHeight="1">
      <c r="A108" s="3812"/>
      <c r="B108" s="545" t="s">
        <v>21</v>
      </c>
      <c r="C108" s="3828"/>
      <c r="D108" s="704">
        <f>E108+F108+G108+H108+I108+J108+K108+L108</f>
        <v>0</v>
      </c>
      <c r="E108" s="1206"/>
      <c r="F108" s="1239"/>
      <c r="G108" s="1239"/>
      <c r="H108" s="1243"/>
      <c r="I108" s="1243"/>
      <c r="J108" s="1243"/>
      <c r="K108" s="1243"/>
      <c r="L108" s="1243"/>
      <c r="M108" s="1244">
        <f>SUM(F108:K108)</f>
        <v>0</v>
      </c>
      <c r="N108" s="1244">
        <f>SUM(G108:L108)</f>
        <v>0</v>
      </c>
      <c r="O108" s="3836"/>
    </row>
    <row r="109" spans="1:16" ht="12.75" hidden="1" customHeight="1">
      <c r="A109" s="3813"/>
      <c r="B109" s="534" t="s">
        <v>22</v>
      </c>
      <c r="C109" s="1231"/>
      <c r="D109" s="1232">
        <f>+D110</f>
        <v>0</v>
      </c>
      <c r="E109" s="1232">
        <f t="shared" ref="E109:E110" si="80">+E110</f>
        <v>0</v>
      </c>
      <c r="F109" s="1232"/>
      <c r="G109" s="1232"/>
      <c r="H109" s="1232"/>
      <c r="I109" s="1232"/>
      <c r="J109" s="1232"/>
      <c r="K109" s="1232"/>
      <c r="L109" s="1232"/>
      <c r="M109" s="3903" t="s">
        <v>23</v>
      </c>
      <c r="N109" s="3903" t="s">
        <v>23</v>
      </c>
      <c r="O109" s="3876" t="s">
        <v>103</v>
      </c>
      <c r="P109" s="401"/>
    </row>
    <row r="110" spans="1:16" s="242" customFormat="1" ht="12.75" hidden="1" customHeight="1">
      <c r="A110" s="3813"/>
      <c r="B110" s="729" t="s">
        <v>18</v>
      </c>
      <c r="C110" s="3827" t="s">
        <v>86</v>
      </c>
      <c r="D110" s="1255">
        <f>+D111</f>
        <v>0</v>
      </c>
      <c r="E110" s="1248">
        <f t="shared" si="80"/>
        <v>0</v>
      </c>
      <c r="F110" s="1255"/>
      <c r="G110" s="1248"/>
      <c r="H110" s="1248"/>
      <c r="I110" s="1248"/>
      <c r="J110" s="1248"/>
      <c r="K110" s="1248"/>
      <c r="L110" s="1248"/>
      <c r="M110" s="3852"/>
      <c r="N110" s="3852"/>
      <c r="O110" s="3868"/>
    </row>
    <row r="111" spans="1:16" s="242" customFormat="1" ht="12.75" hidden="1" customHeight="1" thickBot="1">
      <c r="A111" s="3814"/>
      <c r="B111" s="595" t="s">
        <v>21</v>
      </c>
      <c r="C111" s="3819"/>
      <c r="D111" s="1896">
        <f>E111+F111+G111+H111+I111+J111+K111+L111</f>
        <v>0</v>
      </c>
      <c r="E111" s="1896"/>
      <c r="F111" s="1109"/>
      <c r="G111" s="422"/>
      <c r="H111" s="422"/>
      <c r="I111" s="422"/>
      <c r="J111" s="422"/>
      <c r="K111" s="422"/>
      <c r="L111" s="422"/>
      <c r="M111" s="3853"/>
      <c r="N111" s="3853"/>
      <c r="O111" s="3869"/>
    </row>
    <row r="112" spans="1:16" s="242" customFormat="1" ht="16.5" customHeight="1" thickBot="1">
      <c r="A112" s="402"/>
      <c r="B112" s="245" t="s">
        <v>232</v>
      </c>
      <c r="C112" s="403"/>
      <c r="D112" s="636"/>
      <c r="E112" s="1155"/>
      <c r="F112" s="637"/>
      <c r="G112" s="637"/>
      <c r="H112" s="637"/>
      <c r="I112" s="637"/>
      <c r="J112" s="637"/>
      <c r="K112" s="637"/>
      <c r="L112" s="637"/>
      <c r="M112" s="404"/>
      <c r="N112" s="404"/>
      <c r="O112" s="405"/>
    </row>
    <row r="113" spans="1:17" s="242" customFormat="1" ht="40.5" hidden="1" customHeight="1">
      <c r="A113" s="3811"/>
      <c r="B113" s="370" t="s">
        <v>620</v>
      </c>
      <c r="C113" s="56"/>
      <c r="D113" s="57"/>
      <c r="E113" s="42"/>
      <c r="F113" s="42"/>
      <c r="G113" s="42"/>
      <c r="H113" s="42"/>
      <c r="I113" s="42"/>
      <c r="J113" s="42"/>
      <c r="K113" s="42"/>
      <c r="L113" s="42"/>
      <c r="M113" s="43"/>
      <c r="N113" s="43"/>
      <c r="O113" s="44"/>
      <c r="P113" s="214"/>
    </row>
    <row r="114" spans="1:17" s="242" customFormat="1" ht="13.5" hidden="1" customHeight="1">
      <c r="A114" s="3812"/>
      <c r="B114" s="1230" t="s">
        <v>10</v>
      </c>
      <c r="C114" s="1935" t="s">
        <v>82</v>
      </c>
      <c r="D114" s="1240">
        <f>+D115+D119</f>
        <v>0</v>
      </c>
      <c r="E114" s="1281">
        <f t="shared" ref="E114" si="81">+E115+E119</f>
        <v>0</v>
      </c>
      <c r="F114" s="1281">
        <f t="shared" ref="F114" si="82">+F115+F119</f>
        <v>0</v>
      </c>
      <c r="G114" s="1281"/>
      <c r="H114" s="1281"/>
      <c r="I114" s="1281"/>
      <c r="J114" s="1281"/>
      <c r="K114" s="1281"/>
      <c r="L114" s="1281"/>
      <c r="M114" s="1282">
        <f>M115+M119</f>
        <v>0</v>
      </c>
      <c r="N114" s="1282">
        <f>N115+N119</f>
        <v>0</v>
      </c>
      <c r="O114" s="3824" t="s">
        <v>87</v>
      </c>
      <c r="P114" s="3856" t="s">
        <v>478</v>
      </c>
    </row>
    <row r="115" spans="1:17" s="242" customFormat="1" ht="14.25" hidden="1" customHeight="1">
      <c r="A115" s="3812"/>
      <c r="B115" s="1237" t="s">
        <v>24</v>
      </c>
      <c r="C115" s="3827" t="s">
        <v>85</v>
      </c>
      <c r="D115" s="1241">
        <f>+D116+D117+D118</f>
        <v>0</v>
      </c>
      <c r="E115" s="1241">
        <f t="shared" ref="E115" si="83">+E116+E117+E118</f>
        <v>0</v>
      </c>
      <c r="F115" s="1241">
        <f t="shared" ref="F115" si="84">+F116+F117+F118</f>
        <v>0</v>
      </c>
      <c r="G115" s="1241"/>
      <c r="H115" s="1241"/>
      <c r="I115" s="1241"/>
      <c r="J115" s="1241"/>
      <c r="K115" s="1241"/>
      <c r="L115" s="1241"/>
      <c r="M115" s="1267">
        <f>M116</f>
        <v>0</v>
      </c>
      <c r="N115" s="1267">
        <f>N116</f>
        <v>0</v>
      </c>
      <c r="O115" s="3824"/>
      <c r="P115" s="3856"/>
    </row>
    <row r="116" spans="1:17" s="242" customFormat="1" ht="12.75" hidden="1" customHeight="1">
      <c r="A116" s="3812"/>
      <c r="B116" s="1311" t="s">
        <v>12</v>
      </c>
      <c r="C116" s="3821"/>
      <c r="D116" s="704">
        <f>E116+F116+G116+H116+I116+J116+K116+L116</f>
        <v>0</v>
      </c>
      <c r="E116" s="1206"/>
      <c r="F116" s="1611"/>
      <c r="G116" s="1611"/>
      <c r="H116" s="1611"/>
      <c r="I116" s="1611"/>
      <c r="J116" s="1611"/>
      <c r="K116" s="1611"/>
      <c r="L116" s="1611"/>
      <c r="M116" s="1244">
        <f>SUM(F116:K116)</f>
        <v>0</v>
      </c>
      <c r="N116" s="1244">
        <f>SUM(G116:L116)</f>
        <v>0</v>
      </c>
      <c r="O116" s="3824"/>
      <c r="P116" s="3856"/>
    </row>
    <row r="117" spans="1:17" s="242" customFormat="1" ht="14.25" hidden="1" customHeight="1">
      <c r="A117" s="3812"/>
      <c r="B117" s="1257" t="s">
        <v>17</v>
      </c>
      <c r="C117" s="3828"/>
      <c r="D117" s="704">
        <f>SUM(E117:I117)</f>
        <v>0</v>
      </c>
      <c r="E117" s="1261"/>
      <c r="F117" s="737"/>
      <c r="G117" s="1261"/>
      <c r="H117" s="1261"/>
      <c r="I117" s="1261"/>
      <c r="J117" s="1261"/>
      <c r="K117" s="1261"/>
      <c r="L117" s="1261"/>
      <c r="M117" s="419"/>
      <c r="N117" s="419"/>
      <c r="O117" s="3824"/>
      <c r="P117" s="3856"/>
    </row>
    <row r="118" spans="1:17" s="242" customFormat="1" ht="14.25" hidden="1" customHeight="1">
      <c r="A118" s="3812"/>
      <c r="B118" s="1257" t="s">
        <v>15</v>
      </c>
      <c r="C118" s="3828"/>
      <c r="D118" s="704">
        <f>SUM(E118:I118)</f>
        <v>0</v>
      </c>
      <c r="E118" s="1261"/>
      <c r="F118" s="737"/>
      <c r="G118" s="1261"/>
      <c r="H118" s="1261"/>
      <c r="I118" s="1261"/>
      <c r="J118" s="1261"/>
      <c r="K118" s="1261"/>
      <c r="L118" s="1261"/>
      <c r="M118" s="419"/>
      <c r="N118" s="419"/>
      <c r="O118" s="3824"/>
      <c r="P118" s="3856"/>
    </row>
    <row r="119" spans="1:17" s="242" customFormat="1" ht="14.25" hidden="1" customHeight="1">
      <c r="A119" s="3812"/>
      <c r="B119" s="1264" t="s">
        <v>18</v>
      </c>
      <c r="C119" s="3828"/>
      <c r="D119" s="1234">
        <f>+D120</f>
        <v>0</v>
      </c>
      <c r="E119" s="1234">
        <f t="shared" ref="E119" si="85">+E120</f>
        <v>0</v>
      </c>
      <c r="F119" s="1234"/>
      <c r="G119" s="1234"/>
      <c r="H119" s="1234"/>
      <c r="I119" s="1238"/>
      <c r="J119" s="1234"/>
      <c r="K119" s="1234"/>
      <c r="L119" s="1234"/>
      <c r="M119" s="1267">
        <f>M120</f>
        <v>0</v>
      </c>
      <c r="N119" s="1267">
        <f>N120</f>
        <v>0</v>
      </c>
      <c r="O119" s="3824"/>
      <c r="P119" s="3856"/>
    </row>
    <row r="120" spans="1:17" s="242" customFormat="1" ht="12.75" hidden="1" customHeight="1">
      <c r="A120" s="3812"/>
      <c r="B120" s="545" t="s">
        <v>21</v>
      </c>
      <c r="C120" s="3890"/>
      <c r="D120" s="704">
        <f>E120+F120+G120+H120+I120+J120+K120+L120</f>
        <v>0</v>
      </c>
      <c r="E120" s="1206"/>
      <c r="F120" s="737"/>
      <c r="G120" s="1261"/>
      <c r="H120" s="1261"/>
      <c r="I120" s="1261"/>
      <c r="J120" s="737"/>
      <c r="K120" s="737"/>
      <c r="L120" s="737"/>
      <c r="M120" s="1244">
        <f>SUM(F120:K120)</f>
        <v>0</v>
      </c>
      <c r="N120" s="1244">
        <f>SUM(G120:L120)</f>
        <v>0</v>
      </c>
      <c r="O120" s="3836"/>
      <c r="P120" s="3856"/>
    </row>
    <row r="121" spans="1:17" s="242" customFormat="1" ht="21.75" hidden="1" customHeight="1">
      <c r="A121" s="3813"/>
      <c r="B121" s="1230" t="s">
        <v>22</v>
      </c>
      <c r="C121" s="517" t="s">
        <v>394</v>
      </c>
      <c r="D121" s="1232">
        <f>+D125+D122</f>
        <v>0</v>
      </c>
      <c r="E121" s="1232">
        <f t="shared" ref="E121" si="86">+E125+E122</f>
        <v>0</v>
      </c>
      <c r="F121" s="1232">
        <f>+F125+F122</f>
        <v>0</v>
      </c>
      <c r="G121" s="1232"/>
      <c r="H121" s="1232"/>
      <c r="I121" s="1232"/>
      <c r="J121" s="1232"/>
      <c r="K121" s="1232"/>
      <c r="L121" s="1232"/>
      <c r="M121" s="3901" t="s">
        <v>23</v>
      </c>
      <c r="N121" s="3901" t="s">
        <v>23</v>
      </c>
      <c r="O121" s="3876" t="s">
        <v>103</v>
      </c>
      <c r="P121" s="638"/>
      <c r="Q121" s="638">
        <v>-1217020</v>
      </c>
    </row>
    <row r="122" spans="1:17" s="242" customFormat="1" ht="14.25" hidden="1" customHeight="1">
      <c r="A122" s="3813"/>
      <c r="B122" s="1237" t="s">
        <v>24</v>
      </c>
      <c r="C122" s="3827" t="s">
        <v>226</v>
      </c>
      <c r="D122" s="50">
        <f>+D123+D124</f>
        <v>0</v>
      </c>
      <c r="E122" s="50">
        <f t="shared" ref="E122" si="87">+E123+E124</f>
        <v>0</v>
      </c>
      <c r="F122" s="50">
        <f>+F123+F124</f>
        <v>0</v>
      </c>
      <c r="G122" s="50"/>
      <c r="H122" s="50"/>
      <c r="I122" s="50"/>
      <c r="J122" s="50"/>
      <c r="K122" s="50"/>
      <c r="L122" s="50"/>
      <c r="M122" s="3896"/>
      <c r="N122" s="3896"/>
      <c r="O122" s="3868"/>
    </row>
    <row r="123" spans="1:17" s="242" customFormat="1" ht="14.25" hidden="1" customHeight="1">
      <c r="A123" s="3813"/>
      <c r="B123" s="1257" t="s">
        <v>17</v>
      </c>
      <c r="C123" s="3821"/>
      <c r="D123" s="704">
        <f t="shared" ref="D123:D124" si="88">E123+F123+G123+H123+I123+J123+K123+L123</f>
        <v>0</v>
      </c>
      <c r="E123" s="1288"/>
      <c r="F123" s="1247">
        <v>0</v>
      </c>
      <c r="G123" s="1247"/>
      <c r="H123" s="1247"/>
      <c r="I123" s="1247"/>
      <c r="J123" s="1247"/>
      <c r="K123" s="1247"/>
      <c r="L123" s="1247"/>
      <c r="M123" s="3896"/>
      <c r="N123" s="3896"/>
      <c r="O123" s="3868"/>
    </row>
    <row r="124" spans="1:17" s="242" customFormat="1" ht="13.5" hidden="1" thickBot="1">
      <c r="A124" s="3814"/>
      <c r="B124" s="732" t="s">
        <v>15</v>
      </c>
      <c r="C124" s="3822"/>
      <c r="D124" s="1896">
        <f t="shared" si="88"/>
        <v>0</v>
      </c>
      <c r="E124" s="1936"/>
      <c r="F124" s="1936">
        <v>0</v>
      </c>
      <c r="G124" s="1936"/>
      <c r="H124" s="1936"/>
      <c r="I124" s="1936"/>
      <c r="J124" s="1936"/>
      <c r="K124" s="1936"/>
      <c r="L124" s="1936"/>
      <c r="M124" s="3897"/>
      <c r="N124" s="3897"/>
      <c r="O124" s="3869"/>
    </row>
    <row r="125" spans="1:17" s="242" customFormat="1" ht="14.25" hidden="1" customHeight="1">
      <c r="A125" s="3813"/>
      <c r="B125" s="673" t="s">
        <v>18</v>
      </c>
      <c r="C125" s="3821"/>
      <c r="D125" s="50">
        <f>+D127+D126</f>
        <v>0</v>
      </c>
      <c r="E125" s="50">
        <f t="shared" ref="E125" si="89">+E127+E126</f>
        <v>0</v>
      </c>
      <c r="F125" s="50">
        <f>+F127+F126</f>
        <v>0</v>
      </c>
      <c r="G125" s="1617"/>
      <c r="H125" s="1617"/>
      <c r="I125" s="1617"/>
      <c r="J125" s="1617"/>
      <c r="K125" s="1617"/>
      <c r="L125" s="1617"/>
      <c r="M125" s="3896"/>
      <c r="N125" s="3896"/>
      <c r="O125" s="3868"/>
    </row>
    <row r="126" spans="1:17" s="242" customFormat="1" ht="14.25" hidden="1" customHeight="1">
      <c r="A126" s="3813"/>
      <c r="B126" s="1110" t="s">
        <v>17</v>
      </c>
      <c r="C126" s="3821"/>
      <c r="D126" s="226">
        <f>E126+F126+G126+H126+I126+J126+K126+L126</f>
        <v>0</v>
      </c>
      <c r="E126" s="1111"/>
      <c r="F126" s="364"/>
      <c r="G126" s="420"/>
      <c r="H126" s="420"/>
      <c r="I126" s="420"/>
      <c r="J126" s="420"/>
      <c r="K126" s="420"/>
      <c r="L126" s="420"/>
      <c r="M126" s="3896"/>
      <c r="N126" s="3896"/>
      <c r="O126" s="3868"/>
    </row>
    <row r="127" spans="1:17" s="243" customFormat="1" ht="14.25" hidden="1" customHeight="1" thickBot="1">
      <c r="A127" s="3814"/>
      <c r="B127" s="1112" t="s">
        <v>21</v>
      </c>
      <c r="C127" s="3822"/>
      <c r="D127" s="226">
        <f>E127+F127+G127+H127+I127+J127+K127+L127</f>
        <v>0</v>
      </c>
      <c r="E127" s="249"/>
      <c r="F127" s="1113"/>
      <c r="G127" s="421"/>
      <c r="H127" s="421"/>
      <c r="I127" s="421"/>
      <c r="J127" s="421"/>
      <c r="K127" s="421"/>
      <c r="L127" s="421"/>
      <c r="M127" s="3897"/>
      <c r="N127" s="3897"/>
      <c r="O127" s="3869"/>
    </row>
    <row r="128" spans="1:17" ht="27" customHeight="1">
      <c r="A128" s="3811" t="s">
        <v>64</v>
      </c>
      <c r="B128" s="71" t="s">
        <v>710</v>
      </c>
      <c r="C128" s="56"/>
      <c r="D128" s="57"/>
      <c r="E128" s="42"/>
      <c r="F128" s="42"/>
      <c r="G128" s="42"/>
      <c r="H128" s="42"/>
      <c r="I128" s="42"/>
      <c r="J128" s="216"/>
      <c r="K128" s="216"/>
      <c r="L128" s="216"/>
      <c r="M128" s="59"/>
      <c r="N128" s="59"/>
      <c r="O128" s="44"/>
    </row>
    <row r="129" spans="1:17" ht="14.25" customHeight="1">
      <c r="A129" s="3812"/>
      <c r="B129" s="743" t="s">
        <v>10</v>
      </c>
      <c r="C129" s="1586" t="s">
        <v>82</v>
      </c>
      <c r="D129" s="726">
        <f t="shared" ref="D129:G129" si="90">+D130+D134</f>
        <v>41962510</v>
      </c>
      <c r="E129" s="726">
        <f t="shared" ref="E129" si="91">+E130+E134</f>
        <v>21145902</v>
      </c>
      <c r="F129" s="726">
        <f t="shared" si="90"/>
        <v>20739608</v>
      </c>
      <c r="G129" s="726">
        <f t="shared" si="90"/>
        <v>77000</v>
      </c>
      <c r="H129" s="726"/>
      <c r="I129" s="726"/>
      <c r="J129" s="726"/>
      <c r="K129" s="726"/>
      <c r="L129" s="726"/>
      <c r="M129" s="712">
        <f>M130+M134</f>
        <v>20816608</v>
      </c>
      <c r="N129" s="712">
        <f>N130+N134</f>
        <v>77000</v>
      </c>
      <c r="O129" s="3824" t="s">
        <v>87</v>
      </c>
    </row>
    <row r="130" spans="1:17" ht="12" customHeight="1">
      <c r="A130" s="3812"/>
      <c r="B130" s="731" t="s">
        <v>24</v>
      </c>
      <c r="C130" s="3818" t="s">
        <v>85</v>
      </c>
      <c r="D130" s="583">
        <f>+D131+D132+D133</f>
        <v>4841589</v>
      </c>
      <c r="E130" s="583">
        <f t="shared" ref="E130" si="92">+E131+E132+E133</f>
        <v>3234734</v>
      </c>
      <c r="F130" s="583">
        <f t="shared" ref="F130:G130" si="93">+F131+F132+F133</f>
        <v>1529855</v>
      </c>
      <c r="G130" s="583">
        <f t="shared" si="93"/>
        <v>77000</v>
      </c>
      <c r="H130" s="583"/>
      <c r="I130" s="583"/>
      <c r="J130" s="583"/>
      <c r="K130" s="583"/>
      <c r="L130" s="583"/>
      <c r="M130" s="520">
        <f>+M131+M133</f>
        <v>1606855</v>
      </c>
      <c r="N130" s="520">
        <f>+N131+N133</f>
        <v>77000</v>
      </c>
      <c r="O130" s="3824"/>
      <c r="P130" s="214" t="s">
        <v>509</v>
      </c>
    </row>
    <row r="131" spans="1:17" ht="11.25" customHeight="1">
      <c r="A131" s="3812"/>
      <c r="B131" s="1587" t="s">
        <v>12</v>
      </c>
      <c r="C131" s="3821"/>
      <c r="D131" s="226">
        <f>E131+F131+G131+H131+I131+J131+K131+L131</f>
        <v>3341589</v>
      </c>
      <c r="E131" s="249">
        <f>2234734</f>
        <v>2234734</v>
      </c>
      <c r="F131" s="719">
        <f>1933354-1900000+166646+197047+159852+78533+2000000-585432-1020145</f>
        <v>1029855</v>
      </c>
      <c r="G131" s="573">
        <v>77000</v>
      </c>
      <c r="H131" s="573"/>
      <c r="I131" s="573"/>
      <c r="J131" s="573"/>
      <c r="K131" s="573"/>
      <c r="L131" s="573"/>
      <c r="M131" s="727">
        <f>SUM(F131:K131)</f>
        <v>1106855</v>
      </c>
      <c r="N131" s="727">
        <f>SUM(G131:L131)</f>
        <v>77000</v>
      </c>
      <c r="O131" s="3824"/>
    </row>
    <row r="132" spans="1:17" ht="12" hidden="1" customHeight="1">
      <c r="A132" s="3812"/>
      <c r="B132" s="581" t="s">
        <v>17</v>
      </c>
      <c r="C132" s="3821"/>
      <c r="D132" s="226">
        <f>E132+F132+G132+H132+I132+J132+K132+L132</f>
        <v>0</v>
      </c>
      <c r="E132" s="574"/>
      <c r="F132" s="573"/>
      <c r="G132" s="573"/>
      <c r="H132" s="573"/>
      <c r="I132" s="573"/>
      <c r="J132" s="189"/>
      <c r="K132" s="189"/>
      <c r="L132" s="189"/>
      <c r="M132" s="66"/>
      <c r="N132" s="66"/>
      <c r="O132" s="3824"/>
    </row>
    <row r="133" spans="1:17" ht="12" customHeight="1">
      <c r="A133" s="3812"/>
      <c r="B133" s="1588" t="s">
        <v>15</v>
      </c>
      <c r="C133" s="3821"/>
      <c r="D133" s="226">
        <f>E133+F133+G133+H133+I133+J133+K133+L133</f>
        <v>1500000</v>
      </c>
      <c r="E133" s="249">
        <f>1000000</f>
        <v>1000000</v>
      </c>
      <c r="F133" s="573">
        <f>500000</f>
        <v>500000</v>
      </c>
      <c r="G133" s="573"/>
      <c r="H133" s="573"/>
      <c r="I133" s="573"/>
      <c r="J133" s="574"/>
      <c r="K133" s="574"/>
      <c r="L133" s="574"/>
      <c r="M133" s="727">
        <f>SUM(F133:K133)</f>
        <v>500000</v>
      </c>
      <c r="N133" s="727">
        <f>SUM(G133:L133)</f>
        <v>0</v>
      </c>
      <c r="O133" s="3824"/>
    </row>
    <row r="134" spans="1:17">
      <c r="A134" s="3812"/>
      <c r="B134" s="1589" t="s">
        <v>18</v>
      </c>
      <c r="C134" s="3821"/>
      <c r="D134" s="521">
        <f t="shared" ref="D134:F134" si="94">+D135+D136</f>
        <v>37120921</v>
      </c>
      <c r="E134" s="521">
        <f t="shared" si="94"/>
        <v>17911168</v>
      </c>
      <c r="F134" s="521">
        <f t="shared" si="94"/>
        <v>19209753</v>
      </c>
      <c r="G134" s="521"/>
      <c r="H134" s="521"/>
      <c r="I134" s="521"/>
      <c r="J134" s="521"/>
      <c r="K134" s="521"/>
      <c r="L134" s="521"/>
      <c r="M134" s="520">
        <f>+M135+M136</f>
        <v>19209753</v>
      </c>
      <c r="N134" s="520">
        <f>+N135+N136</f>
        <v>0</v>
      </c>
      <c r="O134" s="3824"/>
    </row>
    <row r="135" spans="1:17" ht="12" hidden="1" customHeight="1">
      <c r="A135" s="3812"/>
      <c r="B135" s="581" t="s">
        <v>17</v>
      </c>
      <c r="C135" s="3821"/>
      <c r="D135" s="716">
        <v>0</v>
      </c>
      <c r="E135" s="577"/>
      <c r="F135" s="573"/>
      <c r="G135" s="573"/>
      <c r="H135" s="573"/>
      <c r="I135" s="573"/>
      <c r="J135" s="189"/>
      <c r="K135" s="189"/>
      <c r="L135" s="189"/>
      <c r="M135" s="66"/>
      <c r="N135" s="66"/>
      <c r="O135" s="3824"/>
    </row>
    <row r="136" spans="1:17" ht="12" customHeight="1">
      <c r="A136" s="3812"/>
      <c r="B136" s="581" t="s">
        <v>21</v>
      </c>
      <c r="C136" s="3872"/>
      <c r="D136" s="226">
        <f>E136+F136+G136+H136+I136+J136+K136+L136</f>
        <v>37120921</v>
      </c>
      <c r="E136" s="249">
        <f>17911168</f>
        <v>17911168</v>
      </c>
      <c r="F136" s="719">
        <f>10955672-8630312+17358828-100+791-377238-83726-14162</f>
        <v>19209753</v>
      </c>
      <c r="G136" s="573"/>
      <c r="H136" s="573"/>
      <c r="I136" s="573"/>
      <c r="J136" s="573"/>
      <c r="K136" s="573"/>
      <c r="L136" s="573"/>
      <c r="M136" s="727">
        <f>SUM(F136:K136)</f>
        <v>19209753</v>
      </c>
      <c r="N136" s="727">
        <f>SUM(G136:L136)</f>
        <v>0</v>
      </c>
      <c r="O136" s="3836"/>
      <c r="P136" s="401">
        <f>D136-D143</f>
        <v>0</v>
      </c>
    </row>
    <row r="137" spans="1:17" ht="21.75" customHeight="1">
      <c r="A137" s="3812"/>
      <c r="B137" s="79" t="s">
        <v>22</v>
      </c>
      <c r="C137" s="517" t="s">
        <v>394</v>
      </c>
      <c r="D137" s="569">
        <f t="shared" ref="D137:G137" si="95">+D141+D138</f>
        <v>38620921</v>
      </c>
      <c r="E137" s="569">
        <f>+E138+E141</f>
        <v>14036781</v>
      </c>
      <c r="F137" s="569">
        <f t="shared" si="95"/>
        <v>24046022</v>
      </c>
      <c r="G137" s="569">
        <f t="shared" si="95"/>
        <v>538118</v>
      </c>
      <c r="H137" s="569"/>
      <c r="I137" s="569"/>
      <c r="J137" s="569"/>
      <c r="K137" s="569"/>
      <c r="L137" s="569"/>
      <c r="M137" s="3866" t="s">
        <v>23</v>
      </c>
      <c r="N137" s="3866" t="s">
        <v>23</v>
      </c>
      <c r="O137" s="3867" t="s">
        <v>103</v>
      </c>
      <c r="P137" s="401"/>
      <c r="Q137" s="401">
        <v>-14140496</v>
      </c>
    </row>
    <row r="138" spans="1:17">
      <c r="A138" s="3812"/>
      <c r="B138" s="731" t="s">
        <v>24</v>
      </c>
      <c r="C138" s="3818" t="s">
        <v>684</v>
      </c>
      <c r="D138" s="521">
        <f>+D139+D140</f>
        <v>1500000</v>
      </c>
      <c r="E138" s="521">
        <f>+E140</f>
        <v>1000000</v>
      </c>
      <c r="F138" s="521">
        <f>+F139+F140</f>
        <v>500000</v>
      </c>
      <c r="G138" s="730">
        <f>+G139+G140</f>
        <v>0</v>
      </c>
      <c r="H138" s="521"/>
      <c r="I138" s="521"/>
      <c r="J138" s="521"/>
      <c r="K138" s="521"/>
      <c r="L138" s="521"/>
      <c r="M138" s="3852"/>
      <c r="N138" s="3852"/>
      <c r="O138" s="3868"/>
    </row>
    <row r="139" spans="1:17" ht="12" hidden="1" customHeight="1">
      <c r="A139" s="3812"/>
      <c r="B139" s="1588" t="s">
        <v>17</v>
      </c>
      <c r="C139" s="3821"/>
      <c r="D139" s="704">
        <f>SUM(E139:I139)</f>
        <v>0</v>
      </c>
      <c r="E139" s="1590"/>
      <c r="F139" s="716">
        <v>0</v>
      </c>
      <c r="G139" s="1352"/>
      <c r="H139" s="716"/>
      <c r="I139" s="716"/>
      <c r="J139" s="716"/>
      <c r="K139" s="716"/>
      <c r="L139" s="716"/>
      <c r="M139" s="3852"/>
      <c r="N139" s="3852"/>
      <c r="O139" s="3868"/>
    </row>
    <row r="140" spans="1:17">
      <c r="A140" s="3812"/>
      <c r="B140" s="1588" t="s">
        <v>15</v>
      </c>
      <c r="C140" s="3821"/>
      <c r="D140" s="226">
        <f>E140+F140+G140+H140+I140+J140+K140+L140</f>
        <v>1500000</v>
      </c>
      <c r="E140" s="249">
        <f>1000000</f>
        <v>1000000</v>
      </c>
      <c r="F140" s="716">
        <f>500000</f>
        <v>500000</v>
      </c>
      <c r="G140" s="1352">
        <v>0</v>
      </c>
      <c r="H140" s="716"/>
      <c r="I140" s="716"/>
      <c r="J140" s="716"/>
      <c r="K140" s="716"/>
      <c r="L140" s="716"/>
      <c r="M140" s="3852"/>
      <c r="N140" s="3852"/>
      <c r="O140" s="3868"/>
    </row>
    <row r="141" spans="1:17" ht="13.5" customHeight="1">
      <c r="A141" s="3812"/>
      <c r="B141" s="729" t="s">
        <v>18</v>
      </c>
      <c r="C141" s="3821"/>
      <c r="D141" s="649">
        <f t="shared" ref="D141" si="96">+D142+D143</f>
        <v>37120921</v>
      </c>
      <c r="E141" s="649">
        <f>+E143</f>
        <v>13036781</v>
      </c>
      <c r="F141" s="1591">
        <f>+F142+F143</f>
        <v>23546022</v>
      </c>
      <c r="G141" s="1591">
        <f>+G142+G143</f>
        <v>538118</v>
      </c>
      <c r="H141" s="1591"/>
      <c r="I141" s="1591"/>
      <c r="J141" s="1591"/>
      <c r="K141" s="1591"/>
      <c r="L141" s="1591"/>
      <c r="M141" s="3852"/>
      <c r="N141" s="3852"/>
      <c r="O141" s="3868"/>
    </row>
    <row r="142" spans="1:17" ht="12" hidden="1" customHeight="1">
      <c r="A142" s="3812"/>
      <c r="B142" s="581" t="s">
        <v>17</v>
      </c>
      <c r="C142" s="3821"/>
      <c r="D142" s="704">
        <f>SUM(E142:I142)</f>
        <v>0</v>
      </c>
      <c r="E142" s="1590"/>
      <c r="F142" s="716"/>
      <c r="G142" s="716"/>
      <c r="H142" s="716"/>
      <c r="I142" s="716"/>
      <c r="J142" s="716"/>
      <c r="K142" s="716"/>
      <c r="L142" s="716"/>
      <c r="M142" s="3852"/>
      <c r="N142" s="3852"/>
      <c r="O142" s="3868"/>
    </row>
    <row r="143" spans="1:17" ht="14.25" customHeight="1" thickBot="1">
      <c r="A143" s="3862"/>
      <c r="B143" s="1105" t="s">
        <v>21</v>
      </c>
      <c r="C143" s="3822"/>
      <c r="D143" s="226">
        <f>E143+F143+G143+H143+I143+J143+K143+L143</f>
        <v>37120921</v>
      </c>
      <c r="E143" s="249">
        <f>13036781</f>
        <v>13036781</v>
      </c>
      <c r="F143" s="701">
        <f>10955672-500000+20900496-6760000-36782-120-377238-636006</f>
        <v>23546022</v>
      </c>
      <c r="G143" s="1106">
        <f>552280-14162</f>
        <v>538118</v>
      </c>
      <c r="H143" s="1106"/>
      <c r="I143" s="1106"/>
      <c r="J143" s="1106"/>
      <c r="K143" s="1106"/>
      <c r="L143" s="1106"/>
      <c r="M143" s="3853"/>
      <c r="N143" s="3853"/>
      <c r="O143" s="3869"/>
    </row>
    <row r="144" spans="1:17" ht="30" hidden="1" customHeight="1">
      <c r="A144" s="3811"/>
      <c r="B144" s="71" t="s">
        <v>621</v>
      </c>
      <c r="C144" s="56"/>
      <c r="D144" s="57"/>
      <c r="E144" s="42"/>
      <c r="F144" s="42"/>
      <c r="G144" s="42"/>
      <c r="H144" s="42"/>
      <c r="I144" s="42"/>
      <c r="J144" s="42"/>
      <c r="K144" s="42"/>
      <c r="L144" s="42"/>
      <c r="M144" s="43"/>
      <c r="N144" s="43"/>
      <c r="O144" s="86"/>
    </row>
    <row r="145" spans="1:17" ht="13.5" hidden="1" customHeight="1">
      <c r="A145" s="3812"/>
      <c r="B145" s="534" t="s">
        <v>10</v>
      </c>
      <c r="C145" s="1259" t="s">
        <v>82</v>
      </c>
      <c r="D145" s="1240">
        <f t="shared" ref="D145" si="97">+D146+D149</f>
        <v>0</v>
      </c>
      <c r="E145" s="1165">
        <f>+E146+E149</f>
        <v>0</v>
      </c>
      <c r="F145" s="1165">
        <f>+F146+F149</f>
        <v>0</v>
      </c>
      <c r="G145" s="1165"/>
      <c r="H145" s="1165"/>
      <c r="I145" s="1165"/>
      <c r="J145" s="1165"/>
      <c r="K145" s="1165"/>
      <c r="L145" s="1165"/>
      <c r="M145" s="1166">
        <f>M146+M149</f>
        <v>0</v>
      </c>
      <c r="N145" s="1166">
        <f>N146+N149</f>
        <v>0</v>
      </c>
      <c r="O145" s="3824" t="s">
        <v>87</v>
      </c>
      <c r="P145" s="401"/>
    </row>
    <row r="146" spans="1:17" ht="13.5" hidden="1" customHeight="1">
      <c r="A146" s="3812"/>
      <c r="B146" s="513" t="s">
        <v>24</v>
      </c>
      <c r="C146" s="3827" t="s">
        <v>85</v>
      </c>
      <c r="D146" s="1241">
        <f>+D147+D148</f>
        <v>0</v>
      </c>
      <c r="E146" s="1241">
        <f>+E147</f>
        <v>0</v>
      </c>
      <c r="F146" s="1241">
        <f>+F147+F148</f>
        <v>0</v>
      </c>
      <c r="G146" s="1241"/>
      <c r="H146" s="1241"/>
      <c r="I146" s="1241"/>
      <c r="J146" s="1241"/>
      <c r="K146" s="1241"/>
      <c r="L146" s="1241"/>
      <c r="M146" s="1235">
        <f>M147</f>
        <v>0</v>
      </c>
      <c r="N146" s="1235">
        <f>N147</f>
        <v>0</v>
      </c>
      <c r="O146" s="3824"/>
      <c r="P146" s="401"/>
    </row>
    <row r="147" spans="1:17" ht="11.25" hidden="1" customHeight="1">
      <c r="A147" s="3812"/>
      <c r="B147" s="733" t="s">
        <v>12</v>
      </c>
      <c r="C147" s="3828"/>
      <c r="D147" s="1159">
        <f>E147+F147+G147+H147+I147+J147+K147+L147</f>
        <v>0</v>
      </c>
      <c r="E147" s="1206"/>
      <c r="F147" s="1206"/>
      <c r="G147" s="1206"/>
      <c r="H147" s="1206"/>
      <c r="I147" s="1206"/>
      <c r="J147" s="1206"/>
      <c r="K147" s="1206"/>
      <c r="L147" s="1206"/>
      <c r="M147" s="727">
        <f>SUM(F147:K147)</f>
        <v>0</v>
      </c>
      <c r="N147" s="727">
        <f>SUM(G147:L147)</f>
        <v>0</v>
      </c>
      <c r="O147" s="3824"/>
      <c r="P147" s="401"/>
    </row>
    <row r="148" spans="1:17" ht="10.5" hidden="1" customHeight="1">
      <c r="A148" s="3812"/>
      <c r="B148" s="1114" t="s">
        <v>15</v>
      </c>
      <c r="C148" s="3828"/>
      <c r="D148" s="1159">
        <f>SUM(E148:I148)</f>
        <v>0</v>
      </c>
      <c r="E148" s="1260">
        <v>0</v>
      </c>
      <c r="F148" s="1261"/>
      <c r="G148" s="1261"/>
      <c r="H148" s="1261"/>
      <c r="I148" s="1261"/>
      <c r="J148" s="189"/>
      <c r="K148" s="189"/>
      <c r="L148" s="189"/>
      <c r="M148" s="66"/>
      <c r="N148" s="66"/>
      <c r="O148" s="3824"/>
    </row>
    <row r="149" spans="1:17" ht="12.75" hidden="1" customHeight="1">
      <c r="A149" s="3812"/>
      <c r="B149" s="729" t="s">
        <v>18</v>
      </c>
      <c r="C149" s="3828"/>
      <c r="D149" s="1234">
        <f>+D150</f>
        <v>0</v>
      </c>
      <c r="E149" s="1176">
        <f>+E150</f>
        <v>0</v>
      </c>
      <c r="F149" s="1176">
        <f t="shared" ref="F149" si="98">+F150</f>
        <v>0</v>
      </c>
      <c r="G149" s="1176"/>
      <c r="H149" s="1176"/>
      <c r="I149" s="1176"/>
      <c r="J149" s="1234"/>
      <c r="K149" s="1234"/>
      <c r="L149" s="1234"/>
      <c r="M149" s="1235">
        <f>M150</f>
        <v>0</v>
      </c>
      <c r="N149" s="1235">
        <f>N150</f>
        <v>0</v>
      </c>
      <c r="O149" s="3824"/>
    </row>
    <row r="150" spans="1:17" ht="12" hidden="1" customHeight="1">
      <c r="A150" s="3812"/>
      <c r="B150" s="733" t="s">
        <v>21</v>
      </c>
      <c r="C150" s="3890"/>
      <c r="D150" s="1262">
        <f>E150+F150+G150+H150+I150+J150+K150+L150</f>
        <v>0</v>
      </c>
      <c r="E150" s="1206"/>
      <c r="F150" s="1206"/>
      <c r="G150" s="1206"/>
      <c r="H150" s="1173"/>
      <c r="I150" s="1173"/>
      <c r="J150" s="1243"/>
      <c r="K150" s="1243"/>
      <c r="L150" s="1243"/>
      <c r="M150" s="727">
        <f>SUM(F150:K150)</f>
        <v>0</v>
      </c>
      <c r="N150" s="727">
        <f>SUM(G150:L150)</f>
        <v>0</v>
      </c>
      <c r="O150" s="3836"/>
    </row>
    <row r="151" spans="1:17" ht="23.25" hidden="1" thickBot="1">
      <c r="A151" s="3813"/>
      <c r="B151" s="90" t="s">
        <v>22</v>
      </c>
      <c r="C151" s="517" t="s">
        <v>394</v>
      </c>
      <c r="D151" s="96">
        <f t="shared" ref="D151" si="99">+D152+D154</f>
        <v>0</v>
      </c>
      <c r="E151" s="215">
        <f>+E154</f>
        <v>0</v>
      </c>
      <c r="F151" s="215">
        <f>+F152+F154</f>
        <v>0</v>
      </c>
      <c r="G151" s="215"/>
      <c r="H151" s="215"/>
      <c r="I151" s="215"/>
      <c r="J151" s="215"/>
      <c r="K151" s="215"/>
      <c r="L151" s="215"/>
      <c r="M151" s="3901" t="s">
        <v>23</v>
      </c>
      <c r="N151" s="3901" t="s">
        <v>23</v>
      </c>
      <c r="O151" s="3905" t="s">
        <v>103</v>
      </c>
      <c r="P151" s="401"/>
      <c r="Q151" s="401">
        <v>-1435987</v>
      </c>
    </row>
    <row r="152" spans="1:17" ht="13.5" hidden="1" customHeight="1">
      <c r="A152" s="3813"/>
      <c r="B152" s="1237" t="s">
        <v>24</v>
      </c>
      <c r="C152" s="3904" t="s">
        <v>239</v>
      </c>
      <c r="D152" s="50">
        <f>+D153</f>
        <v>0</v>
      </c>
      <c r="E152" s="244">
        <v>0</v>
      </c>
      <c r="F152" s="50"/>
      <c r="G152" s="50"/>
      <c r="H152" s="50"/>
      <c r="I152" s="50"/>
      <c r="J152" s="50"/>
      <c r="K152" s="50"/>
      <c r="L152" s="50"/>
      <c r="M152" s="3896"/>
      <c r="N152" s="3896"/>
      <c r="O152" s="3892"/>
    </row>
    <row r="153" spans="1:17" ht="13.5" hidden="1" thickBot="1">
      <c r="A153" s="3813"/>
      <c r="B153" s="89" t="s">
        <v>15</v>
      </c>
      <c r="C153" s="3887"/>
      <c r="D153" s="1159">
        <f>SUM(E153:I153)</f>
        <v>0</v>
      </c>
      <c r="E153" s="1263">
        <v>0</v>
      </c>
      <c r="F153" s="1175"/>
      <c r="G153" s="1175"/>
      <c r="H153" s="1175"/>
      <c r="I153" s="1175"/>
      <c r="J153" s="1175"/>
      <c r="K153" s="1175"/>
      <c r="L153" s="1175"/>
      <c r="M153" s="3896"/>
      <c r="N153" s="3896"/>
      <c r="O153" s="3892"/>
    </row>
    <row r="154" spans="1:17" ht="12" hidden="1" customHeight="1">
      <c r="A154" s="3813"/>
      <c r="B154" s="1264" t="s">
        <v>18</v>
      </c>
      <c r="C154" s="3887"/>
      <c r="D154" s="1234">
        <f t="shared" ref="D154:F154" si="100">+D155</f>
        <v>0</v>
      </c>
      <c r="E154" s="1176">
        <f>+E155</f>
        <v>0</v>
      </c>
      <c r="F154" s="1176">
        <f t="shared" si="100"/>
        <v>0</v>
      </c>
      <c r="G154" s="1176"/>
      <c r="H154" s="1176"/>
      <c r="I154" s="1176"/>
      <c r="J154" s="1176"/>
      <c r="K154" s="1176"/>
      <c r="L154" s="1176"/>
      <c r="M154" s="3896"/>
      <c r="N154" s="3896"/>
      <c r="O154" s="3892"/>
    </row>
    <row r="155" spans="1:17" ht="13.5" hidden="1" customHeight="1" thickBot="1">
      <c r="A155" s="3814"/>
      <c r="B155" s="732" t="s">
        <v>21</v>
      </c>
      <c r="C155" s="3888"/>
      <c r="D155" s="701">
        <f>E155+F155+G155+H155+I155+J155+K155+L155</f>
        <v>0</v>
      </c>
      <c r="E155" s="701"/>
      <c r="F155" s="425"/>
      <c r="G155" s="425"/>
      <c r="H155" s="425"/>
      <c r="I155" s="425"/>
      <c r="J155" s="425"/>
      <c r="K155" s="425"/>
      <c r="L155" s="425"/>
      <c r="M155" s="3897"/>
      <c r="N155" s="3897"/>
      <c r="O155" s="3893"/>
    </row>
    <row r="156" spans="1:17" ht="24">
      <c r="A156" s="3811" t="s">
        <v>65</v>
      </c>
      <c r="B156" s="71" t="s">
        <v>714</v>
      </c>
      <c r="C156" s="56" t="s">
        <v>82</v>
      </c>
      <c r="D156" s="57"/>
      <c r="E156" s="42"/>
      <c r="F156" s="42"/>
      <c r="G156" s="42"/>
      <c r="H156" s="42"/>
      <c r="I156" s="42"/>
      <c r="J156" s="42"/>
      <c r="K156" s="42"/>
      <c r="L156" s="42"/>
      <c r="M156" s="43"/>
      <c r="N156" s="43"/>
      <c r="O156" s="86"/>
    </row>
    <row r="157" spans="1:17" ht="12" customHeight="1">
      <c r="A157" s="3812"/>
      <c r="B157" s="427" t="s">
        <v>10</v>
      </c>
      <c r="C157" s="1250"/>
      <c r="D157" s="1240">
        <f>+D158+D161</f>
        <v>51648880</v>
      </c>
      <c r="E157" s="1281">
        <f t="shared" ref="E157" si="101">+E158+E161</f>
        <v>330606</v>
      </c>
      <c r="F157" s="1281">
        <f>+F158+F161</f>
        <v>27200773</v>
      </c>
      <c r="G157" s="1281">
        <f>+G158+G161</f>
        <v>24117501</v>
      </c>
      <c r="H157" s="1281"/>
      <c r="I157" s="1281"/>
      <c r="J157" s="1281"/>
      <c r="K157" s="1281"/>
      <c r="L157" s="1281"/>
      <c r="M157" s="1233">
        <f>M158+M161</f>
        <v>51318274</v>
      </c>
      <c r="N157" s="1233">
        <f>N158+N161</f>
        <v>24117501</v>
      </c>
      <c r="O157" s="3824" t="s">
        <v>87</v>
      </c>
      <c r="P157" s="401"/>
    </row>
    <row r="158" spans="1:17">
      <c r="A158" s="3812"/>
      <c r="B158" s="538" t="s">
        <v>24</v>
      </c>
      <c r="C158" s="3827" t="s">
        <v>85</v>
      </c>
      <c r="D158" s="1241">
        <f>+D159+D160</f>
        <v>8087332</v>
      </c>
      <c r="E158" s="1241">
        <f t="shared" ref="E158" si="102">+E159+E160</f>
        <v>49591</v>
      </c>
      <c r="F158" s="1241">
        <f>+F159+F160</f>
        <v>4091322</v>
      </c>
      <c r="G158" s="1241">
        <f>+G159+G160</f>
        <v>3946419</v>
      </c>
      <c r="H158" s="1241"/>
      <c r="I158" s="1241"/>
      <c r="J158" s="1241"/>
      <c r="K158" s="1241"/>
      <c r="L158" s="1241"/>
      <c r="M158" s="1235">
        <f>M159</f>
        <v>8037741</v>
      </c>
      <c r="N158" s="1235">
        <f>N159</f>
        <v>3946419</v>
      </c>
      <c r="O158" s="3824"/>
      <c r="P158" s="3857" t="s">
        <v>479</v>
      </c>
    </row>
    <row r="159" spans="1:17" ht="11.25" customHeight="1">
      <c r="A159" s="3812"/>
      <c r="B159" s="581" t="s">
        <v>12</v>
      </c>
      <c r="C159" s="3828"/>
      <c r="D159" s="704">
        <f>E159+F159+G159+H159+I159+J159+K159+L159</f>
        <v>8087332</v>
      </c>
      <c r="E159" s="1206">
        <v>49591</v>
      </c>
      <c r="F159" s="1206">
        <f>5700000+1500000+135000-2630000-22696-590982</f>
        <v>4091322</v>
      </c>
      <c r="G159" s="1206">
        <f>1875000+1435625-240216-14972+590982+300000</f>
        <v>3946419</v>
      </c>
      <c r="H159" s="1206"/>
      <c r="I159" s="1206"/>
      <c r="J159" s="1206"/>
      <c r="K159" s="1206"/>
      <c r="L159" s="1206"/>
      <c r="M159" s="1244">
        <f>SUM(F159:K159)</f>
        <v>8037741</v>
      </c>
      <c r="N159" s="1244">
        <f>SUM(G159:L159)</f>
        <v>3946419</v>
      </c>
      <c r="O159" s="3824"/>
      <c r="P159" s="3857"/>
    </row>
    <row r="160" spans="1:17" ht="10.5" hidden="1" customHeight="1">
      <c r="A160" s="3812"/>
      <c r="B160" s="391" t="s">
        <v>15</v>
      </c>
      <c r="C160" s="3828"/>
      <c r="D160" s="704">
        <f>SUM(E160:I160)</f>
        <v>0</v>
      </c>
      <c r="E160" s="1592">
        <v>0</v>
      </c>
      <c r="F160" s="734"/>
      <c r="G160" s="734"/>
      <c r="H160" s="734"/>
      <c r="I160" s="734"/>
      <c r="J160" s="189"/>
      <c r="K160" s="189"/>
      <c r="L160" s="189"/>
      <c r="M160" s="66"/>
      <c r="N160" s="66"/>
      <c r="O160" s="3824"/>
      <c r="P160" s="3857"/>
    </row>
    <row r="161" spans="1:16">
      <c r="A161" s="3812"/>
      <c r="B161" s="540" t="s">
        <v>18</v>
      </c>
      <c r="C161" s="3828"/>
      <c r="D161" s="1234">
        <f>+D162</f>
        <v>43561548</v>
      </c>
      <c r="E161" s="1238">
        <f t="shared" ref="E161:G161" si="103">+E162</f>
        <v>281015</v>
      </c>
      <c r="F161" s="1238">
        <f t="shared" si="103"/>
        <v>23109451</v>
      </c>
      <c r="G161" s="1238">
        <f t="shared" si="103"/>
        <v>20171082</v>
      </c>
      <c r="H161" s="1238"/>
      <c r="I161" s="1238"/>
      <c r="J161" s="1234"/>
      <c r="K161" s="1234"/>
      <c r="L161" s="1234"/>
      <c r="M161" s="1235">
        <f>M162</f>
        <v>43280533</v>
      </c>
      <c r="N161" s="1235">
        <f>N162</f>
        <v>20171082</v>
      </c>
      <c r="O161" s="3824"/>
      <c r="P161" s="3857"/>
    </row>
    <row r="162" spans="1:16" ht="12" customHeight="1">
      <c r="A162" s="3812"/>
      <c r="B162" s="581" t="s">
        <v>21</v>
      </c>
      <c r="C162" s="3890"/>
      <c r="D162" s="704">
        <f>E162+F162+G162+H162+I162+J162+K162+L162</f>
        <v>43561548</v>
      </c>
      <c r="E162" s="1206">
        <v>281015</v>
      </c>
      <c r="F162" s="1206">
        <f>32300000+8500000+765000-15470000-128613-2856936</f>
        <v>23109451</v>
      </c>
      <c r="G162" s="1206">
        <f>10625000+4125213+2648772-84839+2856936</f>
        <v>20171082</v>
      </c>
      <c r="H162" s="1239"/>
      <c r="I162" s="1239"/>
      <c r="J162" s="1243"/>
      <c r="K162" s="1243"/>
      <c r="L162" s="1243"/>
      <c r="M162" s="1244">
        <f>SUM(F162:K162)</f>
        <v>43280533</v>
      </c>
      <c r="N162" s="1244">
        <f>SUM(G162:L162)</f>
        <v>20171082</v>
      </c>
      <c r="O162" s="3836"/>
      <c r="P162" s="3857"/>
    </row>
    <row r="163" spans="1:16" ht="12" customHeight="1">
      <c r="A163" s="3813"/>
      <c r="B163" s="1033" t="s">
        <v>22</v>
      </c>
      <c r="C163" s="87"/>
      <c r="D163" s="96">
        <f t="shared" ref="D163" si="104">+D164+D166</f>
        <v>43561548</v>
      </c>
      <c r="E163" s="215">
        <f>+E164+E166</f>
        <v>0</v>
      </c>
      <c r="F163" s="215">
        <f>+F164+F166</f>
        <v>26097077</v>
      </c>
      <c r="G163" s="215">
        <f>+G164+G166</f>
        <v>17464471</v>
      </c>
      <c r="H163" s="215"/>
      <c r="I163" s="215"/>
      <c r="J163" s="215"/>
      <c r="K163" s="215"/>
      <c r="L163" s="215"/>
      <c r="M163" s="3902" t="s">
        <v>23</v>
      </c>
      <c r="N163" s="3902" t="s">
        <v>23</v>
      </c>
      <c r="O163" s="3891" t="s">
        <v>103</v>
      </c>
    </row>
    <row r="164" spans="1:16" ht="13.5" hidden="1" customHeight="1">
      <c r="A164" s="3813"/>
      <c r="B164" s="1246" t="s">
        <v>24</v>
      </c>
      <c r="C164" s="3886" t="s">
        <v>239</v>
      </c>
      <c r="D164" s="50">
        <f>+D165</f>
        <v>0</v>
      </c>
      <c r="E164" s="50"/>
      <c r="F164" s="50"/>
      <c r="G164" s="50"/>
      <c r="H164" s="50"/>
      <c r="I164" s="50"/>
      <c r="J164" s="50"/>
      <c r="K164" s="50"/>
      <c r="L164" s="50"/>
      <c r="M164" s="3896"/>
      <c r="N164" s="3896"/>
      <c r="O164" s="3892"/>
    </row>
    <row r="165" spans="1:16" ht="13.5" hidden="1" customHeight="1">
      <c r="A165" s="3813"/>
      <c r="B165" s="89" t="s">
        <v>15</v>
      </c>
      <c r="C165" s="3887"/>
      <c r="D165" s="704">
        <f>SUM(E165:I165)</f>
        <v>0</v>
      </c>
      <c r="E165" s="1247"/>
      <c r="F165" s="1247"/>
      <c r="G165" s="1247"/>
      <c r="H165" s="1247"/>
      <c r="I165" s="1247"/>
      <c r="J165" s="1247"/>
      <c r="K165" s="1247"/>
      <c r="L165" s="1247"/>
      <c r="M165" s="3896"/>
      <c r="N165" s="3896"/>
      <c r="O165" s="3892"/>
    </row>
    <row r="166" spans="1:16" ht="12" customHeight="1">
      <c r="A166" s="3813"/>
      <c r="B166" s="2014" t="s">
        <v>18</v>
      </c>
      <c r="C166" s="3887"/>
      <c r="D166" s="1234">
        <f t="shared" ref="D166:G166" si="105">+D167</f>
        <v>43561548</v>
      </c>
      <c r="E166" s="1238">
        <f t="shared" si="105"/>
        <v>0</v>
      </c>
      <c r="F166" s="1238">
        <f t="shared" si="105"/>
        <v>26097077</v>
      </c>
      <c r="G166" s="1238">
        <f t="shared" si="105"/>
        <v>17464471</v>
      </c>
      <c r="H166" s="1238"/>
      <c r="I166" s="1238"/>
      <c r="J166" s="1238"/>
      <c r="K166" s="1238"/>
      <c r="L166" s="1238"/>
      <c r="M166" s="3896"/>
      <c r="N166" s="3896"/>
      <c r="O166" s="3892"/>
    </row>
    <row r="167" spans="1:16" ht="13.5" customHeight="1" thickBot="1">
      <c r="A167" s="3814"/>
      <c r="B167" s="732" t="s">
        <v>21</v>
      </c>
      <c r="C167" s="3888"/>
      <c r="D167" s="701">
        <f>E167+F167+G167+H167+I167+J167+K167+L167</f>
        <v>43561548</v>
      </c>
      <c r="E167" s="701">
        <v>0</v>
      </c>
      <c r="F167" s="425">
        <f>29000000+6000000-8623985-128613-150325</f>
        <v>26097077</v>
      </c>
      <c r="G167" s="425">
        <f>14775000+6625213-4001228-84839+150325</f>
        <v>17464471</v>
      </c>
      <c r="H167" s="425"/>
      <c r="I167" s="425"/>
      <c r="J167" s="425"/>
      <c r="K167" s="425"/>
      <c r="L167" s="425"/>
      <c r="M167" s="3897"/>
      <c r="N167" s="3897"/>
      <c r="O167" s="3893"/>
    </row>
    <row r="168" spans="1:16" ht="24">
      <c r="A168" s="3811" t="s">
        <v>66</v>
      </c>
      <c r="B168" s="71" t="s">
        <v>753</v>
      </c>
      <c r="C168" s="56" t="s">
        <v>82</v>
      </c>
      <c r="D168" s="57"/>
      <c r="E168" s="42"/>
      <c r="F168" s="42"/>
      <c r="G168" s="42"/>
      <c r="H168" s="42"/>
      <c r="I168" s="42"/>
      <c r="J168" s="42"/>
      <c r="K168" s="42"/>
      <c r="L168" s="42"/>
      <c r="M168" s="43"/>
      <c r="N168" s="43"/>
      <c r="O168" s="86"/>
      <c r="P168" s="214" t="s">
        <v>547</v>
      </c>
    </row>
    <row r="169" spans="1:16" ht="13.5" customHeight="1">
      <c r="A169" s="3812"/>
      <c r="B169" s="1961" t="s">
        <v>10</v>
      </c>
      <c r="C169" s="1231"/>
      <c r="D169" s="726">
        <f>+D170+D173</f>
        <v>16396975</v>
      </c>
      <c r="E169" s="1578">
        <f t="shared" ref="E169" si="106">+E170+E173</f>
        <v>1591</v>
      </c>
      <c r="F169" s="1578">
        <f>+F170+F173</f>
        <v>1891948</v>
      </c>
      <c r="G169" s="1578">
        <f>+G170+G173</f>
        <v>14503436</v>
      </c>
      <c r="H169" s="1578"/>
      <c r="I169" s="1578"/>
      <c r="J169" s="1578"/>
      <c r="K169" s="1578"/>
      <c r="L169" s="1578"/>
      <c r="M169" s="1570">
        <f>M170+M173</f>
        <v>16395384</v>
      </c>
      <c r="N169" s="1570">
        <f>N170+N173</f>
        <v>14503436</v>
      </c>
      <c r="O169" s="3824" t="s">
        <v>87</v>
      </c>
      <c r="P169" s="401"/>
    </row>
    <row r="170" spans="1:16" ht="13.5" customHeight="1">
      <c r="A170" s="3812"/>
      <c r="B170" s="1986" t="s">
        <v>24</v>
      </c>
      <c r="C170" s="3818" t="s">
        <v>85</v>
      </c>
      <c r="D170" s="583">
        <f>+D171+D172</f>
        <v>2866682</v>
      </c>
      <c r="E170" s="583">
        <f t="shared" ref="E170" si="107">+E171+E172</f>
        <v>239</v>
      </c>
      <c r="F170" s="583">
        <f>+F171+F172</f>
        <v>362939</v>
      </c>
      <c r="G170" s="583">
        <f>+G171+G172</f>
        <v>2503504</v>
      </c>
      <c r="H170" s="583"/>
      <c r="I170" s="583"/>
      <c r="J170" s="583"/>
      <c r="K170" s="583"/>
      <c r="L170" s="583"/>
      <c r="M170" s="520">
        <f>M171+M172</f>
        <v>2866443</v>
      </c>
      <c r="N170" s="520">
        <f>N171+N172</f>
        <v>2503504</v>
      </c>
      <c r="O170" s="3824"/>
      <c r="P170" s="3857"/>
    </row>
    <row r="171" spans="1:16">
      <c r="A171" s="3812"/>
      <c r="B171" s="1987" t="s">
        <v>12</v>
      </c>
      <c r="C171" s="3828"/>
      <c r="D171" s="704">
        <f>E171+F171+G171+H171+I171+J171+K171+L171</f>
        <v>2636229</v>
      </c>
      <c r="E171" s="719">
        <v>239</v>
      </c>
      <c r="F171" s="719">
        <f>2821000+15000-1954801-48563-304636-41551-203290</f>
        <v>283159</v>
      </c>
      <c r="G171" s="719">
        <f>2016162+18262+304636-188902+202673</f>
        <v>2352831</v>
      </c>
      <c r="H171" s="719"/>
      <c r="I171" s="719"/>
      <c r="J171" s="719"/>
      <c r="K171" s="719"/>
      <c r="L171" s="719"/>
      <c r="M171" s="727">
        <f>SUM(F171:K171)</f>
        <v>2635990</v>
      </c>
      <c r="N171" s="727">
        <f>SUM(G171:L171)</f>
        <v>2352831</v>
      </c>
      <c r="O171" s="3824"/>
      <c r="P171" s="3857"/>
    </row>
    <row r="172" spans="1:16" ht="10.5" customHeight="1">
      <c r="A172" s="3812"/>
      <c r="B172" s="1114" t="s">
        <v>15</v>
      </c>
      <c r="C172" s="3828"/>
      <c r="D172" s="704">
        <f>SUM(E172:I172)</f>
        <v>230453</v>
      </c>
      <c r="E172" s="1592">
        <v>0</v>
      </c>
      <c r="F172" s="734">
        <f>79781-1</f>
        <v>79780</v>
      </c>
      <c r="G172" s="734">
        <v>150673</v>
      </c>
      <c r="H172" s="734"/>
      <c r="I172" s="734"/>
      <c r="J172" s="1580"/>
      <c r="K172" s="1580"/>
      <c r="L172" s="1580"/>
      <c r="M172" s="727">
        <f>SUM(F172:K172)</f>
        <v>230453</v>
      </c>
      <c r="N172" s="727">
        <f>SUM(G172:L172)</f>
        <v>150673</v>
      </c>
      <c r="O172" s="3824"/>
      <c r="P172" s="3857"/>
    </row>
    <row r="173" spans="1:16" ht="12.75" customHeight="1">
      <c r="A173" s="3812"/>
      <c r="B173" s="1988" t="s">
        <v>18</v>
      </c>
      <c r="C173" s="3828"/>
      <c r="D173" s="521">
        <f>+D174</f>
        <v>13530293</v>
      </c>
      <c r="E173" s="1579">
        <f t="shared" ref="E173:G173" si="108">+E174</f>
        <v>1352</v>
      </c>
      <c r="F173" s="1579">
        <f t="shared" si="108"/>
        <v>1529009</v>
      </c>
      <c r="G173" s="1579">
        <f t="shared" si="108"/>
        <v>11999932</v>
      </c>
      <c r="H173" s="1579"/>
      <c r="I173" s="1579"/>
      <c r="J173" s="521"/>
      <c r="K173" s="521"/>
      <c r="L173" s="521"/>
      <c r="M173" s="520">
        <f>M174</f>
        <v>13528941</v>
      </c>
      <c r="N173" s="520">
        <f>N174</f>
        <v>11999932</v>
      </c>
      <c r="O173" s="3824"/>
      <c r="P173" s="3857"/>
    </row>
    <row r="174" spans="1:16">
      <c r="A174" s="3812"/>
      <c r="B174" s="1987" t="s">
        <v>21</v>
      </c>
      <c r="C174" s="3890"/>
      <c r="D174" s="1582">
        <f>E174+F174+G174+H174+I174+J174+K174+L174</f>
        <v>13530293</v>
      </c>
      <c r="E174" s="719">
        <v>1352</v>
      </c>
      <c r="F174" s="719">
        <f>15079000+85000-11487872+534253-1388381-117724-1175267</f>
        <v>1529009</v>
      </c>
      <c r="G174" s="719">
        <f>11424920-705956+1388381-1279186+1171773</f>
        <v>11999932</v>
      </c>
      <c r="H174" s="1580"/>
      <c r="I174" s="1580"/>
      <c r="J174" s="573"/>
      <c r="K174" s="573"/>
      <c r="L174" s="573"/>
      <c r="M174" s="727">
        <f>SUM(F174:K174)</f>
        <v>13528941</v>
      </c>
      <c r="N174" s="727">
        <f>SUM(G174:L174)</f>
        <v>11999932</v>
      </c>
      <c r="O174" s="3836"/>
      <c r="P174" s="3857"/>
    </row>
    <row r="175" spans="1:16">
      <c r="A175" s="3813"/>
      <c r="B175" s="90" t="s">
        <v>22</v>
      </c>
      <c r="C175" s="87"/>
      <c r="D175" s="96">
        <f t="shared" ref="D175" si="109">+D176+D178</f>
        <v>13760746</v>
      </c>
      <c r="E175" s="215">
        <f>+E176+E178</f>
        <v>0</v>
      </c>
      <c r="F175" s="215">
        <f>+F176+F178</f>
        <v>700892</v>
      </c>
      <c r="G175" s="215">
        <f>+G176+G178</f>
        <v>13059854</v>
      </c>
      <c r="H175" s="215"/>
      <c r="I175" s="215"/>
      <c r="J175" s="215"/>
      <c r="K175" s="215"/>
      <c r="L175" s="215"/>
      <c r="M175" s="3902" t="s">
        <v>23</v>
      </c>
      <c r="N175" s="3902" t="s">
        <v>23</v>
      </c>
      <c r="O175" s="3891" t="s">
        <v>103</v>
      </c>
    </row>
    <row r="176" spans="1:16" ht="13.5" customHeight="1">
      <c r="A176" s="3813"/>
      <c r="B176" s="731" t="s">
        <v>24</v>
      </c>
      <c r="C176" s="3886" t="s">
        <v>685</v>
      </c>
      <c r="D176" s="50">
        <f>+D177</f>
        <v>230453</v>
      </c>
      <c r="E176" s="50">
        <v>0</v>
      </c>
      <c r="F176" s="50">
        <f>F177</f>
        <v>79780</v>
      </c>
      <c r="G176" s="50">
        <f>G177</f>
        <v>150673</v>
      </c>
      <c r="H176" s="50"/>
      <c r="I176" s="50"/>
      <c r="J176" s="50"/>
      <c r="K176" s="50"/>
      <c r="L176" s="50"/>
      <c r="M176" s="3896"/>
      <c r="N176" s="3896"/>
      <c r="O176" s="3892"/>
    </row>
    <row r="177" spans="1:16" ht="13.5" customHeight="1">
      <c r="A177" s="3813"/>
      <c r="B177" s="1593" t="s">
        <v>15</v>
      </c>
      <c r="C177" s="3887"/>
      <c r="D177" s="704">
        <f>SUM(E177:I177)</f>
        <v>230453</v>
      </c>
      <c r="E177" s="1577">
        <v>0</v>
      </c>
      <c r="F177" s="1577">
        <f>79781-1</f>
        <v>79780</v>
      </c>
      <c r="G177" s="1577">
        <v>150673</v>
      </c>
      <c r="H177" s="1577"/>
      <c r="I177" s="1577"/>
      <c r="J177" s="1577"/>
      <c r="K177" s="1577"/>
      <c r="L177" s="1577"/>
      <c r="M177" s="3896"/>
      <c r="N177" s="3896"/>
      <c r="O177" s="3892"/>
    </row>
    <row r="178" spans="1:16" ht="12" customHeight="1">
      <c r="A178" s="3813"/>
      <c r="B178" s="1589" t="s">
        <v>18</v>
      </c>
      <c r="C178" s="3887"/>
      <c r="D178" s="521">
        <f t="shared" ref="D178:G178" si="110">+D179</f>
        <v>13530293</v>
      </c>
      <c r="E178" s="1579">
        <f t="shared" si="110"/>
        <v>0</v>
      </c>
      <c r="F178" s="1579">
        <f t="shared" si="110"/>
        <v>621112</v>
      </c>
      <c r="G178" s="1579">
        <f t="shared" si="110"/>
        <v>12909181</v>
      </c>
      <c r="H178" s="1579"/>
      <c r="I178" s="1579"/>
      <c r="J178" s="1579"/>
      <c r="K178" s="1579"/>
      <c r="L178" s="1579"/>
      <c r="M178" s="3896"/>
      <c r="N178" s="3896"/>
      <c r="O178" s="3892"/>
    </row>
    <row r="179" spans="1:16" ht="13.5" customHeight="1" thickBot="1">
      <c r="A179" s="3814"/>
      <c r="B179" s="595" t="s">
        <v>21</v>
      </c>
      <c r="C179" s="3888"/>
      <c r="D179" s="1896">
        <f>E179+F179+G179+H179+I179+J179+K179+L179</f>
        <v>13530293</v>
      </c>
      <c r="E179" s="1896">
        <v>0</v>
      </c>
      <c r="F179" s="1371">
        <f>14164000-10486520+534253-1388381-2193352-8888</f>
        <v>621112</v>
      </c>
      <c r="G179" s="1371">
        <f>1000000+10424920-705956+1388381+796442+5394</f>
        <v>12909181</v>
      </c>
      <c r="H179" s="1371"/>
      <c r="I179" s="1371"/>
      <c r="J179" s="1371"/>
      <c r="K179" s="1371"/>
      <c r="L179" s="1371"/>
      <c r="M179" s="3897"/>
      <c r="N179" s="3897"/>
      <c r="O179" s="3893"/>
    </row>
    <row r="180" spans="1:16" ht="24">
      <c r="A180" s="3811" t="s">
        <v>67</v>
      </c>
      <c r="B180" s="71" t="s">
        <v>656</v>
      </c>
      <c r="C180" s="56" t="s">
        <v>82</v>
      </c>
      <c r="D180" s="57"/>
      <c r="E180" s="42"/>
      <c r="F180" s="42"/>
      <c r="G180" s="42"/>
      <c r="H180" s="42"/>
      <c r="I180" s="42"/>
      <c r="J180" s="42"/>
      <c r="K180" s="42"/>
      <c r="L180" s="42"/>
      <c r="M180" s="43"/>
      <c r="N180" s="43"/>
      <c r="O180" s="86"/>
      <c r="P180" s="214" t="s">
        <v>316</v>
      </c>
    </row>
    <row r="181" spans="1:16">
      <c r="A181" s="3812"/>
      <c r="B181" s="534" t="s">
        <v>10</v>
      </c>
      <c r="C181" s="445"/>
      <c r="D181" s="726">
        <f>+D182+D185</f>
        <v>52780964</v>
      </c>
      <c r="E181" s="1578">
        <f>+E182+E185</f>
        <v>0</v>
      </c>
      <c r="F181" s="1578">
        <f>+F182+F185</f>
        <v>14408172</v>
      </c>
      <c r="G181" s="1578">
        <f>+G182+G185</f>
        <v>38372792</v>
      </c>
      <c r="H181" s="1578"/>
      <c r="I181" s="1578"/>
      <c r="J181" s="1578"/>
      <c r="K181" s="1578"/>
      <c r="L181" s="1578"/>
      <c r="M181" s="1570">
        <f>M182+M185</f>
        <v>52780964</v>
      </c>
      <c r="N181" s="1570">
        <f>N182+N185</f>
        <v>38372792</v>
      </c>
      <c r="O181" s="3824" t="s">
        <v>87</v>
      </c>
      <c r="P181" s="401"/>
    </row>
    <row r="182" spans="1:16" ht="13.5" customHeight="1">
      <c r="A182" s="3812"/>
      <c r="B182" s="513" t="s">
        <v>24</v>
      </c>
      <c r="C182" s="3818" t="s">
        <v>85</v>
      </c>
      <c r="D182" s="583">
        <f>+D183+D184</f>
        <v>10467145</v>
      </c>
      <c r="E182" s="583">
        <f>+E183+E184</f>
        <v>0</v>
      </c>
      <c r="F182" s="583">
        <f>+F183+F184</f>
        <v>2611259</v>
      </c>
      <c r="G182" s="583">
        <f>+G183+G184</f>
        <v>7855886</v>
      </c>
      <c r="H182" s="583"/>
      <c r="I182" s="583"/>
      <c r="J182" s="583"/>
      <c r="K182" s="583"/>
      <c r="L182" s="583"/>
      <c r="M182" s="520">
        <f>M183</f>
        <v>10467145</v>
      </c>
      <c r="N182" s="520">
        <f>N183</f>
        <v>7855886</v>
      </c>
      <c r="O182" s="3824"/>
      <c r="P182" s="401"/>
    </row>
    <row r="183" spans="1:16">
      <c r="A183" s="3812"/>
      <c r="B183" s="733" t="s">
        <v>12</v>
      </c>
      <c r="C183" s="3828"/>
      <c r="D183" s="704">
        <f>E183+F183+G183+H183+I183+J183+K183+L183</f>
        <v>10467145</v>
      </c>
      <c r="E183" s="719">
        <v>0</v>
      </c>
      <c r="F183" s="719">
        <f>4500000-1204062+1962312-2646991</f>
        <v>2611259</v>
      </c>
      <c r="G183" s="719">
        <f>4215000+1785000+1171207-1962312+2646991</f>
        <v>7855886</v>
      </c>
      <c r="H183" s="719"/>
      <c r="I183" s="719"/>
      <c r="J183" s="719"/>
      <c r="K183" s="719"/>
      <c r="L183" s="719"/>
      <c r="M183" s="727">
        <f>SUM(F183:K183)</f>
        <v>10467145</v>
      </c>
      <c r="N183" s="727">
        <f>SUM(G183:L183)</f>
        <v>7855886</v>
      </c>
      <c r="O183" s="3824"/>
      <c r="P183" s="401"/>
    </row>
    <row r="184" spans="1:16" ht="10.5" hidden="1" customHeight="1">
      <c r="A184" s="3812"/>
      <c r="B184" s="1114" t="s">
        <v>15</v>
      </c>
      <c r="C184" s="3828"/>
      <c r="D184" s="704">
        <f>SUM(E184:I184)</f>
        <v>0</v>
      </c>
      <c r="E184" s="1592">
        <v>0</v>
      </c>
      <c r="F184" s="734"/>
      <c r="G184" s="734"/>
      <c r="H184" s="734"/>
      <c r="I184" s="734"/>
      <c r="J184" s="189"/>
      <c r="K184" s="189"/>
      <c r="L184" s="189"/>
      <c r="M184" s="66"/>
      <c r="N184" s="66"/>
      <c r="O184" s="3824"/>
    </row>
    <row r="185" spans="1:16" ht="12.75" customHeight="1">
      <c r="A185" s="3812"/>
      <c r="B185" s="729" t="s">
        <v>18</v>
      </c>
      <c r="C185" s="3828"/>
      <c r="D185" s="521">
        <f>+D186</f>
        <v>42313819</v>
      </c>
      <c r="E185" s="1579">
        <f t="shared" ref="E185:G185" si="111">+E186</f>
        <v>0</v>
      </c>
      <c r="F185" s="1579">
        <f t="shared" si="111"/>
        <v>11796913</v>
      </c>
      <c r="G185" s="1579">
        <f t="shared" si="111"/>
        <v>30516906</v>
      </c>
      <c r="H185" s="1579"/>
      <c r="I185" s="1579"/>
      <c r="J185" s="521"/>
      <c r="K185" s="521"/>
      <c r="L185" s="521"/>
      <c r="M185" s="520">
        <f>M186</f>
        <v>42313819</v>
      </c>
      <c r="N185" s="520">
        <f>N186</f>
        <v>30516906</v>
      </c>
      <c r="O185" s="3824"/>
    </row>
    <row r="186" spans="1:16">
      <c r="A186" s="3812"/>
      <c r="B186" s="733" t="s">
        <v>21</v>
      </c>
      <c r="C186" s="3890"/>
      <c r="D186" s="1582">
        <f>E186+F186+G186+H186+I186+J186+K186+L186</f>
        <v>42313819</v>
      </c>
      <c r="E186" s="719">
        <v>0</v>
      </c>
      <c r="F186" s="719">
        <f>38250000+85000-21335000+1110315-5313565-999837</f>
        <v>11796913</v>
      </c>
      <c r="G186" s="719">
        <f>13685000+11815000-1296496+5313565+999837</f>
        <v>30516906</v>
      </c>
      <c r="H186" s="1580"/>
      <c r="I186" s="1580"/>
      <c r="J186" s="573"/>
      <c r="K186" s="573"/>
      <c r="L186" s="573"/>
      <c r="M186" s="727">
        <f>SUM(F186:K186)</f>
        <v>42313819</v>
      </c>
      <c r="N186" s="727">
        <f>SUM(G186:L186)</f>
        <v>30516906</v>
      </c>
      <c r="O186" s="3836"/>
    </row>
    <row r="187" spans="1:16" ht="11.25" customHeight="1">
      <c r="A187" s="3813"/>
      <c r="B187" s="90" t="s">
        <v>22</v>
      </c>
      <c r="C187" s="87"/>
      <c r="D187" s="96">
        <f t="shared" ref="D187:E187" si="112">+D188+D190</f>
        <v>42313819</v>
      </c>
      <c r="E187" s="215">
        <f t="shared" si="112"/>
        <v>0</v>
      </c>
      <c r="F187" s="215">
        <f>+F188+F190</f>
        <v>0</v>
      </c>
      <c r="G187" s="215">
        <f>+G188+G190</f>
        <v>42313819</v>
      </c>
      <c r="H187" s="215"/>
      <c r="I187" s="215"/>
      <c r="J187" s="215"/>
      <c r="K187" s="215"/>
      <c r="L187" s="215"/>
      <c r="M187" s="3902" t="s">
        <v>23</v>
      </c>
      <c r="N187" s="3902" t="s">
        <v>23</v>
      </c>
      <c r="O187" s="3891" t="s">
        <v>103</v>
      </c>
    </row>
    <row r="188" spans="1:16" ht="13.5" hidden="1" customHeight="1">
      <c r="A188" s="3813"/>
      <c r="B188" s="731" t="s">
        <v>24</v>
      </c>
      <c r="C188" s="3886" t="s">
        <v>239</v>
      </c>
      <c r="D188" s="50">
        <f>+D189</f>
        <v>0</v>
      </c>
      <c r="E188" s="244">
        <v>0</v>
      </c>
      <c r="F188" s="50"/>
      <c r="G188" s="50"/>
      <c r="H188" s="50"/>
      <c r="I188" s="50"/>
      <c r="J188" s="50"/>
      <c r="K188" s="50"/>
      <c r="L188" s="50"/>
      <c r="M188" s="3896"/>
      <c r="N188" s="3896"/>
      <c r="O188" s="3892"/>
    </row>
    <row r="189" spans="1:16" ht="13.5" hidden="1" customHeight="1">
      <c r="A189" s="3813"/>
      <c r="B189" s="89" t="s">
        <v>15</v>
      </c>
      <c r="C189" s="3887"/>
      <c r="D189" s="704">
        <f>SUM(E189:I189)</f>
        <v>0</v>
      </c>
      <c r="E189" s="1594">
        <v>0</v>
      </c>
      <c r="F189" s="1577"/>
      <c r="G189" s="1577"/>
      <c r="H189" s="1577"/>
      <c r="I189" s="1577"/>
      <c r="J189" s="1577"/>
      <c r="K189" s="1577"/>
      <c r="L189" s="1577"/>
      <c r="M189" s="3896"/>
      <c r="N189" s="3896"/>
      <c r="O189" s="3892"/>
    </row>
    <row r="190" spans="1:16" ht="12" customHeight="1">
      <c r="A190" s="3813"/>
      <c r="B190" s="1589" t="s">
        <v>18</v>
      </c>
      <c r="C190" s="3887"/>
      <c r="D190" s="521">
        <f t="shared" ref="D190:G190" si="113">+D191</f>
        <v>42313819</v>
      </c>
      <c r="E190" s="1579">
        <f t="shared" si="113"/>
        <v>0</v>
      </c>
      <c r="F190" s="1579">
        <f t="shared" si="113"/>
        <v>0</v>
      </c>
      <c r="G190" s="1579">
        <f t="shared" si="113"/>
        <v>42313819</v>
      </c>
      <c r="H190" s="1579"/>
      <c r="I190" s="1579"/>
      <c r="J190" s="1579"/>
      <c r="K190" s="1579"/>
      <c r="L190" s="1579"/>
      <c r="M190" s="3896"/>
      <c r="N190" s="3896"/>
      <c r="O190" s="3892"/>
    </row>
    <row r="191" spans="1:16" ht="13.5" customHeight="1" thickBot="1">
      <c r="A191" s="3814"/>
      <c r="B191" s="732" t="s">
        <v>21</v>
      </c>
      <c r="C191" s="3888"/>
      <c r="D191" s="1429">
        <f>E191+F191+G191+H191+I191+J191+K191+L191</f>
        <v>42313819</v>
      </c>
      <c r="E191" s="1429">
        <v>0</v>
      </c>
      <c r="F191" s="1371">
        <f>38335000-21335000+1110315-18110315</f>
        <v>0</v>
      </c>
      <c r="G191" s="1371">
        <f>13685000+11815000-1296496+18110315</f>
        <v>42313819</v>
      </c>
      <c r="H191" s="1371"/>
      <c r="I191" s="1371"/>
      <c r="J191" s="1371"/>
      <c r="K191" s="1371"/>
      <c r="L191" s="1371"/>
      <c r="M191" s="3897"/>
      <c r="N191" s="3897"/>
      <c r="O191" s="3893"/>
    </row>
    <row r="192" spans="1:16" ht="24.75" hidden="1" customHeight="1">
      <c r="A192" s="3811" t="s">
        <v>116</v>
      </c>
      <c r="B192" s="71"/>
      <c r="C192" s="56" t="s">
        <v>82</v>
      </c>
      <c r="D192" s="57"/>
      <c r="E192" s="42"/>
      <c r="F192" s="42"/>
      <c r="G192" s="42"/>
      <c r="H192" s="42"/>
      <c r="I192" s="42"/>
      <c r="J192" s="42"/>
      <c r="K192" s="42"/>
      <c r="L192" s="42"/>
      <c r="M192" s="43"/>
      <c r="N192" s="43"/>
      <c r="O192" s="86"/>
    </row>
    <row r="193" spans="1:16" hidden="1">
      <c r="A193" s="3812"/>
      <c r="B193" s="534" t="s">
        <v>10</v>
      </c>
      <c r="C193" s="585"/>
      <c r="D193" s="726">
        <f>+D194+D197</f>
        <v>0</v>
      </c>
      <c r="E193" s="561">
        <f t="shared" ref="E193" si="114">+E194+E197</f>
        <v>0</v>
      </c>
      <c r="F193" s="561">
        <f>+F194+F197</f>
        <v>0</v>
      </c>
      <c r="G193" s="561">
        <f>+G194+G197</f>
        <v>0</v>
      </c>
      <c r="H193" s="561"/>
      <c r="I193" s="561"/>
      <c r="J193" s="561"/>
      <c r="K193" s="561"/>
      <c r="L193" s="561"/>
      <c r="M193" s="712">
        <f>M194+M197</f>
        <v>0</v>
      </c>
      <c r="N193" s="712">
        <f>N194+N197</f>
        <v>0</v>
      </c>
      <c r="O193" s="3824" t="s">
        <v>87</v>
      </c>
      <c r="P193" s="401"/>
    </row>
    <row r="194" spans="1:16" ht="13.5" hidden="1" customHeight="1">
      <c r="A194" s="3812"/>
      <c r="B194" s="513" t="s">
        <v>24</v>
      </c>
      <c r="C194" s="3818" t="s">
        <v>85</v>
      </c>
      <c r="D194" s="583">
        <f>+D195+D196</f>
        <v>0</v>
      </c>
      <c r="E194" s="583">
        <f t="shared" ref="E194" si="115">+E195+E196</f>
        <v>0</v>
      </c>
      <c r="F194" s="583">
        <f>+F195+F196</f>
        <v>0</v>
      </c>
      <c r="G194" s="583">
        <f>+G195+G196</f>
        <v>0</v>
      </c>
      <c r="H194" s="583"/>
      <c r="I194" s="583"/>
      <c r="J194" s="583"/>
      <c r="K194" s="583"/>
      <c r="L194" s="583"/>
      <c r="M194" s="520">
        <f>M195</f>
        <v>0</v>
      </c>
      <c r="N194" s="520">
        <f>N195</f>
        <v>0</v>
      </c>
      <c r="O194" s="3824"/>
      <c r="P194" s="401"/>
    </row>
    <row r="195" spans="1:16" ht="11.25" hidden="1" customHeight="1">
      <c r="A195" s="3812"/>
      <c r="B195" s="733" t="s">
        <v>12</v>
      </c>
      <c r="C195" s="3828"/>
      <c r="D195" s="226">
        <f>E195+F195+G195+H195+I195+J195+K195+L195</f>
        <v>0</v>
      </c>
      <c r="E195" s="249"/>
      <c r="F195" s="719"/>
      <c r="G195" s="719"/>
      <c r="H195" s="719"/>
      <c r="I195" s="719"/>
      <c r="J195" s="719"/>
      <c r="K195" s="719"/>
      <c r="L195" s="719"/>
      <c r="M195" s="727">
        <f>SUM(F195:K195)</f>
        <v>0</v>
      </c>
      <c r="N195" s="727">
        <f>SUM(G195:L195)</f>
        <v>0</v>
      </c>
      <c r="O195" s="3824"/>
      <c r="P195" s="401"/>
    </row>
    <row r="196" spans="1:16" ht="10.5" hidden="1" customHeight="1">
      <c r="A196" s="3812"/>
      <c r="B196" s="1114" t="s">
        <v>15</v>
      </c>
      <c r="C196" s="3828"/>
      <c r="D196" s="704">
        <f>SUM(E196:I196)</f>
        <v>0</v>
      </c>
      <c r="E196" s="1592">
        <v>0</v>
      </c>
      <c r="F196" s="734"/>
      <c r="G196" s="734"/>
      <c r="H196" s="734"/>
      <c r="I196" s="734"/>
      <c r="J196" s="189"/>
      <c r="K196" s="189"/>
      <c r="L196" s="189"/>
      <c r="M196" s="66"/>
      <c r="N196" s="66"/>
      <c r="O196" s="3824"/>
    </row>
    <row r="197" spans="1:16" ht="12.75" hidden="1" customHeight="1">
      <c r="A197" s="3812"/>
      <c r="B197" s="729" t="s">
        <v>18</v>
      </c>
      <c r="C197" s="3828"/>
      <c r="D197" s="521">
        <f>+D198</f>
        <v>0</v>
      </c>
      <c r="E197" s="717">
        <f t="shared" ref="E197:G197" si="116">+E198</f>
        <v>0</v>
      </c>
      <c r="F197" s="717">
        <f t="shared" si="116"/>
        <v>0</v>
      </c>
      <c r="G197" s="717">
        <f t="shared" si="116"/>
        <v>0</v>
      </c>
      <c r="H197" s="717"/>
      <c r="I197" s="717"/>
      <c r="J197" s="521"/>
      <c r="K197" s="521"/>
      <c r="L197" s="521"/>
      <c r="M197" s="520">
        <f>M198</f>
        <v>0</v>
      </c>
      <c r="N197" s="520">
        <f>N198</f>
        <v>0</v>
      </c>
      <c r="O197" s="3824"/>
    </row>
    <row r="198" spans="1:16" ht="12" hidden="1" customHeight="1">
      <c r="A198" s="3812"/>
      <c r="B198" s="733" t="s">
        <v>21</v>
      </c>
      <c r="C198" s="3890"/>
      <c r="D198" s="1262">
        <f>E198+F198+G198+H198+I198+J198+K198+L198</f>
        <v>0</v>
      </c>
      <c r="E198" s="249"/>
      <c r="F198" s="719"/>
      <c r="G198" s="719"/>
      <c r="H198" s="574"/>
      <c r="I198" s="574"/>
      <c r="J198" s="573"/>
      <c r="K198" s="573"/>
      <c r="L198" s="573"/>
      <c r="M198" s="727">
        <f>SUM(F198:K198)</f>
        <v>0</v>
      </c>
      <c r="N198" s="727">
        <f>SUM(G198:L198)</f>
        <v>0</v>
      </c>
      <c r="O198" s="3836"/>
    </row>
    <row r="199" spans="1:16" hidden="1">
      <c r="A199" s="3813"/>
      <c r="B199" s="90" t="s">
        <v>22</v>
      </c>
      <c r="C199" s="87"/>
      <c r="D199" s="96">
        <f t="shared" ref="D199" si="117">+D200+D202</f>
        <v>0</v>
      </c>
      <c r="E199" s="215">
        <f t="shared" ref="E199" si="118">+E200+E202</f>
        <v>0</v>
      </c>
      <c r="F199" s="215">
        <f>+F200+F202</f>
        <v>0</v>
      </c>
      <c r="G199" s="215">
        <f>+G200+G202</f>
        <v>0</v>
      </c>
      <c r="H199" s="215"/>
      <c r="I199" s="215"/>
      <c r="J199" s="215"/>
      <c r="K199" s="215"/>
      <c r="L199" s="215"/>
      <c r="M199" s="3902" t="s">
        <v>23</v>
      </c>
      <c r="N199" s="3902" t="s">
        <v>23</v>
      </c>
      <c r="O199" s="3891" t="s">
        <v>103</v>
      </c>
    </row>
    <row r="200" spans="1:16" hidden="1">
      <c r="A200" s="3813"/>
      <c r="B200" s="731" t="s">
        <v>24</v>
      </c>
      <c r="C200" s="3886" t="s">
        <v>239</v>
      </c>
      <c r="D200" s="50">
        <f>+D201</f>
        <v>0</v>
      </c>
      <c r="E200" s="50">
        <f t="shared" ref="E200" si="119">+E201</f>
        <v>0</v>
      </c>
      <c r="F200" s="50"/>
      <c r="G200" s="50"/>
      <c r="H200" s="50"/>
      <c r="I200" s="50"/>
      <c r="J200" s="50"/>
      <c r="K200" s="50"/>
      <c r="L200" s="50"/>
      <c r="M200" s="3896"/>
      <c r="N200" s="3896"/>
      <c r="O200" s="3892"/>
    </row>
    <row r="201" spans="1:16" hidden="1">
      <c r="A201" s="3813"/>
      <c r="B201" s="89" t="s">
        <v>15</v>
      </c>
      <c r="C201" s="3887"/>
      <c r="D201" s="704">
        <f>SUM(E201:I201)</f>
        <v>0</v>
      </c>
      <c r="E201" s="716">
        <v>0</v>
      </c>
      <c r="F201" s="716"/>
      <c r="G201" s="716"/>
      <c r="H201" s="716"/>
      <c r="I201" s="716"/>
      <c r="J201" s="716"/>
      <c r="K201" s="716"/>
      <c r="L201" s="716"/>
      <c r="M201" s="3896"/>
      <c r="N201" s="3896"/>
      <c r="O201" s="3892"/>
    </row>
    <row r="202" spans="1:16" ht="12" hidden="1" customHeight="1">
      <c r="A202" s="3813"/>
      <c r="B202" s="1589" t="s">
        <v>18</v>
      </c>
      <c r="C202" s="3887"/>
      <c r="D202" s="521">
        <f t="shared" ref="D202:G202" si="120">+D203</f>
        <v>0</v>
      </c>
      <c r="E202" s="717">
        <f t="shared" si="120"/>
        <v>0</v>
      </c>
      <c r="F202" s="717">
        <f t="shared" si="120"/>
        <v>0</v>
      </c>
      <c r="G202" s="717">
        <f t="shared" si="120"/>
        <v>0</v>
      </c>
      <c r="H202" s="717"/>
      <c r="I202" s="717"/>
      <c r="J202" s="717"/>
      <c r="K202" s="717"/>
      <c r="L202" s="717"/>
      <c r="M202" s="3896"/>
      <c r="N202" s="3896"/>
      <c r="O202" s="3892"/>
    </row>
    <row r="203" spans="1:16" ht="13.5" hidden="1" thickBot="1">
      <c r="A203" s="3814"/>
      <c r="B203" s="732" t="s">
        <v>21</v>
      </c>
      <c r="C203" s="3888"/>
      <c r="D203" s="226">
        <f>E203+F203+G203+H203+I203+J203+K203+L203</f>
        <v>0</v>
      </c>
      <c r="E203" s="249">
        <v>0</v>
      </c>
      <c r="F203" s="425"/>
      <c r="G203" s="425"/>
      <c r="H203" s="425"/>
      <c r="I203" s="425"/>
      <c r="J203" s="425"/>
      <c r="K203" s="425"/>
      <c r="L203" s="425"/>
      <c r="M203" s="3897"/>
      <c r="N203" s="3897"/>
      <c r="O203" s="3893"/>
    </row>
    <row r="204" spans="1:16" ht="24.75" customHeight="1">
      <c r="A204" s="3811" t="s">
        <v>116</v>
      </c>
      <c r="B204" s="370" t="s">
        <v>657</v>
      </c>
      <c r="C204" s="56" t="s">
        <v>82</v>
      </c>
      <c r="D204" s="594"/>
      <c r="E204" s="42"/>
      <c r="F204" s="42"/>
      <c r="G204" s="42"/>
      <c r="H204" s="42"/>
      <c r="I204" s="42"/>
      <c r="J204" s="42"/>
      <c r="K204" s="42"/>
      <c r="L204" s="42"/>
      <c r="M204" s="43"/>
      <c r="N204" s="43"/>
      <c r="O204" s="3823" t="s">
        <v>87</v>
      </c>
    </row>
    <row r="205" spans="1:16">
      <c r="A205" s="3812"/>
      <c r="B205" s="427" t="s">
        <v>10</v>
      </c>
      <c r="C205" s="1595"/>
      <c r="D205" s="1265">
        <f>+D206+D209</f>
        <v>21750655</v>
      </c>
      <c r="E205" s="1265">
        <f t="shared" ref="E205" si="121">+E206+E209</f>
        <v>598614</v>
      </c>
      <c r="F205" s="1265">
        <f t="shared" ref="F205:G205" si="122">+F206+F209</f>
        <v>2091120</v>
      </c>
      <c r="G205" s="1265">
        <f t="shared" si="122"/>
        <v>19060921</v>
      </c>
      <c r="H205" s="1265"/>
      <c r="I205" s="1265"/>
      <c r="J205" s="1265"/>
      <c r="K205" s="1265"/>
      <c r="L205" s="1265"/>
      <c r="M205" s="1596">
        <f>+M206+M209</f>
        <v>21152041</v>
      </c>
      <c r="N205" s="1596">
        <f>+N206+N209</f>
        <v>19060921</v>
      </c>
      <c r="O205" s="3824"/>
      <c r="P205" s="214" t="s">
        <v>494</v>
      </c>
    </row>
    <row r="206" spans="1:16" ht="13.5" customHeight="1">
      <c r="A206" s="3812"/>
      <c r="B206" s="538" t="s">
        <v>24</v>
      </c>
      <c r="C206" s="3936" t="s">
        <v>85</v>
      </c>
      <c r="D206" s="1266">
        <f>+D207+D208</f>
        <v>6901840</v>
      </c>
      <c r="E206" s="1266">
        <f t="shared" ref="E206" si="123">+E207</f>
        <v>598614</v>
      </c>
      <c r="F206" s="1266">
        <f>+F207+F208</f>
        <v>1120337</v>
      </c>
      <c r="G206" s="1266">
        <f>+G207+G208</f>
        <v>5182889</v>
      </c>
      <c r="H206" s="1266"/>
      <c r="I206" s="1266"/>
      <c r="J206" s="1266"/>
      <c r="K206" s="1266"/>
      <c r="L206" s="1266"/>
      <c r="M206" s="1267">
        <f>+M207+M208</f>
        <v>6303226</v>
      </c>
      <c r="N206" s="1267">
        <f>+N207+N208</f>
        <v>5182889</v>
      </c>
      <c r="O206" s="3824"/>
      <c r="P206" s="401"/>
    </row>
    <row r="207" spans="1:16">
      <c r="A207" s="3812"/>
      <c r="B207" s="581" t="s">
        <v>12</v>
      </c>
      <c r="C207" s="3864"/>
      <c r="D207" s="1159">
        <f>E207+F207+G207+H207+I207+J207+K207+L207</f>
        <v>718614</v>
      </c>
      <c r="E207" s="1206">
        <v>598614</v>
      </c>
      <c r="F207" s="1243">
        <f>2960680-2945680+5000-13764</f>
        <v>6236</v>
      </c>
      <c r="G207" s="1243">
        <v>113764</v>
      </c>
      <c r="H207" s="1243"/>
      <c r="I207" s="1243"/>
      <c r="J207" s="1243"/>
      <c r="K207" s="1243"/>
      <c r="L207" s="1243"/>
      <c r="M207" s="727">
        <f>SUM(F207:K207)</f>
        <v>120000</v>
      </c>
      <c r="N207" s="727">
        <f>SUM(G207:L207)</f>
        <v>113764</v>
      </c>
      <c r="O207" s="3824"/>
    </row>
    <row r="208" spans="1:16">
      <c r="A208" s="3812"/>
      <c r="B208" s="1597" t="s">
        <v>15</v>
      </c>
      <c r="C208" s="3864"/>
      <c r="D208" s="1159">
        <f>E208+F208+G208+H208+I208+J208+K208+L208</f>
        <v>6183226</v>
      </c>
      <c r="E208" s="1206">
        <v>0</v>
      </c>
      <c r="F208" s="742">
        <f>4895843-1267664-2000000-514078</f>
        <v>1114101</v>
      </c>
      <c r="G208" s="742">
        <f>4774157+1267664-1486774+514078</f>
        <v>5069125</v>
      </c>
      <c r="H208" s="742"/>
      <c r="I208" s="742"/>
      <c r="J208" s="742"/>
      <c r="K208" s="742"/>
      <c r="L208" s="742"/>
      <c r="M208" s="727">
        <f>SUM(F208:K208)</f>
        <v>6183226</v>
      </c>
      <c r="N208" s="727">
        <f>SUM(G208:L208)</f>
        <v>5069125</v>
      </c>
      <c r="O208" s="3824"/>
    </row>
    <row r="209" spans="1:17" ht="13.5" customHeight="1">
      <c r="A209" s="3812"/>
      <c r="B209" s="540" t="s">
        <v>18</v>
      </c>
      <c r="C209" s="3864"/>
      <c r="D209" s="1234">
        <f>+D210</f>
        <v>14848815</v>
      </c>
      <c r="E209" s="1234">
        <f t="shared" ref="E209:G209" si="124">+E210</f>
        <v>0</v>
      </c>
      <c r="F209" s="1234">
        <f t="shared" si="124"/>
        <v>970783</v>
      </c>
      <c r="G209" s="1234">
        <f t="shared" si="124"/>
        <v>13878032</v>
      </c>
      <c r="H209" s="1234"/>
      <c r="I209" s="1234"/>
      <c r="J209" s="1234"/>
      <c r="K209" s="1234"/>
      <c r="L209" s="1234"/>
      <c r="M209" s="1235">
        <f>+M210</f>
        <v>14848815</v>
      </c>
      <c r="N209" s="1235">
        <f>+N210</f>
        <v>13878032</v>
      </c>
      <c r="O209" s="3824"/>
    </row>
    <row r="210" spans="1:17">
      <c r="A210" s="3812"/>
      <c r="B210" s="1245" t="s">
        <v>21</v>
      </c>
      <c r="C210" s="3865"/>
      <c r="D210" s="1159">
        <f>E210+F210+G210+H210+I210+J210+K210+L210</f>
        <v>14848815</v>
      </c>
      <c r="E210" s="1206">
        <v>0</v>
      </c>
      <c r="F210" s="1243">
        <f>5649157-3777336-901038</f>
        <v>970783</v>
      </c>
      <c r="G210" s="1243">
        <f>14225843+3777336-5026185+901038</f>
        <v>13878032</v>
      </c>
      <c r="H210" s="1243"/>
      <c r="I210" s="1243"/>
      <c r="J210" s="1243"/>
      <c r="K210" s="1243"/>
      <c r="L210" s="1243"/>
      <c r="M210" s="727">
        <f>SUM(F210:K210)</f>
        <v>14848815</v>
      </c>
      <c r="N210" s="727">
        <f>SUM(G210:L210)</f>
        <v>13878032</v>
      </c>
      <c r="O210" s="3836"/>
    </row>
    <row r="211" spans="1:17">
      <c r="A211" s="3812"/>
      <c r="B211" s="427" t="s">
        <v>22</v>
      </c>
      <c r="C211" s="517"/>
      <c r="D211" s="1232">
        <f>+D214+D212</f>
        <v>21032041</v>
      </c>
      <c r="E211" s="1232">
        <f t="shared" ref="E211" si="125">+E214+E212</f>
        <v>0</v>
      </c>
      <c r="F211" s="1232">
        <f t="shared" ref="F211" si="126">+F214+F212</f>
        <v>2985504</v>
      </c>
      <c r="G211" s="1232">
        <f t="shared" ref="G211" si="127">+G214+G212</f>
        <v>18046537</v>
      </c>
      <c r="H211" s="1232"/>
      <c r="I211" s="1232"/>
      <c r="J211" s="1232"/>
      <c r="K211" s="1232"/>
      <c r="L211" s="1232"/>
      <c r="M211" s="3903" t="s">
        <v>23</v>
      </c>
      <c r="N211" s="3903" t="s">
        <v>23</v>
      </c>
      <c r="O211" s="3876" t="s">
        <v>103</v>
      </c>
      <c r="P211" s="401"/>
      <c r="Q211" s="401">
        <v>-1230552</v>
      </c>
    </row>
    <row r="212" spans="1:17" ht="12" customHeight="1">
      <c r="A212" s="3812"/>
      <c r="B212" s="1246" t="s">
        <v>24</v>
      </c>
      <c r="C212" s="3827" t="s">
        <v>684</v>
      </c>
      <c r="D212" s="1234">
        <f>+D213</f>
        <v>6183226</v>
      </c>
      <c r="E212" s="1234">
        <f t="shared" ref="E212:G212" si="128">+E213</f>
        <v>0</v>
      </c>
      <c r="F212" s="1234">
        <f t="shared" si="128"/>
        <v>1114101</v>
      </c>
      <c r="G212" s="1234">
        <f t="shared" si="128"/>
        <v>5069125</v>
      </c>
      <c r="H212" s="1234"/>
      <c r="I212" s="1234"/>
      <c r="J212" s="1234"/>
      <c r="K212" s="1234"/>
      <c r="L212" s="1234"/>
      <c r="M212" s="3852"/>
      <c r="N212" s="3852"/>
      <c r="O212" s="3868"/>
    </row>
    <row r="213" spans="1:17" ht="12" customHeight="1">
      <c r="A213" s="3812"/>
      <c r="B213" s="1257" t="s">
        <v>15</v>
      </c>
      <c r="C213" s="3821"/>
      <c r="D213" s="1159">
        <f>E213+F213+G213+H213+I213+J213+K213+L213</f>
        <v>6183226</v>
      </c>
      <c r="E213" s="1206">
        <v>0</v>
      </c>
      <c r="F213" s="1175">
        <f>4895843-1267664-2000000-514078</f>
        <v>1114101</v>
      </c>
      <c r="G213" s="1175">
        <f>4774157+1267664-1486774+514078</f>
        <v>5069125</v>
      </c>
      <c r="H213" s="1175"/>
      <c r="I213" s="1175"/>
      <c r="J213" s="1175"/>
      <c r="K213" s="1175"/>
      <c r="L213" s="1175"/>
      <c r="M213" s="3852"/>
      <c r="N213" s="3852"/>
      <c r="O213" s="3868"/>
    </row>
    <row r="214" spans="1:17" s="242" customFormat="1">
      <c r="A214" s="3812"/>
      <c r="B214" s="540" t="s">
        <v>18</v>
      </c>
      <c r="C214" s="3821"/>
      <c r="D214" s="1248">
        <f>+D215</f>
        <v>14848815</v>
      </c>
      <c r="E214" s="1248">
        <f t="shared" ref="E214:G214" si="129">+E215</f>
        <v>0</v>
      </c>
      <c r="F214" s="1248">
        <f t="shared" si="129"/>
        <v>1871403</v>
      </c>
      <c r="G214" s="1248">
        <f t="shared" si="129"/>
        <v>12977412</v>
      </c>
      <c r="H214" s="1248"/>
      <c r="I214" s="1248"/>
      <c r="J214" s="1248"/>
      <c r="K214" s="1248"/>
      <c r="L214" s="1248"/>
      <c r="M214" s="3852"/>
      <c r="N214" s="3852"/>
      <c r="O214" s="3868"/>
    </row>
    <row r="215" spans="1:17" s="242" customFormat="1" ht="13.5" thickBot="1">
      <c r="A215" s="3862"/>
      <c r="B215" s="732" t="s">
        <v>21</v>
      </c>
      <c r="C215" s="3822"/>
      <c r="D215" s="701">
        <f>E215+F215+G215+H215+I215+J215+K215+L215</f>
        <v>14848815</v>
      </c>
      <c r="E215" s="701">
        <v>0</v>
      </c>
      <c r="F215" s="422">
        <f>5649157-3777336-418</f>
        <v>1871403</v>
      </c>
      <c r="G215" s="422">
        <f>14225843+3777336-5026185+418</f>
        <v>12977412</v>
      </c>
      <c r="H215" s="422"/>
      <c r="I215" s="422"/>
      <c r="J215" s="422"/>
      <c r="K215" s="422"/>
      <c r="L215" s="422"/>
      <c r="M215" s="3853"/>
      <c r="N215" s="3853"/>
      <c r="O215" s="3869"/>
    </row>
    <row r="216" spans="1:17" ht="36.75" customHeight="1">
      <c r="A216" s="3811" t="s">
        <v>88</v>
      </c>
      <c r="B216" s="370" t="s">
        <v>751</v>
      </c>
      <c r="C216" s="56" t="s">
        <v>82</v>
      </c>
      <c r="D216" s="594"/>
      <c r="E216" s="42"/>
      <c r="F216" s="42"/>
      <c r="G216" s="42"/>
      <c r="H216" s="42"/>
      <c r="I216" s="42"/>
      <c r="J216" s="42"/>
      <c r="K216" s="42"/>
      <c r="L216" s="42"/>
      <c r="M216" s="43"/>
      <c r="N216" s="43"/>
      <c r="O216" s="3823" t="s">
        <v>87</v>
      </c>
    </row>
    <row r="217" spans="1:17">
      <c r="A217" s="3812"/>
      <c r="B217" s="1953" t="s">
        <v>10</v>
      </c>
      <c r="C217" s="1602"/>
      <c r="D217" s="720">
        <f>+D218+D221</f>
        <v>27754763</v>
      </c>
      <c r="E217" s="720">
        <f t="shared" ref="E217" si="130">+E218+E221</f>
        <v>813504</v>
      </c>
      <c r="F217" s="720">
        <f t="shared" ref="F217" si="131">+F218+F221</f>
        <v>635700</v>
      </c>
      <c r="G217" s="720">
        <f t="shared" ref="G217:H217" si="132">+G218+G221</f>
        <v>19850000</v>
      </c>
      <c r="H217" s="720">
        <f t="shared" si="132"/>
        <v>6455559</v>
      </c>
      <c r="I217" s="720"/>
      <c r="J217" s="720"/>
      <c r="K217" s="720"/>
      <c r="L217" s="720"/>
      <c r="M217" s="1576">
        <f>+M218+M221</f>
        <v>26941259</v>
      </c>
      <c r="N217" s="1576">
        <f>+N218+N221</f>
        <v>26305559</v>
      </c>
      <c r="O217" s="3824"/>
      <c r="P217" s="214" t="s">
        <v>316</v>
      </c>
    </row>
    <row r="218" spans="1:17" ht="13.5" customHeight="1">
      <c r="A218" s="3812"/>
      <c r="B218" s="1989" t="s">
        <v>24</v>
      </c>
      <c r="C218" s="3863" t="s">
        <v>85</v>
      </c>
      <c r="D218" s="571">
        <f>+D219+D220</f>
        <v>5272263</v>
      </c>
      <c r="E218" s="571">
        <f t="shared" ref="E218" si="133">+E219+E220</f>
        <v>813504</v>
      </c>
      <c r="F218" s="571">
        <f>+F219+F220</f>
        <v>430085</v>
      </c>
      <c r="G218" s="571">
        <f>+G219+G220</f>
        <v>2977500</v>
      </c>
      <c r="H218" s="571">
        <f>+H219+H220</f>
        <v>1051174</v>
      </c>
      <c r="I218" s="571"/>
      <c r="J218" s="571"/>
      <c r="K218" s="571"/>
      <c r="L218" s="571"/>
      <c r="M218" s="584">
        <f>+M219</f>
        <v>4458759</v>
      </c>
      <c r="N218" s="584">
        <f>+N219</f>
        <v>4028674</v>
      </c>
      <c r="O218" s="3824"/>
      <c r="P218" s="401"/>
    </row>
    <row r="219" spans="1:17" ht="13.5" customHeight="1">
      <c r="A219" s="3812"/>
      <c r="B219" s="1990" t="s">
        <v>12</v>
      </c>
      <c r="C219" s="3864"/>
      <c r="D219" s="704">
        <f>E219+F219+G219+H219+I219+J219+K219+L219</f>
        <v>4464299</v>
      </c>
      <c r="E219" s="719">
        <f>5494+46</f>
        <v>5540</v>
      </c>
      <c r="F219" s="573">
        <f>990000-518715-41200</f>
        <v>430085</v>
      </c>
      <c r="G219" s="573">
        <f>2977500</f>
        <v>2977500</v>
      </c>
      <c r="H219" s="573">
        <f>518715+532459</f>
        <v>1051174</v>
      </c>
      <c r="I219" s="573"/>
      <c r="J219" s="573"/>
      <c r="K219" s="573"/>
      <c r="L219" s="573"/>
      <c r="M219" s="727">
        <f>SUM(F219:K219)</f>
        <v>4458759</v>
      </c>
      <c r="N219" s="1991">
        <f>SUM(G219:L219)</f>
        <v>4028674</v>
      </c>
      <c r="O219" s="3824"/>
    </row>
    <row r="220" spans="1:17" ht="13.5" customHeight="1">
      <c r="A220" s="3812"/>
      <c r="B220" s="1597" t="s">
        <v>15</v>
      </c>
      <c r="C220" s="3864"/>
      <c r="D220" s="704">
        <f>E220+F220+G220+H220+I220+J220+K220+L220</f>
        <v>807964</v>
      </c>
      <c r="E220" s="719">
        <f>807828+136</f>
        <v>807964</v>
      </c>
      <c r="F220" s="742">
        <v>0</v>
      </c>
      <c r="G220" s="742">
        <v>0</v>
      </c>
      <c r="H220" s="742"/>
      <c r="I220" s="742"/>
      <c r="J220" s="742"/>
      <c r="K220" s="742"/>
      <c r="L220" s="742"/>
      <c r="M220" s="727">
        <f>SUM(F220:K220)</f>
        <v>0</v>
      </c>
      <c r="N220" s="1991">
        <f>SUM(G220:L220)</f>
        <v>0</v>
      </c>
      <c r="O220" s="3824"/>
    </row>
    <row r="221" spans="1:17" ht="13.5" customHeight="1">
      <c r="A221" s="3812"/>
      <c r="B221" s="1988" t="s">
        <v>18</v>
      </c>
      <c r="C221" s="3864"/>
      <c r="D221" s="521">
        <f>+D222</f>
        <v>22482500</v>
      </c>
      <c r="E221" s="521">
        <f t="shared" ref="E221:H221" si="134">+E222</f>
        <v>0</v>
      </c>
      <c r="F221" s="521">
        <f t="shared" si="134"/>
        <v>205615</v>
      </c>
      <c r="G221" s="521">
        <f t="shared" si="134"/>
        <v>16872500</v>
      </c>
      <c r="H221" s="521">
        <f t="shared" si="134"/>
        <v>5404385</v>
      </c>
      <c r="I221" s="521"/>
      <c r="J221" s="521"/>
      <c r="K221" s="521"/>
      <c r="L221" s="521"/>
      <c r="M221" s="520">
        <f>+M222</f>
        <v>22482500</v>
      </c>
      <c r="N221" s="584">
        <f>+N222</f>
        <v>22276885</v>
      </c>
      <c r="O221" s="3824"/>
    </row>
    <row r="222" spans="1:17" ht="13.5" customHeight="1">
      <c r="A222" s="3812"/>
      <c r="B222" s="545" t="s">
        <v>21</v>
      </c>
      <c r="C222" s="3865"/>
      <c r="D222" s="704">
        <f>E222+F222+G222+H222+I222+J222+K222+L222</f>
        <v>22482500</v>
      </c>
      <c r="E222" s="719">
        <v>0</v>
      </c>
      <c r="F222" s="573">
        <f>5610000-5319385-85000</f>
        <v>205615</v>
      </c>
      <c r="G222" s="573">
        <v>16872500</v>
      </c>
      <c r="H222" s="573">
        <f>5319385+85000</f>
        <v>5404385</v>
      </c>
      <c r="I222" s="573"/>
      <c r="J222" s="573"/>
      <c r="K222" s="573"/>
      <c r="L222" s="573"/>
      <c r="M222" s="727">
        <f>SUM(F222:K222)</f>
        <v>22482500</v>
      </c>
      <c r="N222" s="1991">
        <f>SUM(G222:L222)</f>
        <v>22276885</v>
      </c>
      <c r="O222" s="3836"/>
    </row>
    <row r="223" spans="1:17">
      <c r="A223" s="3812"/>
      <c r="B223" s="1953" t="s">
        <v>22</v>
      </c>
      <c r="C223" s="517"/>
      <c r="D223" s="569">
        <f>+D226+D224</f>
        <v>23290464</v>
      </c>
      <c r="E223" s="569">
        <f t="shared" ref="E223" si="135">+E226+E224</f>
        <v>807964</v>
      </c>
      <c r="F223" s="569">
        <f t="shared" ref="F223:H223" si="136">+F226+F224</f>
        <v>0</v>
      </c>
      <c r="G223" s="569">
        <f t="shared" si="136"/>
        <v>17078115</v>
      </c>
      <c r="H223" s="569">
        <f t="shared" si="136"/>
        <v>5404385</v>
      </c>
      <c r="I223" s="569"/>
      <c r="J223" s="569"/>
      <c r="K223" s="569"/>
      <c r="L223" s="569"/>
      <c r="M223" s="3866" t="s">
        <v>23</v>
      </c>
      <c r="N223" s="3866" t="s">
        <v>23</v>
      </c>
      <c r="O223" s="3867" t="s">
        <v>103</v>
      </c>
      <c r="P223" s="401"/>
      <c r="Q223" s="401">
        <v>-1230552</v>
      </c>
    </row>
    <row r="224" spans="1:17" ht="12" customHeight="1">
      <c r="A224" s="3812"/>
      <c r="B224" s="731" t="s">
        <v>24</v>
      </c>
      <c r="C224" s="3818" t="s">
        <v>684</v>
      </c>
      <c r="D224" s="521">
        <f>+D225</f>
        <v>807964</v>
      </c>
      <c r="E224" s="521">
        <f t="shared" ref="E224:H224" si="137">+E225</f>
        <v>807964</v>
      </c>
      <c r="F224" s="521">
        <f t="shared" si="137"/>
        <v>0</v>
      </c>
      <c r="G224" s="521">
        <f t="shared" si="137"/>
        <v>0</v>
      </c>
      <c r="H224" s="521">
        <f t="shared" si="137"/>
        <v>0</v>
      </c>
      <c r="I224" s="521"/>
      <c r="J224" s="521"/>
      <c r="K224" s="521"/>
      <c r="L224" s="521"/>
      <c r="M224" s="3852"/>
      <c r="N224" s="3852"/>
      <c r="O224" s="3868"/>
    </row>
    <row r="225" spans="1:17" ht="12" customHeight="1">
      <c r="A225" s="3812"/>
      <c r="B225" s="1588" t="s">
        <v>15</v>
      </c>
      <c r="C225" s="3821"/>
      <c r="D225" s="704">
        <f>E225+F225+G225+H225+I225+J225+K225+L225</f>
        <v>807964</v>
      </c>
      <c r="E225" s="719">
        <f>807828+136</f>
        <v>807964</v>
      </c>
      <c r="F225" s="1577"/>
      <c r="G225" s="1577"/>
      <c r="H225" s="1577"/>
      <c r="I225" s="1577"/>
      <c r="J225" s="1577"/>
      <c r="K225" s="1577"/>
      <c r="L225" s="1577"/>
      <c r="M225" s="3852"/>
      <c r="N225" s="3852"/>
      <c r="O225" s="3868"/>
    </row>
    <row r="226" spans="1:17" s="242" customFormat="1" ht="13.5" customHeight="1">
      <c r="A226" s="3812"/>
      <c r="B226" s="1992" t="s">
        <v>18</v>
      </c>
      <c r="C226" s="3821"/>
      <c r="D226" s="649">
        <f>+D227</f>
        <v>22482500</v>
      </c>
      <c r="E226" s="649">
        <f t="shared" ref="E226:H226" si="138">+E227</f>
        <v>0</v>
      </c>
      <c r="F226" s="649">
        <f t="shared" si="138"/>
        <v>0</v>
      </c>
      <c r="G226" s="649">
        <f t="shared" si="138"/>
        <v>17078115</v>
      </c>
      <c r="H226" s="649">
        <f t="shared" si="138"/>
        <v>5404385</v>
      </c>
      <c r="I226" s="649"/>
      <c r="J226" s="649"/>
      <c r="K226" s="649"/>
      <c r="L226" s="649"/>
      <c r="M226" s="3852"/>
      <c r="N226" s="3852"/>
      <c r="O226" s="3868"/>
    </row>
    <row r="227" spans="1:17" s="242" customFormat="1" ht="13.5" thickBot="1">
      <c r="A227" s="3862"/>
      <c r="B227" s="732" t="s">
        <v>21</v>
      </c>
      <c r="C227" s="3822"/>
      <c r="D227" s="1896">
        <f>E227+F227+G227+H227+I227+J227+K227+L227</f>
        <v>22482500</v>
      </c>
      <c r="E227" s="1896">
        <v>0</v>
      </c>
      <c r="F227" s="422">
        <f>5610000-5610000</f>
        <v>0</v>
      </c>
      <c r="G227" s="422">
        <f>16872500+290615-85000</f>
        <v>17078115</v>
      </c>
      <c r="H227" s="422">
        <f>5319385+85000</f>
        <v>5404385</v>
      </c>
      <c r="I227" s="422"/>
      <c r="J227" s="422"/>
      <c r="K227" s="422"/>
      <c r="L227" s="422"/>
      <c r="M227" s="3853"/>
      <c r="N227" s="3853"/>
      <c r="O227" s="3869"/>
    </row>
    <row r="228" spans="1:17" ht="35.25" customHeight="1">
      <c r="A228" s="3811" t="s">
        <v>89</v>
      </c>
      <c r="B228" s="370" t="s">
        <v>658</v>
      </c>
      <c r="C228" s="56" t="s">
        <v>82</v>
      </c>
      <c r="D228" s="594"/>
      <c r="E228" s="42"/>
      <c r="F228" s="42"/>
      <c r="G228" s="42"/>
      <c r="H228" s="42"/>
      <c r="I228" s="42"/>
      <c r="J228" s="42"/>
      <c r="K228" s="42"/>
      <c r="L228" s="42"/>
      <c r="M228" s="43"/>
      <c r="N228" s="43"/>
      <c r="O228" s="3823" t="s">
        <v>87</v>
      </c>
    </row>
    <row r="229" spans="1:17" ht="13.5" customHeight="1">
      <c r="A229" s="3812"/>
      <c r="B229" s="427" t="s">
        <v>10</v>
      </c>
      <c r="C229" s="1598"/>
      <c r="D229" s="720">
        <f>+D230+D233</f>
        <v>11002205</v>
      </c>
      <c r="E229" s="720">
        <f t="shared" ref="E229" si="139">+E230+E233</f>
        <v>0</v>
      </c>
      <c r="F229" s="720">
        <f t="shared" ref="F229:G229" si="140">+F230+F233</f>
        <v>617780</v>
      </c>
      <c r="G229" s="720">
        <f t="shared" si="140"/>
        <v>10384425</v>
      </c>
      <c r="H229" s="720"/>
      <c r="I229" s="720"/>
      <c r="J229" s="720"/>
      <c r="K229" s="720"/>
      <c r="L229" s="720"/>
      <c r="M229" s="1576">
        <f>+M230+M233</f>
        <v>11002205</v>
      </c>
      <c r="N229" s="1576">
        <f>+N230+N233</f>
        <v>10384425</v>
      </c>
      <c r="O229" s="3824"/>
    </row>
    <row r="230" spans="1:17" ht="13.5" customHeight="1">
      <c r="A230" s="3812"/>
      <c r="B230" s="538" t="s">
        <v>24</v>
      </c>
      <c r="C230" s="3863" t="s">
        <v>85</v>
      </c>
      <c r="D230" s="571">
        <f>+D231+D232</f>
        <v>2168259</v>
      </c>
      <c r="E230" s="571">
        <f t="shared" ref="E230" si="141">+E231+E232</f>
        <v>0</v>
      </c>
      <c r="F230" s="571">
        <f>+F231+F232</f>
        <v>141638</v>
      </c>
      <c r="G230" s="571">
        <f>+G231+G232</f>
        <v>2026621</v>
      </c>
      <c r="H230" s="571"/>
      <c r="I230" s="571"/>
      <c r="J230" s="571"/>
      <c r="K230" s="571"/>
      <c r="L230" s="571"/>
      <c r="M230" s="584">
        <f>+M231+M232</f>
        <v>2168259</v>
      </c>
      <c r="N230" s="584">
        <f>+N231+N232</f>
        <v>2026621</v>
      </c>
      <c r="O230" s="3824"/>
      <c r="P230" s="401"/>
    </row>
    <row r="231" spans="1:17">
      <c r="A231" s="3812"/>
      <c r="B231" s="581" t="s">
        <v>12</v>
      </c>
      <c r="C231" s="3864"/>
      <c r="D231" s="704">
        <f>E231+F231+G231+H231+I231+J231+K231+L231</f>
        <v>1658932</v>
      </c>
      <c r="E231" s="719">
        <v>0</v>
      </c>
      <c r="F231" s="573">
        <f>520000-5922-43134-329306</f>
        <v>141638</v>
      </c>
      <c r="G231" s="573">
        <f>1260000-17764-54248+329306</f>
        <v>1517294</v>
      </c>
      <c r="H231" s="573"/>
      <c r="I231" s="573"/>
      <c r="J231" s="573"/>
      <c r="K231" s="573"/>
      <c r="L231" s="573"/>
      <c r="M231" s="727">
        <f>SUM(F231:K231)</f>
        <v>1658932</v>
      </c>
      <c r="N231" s="727">
        <f>SUM(G231:L231)</f>
        <v>1517294</v>
      </c>
      <c r="O231" s="3824"/>
    </row>
    <row r="232" spans="1:17">
      <c r="A232" s="3812"/>
      <c r="B232" s="1597" t="s">
        <v>15</v>
      </c>
      <c r="C232" s="3864"/>
      <c r="D232" s="704">
        <f>E232+F232+G232+H232+I232+J232+K232+L232</f>
        <v>509327</v>
      </c>
      <c r="E232" s="1599">
        <v>0</v>
      </c>
      <c r="F232" s="742">
        <f>138882-138882</f>
        <v>0</v>
      </c>
      <c r="G232" s="742">
        <f>370445+138882</f>
        <v>509327</v>
      </c>
      <c r="H232" s="742"/>
      <c r="I232" s="742"/>
      <c r="J232" s="742"/>
      <c r="K232" s="742"/>
      <c r="L232" s="742"/>
      <c r="M232" s="727">
        <f>SUM(E232:K232)</f>
        <v>509327</v>
      </c>
      <c r="N232" s="727">
        <f>SUM(G232:L232)</f>
        <v>509327</v>
      </c>
      <c r="O232" s="3824"/>
    </row>
    <row r="233" spans="1:17" ht="13.5" customHeight="1">
      <c r="A233" s="3812"/>
      <c r="B233" s="540" t="s">
        <v>18</v>
      </c>
      <c r="C233" s="3864"/>
      <c r="D233" s="521">
        <f>+D234</f>
        <v>8833946</v>
      </c>
      <c r="E233" s="521">
        <f t="shared" ref="E233:G233" si="142">+E234</f>
        <v>0</v>
      </c>
      <c r="F233" s="521">
        <f t="shared" si="142"/>
        <v>476142</v>
      </c>
      <c r="G233" s="521">
        <f t="shared" si="142"/>
        <v>8357804</v>
      </c>
      <c r="H233" s="521"/>
      <c r="I233" s="521"/>
      <c r="J233" s="521"/>
      <c r="K233" s="521"/>
      <c r="L233" s="521"/>
      <c r="M233" s="520">
        <f>+M234</f>
        <v>8833946</v>
      </c>
      <c r="N233" s="520">
        <f>+N234</f>
        <v>8357804</v>
      </c>
      <c r="O233" s="3824"/>
    </row>
    <row r="234" spans="1:17">
      <c r="A234" s="3812"/>
      <c r="B234" s="545" t="s">
        <v>21</v>
      </c>
      <c r="C234" s="3865"/>
      <c r="D234" s="704">
        <f>E234+F234+G234+H234+I234+J234+K234+L234</f>
        <v>8833946</v>
      </c>
      <c r="E234" s="719">
        <v>0</v>
      </c>
      <c r="F234" s="573">
        <f>2380000-33554-226296-1644008</f>
        <v>476142</v>
      </c>
      <c r="G234" s="573">
        <f>7140000-100662-325542+1644008</f>
        <v>8357804</v>
      </c>
      <c r="H234" s="573"/>
      <c r="I234" s="573"/>
      <c r="J234" s="573"/>
      <c r="K234" s="573"/>
      <c r="L234" s="573"/>
      <c r="M234" s="727">
        <f>SUM(F234:K234)</f>
        <v>8833946</v>
      </c>
      <c r="N234" s="727">
        <f>SUM(G234:L234)</f>
        <v>8357804</v>
      </c>
      <c r="O234" s="3836"/>
    </row>
    <row r="235" spans="1:17">
      <c r="A235" s="3812"/>
      <c r="B235" s="427" t="s">
        <v>22</v>
      </c>
      <c r="C235" s="517"/>
      <c r="D235" s="569">
        <f>+D238+D236</f>
        <v>9343273</v>
      </c>
      <c r="E235" s="569">
        <f t="shared" ref="E235" si="143">+E238+E236</f>
        <v>0</v>
      </c>
      <c r="F235" s="569">
        <f t="shared" ref="F235:G235" si="144">+F238+F236</f>
        <v>2069792</v>
      </c>
      <c r="G235" s="569">
        <f t="shared" si="144"/>
        <v>7273481</v>
      </c>
      <c r="H235" s="569"/>
      <c r="I235" s="569"/>
      <c r="J235" s="569"/>
      <c r="K235" s="569"/>
      <c r="L235" s="569"/>
      <c r="M235" s="3866" t="s">
        <v>23</v>
      </c>
      <c r="N235" s="3866" t="s">
        <v>23</v>
      </c>
      <c r="O235" s="3867" t="s">
        <v>103</v>
      </c>
      <c r="P235" s="401"/>
      <c r="Q235" s="401">
        <v>-1230552</v>
      </c>
    </row>
    <row r="236" spans="1:17" ht="12" customHeight="1">
      <c r="A236" s="3812"/>
      <c r="B236" s="1386" t="s">
        <v>24</v>
      </c>
      <c r="C236" s="3818" t="s">
        <v>684</v>
      </c>
      <c r="D236" s="521">
        <f>+D237</f>
        <v>509327</v>
      </c>
      <c r="E236" s="521">
        <f t="shared" ref="E236:G236" si="145">+E237</f>
        <v>0</v>
      </c>
      <c r="F236" s="521">
        <f t="shared" si="145"/>
        <v>0</v>
      </c>
      <c r="G236" s="521">
        <f t="shared" si="145"/>
        <v>509327</v>
      </c>
      <c r="H236" s="521"/>
      <c r="I236" s="521"/>
      <c r="J236" s="521"/>
      <c r="K236" s="521"/>
      <c r="L236" s="521"/>
      <c r="M236" s="3852"/>
      <c r="N236" s="3852"/>
      <c r="O236" s="3868"/>
    </row>
    <row r="237" spans="1:17" ht="12" customHeight="1">
      <c r="A237" s="3812"/>
      <c r="B237" s="1588" t="s">
        <v>15</v>
      </c>
      <c r="C237" s="3821"/>
      <c r="D237" s="704">
        <f>E237+F237+G237+H237+I237+J237+K237+L237</f>
        <v>509327</v>
      </c>
      <c r="E237" s="1577"/>
      <c r="F237" s="1577">
        <f>138882-138882</f>
        <v>0</v>
      </c>
      <c r="G237" s="1577">
        <f>370445+138882</f>
        <v>509327</v>
      </c>
      <c r="H237" s="1577"/>
      <c r="I237" s="1577"/>
      <c r="J237" s="1577"/>
      <c r="K237" s="1577"/>
      <c r="L237" s="1577"/>
      <c r="M237" s="3852"/>
      <c r="N237" s="3852"/>
      <c r="O237" s="3868"/>
    </row>
    <row r="238" spans="1:17" s="242" customFormat="1" ht="13.5" customHeight="1">
      <c r="A238" s="3812"/>
      <c r="B238" s="540" t="s">
        <v>18</v>
      </c>
      <c r="C238" s="3821"/>
      <c r="D238" s="649">
        <f>+D239</f>
        <v>8833946</v>
      </c>
      <c r="E238" s="649">
        <f t="shared" ref="E238:G238" si="146">+E239</f>
        <v>0</v>
      </c>
      <c r="F238" s="649">
        <f t="shared" si="146"/>
        <v>2069792</v>
      </c>
      <c r="G238" s="649">
        <f t="shared" si="146"/>
        <v>6764154</v>
      </c>
      <c r="H238" s="649"/>
      <c r="I238" s="649"/>
      <c r="J238" s="649"/>
      <c r="K238" s="649"/>
      <c r="L238" s="649"/>
      <c r="M238" s="3852"/>
      <c r="N238" s="3852"/>
      <c r="O238" s="3868"/>
    </row>
    <row r="239" spans="1:17" s="242" customFormat="1" ht="13.5" thickBot="1">
      <c r="A239" s="3862"/>
      <c r="B239" s="732" t="s">
        <v>21</v>
      </c>
      <c r="C239" s="3822"/>
      <c r="D239" s="1429">
        <f>E239+F239+G239+H239+I239+J239+K239+L239</f>
        <v>8833946</v>
      </c>
      <c r="E239" s="1429">
        <v>0</v>
      </c>
      <c r="F239" s="422">
        <f>2380000-33554-226296-50358</f>
        <v>2069792</v>
      </c>
      <c r="G239" s="422">
        <f>7140000-100662-325542+50358</f>
        <v>6764154</v>
      </c>
      <c r="H239" s="422"/>
      <c r="I239" s="422"/>
      <c r="J239" s="422"/>
      <c r="K239" s="422"/>
      <c r="L239" s="422"/>
      <c r="M239" s="3853"/>
      <c r="N239" s="3853"/>
      <c r="O239" s="3869"/>
    </row>
    <row r="240" spans="1:17" ht="28.5" customHeight="1">
      <c r="A240" s="3811" t="s">
        <v>90</v>
      </c>
      <c r="B240" s="370" t="s">
        <v>659</v>
      </c>
      <c r="C240" s="56" t="s">
        <v>82</v>
      </c>
      <c r="D240" s="594"/>
      <c r="E240" s="42"/>
      <c r="F240" s="42"/>
      <c r="G240" s="42"/>
      <c r="H240" s="42"/>
      <c r="I240" s="42"/>
      <c r="J240" s="42"/>
      <c r="K240" s="42"/>
      <c r="L240" s="42"/>
      <c r="M240" s="43"/>
      <c r="N240" s="43"/>
      <c r="O240" s="3823" t="s">
        <v>87</v>
      </c>
    </row>
    <row r="241" spans="1:17" ht="15.75" customHeight="1">
      <c r="A241" s="3812"/>
      <c r="B241" s="427" t="s">
        <v>10</v>
      </c>
      <c r="C241" s="1600"/>
      <c r="D241" s="720">
        <f>+D242+D245</f>
        <v>20852656</v>
      </c>
      <c r="E241" s="720">
        <f t="shared" ref="E241" si="147">+E242+E245</f>
        <v>0</v>
      </c>
      <c r="F241" s="720">
        <f t="shared" ref="F241:G241" si="148">+F242+F245</f>
        <v>1914309</v>
      </c>
      <c r="G241" s="720">
        <f t="shared" si="148"/>
        <v>18938347</v>
      </c>
      <c r="H241" s="720"/>
      <c r="I241" s="720"/>
      <c r="J241" s="720"/>
      <c r="K241" s="720"/>
      <c r="L241" s="720"/>
      <c r="M241" s="709">
        <f>+M242+M245</f>
        <v>20852656</v>
      </c>
      <c r="N241" s="709">
        <f>+N242+N245</f>
        <v>18938347</v>
      </c>
      <c r="O241" s="3824"/>
      <c r="P241" s="214" t="s">
        <v>587</v>
      </c>
    </row>
    <row r="242" spans="1:17" ht="13.5" customHeight="1">
      <c r="A242" s="3812"/>
      <c r="B242" s="538" t="s">
        <v>24</v>
      </c>
      <c r="C242" s="3863" t="s">
        <v>85</v>
      </c>
      <c r="D242" s="571">
        <f>+D243+D244</f>
        <v>3212898</v>
      </c>
      <c r="E242" s="571">
        <f t="shared" ref="E242" si="149">+E243+E244</f>
        <v>0</v>
      </c>
      <c r="F242" s="571">
        <f>+F243+F244</f>
        <v>293086</v>
      </c>
      <c r="G242" s="571">
        <f>+G243+G244</f>
        <v>2919812</v>
      </c>
      <c r="H242" s="571"/>
      <c r="I242" s="571"/>
      <c r="J242" s="571"/>
      <c r="K242" s="571"/>
      <c r="L242" s="571"/>
      <c r="M242" s="584">
        <f>+M243</f>
        <v>3212898</v>
      </c>
      <c r="N242" s="584">
        <f>+N243</f>
        <v>2919812</v>
      </c>
      <c r="O242" s="3824"/>
      <c r="P242" s="401"/>
    </row>
    <row r="243" spans="1:17" ht="13.5" customHeight="1">
      <c r="A243" s="3812"/>
      <c r="B243" s="581" t="s">
        <v>12</v>
      </c>
      <c r="C243" s="3864"/>
      <c r="D243" s="226">
        <f>E243+F243+G243+H243+I243+J243+K243+L243</f>
        <v>3212898</v>
      </c>
      <c r="E243" s="249">
        <v>0</v>
      </c>
      <c r="F243" s="573">
        <f>824400-289400-195000+49500-96414</f>
        <v>293086</v>
      </c>
      <c r="G243" s="573">
        <f>4671600-1971600+172898-49500+96414</f>
        <v>2919812</v>
      </c>
      <c r="H243" s="573"/>
      <c r="I243" s="573"/>
      <c r="J243" s="573"/>
      <c r="K243" s="573"/>
      <c r="L243" s="573"/>
      <c r="M243" s="727">
        <f>SUM(F243:K243)</f>
        <v>3212898</v>
      </c>
      <c r="N243" s="727">
        <f>SUM(G243:L243)</f>
        <v>2919812</v>
      </c>
      <c r="O243" s="3824"/>
    </row>
    <row r="244" spans="1:17" ht="13.5" hidden="1" customHeight="1">
      <c r="A244" s="3812"/>
      <c r="B244" s="1597" t="s">
        <v>15</v>
      </c>
      <c r="C244" s="3864"/>
      <c r="D244" s="226">
        <f>E244+F244+G244+H244+I244+J244+K244+L244</f>
        <v>0</v>
      </c>
      <c r="E244" s="1601">
        <v>0</v>
      </c>
      <c r="F244" s="742">
        <v>0</v>
      </c>
      <c r="G244" s="742">
        <v>0</v>
      </c>
      <c r="H244" s="742"/>
      <c r="I244" s="742"/>
      <c r="J244" s="742"/>
      <c r="K244" s="742"/>
      <c r="L244" s="742"/>
      <c r="M244" s="727">
        <f>SUM(E244:K244)</f>
        <v>0</v>
      </c>
      <c r="N244" s="727">
        <f>SUM(F244:L244)</f>
        <v>0</v>
      </c>
      <c r="O244" s="3824"/>
    </row>
    <row r="245" spans="1:17" ht="13.5" customHeight="1">
      <c r="A245" s="3812"/>
      <c r="B245" s="729" t="s">
        <v>18</v>
      </c>
      <c r="C245" s="3864"/>
      <c r="D245" s="521">
        <f>+D246</f>
        <v>17639758</v>
      </c>
      <c r="E245" s="521">
        <f t="shared" ref="E245:G245" si="150">+E246</f>
        <v>0</v>
      </c>
      <c r="F245" s="521">
        <f t="shared" si="150"/>
        <v>1621223</v>
      </c>
      <c r="G245" s="521">
        <f t="shared" si="150"/>
        <v>16018535</v>
      </c>
      <c r="H245" s="521"/>
      <c r="I245" s="521"/>
      <c r="J245" s="521"/>
      <c r="K245" s="521"/>
      <c r="L245" s="521"/>
      <c r="M245" s="520">
        <f>+M246</f>
        <v>17639758</v>
      </c>
      <c r="N245" s="520">
        <f>+N246</f>
        <v>16018535</v>
      </c>
      <c r="O245" s="3824"/>
    </row>
    <row r="246" spans="1:17" ht="13.5" customHeight="1">
      <c r="A246" s="3812"/>
      <c r="B246" s="545" t="s">
        <v>21</v>
      </c>
      <c r="C246" s="3865"/>
      <c r="D246" s="226">
        <f>E246+F246+G246+H246+I246+J246+K246+L246</f>
        <v>17639758</v>
      </c>
      <c r="E246" s="249">
        <v>0</v>
      </c>
      <c r="F246" s="573">
        <f>4671600-2206600-1105000+450500-189277</f>
        <v>1621223</v>
      </c>
      <c r="G246" s="573">
        <f>26472400-11172400+979758-450500+189277</f>
        <v>16018535</v>
      </c>
      <c r="H246" s="573"/>
      <c r="I246" s="573"/>
      <c r="J246" s="573"/>
      <c r="K246" s="573"/>
      <c r="L246" s="573"/>
      <c r="M246" s="727">
        <f>SUM(F246:K246)</f>
        <v>17639758</v>
      </c>
      <c r="N246" s="727">
        <f>SUM(G246:L246)</f>
        <v>16018535</v>
      </c>
      <c r="O246" s="3836"/>
    </row>
    <row r="247" spans="1:17">
      <c r="A247" s="3812"/>
      <c r="B247" s="427" t="s">
        <v>22</v>
      </c>
      <c r="C247" s="517"/>
      <c r="D247" s="569">
        <f>+D250+D248</f>
        <v>17639758</v>
      </c>
      <c r="E247" s="569">
        <f t="shared" ref="E247" si="151">+E250+E248</f>
        <v>0</v>
      </c>
      <c r="F247" s="569">
        <f t="shared" ref="F247:G247" si="152">+F250+F248</f>
        <v>1803921</v>
      </c>
      <c r="G247" s="569">
        <f t="shared" si="152"/>
        <v>15835837</v>
      </c>
      <c r="H247" s="569"/>
      <c r="I247" s="569"/>
      <c r="J247" s="569"/>
      <c r="K247" s="569"/>
      <c r="L247" s="569"/>
      <c r="M247" s="3866" t="s">
        <v>23</v>
      </c>
      <c r="N247" s="3866" t="s">
        <v>23</v>
      </c>
      <c r="O247" s="3867" t="s">
        <v>103</v>
      </c>
      <c r="P247" s="401"/>
      <c r="Q247" s="401">
        <v>-1230552</v>
      </c>
    </row>
    <row r="248" spans="1:17" ht="12" hidden="1" customHeight="1">
      <c r="A248" s="3812"/>
      <c r="B248" s="731" t="s">
        <v>24</v>
      </c>
      <c r="C248" s="3818" t="s">
        <v>226</v>
      </c>
      <c r="D248" s="521">
        <f>+D249</f>
        <v>0</v>
      </c>
      <c r="E248" s="521">
        <f t="shared" ref="E248:G248" si="153">+E249</f>
        <v>0</v>
      </c>
      <c r="F248" s="521">
        <f t="shared" si="153"/>
        <v>0</v>
      </c>
      <c r="G248" s="521">
        <f t="shared" si="153"/>
        <v>0</v>
      </c>
      <c r="H248" s="521"/>
      <c r="I248" s="521"/>
      <c r="J248" s="521"/>
      <c r="K248" s="521"/>
      <c r="L248" s="521"/>
      <c r="M248" s="3852"/>
      <c r="N248" s="3852"/>
      <c r="O248" s="3868"/>
    </row>
    <row r="249" spans="1:17" ht="12" hidden="1" customHeight="1">
      <c r="A249" s="3812"/>
      <c r="B249" s="1588" t="s">
        <v>15</v>
      </c>
      <c r="C249" s="3821"/>
      <c r="D249" s="226">
        <f>E249+F249+G249+H249+I249+J249+K249+L249</f>
        <v>0</v>
      </c>
      <c r="E249" s="716"/>
      <c r="F249" s="716"/>
      <c r="G249" s="716"/>
      <c r="H249" s="716"/>
      <c r="I249" s="716"/>
      <c r="J249" s="716"/>
      <c r="K249" s="716"/>
      <c r="L249" s="716"/>
      <c r="M249" s="3852"/>
      <c r="N249" s="3852"/>
      <c r="O249" s="3868"/>
    </row>
    <row r="250" spans="1:17" s="242" customFormat="1" ht="13.5" customHeight="1">
      <c r="A250" s="3812"/>
      <c r="B250" s="540" t="s">
        <v>18</v>
      </c>
      <c r="C250" s="3821"/>
      <c r="D250" s="649">
        <f>+D251</f>
        <v>17639758</v>
      </c>
      <c r="E250" s="649">
        <f t="shared" ref="E250:G250" si="154">+E251</f>
        <v>0</v>
      </c>
      <c r="F250" s="649">
        <f t="shared" si="154"/>
        <v>1803921</v>
      </c>
      <c r="G250" s="649">
        <f t="shared" si="154"/>
        <v>15835837</v>
      </c>
      <c r="H250" s="649"/>
      <c r="I250" s="649"/>
      <c r="J250" s="649"/>
      <c r="K250" s="649"/>
      <c r="L250" s="649"/>
      <c r="M250" s="3852"/>
      <c r="N250" s="3852"/>
      <c r="O250" s="3868"/>
    </row>
    <row r="251" spans="1:17" s="242" customFormat="1" ht="13.5" thickBot="1">
      <c r="A251" s="3862"/>
      <c r="B251" s="732" t="s">
        <v>21</v>
      </c>
      <c r="C251" s="3822"/>
      <c r="D251" s="226">
        <f>E251+F251+G251+H251+I251+J251+K251+L251</f>
        <v>17639758</v>
      </c>
      <c r="E251" s="249">
        <v>0</v>
      </c>
      <c r="F251" s="422">
        <f>4671600-2206600-1105000+450500-6579</f>
        <v>1803921</v>
      </c>
      <c r="G251" s="422">
        <f>26472400-11172400+979758-450500+6579</f>
        <v>15835837</v>
      </c>
      <c r="H251" s="422"/>
      <c r="I251" s="422"/>
      <c r="J251" s="422"/>
      <c r="K251" s="422"/>
      <c r="L251" s="422"/>
      <c r="M251" s="3853"/>
      <c r="N251" s="3853"/>
      <c r="O251" s="3869"/>
    </row>
    <row r="252" spans="1:17" s="242" customFormat="1" ht="24.75" customHeight="1">
      <c r="A252" s="3811" t="s">
        <v>91</v>
      </c>
      <c r="B252" s="370" t="s">
        <v>660</v>
      </c>
      <c r="C252" s="56" t="s">
        <v>82</v>
      </c>
      <c r="D252" s="594"/>
      <c r="E252" s="42"/>
      <c r="F252" s="42"/>
      <c r="G252" s="42"/>
      <c r="H252" s="42"/>
      <c r="I252" s="42"/>
      <c r="J252" s="42"/>
      <c r="K252" s="42"/>
      <c r="L252" s="42"/>
      <c r="M252" s="43"/>
      <c r="N252" s="43"/>
      <c r="O252" s="3823" t="s">
        <v>87</v>
      </c>
    </row>
    <row r="253" spans="1:17" s="242" customFormat="1">
      <c r="A253" s="3812"/>
      <c r="B253" s="427" t="s">
        <v>10</v>
      </c>
      <c r="C253" s="1602"/>
      <c r="D253" s="1265">
        <f>+D254+D257</f>
        <v>80566500</v>
      </c>
      <c r="E253" s="1265">
        <f t="shared" ref="E253:H253" si="155">+E254+E257</f>
        <v>0</v>
      </c>
      <c r="F253" s="1265">
        <f t="shared" si="155"/>
        <v>500918</v>
      </c>
      <c r="G253" s="1265">
        <f t="shared" si="155"/>
        <v>49035982</v>
      </c>
      <c r="H253" s="1265">
        <f t="shared" si="155"/>
        <v>31029600</v>
      </c>
      <c r="I253" s="1265"/>
      <c r="J253" s="1265"/>
      <c r="K253" s="1265"/>
      <c r="L253" s="1265"/>
      <c r="M253" s="1282">
        <f>+M254+M257</f>
        <v>80566500</v>
      </c>
      <c r="N253" s="1282">
        <f>+N254+N257</f>
        <v>80065582</v>
      </c>
      <c r="O253" s="3824"/>
    </row>
    <row r="254" spans="1:17" s="242" customFormat="1">
      <c r="A254" s="3812"/>
      <c r="B254" s="538" t="s">
        <v>24</v>
      </c>
      <c r="C254" s="3936" t="s">
        <v>85</v>
      </c>
      <c r="D254" s="1266">
        <f>+D255+D256</f>
        <v>12169975</v>
      </c>
      <c r="E254" s="1266">
        <f t="shared" ref="E254" si="156">+E255+E256</f>
        <v>0</v>
      </c>
      <c r="F254" s="1266">
        <f>+F255+F256</f>
        <v>75138</v>
      </c>
      <c r="G254" s="1266">
        <f>+G255+G256</f>
        <v>7440397</v>
      </c>
      <c r="H254" s="1266">
        <f>+H255+H256</f>
        <v>4654440</v>
      </c>
      <c r="I254" s="1266"/>
      <c r="J254" s="1266"/>
      <c r="K254" s="1266"/>
      <c r="L254" s="1266"/>
      <c r="M254" s="1267">
        <f>+M255</f>
        <v>12169975</v>
      </c>
      <c r="N254" s="1267">
        <f>+N255</f>
        <v>12094837</v>
      </c>
      <c r="O254" s="3824"/>
    </row>
    <row r="255" spans="1:17" s="242" customFormat="1">
      <c r="A255" s="3812"/>
      <c r="B255" s="581" t="s">
        <v>12</v>
      </c>
      <c r="C255" s="3864"/>
      <c r="D255" s="1159">
        <f>E255+F255+G255+H255+I255+J255+K255+L255</f>
        <v>12169975</v>
      </c>
      <c r="E255" s="1206">
        <v>0</v>
      </c>
      <c r="F255" s="1243">
        <f>88875-13737</f>
        <v>75138</v>
      </c>
      <c r="G255" s="1243">
        <f>7426660+13737</f>
        <v>7440397</v>
      </c>
      <c r="H255" s="1243">
        <v>4654440</v>
      </c>
      <c r="I255" s="1243"/>
      <c r="J255" s="1243"/>
      <c r="K255" s="1243"/>
      <c r="L255" s="1243"/>
      <c r="M255" s="1244">
        <f>SUM(F255:K255)</f>
        <v>12169975</v>
      </c>
      <c r="N255" s="1244">
        <f>SUM(G255:L255)</f>
        <v>12094837</v>
      </c>
      <c r="O255" s="3824"/>
    </row>
    <row r="256" spans="1:17" s="242" customFormat="1" hidden="1">
      <c r="A256" s="3812"/>
      <c r="B256" s="1597" t="s">
        <v>15</v>
      </c>
      <c r="C256" s="3864"/>
      <c r="D256" s="1159">
        <f>E256+F256+G256+H256+I256+J256+K256+L256</f>
        <v>0</v>
      </c>
      <c r="E256" s="1603">
        <v>0</v>
      </c>
      <c r="F256" s="742">
        <v>0</v>
      </c>
      <c r="G256" s="742">
        <v>0</v>
      </c>
      <c r="H256" s="742"/>
      <c r="I256" s="742"/>
      <c r="J256" s="742"/>
      <c r="K256" s="742"/>
      <c r="L256" s="742"/>
      <c r="M256" s="1244">
        <f>SUM(E256:K256)</f>
        <v>0</v>
      </c>
      <c r="N256" s="1244">
        <f>SUM(F256:L256)</f>
        <v>0</v>
      </c>
      <c r="O256" s="3824"/>
    </row>
    <row r="257" spans="1:15" s="242" customFormat="1">
      <c r="A257" s="3812"/>
      <c r="B257" s="729" t="s">
        <v>18</v>
      </c>
      <c r="C257" s="3864"/>
      <c r="D257" s="1234">
        <f>+D258</f>
        <v>68396525</v>
      </c>
      <c r="E257" s="1234">
        <f t="shared" ref="E257:H257" si="157">+E258</f>
        <v>0</v>
      </c>
      <c r="F257" s="1234">
        <f t="shared" si="157"/>
        <v>425780</v>
      </c>
      <c r="G257" s="1234">
        <f t="shared" si="157"/>
        <v>41595585</v>
      </c>
      <c r="H257" s="1234">
        <f t="shared" si="157"/>
        <v>26375160</v>
      </c>
      <c r="I257" s="1234"/>
      <c r="J257" s="1234"/>
      <c r="K257" s="1234"/>
      <c r="L257" s="1234"/>
      <c r="M257" s="1235">
        <f>+M258</f>
        <v>68396525</v>
      </c>
      <c r="N257" s="1235">
        <f>+N258</f>
        <v>67970745</v>
      </c>
      <c r="O257" s="3824"/>
    </row>
    <row r="258" spans="1:15" s="242" customFormat="1">
      <c r="A258" s="3812"/>
      <c r="B258" s="1370" t="s">
        <v>21</v>
      </c>
      <c r="C258" s="3865"/>
      <c r="D258" s="1159">
        <f>E258+F258+G258+H258+I258+J258+K258+L258</f>
        <v>68396525</v>
      </c>
      <c r="E258" s="1206">
        <v>0</v>
      </c>
      <c r="F258" s="1243">
        <f>503625-77845</f>
        <v>425780</v>
      </c>
      <c r="G258" s="1243">
        <f>41517740+77845</f>
        <v>41595585</v>
      </c>
      <c r="H258" s="1243">
        <v>26375160</v>
      </c>
      <c r="I258" s="1243"/>
      <c r="J258" s="1243"/>
      <c r="K258" s="1243"/>
      <c r="L258" s="1243"/>
      <c r="M258" s="1244">
        <f>SUM(F258:K258)</f>
        <v>68396525</v>
      </c>
      <c r="N258" s="1244">
        <f>SUM(G258:L258)</f>
        <v>67970745</v>
      </c>
      <c r="O258" s="3836"/>
    </row>
    <row r="259" spans="1:15" s="242" customFormat="1">
      <c r="A259" s="3812"/>
      <c r="B259" s="427" t="s">
        <v>22</v>
      </c>
      <c r="C259" s="517"/>
      <c r="D259" s="1232">
        <f>+D262+D260</f>
        <v>68396525</v>
      </c>
      <c r="E259" s="1232">
        <f t="shared" ref="E259:H259" si="158">+E262+E260</f>
        <v>0</v>
      </c>
      <c r="F259" s="1232">
        <f t="shared" si="158"/>
        <v>0</v>
      </c>
      <c r="G259" s="1232">
        <f t="shared" si="158"/>
        <v>38021365</v>
      </c>
      <c r="H259" s="1232">
        <f t="shared" si="158"/>
        <v>30375160</v>
      </c>
      <c r="I259" s="1232"/>
      <c r="J259" s="1232"/>
      <c r="K259" s="1232"/>
      <c r="L259" s="1232"/>
      <c r="M259" s="3903" t="s">
        <v>23</v>
      </c>
      <c r="N259" s="3903" t="s">
        <v>23</v>
      </c>
      <c r="O259" s="3876" t="s">
        <v>103</v>
      </c>
    </row>
    <row r="260" spans="1:15" s="242" customFormat="1" hidden="1">
      <c r="A260" s="3812"/>
      <c r="B260" s="1237" t="s">
        <v>24</v>
      </c>
      <c r="C260" s="3827" t="s">
        <v>226</v>
      </c>
      <c r="D260" s="1234">
        <f>+D261</f>
        <v>0</v>
      </c>
      <c r="E260" s="1234">
        <f t="shared" ref="E260:G260" si="159">+E261</f>
        <v>0</v>
      </c>
      <c r="F260" s="1234">
        <f t="shared" si="159"/>
        <v>0</v>
      </c>
      <c r="G260" s="1234">
        <f t="shared" si="159"/>
        <v>0</v>
      </c>
      <c r="H260" s="1234"/>
      <c r="I260" s="1234"/>
      <c r="J260" s="1234"/>
      <c r="K260" s="1234"/>
      <c r="L260" s="1234"/>
      <c r="M260" s="3852"/>
      <c r="N260" s="3852"/>
      <c r="O260" s="3868"/>
    </row>
    <row r="261" spans="1:15" s="242" customFormat="1" hidden="1">
      <c r="A261" s="3812"/>
      <c r="B261" s="1257" t="s">
        <v>15</v>
      </c>
      <c r="C261" s="3821"/>
      <c r="D261" s="1159">
        <f>E261+F261+G261+H261+I261+J261+K261+L261</f>
        <v>0</v>
      </c>
      <c r="E261" s="1247"/>
      <c r="F261" s="1247"/>
      <c r="G261" s="1247"/>
      <c r="H261" s="1247"/>
      <c r="I261" s="1247"/>
      <c r="J261" s="1247"/>
      <c r="K261" s="1247"/>
      <c r="L261" s="1247"/>
      <c r="M261" s="3852"/>
      <c r="N261" s="3852"/>
      <c r="O261" s="3868"/>
    </row>
    <row r="262" spans="1:15" s="242" customFormat="1">
      <c r="A262" s="3812"/>
      <c r="B262" s="540" t="s">
        <v>18</v>
      </c>
      <c r="C262" s="3821"/>
      <c r="D262" s="1248">
        <f>+D263</f>
        <v>68396525</v>
      </c>
      <c r="E262" s="1248">
        <f t="shared" ref="E262:H262" si="160">+E263</f>
        <v>0</v>
      </c>
      <c r="F262" s="1248">
        <f t="shared" si="160"/>
        <v>0</v>
      </c>
      <c r="G262" s="1248">
        <f t="shared" si="160"/>
        <v>38021365</v>
      </c>
      <c r="H262" s="1248">
        <f t="shared" si="160"/>
        <v>30375160</v>
      </c>
      <c r="I262" s="1248"/>
      <c r="J262" s="1248"/>
      <c r="K262" s="1248"/>
      <c r="L262" s="1248"/>
      <c r="M262" s="3852"/>
      <c r="N262" s="3852"/>
      <c r="O262" s="3868"/>
    </row>
    <row r="263" spans="1:15" s="242" customFormat="1" ht="13.5" thickBot="1">
      <c r="A263" s="3862"/>
      <c r="B263" s="732" t="s">
        <v>21</v>
      </c>
      <c r="C263" s="3822"/>
      <c r="D263" s="1319">
        <f>E263+F263+G263+H263+I263+J263+K263+L263</f>
        <v>68396525</v>
      </c>
      <c r="E263" s="1319">
        <v>0</v>
      </c>
      <c r="F263" s="422"/>
      <c r="G263" s="422">
        <v>38021365</v>
      </c>
      <c r="H263" s="422">
        <v>30375160</v>
      </c>
      <c r="I263" s="422"/>
      <c r="J263" s="422"/>
      <c r="K263" s="422"/>
      <c r="L263" s="422"/>
      <c r="M263" s="3853"/>
      <c r="N263" s="3853"/>
      <c r="O263" s="3869"/>
    </row>
    <row r="264" spans="1:15" s="242" customFormat="1" ht="36">
      <c r="A264" s="3811" t="s">
        <v>92</v>
      </c>
      <c r="B264" s="370" t="s">
        <v>709</v>
      </c>
      <c r="C264" s="56" t="s">
        <v>82</v>
      </c>
      <c r="D264" s="594"/>
      <c r="E264" s="42"/>
      <c r="F264" s="42"/>
      <c r="G264" s="42"/>
      <c r="H264" s="42"/>
      <c r="I264" s="42"/>
      <c r="J264" s="42"/>
      <c r="K264" s="42"/>
      <c r="L264" s="42"/>
      <c r="M264" s="43"/>
      <c r="N264" s="43"/>
      <c r="O264" s="3823" t="s">
        <v>87</v>
      </c>
    </row>
    <row r="265" spans="1:15" s="242" customFormat="1">
      <c r="A265" s="3812"/>
      <c r="B265" s="1953" t="s">
        <v>10</v>
      </c>
      <c r="C265" s="1602"/>
      <c r="D265" s="720">
        <f>+D266+D269</f>
        <v>40700000</v>
      </c>
      <c r="E265" s="720">
        <f t="shared" ref="E265:I265" si="161">+E266+E269</f>
        <v>874393</v>
      </c>
      <c r="F265" s="720">
        <f t="shared" si="161"/>
        <v>488999</v>
      </c>
      <c r="G265" s="720">
        <f t="shared" si="161"/>
        <v>2280014</v>
      </c>
      <c r="H265" s="720">
        <f t="shared" si="161"/>
        <v>26500000</v>
      </c>
      <c r="I265" s="720">
        <f t="shared" si="161"/>
        <v>10556594</v>
      </c>
      <c r="J265" s="720"/>
      <c r="K265" s="720"/>
      <c r="L265" s="720"/>
      <c r="M265" s="1576">
        <f>+M266+M269</f>
        <v>39825607</v>
      </c>
      <c r="N265" s="1576">
        <f>+N266+N269</f>
        <v>39336608</v>
      </c>
      <c r="O265" s="3824"/>
    </row>
    <row r="266" spans="1:15" s="242" customFormat="1">
      <c r="A266" s="3812"/>
      <c r="B266" s="1989" t="s">
        <v>24</v>
      </c>
      <c r="C266" s="3863" t="s">
        <v>85</v>
      </c>
      <c r="D266" s="571">
        <f>+D267+D268</f>
        <v>6275000</v>
      </c>
      <c r="E266" s="571">
        <f t="shared" ref="E266" si="162">+E267+E268</f>
        <v>144271</v>
      </c>
      <c r="F266" s="571">
        <f>+F267+F268</f>
        <v>77226</v>
      </c>
      <c r="G266" s="571">
        <f>+G267+G268</f>
        <v>495014</v>
      </c>
      <c r="H266" s="571">
        <f>+H267+H268</f>
        <v>3975000</v>
      </c>
      <c r="I266" s="571">
        <f>+I267+I268</f>
        <v>1583489</v>
      </c>
      <c r="J266" s="571"/>
      <c r="K266" s="571"/>
      <c r="L266" s="571"/>
      <c r="M266" s="584">
        <f>+M267</f>
        <v>6130729</v>
      </c>
      <c r="N266" s="584">
        <f>+N267</f>
        <v>6053503</v>
      </c>
      <c r="O266" s="3824"/>
    </row>
    <row r="267" spans="1:15" s="242" customFormat="1">
      <c r="A267" s="3812"/>
      <c r="B267" s="1990" t="s">
        <v>12</v>
      </c>
      <c r="C267" s="3864"/>
      <c r="D267" s="704">
        <f>E267+F267+G267+H267+I267+J267+K267+L267</f>
        <v>6275000</v>
      </c>
      <c r="E267" s="719">
        <v>144271</v>
      </c>
      <c r="F267" s="573">
        <v>77226</v>
      </c>
      <c r="G267" s="573">
        <v>495014</v>
      </c>
      <c r="H267" s="573">
        <f>3300000+675000</f>
        <v>3975000</v>
      </c>
      <c r="I267" s="573">
        <v>1583489</v>
      </c>
      <c r="J267" s="573"/>
      <c r="K267" s="573"/>
      <c r="L267" s="573"/>
      <c r="M267" s="727">
        <f>SUM(F267:K267)</f>
        <v>6130729</v>
      </c>
      <c r="N267" s="727">
        <f>SUM(G267:L267)</f>
        <v>6053503</v>
      </c>
      <c r="O267" s="3824"/>
    </row>
    <row r="268" spans="1:15" s="242" customFormat="1" hidden="1">
      <c r="A268" s="3812"/>
      <c r="B268" s="1597" t="s">
        <v>15</v>
      </c>
      <c r="C268" s="3864"/>
      <c r="D268" s="704">
        <f>E268+F268+G268+H268+I268+J268+K268+L268</f>
        <v>0</v>
      </c>
      <c r="E268" s="1599">
        <v>0</v>
      </c>
      <c r="F268" s="742">
        <v>0</v>
      </c>
      <c r="G268" s="742">
        <v>0</v>
      </c>
      <c r="H268" s="742"/>
      <c r="I268" s="742"/>
      <c r="J268" s="742"/>
      <c r="K268" s="742"/>
      <c r="L268" s="742"/>
      <c r="M268" s="727">
        <f>SUM(E268:K268)</f>
        <v>0</v>
      </c>
      <c r="N268" s="727">
        <f>SUM(F268:L268)</f>
        <v>0</v>
      </c>
      <c r="O268" s="3824"/>
    </row>
    <row r="269" spans="1:15" s="242" customFormat="1">
      <c r="A269" s="3812"/>
      <c r="B269" s="1988" t="s">
        <v>18</v>
      </c>
      <c r="C269" s="3864"/>
      <c r="D269" s="521">
        <f>+D270</f>
        <v>34425000</v>
      </c>
      <c r="E269" s="521">
        <f t="shared" ref="E269:I269" si="163">+E270</f>
        <v>730122</v>
      </c>
      <c r="F269" s="521">
        <f t="shared" si="163"/>
        <v>411773</v>
      </c>
      <c r="G269" s="521">
        <f t="shared" si="163"/>
        <v>1785000</v>
      </c>
      <c r="H269" s="521">
        <f t="shared" si="163"/>
        <v>22525000</v>
      </c>
      <c r="I269" s="521">
        <f t="shared" si="163"/>
        <v>8973105</v>
      </c>
      <c r="J269" s="521"/>
      <c r="K269" s="521"/>
      <c r="L269" s="521"/>
      <c r="M269" s="520">
        <f>+M270</f>
        <v>33694878</v>
      </c>
      <c r="N269" s="520">
        <f>+N270</f>
        <v>33283105</v>
      </c>
      <c r="O269" s="3824"/>
    </row>
    <row r="270" spans="1:15" s="242" customFormat="1">
      <c r="A270" s="3812"/>
      <c r="B270" s="545" t="s">
        <v>21</v>
      </c>
      <c r="C270" s="3865"/>
      <c r="D270" s="704">
        <f>E270+F270+G270+H270+I270+J270+K270+L270</f>
        <v>34425000</v>
      </c>
      <c r="E270" s="719">
        <v>730122</v>
      </c>
      <c r="F270" s="573">
        <v>411773</v>
      </c>
      <c r="G270" s="573">
        <v>1785000</v>
      </c>
      <c r="H270" s="573">
        <f>18700000+3825000</f>
        <v>22525000</v>
      </c>
      <c r="I270" s="573">
        <v>8973105</v>
      </c>
      <c r="J270" s="573"/>
      <c r="K270" s="573"/>
      <c r="L270" s="573"/>
      <c r="M270" s="727">
        <f>SUM(F270:K270)</f>
        <v>33694878</v>
      </c>
      <c r="N270" s="727">
        <f>SUM(G270:L270)</f>
        <v>33283105</v>
      </c>
      <c r="O270" s="3836"/>
    </row>
    <row r="271" spans="1:15" s="242" customFormat="1">
      <c r="A271" s="3812"/>
      <c r="B271" s="1953" t="s">
        <v>22</v>
      </c>
      <c r="C271" s="517"/>
      <c r="D271" s="569">
        <f>+D274+D272</f>
        <v>34425000</v>
      </c>
      <c r="E271" s="569">
        <f t="shared" ref="E271:I271" si="164">+E274+E272</f>
        <v>0</v>
      </c>
      <c r="F271" s="569">
        <f t="shared" si="164"/>
        <v>0</v>
      </c>
      <c r="G271" s="569">
        <f t="shared" si="164"/>
        <v>2926895</v>
      </c>
      <c r="H271" s="569">
        <f t="shared" si="164"/>
        <v>22525000</v>
      </c>
      <c r="I271" s="569">
        <f t="shared" si="164"/>
        <v>8973105</v>
      </c>
      <c r="J271" s="569"/>
      <c r="K271" s="569"/>
      <c r="L271" s="569"/>
      <c r="M271" s="3866" t="s">
        <v>23</v>
      </c>
      <c r="N271" s="3866" t="s">
        <v>23</v>
      </c>
      <c r="O271" s="3867" t="s">
        <v>103</v>
      </c>
    </row>
    <row r="272" spans="1:15" s="242" customFormat="1" hidden="1">
      <c r="A272" s="3812"/>
      <c r="B272" s="731" t="s">
        <v>24</v>
      </c>
      <c r="C272" s="3818" t="s">
        <v>226</v>
      </c>
      <c r="D272" s="521">
        <f>+D273</f>
        <v>0</v>
      </c>
      <c r="E272" s="521">
        <f t="shared" ref="E272:G272" si="165">+E273</f>
        <v>0</v>
      </c>
      <c r="F272" s="521">
        <f t="shared" si="165"/>
        <v>0</v>
      </c>
      <c r="G272" s="521">
        <f t="shared" si="165"/>
        <v>0</v>
      </c>
      <c r="H272" s="521"/>
      <c r="I272" s="521"/>
      <c r="J272" s="521"/>
      <c r="K272" s="521"/>
      <c r="L272" s="521"/>
      <c r="M272" s="3852"/>
      <c r="N272" s="3852"/>
      <c r="O272" s="3868"/>
    </row>
    <row r="273" spans="1:16" s="242" customFormat="1" hidden="1">
      <c r="A273" s="3812"/>
      <c r="B273" s="1588" t="s">
        <v>15</v>
      </c>
      <c r="C273" s="3821"/>
      <c r="D273" s="704">
        <f>E273+F273+G273+H273+I273+J273+K273+L273</f>
        <v>0</v>
      </c>
      <c r="E273" s="1577"/>
      <c r="F273" s="1577"/>
      <c r="G273" s="1577"/>
      <c r="H273" s="1577"/>
      <c r="I273" s="1577"/>
      <c r="J273" s="1577"/>
      <c r="K273" s="1577"/>
      <c r="L273" s="1577"/>
      <c r="M273" s="3852"/>
      <c r="N273" s="3852"/>
      <c r="O273" s="3868"/>
    </row>
    <row r="274" spans="1:16" s="242" customFormat="1">
      <c r="A274" s="3812"/>
      <c r="B274" s="1992" t="s">
        <v>18</v>
      </c>
      <c r="C274" s="3821"/>
      <c r="D274" s="649">
        <f>+D275</f>
        <v>34425000</v>
      </c>
      <c r="E274" s="649">
        <f t="shared" ref="E274:I274" si="166">+E275</f>
        <v>0</v>
      </c>
      <c r="F274" s="649">
        <f t="shared" si="166"/>
        <v>0</v>
      </c>
      <c r="G274" s="649">
        <f t="shared" si="166"/>
        <v>2926895</v>
      </c>
      <c r="H274" s="649">
        <f t="shared" si="166"/>
        <v>22525000</v>
      </c>
      <c r="I274" s="649">
        <f t="shared" si="166"/>
        <v>8973105</v>
      </c>
      <c r="J274" s="649"/>
      <c r="K274" s="649"/>
      <c r="L274" s="649"/>
      <c r="M274" s="3852"/>
      <c r="N274" s="3852"/>
      <c r="O274" s="3868"/>
    </row>
    <row r="275" spans="1:16" s="242" customFormat="1" ht="13.5" thickBot="1">
      <c r="A275" s="3862"/>
      <c r="B275" s="732" t="s">
        <v>21</v>
      </c>
      <c r="C275" s="3822"/>
      <c r="D275" s="1896">
        <f>E275+F275+G275+H275+I275+J275+K275+L275</f>
        <v>34425000</v>
      </c>
      <c r="E275" s="1896">
        <v>0</v>
      </c>
      <c r="F275" s="1896">
        <v>0</v>
      </c>
      <c r="G275" s="422">
        <f>1785000+1141895</f>
        <v>2926895</v>
      </c>
      <c r="H275" s="422">
        <f>18700000+3825000</f>
        <v>22525000</v>
      </c>
      <c r="I275" s="422">
        <v>8973105</v>
      </c>
      <c r="J275" s="422"/>
      <c r="K275" s="422"/>
      <c r="L275" s="422"/>
      <c r="M275" s="3853"/>
      <c r="N275" s="3853"/>
      <c r="O275" s="3869"/>
    </row>
    <row r="276" spans="1:16" s="242" customFormat="1" ht="24">
      <c r="A276" s="3811" t="s">
        <v>93</v>
      </c>
      <c r="B276" s="370" t="s">
        <v>690</v>
      </c>
      <c r="C276" s="56" t="s">
        <v>82</v>
      </c>
      <c r="D276" s="594"/>
      <c r="E276" s="42"/>
      <c r="F276" s="42"/>
      <c r="G276" s="42"/>
      <c r="H276" s="42"/>
      <c r="I276" s="42"/>
      <c r="J276" s="42"/>
      <c r="K276" s="42"/>
      <c r="L276" s="42"/>
      <c r="M276" s="43"/>
      <c r="N276" s="43"/>
      <c r="O276" s="3823" t="s">
        <v>87</v>
      </c>
    </row>
    <row r="277" spans="1:16" s="242" customFormat="1">
      <c r="A277" s="3812"/>
      <c r="B277" s="427" t="s">
        <v>10</v>
      </c>
      <c r="C277" s="1602"/>
      <c r="D277" s="1265">
        <f>+D278+D281</f>
        <v>17800000</v>
      </c>
      <c r="E277" s="1265">
        <f t="shared" ref="E277:H277" si="167">+E278+E281</f>
        <v>0</v>
      </c>
      <c r="F277" s="1265">
        <f t="shared" si="167"/>
        <v>0</v>
      </c>
      <c r="G277" s="1265">
        <f t="shared" si="167"/>
        <v>2290650</v>
      </c>
      <c r="H277" s="1265">
        <f t="shared" si="167"/>
        <v>15509350</v>
      </c>
      <c r="I277" s="1265"/>
      <c r="J277" s="1265"/>
      <c r="K277" s="1265"/>
      <c r="L277" s="1265"/>
      <c r="M277" s="1282">
        <f>+M278+M281</f>
        <v>17800000</v>
      </c>
      <c r="N277" s="1282">
        <f>+N278+N281</f>
        <v>17800000</v>
      </c>
      <c r="O277" s="3824"/>
    </row>
    <row r="278" spans="1:16" s="242" customFormat="1">
      <c r="A278" s="3812"/>
      <c r="B278" s="538" t="s">
        <v>24</v>
      </c>
      <c r="C278" s="3936" t="s">
        <v>85</v>
      </c>
      <c r="D278" s="1266">
        <f>+D279+D280</f>
        <v>2755000</v>
      </c>
      <c r="E278" s="1266">
        <f t="shared" ref="E278" si="168">+E279+E280</f>
        <v>0</v>
      </c>
      <c r="F278" s="1266">
        <f>+F279+F280</f>
        <v>0</v>
      </c>
      <c r="G278" s="1266">
        <f>+G279+G280</f>
        <v>428598</v>
      </c>
      <c r="H278" s="1266">
        <f>+H279+H280</f>
        <v>2326402</v>
      </c>
      <c r="I278" s="1266"/>
      <c r="J278" s="1266"/>
      <c r="K278" s="1266"/>
      <c r="L278" s="1266"/>
      <c r="M278" s="1267">
        <f>+M279</f>
        <v>2755000</v>
      </c>
      <c r="N278" s="1267">
        <f>+N279</f>
        <v>2755000</v>
      </c>
      <c r="O278" s="3824"/>
    </row>
    <row r="279" spans="1:16" s="242" customFormat="1">
      <c r="A279" s="3812"/>
      <c r="B279" s="581" t="s">
        <v>12</v>
      </c>
      <c r="C279" s="3864"/>
      <c r="D279" s="1159">
        <f>E279+F279+G279+H279+I279+J279+K279+L279</f>
        <v>2755000</v>
      </c>
      <c r="E279" s="1206"/>
      <c r="F279" s="1243"/>
      <c r="G279" s="1243">
        <v>428598</v>
      </c>
      <c r="H279" s="1243">
        <v>2326402</v>
      </c>
      <c r="I279" s="1243"/>
      <c r="J279" s="1243"/>
      <c r="K279" s="1243"/>
      <c r="L279" s="1243"/>
      <c r="M279" s="1244">
        <f>SUM(F279:K279)</f>
        <v>2755000</v>
      </c>
      <c r="N279" s="1244">
        <f>SUM(G279:L279)</f>
        <v>2755000</v>
      </c>
      <c r="O279" s="3824"/>
    </row>
    <row r="280" spans="1:16" s="242" customFormat="1" hidden="1">
      <c r="A280" s="3812"/>
      <c r="B280" s="1597" t="s">
        <v>15</v>
      </c>
      <c r="C280" s="3864"/>
      <c r="D280" s="1159">
        <f>E280+F280+G280+H280+I280+J280+K280+L280</f>
        <v>0</v>
      </c>
      <c r="E280" s="1603">
        <v>0</v>
      </c>
      <c r="F280" s="742">
        <v>0</v>
      </c>
      <c r="G280" s="742">
        <v>0</v>
      </c>
      <c r="H280" s="742"/>
      <c r="I280" s="742"/>
      <c r="J280" s="742"/>
      <c r="K280" s="742"/>
      <c r="L280" s="742"/>
      <c r="M280" s="1244">
        <f>SUM(E280:K280)</f>
        <v>0</v>
      </c>
      <c r="N280" s="1244">
        <f>SUM(F280:L280)</f>
        <v>0</v>
      </c>
      <c r="O280" s="3824"/>
    </row>
    <row r="281" spans="1:16" s="242" customFormat="1">
      <c r="A281" s="3812"/>
      <c r="B281" s="729" t="s">
        <v>18</v>
      </c>
      <c r="C281" s="3864"/>
      <c r="D281" s="1234">
        <f>+D282</f>
        <v>15045000</v>
      </c>
      <c r="E281" s="1234">
        <f t="shared" ref="E281:H281" si="169">+E282</f>
        <v>0</v>
      </c>
      <c r="F281" s="1234">
        <f t="shared" si="169"/>
        <v>0</v>
      </c>
      <c r="G281" s="1234">
        <f t="shared" si="169"/>
        <v>1862052</v>
      </c>
      <c r="H281" s="1234">
        <f t="shared" si="169"/>
        <v>13182948</v>
      </c>
      <c r="I281" s="1234"/>
      <c r="J281" s="1234"/>
      <c r="K281" s="1234"/>
      <c r="L281" s="1234"/>
      <c r="M281" s="1235">
        <f>+M282</f>
        <v>15045000</v>
      </c>
      <c r="N281" s="1235">
        <f>+N282</f>
        <v>15045000</v>
      </c>
      <c r="O281" s="3824"/>
    </row>
    <row r="282" spans="1:16" s="242" customFormat="1">
      <c r="A282" s="3812"/>
      <c r="B282" s="1370" t="s">
        <v>21</v>
      </c>
      <c r="C282" s="3865"/>
      <c r="D282" s="1159">
        <f>E282+F282+G282+H282+I282+J282+K282+L282</f>
        <v>15045000</v>
      </c>
      <c r="E282" s="1206"/>
      <c r="F282" s="1243"/>
      <c r="G282" s="1243">
        <v>1862052</v>
      </c>
      <c r="H282" s="1243">
        <v>13182948</v>
      </c>
      <c r="I282" s="1243"/>
      <c r="J282" s="1243"/>
      <c r="K282" s="1243"/>
      <c r="L282" s="1243"/>
      <c r="M282" s="1244">
        <f>SUM(F282:K282)</f>
        <v>15045000</v>
      </c>
      <c r="N282" s="1244">
        <f>SUM(G282:L282)</f>
        <v>15045000</v>
      </c>
      <c r="O282" s="3836"/>
    </row>
    <row r="283" spans="1:16" s="242" customFormat="1">
      <c r="A283" s="3812"/>
      <c r="B283" s="427" t="s">
        <v>22</v>
      </c>
      <c r="C283" s="517"/>
      <c r="D283" s="1232">
        <f>+D286+D284</f>
        <v>15045000</v>
      </c>
      <c r="E283" s="1232">
        <f t="shared" ref="E283:H283" si="170">+E286+E284</f>
        <v>0</v>
      </c>
      <c r="F283" s="1232">
        <f t="shared" si="170"/>
        <v>0</v>
      </c>
      <c r="G283" s="1232">
        <f t="shared" si="170"/>
        <v>1862052</v>
      </c>
      <c r="H283" s="1232">
        <f t="shared" si="170"/>
        <v>13182948</v>
      </c>
      <c r="I283" s="1232"/>
      <c r="J283" s="1232"/>
      <c r="K283" s="1232"/>
      <c r="L283" s="1232"/>
      <c r="M283" s="3903" t="s">
        <v>23</v>
      </c>
      <c r="N283" s="3903" t="s">
        <v>23</v>
      </c>
      <c r="O283" s="3876" t="s">
        <v>103</v>
      </c>
    </row>
    <row r="284" spans="1:16" s="242" customFormat="1" hidden="1">
      <c r="A284" s="3812"/>
      <c r="B284" s="1237" t="s">
        <v>24</v>
      </c>
      <c r="C284" s="3827" t="s">
        <v>226</v>
      </c>
      <c r="D284" s="1234">
        <f>+D285</f>
        <v>0</v>
      </c>
      <c r="E284" s="1234">
        <f t="shared" ref="E284:H284" si="171">+E285</f>
        <v>0</v>
      </c>
      <c r="F284" s="1234">
        <f t="shared" si="171"/>
        <v>0</v>
      </c>
      <c r="G284" s="1234">
        <f t="shared" si="171"/>
        <v>0</v>
      </c>
      <c r="H284" s="1234">
        <f t="shared" si="171"/>
        <v>0</v>
      </c>
      <c r="I284" s="1234"/>
      <c r="J284" s="1234"/>
      <c r="K284" s="1234"/>
      <c r="L284" s="1234"/>
      <c r="M284" s="3852"/>
      <c r="N284" s="3852"/>
      <c r="O284" s="3868"/>
    </row>
    <row r="285" spans="1:16" s="242" customFormat="1" hidden="1">
      <c r="A285" s="3812"/>
      <c r="B285" s="1257" t="s">
        <v>15</v>
      </c>
      <c r="C285" s="3821"/>
      <c r="D285" s="1159">
        <f>E285+F285+G285+H285+I285+J285+K285+L285</f>
        <v>0</v>
      </c>
      <c r="E285" s="1247"/>
      <c r="F285" s="1247"/>
      <c r="G285" s="1247"/>
      <c r="H285" s="1247"/>
      <c r="I285" s="1247"/>
      <c r="J285" s="1247"/>
      <c r="K285" s="1247"/>
      <c r="L285" s="1247"/>
      <c r="M285" s="3852"/>
      <c r="N285" s="3852"/>
      <c r="O285" s="3868"/>
    </row>
    <row r="286" spans="1:16" s="242" customFormat="1">
      <c r="A286" s="3812"/>
      <c r="B286" s="540" t="s">
        <v>18</v>
      </c>
      <c r="C286" s="3821"/>
      <c r="D286" s="1248">
        <f>+D287</f>
        <v>15045000</v>
      </c>
      <c r="E286" s="1248">
        <f t="shared" ref="E286:H286" si="172">+E287</f>
        <v>0</v>
      </c>
      <c r="F286" s="1248">
        <f t="shared" si="172"/>
        <v>0</v>
      </c>
      <c r="G286" s="1248">
        <f t="shared" si="172"/>
        <v>1862052</v>
      </c>
      <c r="H286" s="1248">
        <f t="shared" si="172"/>
        <v>13182948</v>
      </c>
      <c r="I286" s="1248"/>
      <c r="J286" s="1248"/>
      <c r="K286" s="1248"/>
      <c r="L286" s="1248"/>
      <c r="M286" s="3852"/>
      <c r="N286" s="3852"/>
      <c r="O286" s="3868"/>
    </row>
    <row r="287" spans="1:16" s="242" customFormat="1" ht="13.5" thickBot="1">
      <c r="A287" s="3862"/>
      <c r="B287" s="732" t="s">
        <v>21</v>
      </c>
      <c r="C287" s="3822"/>
      <c r="D287" s="1319">
        <f>E287+F287+G287+H287+I287+J287+K287+L287</f>
        <v>15045000</v>
      </c>
      <c r="E287" s="1319">
        <v>0</v>
      </c>
      <c r="F287" s="1319">
        <v>0</v>
      </c>
      <c r="G287" s="422">
        <f>1862052</f>
        <v>1862052</v>
      </c>
      <c r="H287" s="422">
        <v>13182948</v>
      </c>
      <c r="I287" s="422"/>
      <c r="J287" s="422"/>
      <c r="K287" s="422"/>
      <c r="L287" s="422"/>
      <c r="M287" s="3853"/>
      <c r="N287" s="3853"/>
      <c r="O287" s="3869"/>
    </row>
    <row r="288" spans="1:16" ht="24.75" customHeight="1">
      <c r="A288" s="3811" t="s">
        <v>94</v>
      </c>
      <c r="B288" s="247" t="s">
        <v>761</v>
      </c>
      <c r="C288" s="56" t="s">
        <v>82</v>
      </c>
      <c r="D288" s="594"/>
      <c r="E288" s="42"/>
      <c r="F288" s="42"/>
      <c r="G288" s="42"/>
      <c r="H288" s="42"/>
      <c r="I288" s="42"/>
      <c r="J288" s="42"/>
      <c r="K288" s="42"/>
      <c r="L288" s="42"/>
      <c r="M288" s="43"/>
      <c r="N288" s="43"/>
      <c r="O288" s="3823" t="s">
        <v>87</v>
      </c>
      <c r="P288" s="214" t="s">
        <v>316</v>
      </c>
    </row>
    <row r="289" spans="1:16" ht="12" customHeight="1">
      <c r="A289" s="3812"/>
      <c r="B289" s="1230" t="s">
        <v>10</v>
      </c>
      <c r="C289" s="1250"/>
      <c r="D289" s="2079">
        <f t="shared" ref="D289" si="173">+D290+D293</f>
        <v>9282270</v>
      </c>
      <c r="E289" s="1164">
        <f t="shared" ref="E289" si="174">+E290+E293</f>
        <v>0</v>
      </c>
      <c r="F289" s="1164">
        <f>+F290+F293</f>
        <v>322280</v>
      </c>
      <c r="G289" s="1164">
        <f>+G290+G293</f>
        <v>8539990</v>
      </c>
      <c r="H289" s="1164">
        <f>+H290+H293</f>
        <v>0</v>
      </c>
      <c r="I289" s="1164">
        <f>+I290+I293</f>
        <v>420000</v>
      </c>
      <c r="J289" s="1164"/>
      <c r="K289" s="1164"/>
      <c r="L289" s="1164"/>
      <c r="M289" s="1166">
        <f>M290+M293</f>
        <v>9282270</v>
      </c>
      <c r="N289" s="1166">
        <f>N290+N293</f>
        <v>8959990</v>
      </c>
      <c r="O289" s="3824"/>
      <c r="P289" s="401"/>
    </row>
    <row r="290" spans="1:16" ht="13.5" customHeight="1">
      <c r="A290" s="3812"/>
      <c r="B290" s="1237" t="s">
        <v>24</v>
      </c>
      <c r="C290" s="3827" t="s">
        <v>85</v>
      </c>
      <c r="D290" s="1168">
        <f>+D291+D292</f>
        <v>8530233</v>
      </c>
      <c r="E290" s="2080">
        <f t="shared" ref="E290:I290" si="175">+E291</f>
        <v>0</v>
      </c>
      <c r="F290" s="2080">
        <f t="shared" si="175"/>
        <v>48342</v>
      </c>
      <c r="G290" s="2080">
        <f t="shared" si="175"/>
        <v>8061891</v>
      </c>
      <c r="H290" s="2080">
        <f t="shared" si="175"/>
        <v>0</v>
      </c>
      <c r="I290" s="2080">
        <f t="shared" si="175"/>
        <v>420000</v>
      </c>
      <c r="J290" s="1241"/>
      <c r="K290" s="1241"/>
      <c r="L290" s="1241"/>
      <c r="M290" s="1235">
        <f>M291</f>
        <v>8530233</v>
      </c>
      <c r="N290" s="1235">
        <f>N291</f>
        <v>8481891</v>
      </c>
      <c r="O290" s="3824"/>
      <c r="P290" s="401"/>
    </row>
    <row r="291" spans="1:16" ht="12" customHeight="1">
      <c r="A291" s="3812"/>
      <c r="B291" s="1257" t="s">
        <v>12</v>
      </c>
      <c r="C291" s="3828"/>
      <c r="D291" s="1159">
        <f>E291+F291+G291+H291+I291+J291+K291+L291</f>
        <v>8530233</v>
      </c>
      <c r="E291" s="1206">
        <v>0</v>
      </c>
      <c r="F291" s="1243">
        <f>3200000-1940000+1520081+249090-73261-57720-385500-592500-1597849-273999</f>
        <v>48342</v>
      </c>
      <c r="G291" s="1243">
        <f>4984499+500000+710922+57720+385500+1597849-126001-28598-20000</f>
        <v>8061891</v>
      </c>
      <c r="H291" s="1243">
        <f>400000-400000</f>
        <v>0</v>
      </c>
      <c r="I291" s="1243">
        <v>420000</v>
      </c>
      <c r="J291" s="1243"/>
      <c r="K291" s="1243"/>
      <c r="L291" s="1243"/>
      <c r="M291" s="727">
        <f>SUM(F291:K291)</f>
        <v>8530233</v>
      </c>
      <c r="N291" s="727">
        <f>SUM(G291:L291)</f>
        <v>8481891</v>
      </c>
      <c r="O291" s="3824"/>
    </row>
    <row r="292" spans="1:16" hidden="1">
      <c r="A292" s="3812"/>
      <c r="B292" s="89" t="s">
        <v>15</v>
      </c>
      <c r="C292" s="3828"/>
      <c r="D292" s="1159">
        <f>E292+F292+G292+H292+I292+J292+K292+L292</f>
        <v>0</v>
      </c>
      <c r="E292" s="1260">
        <v>0</v>
      </c>
      <c r="F292" s="1261"/>
      <c r="G292" s="1261"/>
      <c r="H292" s="1261"/>
      <c r="I292" s="1261"/>
      <c r="J292" s="189"/>
      <c r="K292" s="189"/>
      <c r="L292" s="189"/>
      <c r="M292" s="66"/>
      <c r="N292" s="66"/>
      <c r="O292" s="3824"/>
    </row>
    <row r="293" spans="1:16" ht="13.5" customHeight="1">
      <c r="A293" s="3812"/>
      <c r="B293" s="1264" t="s">
        <v>18</v>
      </c>
      <c r="C293" s="3828"/>
      <c r="D293" s="1234">
        <f>+D294</f>
        <v>752037</v>
      </c>
      <c r="E293" s="1176">
        <f t="shared" ref="E293:I293" si="176">+E294</f>
        <v>0</v>
      </c>
      <c r="F293" s="2080">
        <f t="shared" si="176"/>
        <v>273938</v>
      </c>
      <c r="G293" s="2080">
        <f t="shared" si="176"/>
        <v>478099</v>
      </c>
      <c r="H293" s="1387">
        <f t="shared" si="176"/>
        <v>0</v>
      </c>
      <c r="I293" s="1387">
        <f t="shared" si="176"/>
        <v>0</v>
      </c>
      <c r="J293" s="1234"/>
      <c r="K293" s="1234"/>
      <c r="L293" s="1234"/>
      <c r="M293" s="1235">
        <f>M294</f>
        <v>752037</v>
      </c>
      <c r="N293" s="1235">
        <f>N294</f>
        <v>478099</v>
      </c>
      <c r="O293" s="3824"/>
    </row>
    <row r="294" spans="1:16">
      <c r="A294" s="3812"/>
      <c r="B294" s="581" t="s">
        <v>21</v>
      </c>
      <c r="C294" s="3890"/>
      <c r="D294" s="1262">
        <f>E294+F294+G294+H294+I294+J294+K294+L294</f>
        <v>752037</v>
      </c>
      <c r="E294" s="1206">
        <v>0</v>
      </c>
      <c r="F294" s="1243">
        <f>1617722-288485-415148-640151</f>
        <v>273938</v>
      </c>
      <c r="G294" s="1243">
        <f>640151-162052</f>
        <v>478099</v>
      </c>
      <c r="H294" s="2081">
        <f>1900090-569500-416501-914089</f>
        <v>0</v>
      </c>
      <c r="I294" s="2081">
        <f>1900090-569500-416501-914089</f>
        <v>0</v>
      </c>
      <c r="J294" s="1243"/>
      <c r="K294" s="1243"/>
      <c r="L294" s="1243"/>
      <c r="M294" s="727">
        <f>SUM(F294:K294)</f>
        <v>752037</v>
      </c>
      <c r="N294" s="727">
        <f>SUM(G294:L294)</f>
        <v>478099</v>
      </c>
      <c r="O294" s="3836"/>
    </row>
    <row r="295" spans="1:16" ht="12" customHeight="1">
      <c r="A295" s="3813"/>
      <c r="B295" s="1230" t="s">
        <v>22</v>
      </c>
      <c r="C295" s="87"/>
      <c r="D295" s="96">
        <f>+D298+D296</f>
        <v>752037</v>
      </c>
      <c r="E295" s="96">
        <f t="shared" ref="E295" si="177">+E298+E296</f>
        <v>0</v>
      </c>
      <c r="F295" s="639">
        <f t="shared" ref="F295:G295" si="178">+F298+F296</f>
        <v>0</v>
      </c>
      <c r="G295" s="96">
        <f t="shared" si="178"/>
        <v>752037</v>
      </c>
      <c r="H295" s="96"/>
      <c r="I295" s="96"/>
      <c r="J295" s="96"/>
      <c r="K295" s="96"/>
      <c r="L295" s="96"/>
      <c r="M295" s="3941" t="s">
        <v>23</v>
      </c>
      <c r="N295" s="3941" t="s">
        <v>23</v>
      </c>
      <c r="O295" s="3905" t="s">
        <v>103</v>
      </c>
    </row>
    <row r="296" spans="1:16" ht="13.5" hidden="1" customHeight="1">
      <c r="A296" s="3813"/>
      <c r="B296" s="1237" t="s">
        <v>24</v>
      </c>
      <c r="C296" s="3827" t="s">
        <v>226</v>
      </c>
      <c r="D296" s="50">
        <f>+D297</f>
        <v>0</v>
      </c>
      <c r="E296" s="50">
        <f t="shared" ref="E296" si="179">+E297</f>
        <v>0</v>
      </c>
      <c r="F296" s="244"/>
      <c r="G296" s="50"/>
      <c r="H296" s="50"/>
      <c r="I296" s="50"/>
      <c r="J296" s="50"/>
      <c r="K296" s="50"/>
      <c r="L296" s="50"/>
      <c r="M296" s="3942"/>
      <c r="N296" s="3942"/>
      <c r="O296" s="3892"/>
    </row>
    <row r="297" spans="1:16" ht="12.75" hidden="1" customHeight="1">
      <c r="A297" s="3813"/>
      <c r="B297" s="89" t="s">
        <v>15</v>
      </c>
      <c r="C297" s="3821"/>
      <c r="D297" s="1159">
        <f>E297+F297+G297+H297+I297+J297+K297+L297</f>
        <v>0</v>
      </c>
      <c r="E297" s="1175">
        <v>0</v>
      </c>
      <c r="F297" s="1263"/>
      <c r="G297" s="1175"/>
      <c r="H297" s="1175"/>
      <c r="I297" s="1175"/>
      <c r="J297" s="1175"/>
      <c r="K297" s="1175"/>
      <c r="L297" s="1175"/>
      <c r="M297" s="3942"/>
      <c r="N297" s="3942"/>
      <c r="O297" s="3892"/>
    </row>
    <row r="298" spans="1:16" ht="12" customHeight="1">
      <c r="A298" s="3813"/>
      <c r="B298" s="1264" t="s">
        <v>18</v>
      </c>
      <c r="C298" s="3821"/>
      <c r="D298" s="1234">
        <f t="shared" ref="D298:G298" si="180">+D299</f>
        <v>752037</v>
      </c>
      <c r="E298" s="1176">
        <f t="shared" si="180"/>
        <v>0</v>
      </c>
      <c r="F298" s="1387">
        <f t="shared" si="180"/>
        <v>0</v>
      </c>
      <c r="G298" s="1176">
        <f t="shared" si="180"/>
        <v>752037</v>
      </c>
      <c r="H298" s="1176"/>
      <c r="I298" s="1176"/>
      <c r="J298" s="1176"/>
      <c r="K298" s="1176"/>
      <c r="L298" s="1176"/>
      <c r="M298" s="3942"/>
      <c r="N298" s="3942"/>
      <c r="O298" s="3892"/>
    </row>
    <row r="299" spans="1:16" ht="13.5" customHeight="1" thickBot="1">
      <c r="A299" s="3814"/>
      <c r="B299" s="732" t="s">
        <v>21</v>
      </c>
      <c r="C299" s="3822"/>
      <c r="D299" s="701">
        <f>E299+F299+G299+H299+I299+J299+K299+L299</f>
        <v>752037</v>
      </c>
      <c r="E299" s="701">
        <v>0</v>
      </c>
      <c r="F299" s="1604">
        <f>1900090-569500-416501-914089</f>
        <v>0</v>
      </c>
      <c r="G299" s="55">
        <f>914089-162052</f>
        <v>752037</v>
      </c>
      <c r="H299" s="55"/>
      <c r="I299" s="425"/>
      <c r="J299" s="425"/>
      <c r="K299" s="425"/>
      <c r="L299" s="425"/>
      <c r="M299" s="3943"/>
      <c r="N299" s="3943"/>
      <c r="O299" s="3893"/>
    </row>
    <row r="300" spans="1:16" ht="29.25" hidden="1" customHeight="1">
      <c r="A300" s="3811"/>
      <c r="B300" s="71" t="s">
        <v>490</v>
      </c>
      <c r="C300" s="56" t="s">
        <v>82</v>
      </c>
      <c r="D300" s="594"/>
      <c r="E300" s="371"/>
      <c r="F300" s="371"/>
      <c r="G300" s="371"/>
      <c r="H300" s="371"/>
      <c r="I300" s="371"/>
      <c r="J300" s="42"/>
      <c r="K300" s="42"/>
      <c r="L300" s="42"/>
      <c r="M300" s="43"/>
      <c r="N300" s="43"/>
      <c r="O300" s="3874" t="s">
        <v>103</v>
      </c>
      <c r="P300" s="214" t="s">
        <v>316</v>
      </c>
    </row>
    <row r="301" spans="1:16" ht="13.5" hidden="1" customHeight="1">
      <c r="A301" s="3812"/>
      <c r="B301" s="537" t="s">
        <v>10</v>
      </c>
      <c r="C301" s="585"/>
      <c r="D301" s="569">
        <f t="shared" ref="D301" si="181">+D302+D305</f>
        <v>0</v>
      </c>
      <c r="E301" s="576">
        <v>0</v>
      </c>
      <c r="F301" s="570">
        <f>+F302+F305</f>
        <v>0</v>
      </c>
      <c r="G301" s="570"/>
      <c r="H301" s="570"/>
      <c r="I301" s="570"/>
      <c r="J301" s="570"/>
      <c r="K301" s="570"/>
      <c r="L301" s="570"/>
      <c r="M301" s="712">
        <f>M302+M305</f>
        <v>0</v>
      </c>
      <c r="N301" s="712">
        <f>N302+N305</f>
        <v>0</v>
      </c>
      <c r="O301" s="3868"/>
      <c r="P301" s="401"/>
    </row>
    <row r="302" spans="1:16" ht="14.25" hidden="1" customHeight="1">
      <c r="A302" s="3812"/>
      <c r="B302" s="1028" t="s">
        <v>24</v>
      </c>
      <c r="C302" s="3818" t="s">
        <v>99</v>
      </c>
      <c r="D302" s="649">
        <f t="shared" ref="D302" si="182">+D303+D304</f>
        <v>0</v>
      </c>
      <c r="E302" s="548">
        <v>0</v>
      </c>
      <c r="F302" s="649">
        <f>+F303+F304</f>
        <v>0</v>
      </c>
      <c r="G302" s="649"/>
      <c r="H302" s="649"/>
      <c r="I302" s="649"/>
      <c r="J302" s="649"/>
      <c r="K302" s="649"/>
      <c r="L302" s="649"/>
      <c r="M302" s="520">
        <f>+M303+M304</f>
        <v>0</v>
      </c>
      <c r="N302" s="520">
        <f>+N303+N304</f>
        <v>0</v>
      </c>
      <c r="O302" s="3868"/>
      <c r="P302" s="401"/>
    </row>
    <row r="303" spans="1:16" ht="12.75" hidden="1" customHeight="1">
      <c r="A303" s="3812"/>
      <c r="B303" s="1029" t="s">
        <v>12</v>
      </c>
      <c r="C303" s="3828"/>
      <c r="D303" s="704">
        <f>SUM(E303:L303)</f>
        <v>0</v>
      </c>
      <c r="E303" s="543"/>
      <c r="F303" s="574"/>
      <c r="G303" s="574"/>
      <c r="H303" s="574"/>
      <c r="I303" s="574"/>
      <c r="J303" s="574"/>
      <c r="K303" s="574"/>
      <c r="L303" s="574"/>
      <c r="M303" s="1030"/>
      <c r="N303" s="1030"/>
      <c r="O303" s="3868"/>
    </row>
    <row r="304" spans="1:16" ht="11.25" hidden="1" customHeight="1">
      <c r="A304" s="3812"/>
      <c r="B304" s="511" t="s">
        <v>107</v>
      </c>
      <c r="C304" s="3828"/>
      <c r="D304" s="226">
        <f>E304+F304+G304+H304+I304+J304+K304+L304</f>
        <v>0</v>
      </c>
      <c r="E304" s="543">
        <v>0</v>
      </c>
      <c r="F304" s="575">
        <f>5400000-5400000</f>
        <v>0</v>
      </c>
      <c r="G304" s="574"/>
      <c r="H304" s="574"/>
      <c r="I304" s="575"/>
      <c r="J304" s="574"/>
      <c r="K304" s="574"/>
      <c r="L304" s="574"/>
      <c r="M304" s="727">
        <f>SUM(E304:K304)</f>
        <v>0</v>
      </c>
      <c r="N304" s="727">
        <f>SUM(F304:L304)</f>
        <v>0</v>
      </c>
      <c r="O304" s="3868"/>
    </row>
    <row r="305" spans="1:17" ht="11.25" hidden="1" customHeight="1">
      <c r="A305" s="3812"/>
      <c r="B305" s="1031" t="s">
        <v>18</v>
      </c>
      <c r="C305" s="3828"/>
      <c r="D305" s="521">
        <f t="shared" ref="D305:F305" si="183">+D306</f>
        <v>0</v>
      </c>
      <c r="E305" s="735">
        <v>0</v>
      </c>
      <c r="F305" s="717">
        <f t="shared" si="183"/>
        <v>0</v>
      </c>
      <c r="G305" s="717"/>
      <c r="H305" s="717"/>
      <c r="I305" s="717"/>
      <c r="J305" s="717"/>
      <c r="K305" s="717"/>
      <c r="L305" s="717"/>
      <c r="M305" s="520">
        <f>M306</f>
        <v>0</v>
      </c>
      <c r="N305" s="520">
        <f>N306</f>
        <v>0</v>
      </c>
      <c r="O305" s="3868"/>
    </row>
    <row r="306" spans="1:17" ht="13.5" hidden="1" customHeight="1">
      <c r="A306" s="3812"/>
      <c r="B306" s="1032" t="s">
        <v>21</v>
      </c>
      <c r="C306" s="3890"/>
      <c r="D306" s="226">
        <f>E306+F306+G306+H306+I306+J306+K306+L306</f>
        <v>0</v>
      </c>
      <c r="E306" s="543">
        <v>0</v>
      </c>
      <c r="F306" s="574">
        <f>30600000-30600000</f>
        <v>0</v>
      </c>
      <c r="G306" s="574"/>
      <c r="H306" s="573"/>
      <c r="I306" s="574"/>
      <c r="J306" s="573"/>
      <c r="K306" s="573"/>
      <c r="L306" s="573"/>
      <c r="M306" s="727">
        <f>SUM(E306:K306)</f>
        <v>0</v>
      </c>
      <c r="N306" s="727">
        <f>SUM(F306:L306)</f>
        <v>0</v>
      </c>
      <c r="O306" s="3868"/>
    </row>
    <row r="307" spans="1:17" ht="13.5" hidden="1" customHeight="1">
      <c r="A307" s="3813"/>
      <c r="B307" s="1033" t="s">
        <v>22</v>
      </c>
      <c r="C307" s="87"/>
      <c r="D307" s="96">
        <f>+D310+D308</f>
        <v>0</v>
      </c>
      <c r="E307" s="639">
        <v>0</v>
      </c>
      <c r="F307" s="96">
        <f t="shared" ref="F307" si="184">+F310+F308</f>
        <v>0</v>
      </c>
      <c r="G307" s="96"/>
      <c r="H307" s="96"/>
      <c r="I307" s="96"/>
      <c r="J307" s="96"/>
      <c r="K307" s="96"/>
      <c r="L307" s="96"/>
      <c r="M307" s="3902" t="s">
        <v>23</v>
      </c>
      <c r="N307" s="3902" t="s">
        <v>23</v>
      </c>
      <c r="O307" s="3868"/>
    </row>
    <row r="308" spans="1:17" ht="13.5" hidden="1" customHeight="1">
      <c r="A308" s="3813"/>
      <c r="B308" s="731" t="s">
        <v>24</v>
      </c>
      <c r="C308" s="3818" t="s">
        <v>315</v>
      </c>
      <c r="D308" s="593">
        <f>D309</f>
        <v>0</v>
      </c>
      <c r="E308" s="1034">
        <v>0</v>
      </c>
      <c r="F308" s="593">
        <f t="shared" ref="F308" si="185">F309</f>
        <v>0</v>
      </c>
      <c r="G308" s="593"/>
      <c r="H308" s="593"/>
      <c r="I308" s="593"/>
      <c r="J308" s="593"/>
      <c r="K308" s="593"/>
      <c r="L308" s="593"/>
      <c r="M308" s="3896"/>
      <c r="N308" s="3896"/>
      <c r="O308" s="3868"/>
    </row>
    <row r="309" spans="1:17" ht="13.5" hidden="1" customHeight="1">
      <c r="A309" s="3813"/>
      <c r="B309" s="511" t="s">
        <v>107</v>
      </c>
      <c r="C309" s="3821"/>
      <c r="D309" s="226">
        <f>E309+F309+G309+H309+I309+J309+K309+L309</f>
        <v>0</v>
      </c>
      <c r="E309" s="543">
        <v>0</v>
      </c>
      <c r="F309" s="1035">
        <v>0</v>
      </c>
      <c r="G309" s="593"/>
      <c r="H309" s="1035"/>
      <c r="I309" s="1035"/>
      <c r="J309" s="593"/>
      <c r="K309" s="593"/>
      <c r="L309" s="593"/>
      <c r="M309" s="3896"/>
      <c r="N309" s="3896"/>
      <c r="O309" s="3868"/>
    </row>
    <row r="310" spans="1:17" ht="12" hidden="1" customHeight="1">
      <c r="A310" s="3813"/>
      <c r="B310" s="544" t="s">
        <v>18</v>
      </c>
      <c r="C310" s="3821"/>
      <c r="D310" s="521">
        <f>+D311</f>
        <v>0</v>
      </c>
      <c r="E310" s="735">
        <v>0</v>
      </c>
      <c r="F310" s="717">
        <f t="shared" ref="F310" si="186">+F311</f>
        <v>0</v>
      </c>
      <c r="G310" s="717"/>
      <c r="H310" s="717"/>
      <c r="I310" s="717"/>
      <c r="J310" s="717"/>
      <c r="K310" s="717"/>
      <c r="L310" s="717"/>
      <c r="M310" s="3896"/>
      <c r="N310" s="3896"/>
      <c r="O310" s="3868"/>
    </row>
    <row r="311" spans="1:17" ht="13.5" hidden="1" customHeight="1" thickBot="1">
      <c r="A311" s="3814"/>
      <c r="B311" s="732" t="s">
        <v>21</v>
      </c>
      <c r="C311" s="3822"/>
      <c r="D311" s="226">
        <f>E311+F311+G311+H311+I311+J311+K311+L311</f>
        <v>0</v>
      </c>
      <c r="E311" s="546">
        <v>0</v>
      </c>
      <c r="F311" s="55">
        <f>30600000-30600000</f>
        <v>0</v>
      </c>
      <c r="G311" s="55"/>
      <c r="H311" s="55"/>
      <c r="I311" s="55"/>
      <c r="J311" s="55"/>
      <c r="K311" s="55"/>
      <c r="L311" s="55"/>
      <c r="M311" s="3897"/>
      <c r="N311" s="3897"/>
      <c r="O311" s="3869"/>
    </row>
    <row r="312" spans="1:17" ht="24.75" customHeight="1">
      <c r="A312" s="3811" t="s">
        <v>95</v>
      </c>
      <c r="B312" s="71" t="s">
        <v>661</v>
      </c>
      <c r="C312" s="56" t="s">
        <v>82</v>
      </c>
      <c r="D312" s="1605"/>
      <c r="E312" s="91"/>
      <c r="F312" s="92"/>
      <c r="G312" s="92"/>
      <c r="H312" s="92"/>
      <c r="I312" s="92"/>
      <c r="J312" s="92"/>
      <c r="K312" s="92"/>
      <c r="L312" s="92"/>
      <c r="M312" s="43"/>
      <c r="N312" s="43"/>
      <c r="O312" s="3874" t="s">
        <v>103</v>
      </c>
    </row>
    <row r="313" spans="1:17" ht="13.5" customHeight="1">
      <c r="A313" s="3812"/>
      <c r="B313" s="743" t="s">
        <v>10</v>
      </c>
      <c r="C313" s="445"/>
      <c r="D313" s="579">
        <f t="shared" ref="D313" si="187">+D314+D318</f>
        <v>203900000</v>
      </c>
      <c r="E313" s="1606">
        <f t="shared" ref="E313" si="188">+E314+E318</f>
        <v>0</v>
      </c>
      <c r="F313" s="1607">
        <f>+F314+F318</f>
        <v>142545000</v>
      </c>
      <c r="G313" s="1607">
        <f>+G314+G318</f>
        <v>61355000</v>
      </c>
      <c r="H313" s="1608">
        <f>+H314+H318</f>
        <v>0</v>
      </c>
      <c r="I313" s="1608">
        <f>+I314+I318</f>
        <v>0</v>
      </c>
      <c r="J313" s="1607"/>
      <c r="K313" s="1607"/>
      <c r="L313" s="1607"/>
      <c r="M313" s="1570">
        <f>+M314+M318</f>
        <v>203900000</v>
      </c>
      <c r="N313" s="1570">
        <f>+N314+N318</f>
        <v>61355000</v>
      </c>
      <c r="O313" s="3868"/>
      <c r="Q313" s="401"/>
    </row>
    <row r="314" spans="1:17" ht="13.5" customHeight="1">
      <c r="A314" s="3812"/>
      <c r="B314" s="731" t="s">
        <v>24</v>
      </c>
      <c r="C314" s="3818" t="s">
        <v>99</v>
      </c>
      <c r="D314" s="1609">
        <f>+D315+D317+D316</f>
        <v>30585000</v>
      </c>
      <c r="E314" s="1610">
        <f t="shared" ref="E314" si="189">+E315+E317+E316</f>
        <v>0</v>
      </c>
      <c r="F314" s="1609">
        <f t="shared" ref="F314:G314" si="190">+F315+F317+F316</f>
        <v>21381750</v>
      </c>
      <c r="G314" s="1609">
        <f t="shared" si="190"/>
        <v>9203250</v>
      </c>
      <c r="H314" s="1610">
        <f>+H315+H317+H316</f>
        <v>0</v>
      </c>
      <c r="I314" s="1610">
        <f>+I315+I317+I316</f>
        <v>0</v>
      </c>
      <c r="J314" s="1609"/>
      <c r="K314" s="1609"/>
      <c r="L314" s="1609"/>
      <c r="M314" s="520">
        <f>+M315+M317+M316</f>
        <v>30585000</v>
      </c>
      <c r="N314" s="520">
        <f>+N315+N317+N316</f>
        <v>9203250</v>
      </c>
      <c r="O314" s="3868"/>
      <c r="Q314" s="401"/>
    </row>
    <row r="315" spans="1:17">
      <c r="A315" s="3812"/>
      <c r="B315" s="1588" t="s">
        <v>12</v>
      </c>
      <c r="C315" s="3828"/>
      <c r="D315" s="704">
        <f>E315+F315+G315+H315+I315+J315+K315+L315</f>
        <v>30585000</v>
      </c>
      <c r="E315" s="543">
        <v>0</v>
      </c>
      <c r="F315" s="573">
        <v>21381750</v>
      </c>
      <c r="G315" s="1585">
        <f>27609750-18406500</f>
        <v>9203250</v>
      </c>
      <c r="H315" s="728">
        <v>0</v>
      </c>
      <c r="I315" s="1573">
        <v>0</v>
      </c>
      <c r="J315" s="573"/>
      <c r="K315" s="573"/>
      <c r="L315" s="573"/>
      <c r="M315" s="727">
        <f>SUM(F315:K315)</f>
        <v>30585000</v>
      </c>
      <c r="N315" s="727">
        <f>SUM(G315:L315)</f>
        <v>9203250</v>
      </c>
      <c r="O315" s="3868"/>
    </row>
    <row r="316" spans="1:17" ht="12.75" hidden="1" customHeight="1">
      <c r="A316" s="3812"/>
      <c r="B316" s="511" t="s">
        <v>107</v>
      </c>
      <c r="C316" s="3828"/>
      <c r="D316" s="704">
        <f>E316+F316+G316+H316+I316+J316+K316+L316</f>
        <v>0</v>
      </c>
      <c r="E316" s="543">
        <v>0</v>
      </c>
      <c r="F316" s="737">
        <f>15546856-2076856-13470000</f>
        <v>0</v>
      </c>
      <c r="G316" s="1611">
        <f>8419285+6619715-15039000</f>
        <v>0</v>
      </c>
      <c r="H316" s="1059">
        <v>0</v>
      </c>
      <c r="I316" s="1283">
        <f>2076000-2076000</f>
        <v>0</v>
      </c>
      <c r="J316" s="737"/>
      <c r="K316" s="737"/>
      <c r="L316" s="737"/>
      <c r="M316" s="727">
        <f>SUM(E316:K316)</f>
        <v>0</v>
      </c>
      <c r="N316" s="727">
        <f>SUM(F316:L316)</f>
        <v>0</v>
      </c>
      <c r="O316" s="3868"/>
    </row>
    <row r="317" spans="1:17" ht="13.5" hidden="1" customHeight="1">
      <c r="A317" s="3812"/>
      <c r="B317" s="89" t="s">
        <v>15</v>
      </c>
      <c r="C317" s="3828"/>
      <c r="D317" s="704">
        <f>SUM(E317:I317)</f>
        <v>0</v>
      </c>
      <c r="E317" s="543"/>
      <c r="F317" s="737">
        <v>0</v>
      </c>
      <c r="G317" s="737">
        <v>0</v>
      </c>
      <c r="H317" s="1059"/>
      <c r="I317" s="1059"/>
      <c r="J317" s="737"/>
      <c r="K317" s="737"/>
      <c r="L317" s="737"/>
      <c r="M317" s="66"/>
      <c r="N317" s="66"/>
      <c r="O317" s="3868"/>
    </row>
    <row r="318" spans="1:17" ht="13.5" customHeight="1">
      <c r="A318" s="3812"/>
      <c r="B318" s="1589" t="s">
        <v>18</v>
      </c>
      <c r="C318" s="3828"/>
      <c r="D318" s="521">
        <f>+D319</f>
        <v>173315000</v>
      </c>
      <c r="E318" s="1612">
        <f t="shared" ref="E318:N318" si="191">+E319</f>
        <v>0</v>
      </c>
      <c r="F318" s="1579">
        <f t="shared" si="191"/>
        <v>121163250</v>
      </c>
      <c r="G318" s="1579">
        <f t="shared" si="191"/>
        <v>52151750</v>
      </c>
      <c r="H318" s="1612">
        <f t="shared" si="191"/>
        <v>0</v>
      </c>
      <c r="I318" s="1612">
        <f t="shared" si="191"/>
        <v>0</v>
      </c>
      <c r="J318" s="1579"/>
      <c r="K318" s="1579"/>
      <c r="L318" s="1579"/>
      <c r="M318" s="520">
        <f t="shared" si="191"/>
        <v>173315000</v>
      </c>
      <c r="N318" s="520">
        <f t="shared" si="191"/>
        <v>52151750</v>
      </c>
      <c r="O318" s="3868"/>
    </row>
    <row r="319" spans="1:17">
      <c r="A319" s="3812"/>
      <c r="B319" s="545" t="s">
        <v>21</v>
      </c>
      <c r="C319" s="3890"/>
      <c r="D319" s="704">
        <f>E319+F319+G319+H319+I319+J319+K319+L319</f>
        <v>173315000</v>
      </c>
      <c r="E319" s="543">
        <v>0</v>
      </c>
      <c r="F319" s="737">
        <f>112200000-35870000+44833250</f>
        <v>121163250</v>
      </c>
      <c r="G319" s="737">
        <f>96900000-11679000+71234250-104303500</f>
        <v>52151750</v>
      </c>
      <c r="H319" s="1059">
        <v>0</v>
      </c>
      <c r="I319" s="1059">
        <f>11764000-11764000</f>
        <v>0</v>
      </c>
      <c r="J319" s="737"/>
      <c r="K319" s="737"/>
      <c r="L319" s="737"/>
      <c r="M319" s="727">
        <f>SUM(F319:K319)</f>
        <v>173315000</v>
      </c>
      <c r="N319" s="727">
        <f>SUM(G319:L319)</f>
        <v>52151750</v>
      </c>
      <c r="O319" s="3868"/>
    </row>
    <row r="320" spans="1:17" ht="13.5" customHeight="1">
      <c r="A320" s="3813"/>
      <c r="B320" s="743" t="s">
        <v>22</v>
      </c>
      <c r="C320" s="445"/>
      <c r="D320" s="569">
        <f>+D321+D324</f>
        <v>173315000</v>
      </c>
      <c r="E320" s="1613">
        <f t="shared" ref="E320" si="192">+E321+E324</f>
        <v>0</v>
      </c>
      <c r="F320" s="1614">
        <f t="shared" ref="F320:I320" si="193">+F321+F324</f>
        <v>121163250</v>
      </c>
      <c r="G320" s="1614">
        <f t="shared" si="193"/>
        <v>52151750</v>
      </c>
      <c r="H320" s="1613">
        <f t="shared" si="193"/>
        <v>0</v>
      </c>
      <c r="I320" s="1613">
        <f t="shared" si="193"/>
        <v>0</v>
      </c>
      <c r="J320" s="1614"/>
      <c r="K320" s="1614"/>
      <c r="L320" s="1614"/>
      <c r="M320" s="1615"/>
      <c r="N320" s="1615"/>
      <c r="O320" s="3868"/>
    </row>
    <row r="321" spans="1:15" hidden="1">
      <c r="A321" s="3813"/>
      <c r="B321" s="731" t="s">
        <v>24</v>
      </c>
      <c r="C321" s="3886" t="s">
        <v>468</v>
      </c>
      <c r="D321" s="50">
        <f>+D323+D322</f>
        <v>0</v>
      </c>
      <c r="E321" s="244">
        <f t="shared" ref="E321" si="194">+E323+E322</f>
        <v>0</v>
      </c>
      <c r="F321" s="50">
        <f t="shared" ref="F321" si="195">+F323+F322</f>
        <v>0</v>
      </c>
      <c r="G321" s="50">
        <f t="shared" ref="G321" si="196">+G323+G322</f>
        <v>0</v>
      </c>
      <c r="H321" s="244">
        <f>+H323+H322</f>
        <v>0</v>
      </c>
      <c r="I321" s="244">
        <f>+I323+I322</f>
        <v>0</v>
      </c>
      <c r="J321" s="50"/>
      <c r="K321" s="50"/>
      <c r="L321" s="50"/>
      <c r="M321" s="1616"/>
      <c r="N321" s="1616"/>
      <c r="O321" s="3868"/>
    </row>
    <row r="322" spans="1:15" ht="13.5" hidden="1" customHeight="1">
      <c r="A322" s="3813"/>
      <c r="B322" s="511" t="s">
        <v>107</v>
      </c>
      <c r="C322" s="3937"/>
      <c r="D322" s="704">
        <f>E322+F322+G322+H322+I322+J322+K322+L322</f>
        <v>0</v>
      </c>
      <c r="E322" s="244"/>
      <c r="F322" s="1617">
        <f>8419285-8419285</f>
        <v>0</v>
      </c>
      <c r="G322" s="1617">
        <f>8419285-8419285</f>
        <v>0</v>
      </c>
      <c r="H322" s="1618">
        <v>0</v>
      </c>
      <c r="I322" s="244">
        <v>0</v>
      </c>
      <c r="J322" s="50"/>
      <c r="K322" s="50"/>
      <c r="L322" s="50"/>
      <c r="M322" s="1616"/>
      <c r="N322" s="1616"/>
      <c r="O322" s="3868"/>
    </row>
    <row r="323" spans="1:15" ht="12.75" hidden="1" customHeight="1">
      <c r="A323" s="3813"/>
      <c r="B323" s="89" t="s">
        <v>15</v>
      </c>
      <c r="C323" s="3887"/>
      <c r="D323" s="704">
        <f>SUM(E323:I323)</f>
        <v>0</v>
      </c>
      <c r="E323" s="1594">
        <v>0</v>
      </c>
      <c r="F323" s="1619"/>
      <c r="G323" s="1619"/>
      <c r="H323" s="1620"/>
      <c r="I323" s="1620"/>
      <c r="J323" s="1619"/>
      <c r="K323" s="1619"/>
      <c r="L323" s="1619"/>
      <c r="M323" s="1616"/>
      <c r="N323" s="1616"/>
      <c r="O323" s="3868"/>
    </row>
    <row r="324" spans="1:15" ht="14.25" customHeight="1">
      <c r="A324" s="3813"/>
      <c r="B324" s="1589" t="s">
        <v>18</v>
      </c>
      <c r="C324" s="3887"/>
      <c r="D324" s="521">
        <f t="shared" ref="D324:I324" si="197">+D325</f>
        <v>173315000</v>
      </c>
      <c r="E324" s="1612">
        <f t="shared" si="197"/>
        <v>0</v>
      </c>
      <c r="F324" s="1579">
        <f t="shared" si="197"/>
        <v>121163250</v>
      </c>
      <c r="G324" s="1579">
        <f t="shared" si="197"/>
        <v>52151750</v>
      </c>
      <c r="H324" s="1612">
        <f t="shared" si="197"/>
        <v>0</v>
      </c>
      <c r="I324" s="1612">
        <f t="shared" si="197"/>
        <v>0</v>
      </c>
      <c r="J324" s="1579"/>
      <c r="K324" s="1579"/>
      <c r="L324" s="1579"/>
      <c r="M324" s="1616"/>
      <c r="N324" s="1616"/>
      <c r="O324" s="3868"/>
    </row>
    <row r="325" spans="1:15" ht="12.75" customHeight="1" thickBot="1">
      <c r="A325" s="3814"/>
      <c r="B325" s="732" t="s">
        <v>21</v>
      </c>
      <c r="C325" s="3888"/>
      <c r="D325" s="1429">
        <f>E325+F325+G325+H325+I325+J325+K325+L325</f>
        <v>173315000</v>
      </c>
      <c r="E325" s="1575">
        <v>0</v>
      </c>
      <c r="F325" s="55">
        <f>112200000-35870000+44833250</f>
        <v>121163250</v>
      </c>
      <c r="G325" s="55">
        <f>96900000-11679000+71234250-104303500</f>
        <v>52151750</v>
      </c>
      <c r="H325" s="1604">
        <v>0</v>
      </c>
      <c r="I325" s="1604">
        <f>11764000-11764000</f>
        <v>0</v>
      </c>
      <c r="J325" s="55"/>
      <c r="K325" s="55"/>
      <c r="L325" s="55"/>
      <c r="M325" s="1621"/>
      <c r="N325" s="1621"/>
      <c r="O325" s="3869"/>
    </row>
    <row r="326" spans="1:15" ht="28.5" customHeight="1">
      <c r="A326" s="3811" t="s">
        <v>96</v>
      </c>
      <c r="B326" s="71" t="s">
        <v>715</v>
      </c>
      <c r="C326" s="56" t="s">
        <v>110</v>
      </c>
      <c r="D326" s="57"/>
      <c r="E326" s="42"/>
      <c r="F326" s="42"/>
      <c r="G326" s="42"/>
      <c r="H326" s="42"/>
      <c r="I326" s="42"/>
      <c r="J326" s="42"/>
      <c r="K326" s="42"/>
      <c r="L326" s="42"/>
      <c r="M326" s="43"/>
      <c r="N326" s="43"/>
      <c r="O326" s="3874" t="s">
        <v>103</v>
      </c>
    </row>
    <row r="327" spans="1:15" ht="12.75" customHeight="1">
      <c r="A327" s="3812"/>
      <c r="B327" s="743" t="s">
        <v>10</v>
      </c>
      <c r="C327" s="1231"/>
      <c r="D327" s="726">
        <f>+D328+D331</f>
        <v>122710000</v>
      </c>
      <c r="E327" s="2015">
        <f t="shared" ref="E327:G327" si="198">+E328+E331</f>
        <v>0</v>
      </c>
      <c r="F327" s="2015">
        <f t="shared" si="198"/>
        <v>0</v>
      </c>
      <c r="G327" s="726">
        <f t="shared" si="198"/>
        <v>122710000</v>
      </c>
      <c r="H327" s="726"/>
      <c r="I327" s="726"/>
      <c r="J327" s="726"/>
      <c r="K327" s="726"/>
      <c r="L327" s="726"/>
      <c r="M327" s="1570">
        <f>M328+M331</f>
        <v>122710000</v>
      </c>
      <c r="N327" s="1570">
        <f>N328+N331</f>
        <v>122710000</v>
      </c>
      <c r="O327" s="3868"/>
    </row>
    <row r="328" spans="1:15" ht="12.75" customHeight="1">
      <c r="A328" s="3812"/>
      <c r="B328" s="731" t="s">
        <v>24</v>
      </c>
      <c r="C328" s="3818" t="s">
        <v>99</v>
      </c>
      <c r="D328" s="75">
        <f>+D329+D330</f>
        <v>18406500</v>
      </c>
      <c r="E328" s="1412">
        <f t="shared" ref="E328:G328" si="199">+E329+E330</f>
        <v>0</v>
      </c>
      <c r="F328" s="1412">
        <f t="shared" si="199"/>
        <v>0</v>
      </c>
      <c r="G328" s="75">
        <f t="shared" si="199"/>
        <v>18406500</v>
      </c>
      <c r="H328" s="75"/>
      <c r="I328" s="75"/>
      <c r="J328" s="75"/>
      <c r="K328" s="75"/>
      <c r="L328" s="75"/>
      <c r="M328" s="520">
        <f>+M329+M330</f>
        <v>18406500</v>
      </c>
      <c r="N328" s="520">
        <f>+N329+N330</f>
        <v>18406500</v>
      </c>
      <c r="O328" s="3868"/>
    </row>
    <row r="329" spans="1:15" ht="12.75" customHeight="1">
      <c r="A329" s="3812"/>
      <c r="B329" s="1587" t="s">
        <v>12</v>
      </c>
      <c r="C329" s="3828"/>
      <c r="D329" s="704">
        <f t="shared" ref="D329:D330" si="200">E329+F329+G329+H329+I329+J329+K329+L329</f>
        <v>13393500</v>
      </c>
      <c r="E329" s="2016">
        <v>0</v>
      </c>
      <c r="F329" s="2016">
        <v>0</v>
      </c>
      <c r="G329" s="704">
        <f>18406500-5013000</f>
        <v>13393500</v>
      </c>
      <c r="H329" s="728"/>
      <c r="I329" s="728"/>
      <c r="J329" s="728"/>
      <c r="K329" s="728"/>
      <c r="L329" s="728"/>
      <c r="M329" s="1030">
        <f>SUM(E329:H329)</f>
        <v>13393500</v>
      </c>
      <c r="N329" s="727">
        <f>SUM(G329:I329)</f>
        <v>13393500</v>
      </c>
      <c r="O329" s="3868"/>
    </row>
    <row r="330" spans="1:15" ht="12.75" customHeight="1">
      <c r="A330" s="3812"/>
      <c r="B330" s="511" t="s">
        <v>17</v>
      </c>
      <c r="C330" s="3828"/>
      <c r="D330" s="704">
        <f t="shared" si="200"/>
        <v>5013000</v>
      </c>
      <c r="E330" s="2016">
        <v>0</v>
      </c>
      <c r="F330" s="2016">
        <v>0</v>
      </c>
      <c r="G330" s="704">
        <v>5013000</v>
      </c>
      <c r="H330" s="573"/>
      <c r="I330" s="573"/>
      <c r="J330" s="573"/>
      <c r="K330" s="573"/>
      <c r="L330" s="573"/>
      <c r="M330" s="727">
        <f>SUM(E330:H330)</f>
        <v>5013000</v>
      </c>
      <c r="N330" s="727">
        <f>SUM(G330:I330)</f>
        <v>5013000</v>
      </c>
      <c r="O330" s="3868"/>
    </row>
    <row r="331" spans="1:15" ht="12.75" customHeight="1">
      <c r="A331" s="3812"/>
      <c r="B331" s="1988" t="s">
        <v>18</v>
      </c>
      <c r="C331" s="3828"/>
      <c r="D331" s="521">
        <f>+D332</f>
        <v>104303500</v>
      </c>
      <c r="E331" s="730">
        <f t="shared" ref="E331:G331" si="201">+E332</f>
        <v>0</v>
      </c>
      <c r="F331" s="730">
        <f t="shared" si="201"/>
        <v>0</v>
      </c>
      <c r="G331" s="521">
        <f t="shared" si="201"/>
        <v>104303500</v>
      </c>
      <c r="H331" s="521"/>
      <c r="I331" s="521"/>
      <c r="J331" s="521"/>
      <c r="K331" s="521"/>
      <c r="L331" s="521"/>
      <c r="M331" s="520">
        <f>M332</f>
        <v>104303500</v>
      </c>
      <c r="N331" s="520">
        <f>N332</f>
        <v>104303500</v>
      </c>
      <c r="O331" s="3868"/>
    </row>
    <row r="332" spans="1:15" ht="12.75" customHeight="1">
      <c r="A332" s="3812"/>
      <c r="B332" s="2017" t="s">
        <v>21</v>
      </c>
      <c r="C332" s="3828"/>
      <c r="D332" s="704">
        <f>E332+F332+G332+H332+I332+J332+K332+L332</f>
        <v>104303500</v>
      </c>
      <c r="E332" s="2018">
        <v>0</v>
      </c>
      <c r="F332" s="2018">
        <v>0</v>
      </c>
      <c r="G332" s="1582">
        <v>104303500</v>
      </c>
      <c r="H332" s="573"/>
      <c r="I332" s="573"/>
      <c r="J332" s="573"/>
      <c r="K332" s="573"/>
      <c r="L332" s="573"/>
      <c r="M332" s="727">
        <f>SUM(E332:K332)</f>
        <v>104303500</v>
      </c>
      <c r="N332" s="727">
        <f>SUM(G332:L332)</f>
        <v>104303500</v>
      </c>
      <c r="O332" s="3875"/>
    </row>
    <row r="333" spans="1:15" ht="12.75" customHeight="1">
      <c r="A333" s="3813"/>
      <c r="B333" s="1961" t="s">
        <v>22</v>
      </c>
      <c r="C333" s="1231"/>
      <c r="D333" s="569">
        <f>+D336+D334</f>
        <v>109316500</v>
      </c>
      <c r="E333" s="586">
        <f t="shared" ref="E333:G333" si="202">+E336+E334</f>
        <v>0</v>
      </c>
      <c r="F333" s="586">
        <f t="shared" si="202"/>
        <v>0</v>
      </c>
      <c r="G333" s="569">
        <f t="shared" si="202"/>
        <v>109316500</v>
      </c>
      <c r="H333" s="569"/>
      <c r="I333" s="569"/>
      <c r="J333" s="569"/>
      <c r="K333" s="569"/>
      <c r="L333" s="569"/>
      <c r="M333" s="3866" t="s">
        <v>23</v>
      </c>
      <c r="N333" s="3866" t="s">
        <v>23</v>
      </c>
      <c r="O333" s="3876" t="s">
        <v>711</v>
      </c>
    </row>
    <row r="334" spans="1:15" ht="12.75" customHeight="1">
      <c r="A334" s="3813"/>
      <c r="B334" s="731" t="s">
        <v>24</v>
      </c>
      <c r="C334" s="3818" t="s">
        <v>468</v>
      </c>
      <c r="D334" s="2019">
        <f>D335</f>
        <v>5013000</v>
      </c>
      <c r="E334" s="2020">
        <f t="shared" ref="E334:G334" si="203">E335</f>
        <v>0</v>
      </c>
      <c r="F334" s="2020">
        <f t="shared" si="203"/>
        <v>0</v>
      </c>
      <c r="G334" s="2019">
        <f t="shared" si="203"/>
        <v>5013000</v>
      </c>
      <c r="H334" s="2019"/>
      <c r="I334" s="2019"/>
      <c r="J334" s="2019"/>
      <c r="K334" s="2019"/>
      <c r="L334" s="2019"/>
      <c r="M334" s="3852"/>
      <c r="N334" s="3852"/>
      <c r="O334" s="3868"/>
    </row>
    <row r="335" spans="1:15" ht="12.75" customHeight="1">
      <c r="A335" s="3813"/>
      <c r="B335" s="511" t="s">
        <v>17</v>
      </c>
      <c r="C335" s="3821"/>
      <c r="D335" s="704">
        <f>E335+F335+G335+H335+I335+J335+K335+L335</f>
        <v>5013000</v>
      </c>
      <c r="E335" s="2018">
        <v>0</v>
      </c>
      <c r="F335" s="2018">
        <v>0</v>
      </c>
      <c r="G335" s="704">
        <v>5013000</v>
      </c>
      <c r="H335" s="2019"/>
      <c r="I335" s="2019"/>
      <c r="J335" s="2019"/>
      <c r="K335" s="2019"/>
      <c r="L335" s="2019"/>
      <c r="M335" s="3852"/>
      <c r="N335" s="3852"/>
      <c r="O335" s="3868"/>
    </row>
    <row r="336" spans="1:15" ht="12.75" customHeight="1">
      <c r="A336" s="3813"/>
      <c r="B336" s="1988" t="s">
        <v>18</v>
      </c>
      <c r="C336" s="3821"/>
      <c r="D336" s="1625">
        <f>+D337</f>
        <v>104303500</v>
      </c>
      <c r="E336" s="1628">
        <f t="shared" ref="E336:G336" si="204">+E337</f>
        <v>0</v>
      </c>
      <c r="F336" s="1628">
        <f t="shared" si="204"/>
        <v>0</v>
      </c>
      <c r="G336" s="1625">
        <f t="shared" si="204"/>
        <v>104303500</v>
      </c>
      <c r="H336" s="649"/>
      <c r="I336" s="649"/>
      <c r="J336" s="649"/>
      <c r="K336" s="649"/>
      <c r="L336" s="649"/>
      <c r="M336" s="3852"/>
      <c r="N336" s="3852"/>
      <c r="O336" s="3868"/>
    </row>
    <row r="337" spans="1:17" ht="12.75" customHeight="1" thickBot="1">
      <c r="A337" s="3814"/>
      <c r="B337" s="312" t="s">
        <v>21</v>
      </c>
      <c r="C337" s="3822"/>
      <c r="D337" s="1896">
        <f>E337+F337+G337+H337+I337+J337+K337+L337</f>
        <v>104303500</v>
      </c>
      <c r="E337" s="1377">
        <v>0</v>
      </c>
      <c r="F337" s="1377">
        <v>0</v>
      </c>
      <c r="G337" s="1353">
        <v>104303500</v>
      </c>
      <c r="H337" s="422"/>
      <c r="I337" s="422"/>
      <c r="J337" s="422"/>
      <c r="K337" s="422"/>
      <c r="L337" s="422"/>
      <c r="M337" s="3853"/>
      <c r="N337" s="3853"/>
      <c r="O337" s="3869"/>
    </row>
    <row r="338" spans="1:17" ht="20.25" customHeight="1">
      <c r="A338" s="3877" t="s">
        <v>234</v>
      </c>
      <c r="B338" s="109" t="s">
        <v>754</v>
      </c>
      <c r="C338" s="640"/>
      <c r="D338" s="110"/>
      <c r="E338" s="111"/>
      <c r="F338" s="111"/>
      <c r="G338" s="111"/>
      <c r="H338" s="111"/>
      <c r="I338" s="111"/>
      <c r="J338" s="267"/>
      <c r="K338" s="268"/>
      <c r="L338" s="268"/>
      <c r="M338" s="112"/>
      <c r="N338" s="112"/>
      <c r="O338" s="3950"/>
    </row>
    <row r="339" spans="1:17" s="642" customFormat="1" ht="14.25" customHeight="1">
      <c r="A339" s="3878"/>
      <c r="B339" s="743" t="s">
        <v>10</v>
      </c>
      <c r="C339" s="87"/>
      <c r="D339" s="113">
        <f>+D340+D343</f>
        <v>46543915</v>
      </c>
      <c r="E339" s="113">
        <f t="shared" ref="E339:N339" si="205">+E340+E343</f>
        <v>464290</v>
      </c>
      <c r="F339" s="113">
        <f t="shared" si="205"/>
        <v>7582140</v>
      </c>
      <c r="G339" s="113">
        <f t="shared" si="205"/>
        <v>9015410</v>
      </c>
      <c r="H339" s="113">
        <f t="shared" si="205"/>
        <v>21325519</v>
      </c>
      <c r="I339" s="113">
        <f t="shared" si="205"/>
        <v>8156556</v>
      </c>
      <c r="J339" s="113">
        <f t="shared" si="205"/>
        <v>0</v>
      </c>
      <c r="K339" s="113">
        <f t="shared" si="205"/>
        <v>0</v>
      </c>
      <c r="L339" s="113">
        <f t="shared" si="205"/>
        <v>0</v>
      </c>
      <c r="M339" s="709">
        <f t="shared" ref="M339" si="206">+M340+M343</f>
        <v>22024080</v>
      </c>
      <c r="N339" s="709">
        <f t="shared" si="205"/>
        <v>20075786</v>
      </c>
      <c r="O339" s="3951"/>
      <c r="P339" s="401"/>
      <c r="Q339" s="641"/>
    </row>
    <row r="340" spans="1:17" s="643" customFormat="1" ht="13.5" customHeight="1">
      <c r="A340" s="3878"/>
      <c r="B340" s="114" t="s">
        <v>11</v>
      </c>
      <c r="C340" s="115"/>
      <c r="D340" s="744">
        <f>+D341+D342</f>
        <v>21689248</v>
      </c>
      <c r="E340" s="744">
        <f>+E341+E342</f>
        <v>423464</v>
      </c>
      <c r="F340" s="744">
        <f t="shared" ref="F340:L340" si="207">+F341</f>
        <v>1820335</v>
      </c>
      <c r="G340" s="744">
        <f t="shared" si="207"/>
        <v>4054290</v>
      </c>
      <c r="H340" s="744">
        <f t="shared" si="207"/>
        <v>10835164</v>
      </c>
      <c r="I340" s="744">
        <f t="shared" si="207"/>
        <v>4555995</v>
      </c>
      <c r="J340" s="744">
        <f t="shared" si="207"/>
        <v>0</v>
      </c>
      <c r="K340" s="744">
        <f t="shared" si="207"/>
        <v>0</v>
      </c>
      <c r="L340" s="744">
        <f t="shared" si="207"/>
        <v>0</v>
      </c>
      <c r="M340" s="520">
        <f>+M341</f>
        <v>21265784</v>
      </c>
      <c r="N340" s="520">
        <f>+N341</f>
        <v>19445449</v>
      </c>
      <c r="O340" s="3951"/>
      <c r="Q340" s="641"/>
    </row>
    <row r="341" spans="1:17" s="642" customFormat="1" ht="11.25" customHeight="1">
      <c r="A341" s="3878"/>
      <c r="B341" s="36" t="s">
        <v>12</v>
      </c>
      <c r="C341" s="37"/>
      <c r="D341" s="745">
        <f>+D354+D365+D422++D374+D386+D395+D404+D413+D437</f>
        <v>21632245</v>
      </c>
      <c r="E341" s="745">
        <f t="shared" ref="E341:J341" si="208">+E354+E365+E422++E374+E386+E395+E404+E413+E437</f>
        <v>366461</v>
      </c>
      <c r="F341" s="745">
        <f t="shared" si="208"/>
        <v>1820335</v>
      </c>
      <c r="G341" s="745">
        <f t="shared" si="208"/>
        <v>4054290</v>
      </c>
      <c r="H341" s="745">
        <f t="shared" si="208"/>
        <v>10835164</v>
      </c>
      <c r="I341" s="745">
        <f t="shared" si="208"/>
        <v>4555995</v>
      </c>
      <c r="J341" s="745">
        <f t="shared" si="208"/>
        <v>0</v>
      </c>
      <c r="K341" s="745">
        <f t="shared" ref="K341:L341" si="209">+K354+K365+K422++K374+K386+K395+K404+K413</f>
        <v>0</v>
      </c>
      <c r="L341" s="745">
        <f t="shared" si="209"/>
        <v>0</v>
      </c>
      <c r="M341" s="727">
        <f>SUM(F341:K341)</f>
        <v>21265784</v>
      </c>
      <c r="N341" s="727">
        <f>SUM(G341:L341)</f>
        <v>19445449</v>
      </c>
      <c r="O341" s="3951"/>
      <c r="P341" s="641"/>
      <c r="Q341" s="641"/>
    </row>
    <row r="342" spans="1:17" s="642" customFormat="1" ht="11.25" customHeight="1">
      <c r="A342" s="3878"/>
      <c r="B342" s="36" t="s">
        <v>15</v>
      </c>
      <c r="C342" s="37"/>
      <c r="D342" s="745">
        <f>+D375</f>
        <v>57003</v>
      </c>
      <c r="E342" s="745">
        <f t="shared" ref="E342:L342" si="210">+E375</f>
        <v>57003</v>
      </c>
      <c r="F342" s="745">
        <f t="shared" si="210"/>
        <v>0</v>
      </c>
      <c r="G342" s="745">
        <f t="shared" si="210"/>
        <v>0</v>
      </c>
      <c r="H342" s="745">
        <f t="shared" si="210"/>
        <v>0</v>
      </c>
      <c r="I342" s="745">
        <f t="shared" si="210"/>
        <v>0</v>
      </c>
      <c r="J342" s="745">
        <f t="shared" si="210"/>
        <v>0</v>
      </c>
      <c r="K342" s="745">
        <f t="shared" si="210"/>
        <v>0</v>
      </c>
      <c r="L342" s="745">
        <f t="shared" si="210"/>
        <v>0</v>
      </c>
      <c r="M342" s="727">
        <f>SUM(F342:K342)</f>
        <v>0</v>
      </c>
      <c r="N342" s="727">
        <f>SUM(G342:L342)</f>
        <v>0</v>
      </c>
      <c r="O342" s="3951"/>
      <c r="P342" s="641"/>
      <c r="Q342" s="641"/>
    </row>
    <row r="343" spans="1:17" s="643" customFormat="1" ht="13.5" customHeight="1">
      <c r="A343" s="3878"/>
      <c r="B343" s="746" t="s">
        <v>101</v>
      </c>
      <c r="C343" s="747"/>
      <c r="D343" s="748">
        <f>+D344+D345</f>
        <v>24854667</v>
      </c>
      <c r="E343" s="748">
        <f t="shared" ref="E343:L343" si="211">+E344+E345</f>
        <v>40826</v>
      </c>
      <c r="F343" s="748">
        <f t="shared" si="211"/>
        <v>5761805</v>
      </c>
      <c r="G343" s="748">
        <f t="shared" si="211"/>
        <v>4961120</v>
      </c>
      <c r="H343" s="748">
        <f t="shared" si="211"/>
        <v>10490355</v>
      </c>
      <c r="I343" s="748">
        <f t="shared" si="211"/>
        <v>3600561</v>
      </c>
      <c r="J343" s="748">
        <f t="shared" si="211"/>
        <v>0</v>
      </c>
      <c r="K343" s="748">
        <f t="shared" si="211"/>
        <v>0</v>
      </c>
      <c r="L343" s="748">
        <f t="shared" si="211"/>
        <v>0</v>
      </c>
      <c r="M343" s="520">
        <f>+M344</f>
        <v>758296</v>
      </c>
      <c r="N343" s="520">
        <f>+N344</f>
        <v>630337</v>
      </c>
      <c r="O343" s="3951"/>
      <c r="Q343" s="641"/>
    </row>
    <row r="344" spans="1:17" s="642" customFormat="1" ht="12.75" customHeight="1">
      <c r="A344" s="3878"/>
      <c r="B344" s="36" t="s">
        <v>20</v>
      </c>
      <c r="C344" s="37"/>
      <c r="D344" s="745">
        <f>D427+D442</f>
        <v>799122</v>
      </c>
      <c r="E344" s="745">
        <f t="shared" ref="E344:L344" si="212">E427+E442</f>
        <v>40826</v>
      </c>
      <c r="F344" s="745">
        <f t="shared" si="212"/>
        <v>127959</v>
      </c>
      <c r="G344" s="745">
        <f t="shared" si="212"/>
        <v>394966</v>
      </c>
      <c r="H344" s="745">
        <f t="shared" si="212"/>
        <v>165865</v>
      </c>
      <c r="I344" s="745">
        <f t="shared" si="212"/>
        <v>69506</v>
      </c>
      <c r="J344" s="745">
        <f t="shared" si="212"/>
        <v>0</v>
      </c>
      <c r="K344" s="745">
        <f t="shared" si="212"/>
        <v>0</v>
      </c>
      <c r="L344" s="745">
        <f t="shared" si="212"/>
        <v>0</v>
      </c>
      <c r="M344" s="727">
        <f>SUM(F344:K344)</f>
        <v>758296</v>
      </c>
      <c r="N344" s="727">
        <f>SUM(G344:L344)</f>
        <v>630337</v>
      </c>
      <c r="O344" s="3951"/>
      <c r="P344" s="641"/>
      <c r="Q344" s="641"/>
    </row>
    <row r="345" spans="1:17" s="642" customFormat="1" ht="12.75" customHeight="1">
      <c r="A345" s="3878"/>
      <c r="B345" s="36" t="s">
        <v>21</v>
      </c>
      <c r="C345" s="37"/>
      <c r="D345" s="2029">
        <f>D367+D377+D406+D415</f>
        <v>24055545</v>
      </c>
      <c r="E345" s="2029">
        <f t="shared" ref="E345:L345" si="213">E367+E377+E406+E415</f>
        <v>0</v>
      </c>
      <c r="F345" s="2029">
        <f t="shared" si="213"/>
        <v>5633846</v>
      </c>
      <c r="G345" s="2029">
        <f t="shared" si="213"/>
        <v>4566154</v>
      </c>
      <c r="H345" s="2029">
        <f t="shared" si="213"/>
        <v>10324490</v>
      </c>
      <c r="I345" s="2029">
        <f t="shared" si="213"/>
        <v>3531055</v>
      </c>
      <c r="J345" s="2029">
        <f t="shared" si="213"/>
        <v>0</v>
      </c>
      <c r="K345" s="2029">
        <f t="shared" si="213"/>
        <v>0</v>
      </c>
      <c r="L345" s="2029">
        <f t="shared" si="213"/>
        <v>0</v>
      </c>
      <c r="M345" s="2030"/>
      <c r="N345" s="2030"/>
      <c r="O345" s="2055"/>
      <c r="P345" s="641"/>
      <c r="Q345" s="641"/>
    </row>
    <row r="346" spans="1:17" s="642" customFormat="1" ht="12" customHeight="1">
      <c r="A346" s="3878"/>
      <c r="B346" s="534" t="s">
        <v>22</v>
      </c>
      <c r="C346" s="585"/>
      <c r="D346" s="726">
        <f>+D349+D347</f>
        <v>24911670</v>
      </c>
      <c r="E346" s="726">
        <f t="shared" ref="E346:L346" si="214">+E349+E347</f>
        <v>57003</v>
      </c>
      <c r="F346" s="726">
        <f t="shared" si="214"/>
        <v>45734</v>
      </c>
      <c r="G346" s="726">
        <f t="shared" si="214"/>
        <v>6266162</v>
      </c>
      <c r="H346" s="726">
        <f t="shared" si="214"/>
        <v>7993312</v>
      </c>
      <c r="I346" s="726">
        <f t="shared" si="214"/>
        <v>8632091</v>
      </c>
      <c r="J346" s="726">
        <f t="shared" si="214"/>
        <v>1917368</v>
      </c>
      <c r="K346" s="726">
        <f t="shared" si="214"/>
        <v>0</v>
      </c>
      <c r="L346" s="726">
        <f t="shared" si="214"/>
        <v>0</v>
      </c>
      <c r="M346" s="3866" t="s">
        <v>23</v>
      </c>
      <c r="N346" s="3880" t="s">
        <v>23</v>
      </c>
      <c r="O346" s="117"/>
      <c r="P346" s="641"/>
    </row>
    <row r="347" spans="1:17" s="642" customFormat="1" ht="12" customHeight="1">
      <c r="A347" s="3878"/>
      <c r="B347" s="114" t="s">
        <v>24</v>
      </c>
      <c r="C347" s="115"/>
      <c r="D347" s="744">
        <f>+D348</f>
        <v>57003</v>
      </c>
      <c r="E347" s="744">
        <v>57003</v>
      </c>
      <c r="F347" s="744"/>
      <c r="G347" s="744"/>
      <c r="H347" s="744"/>
      <c r="I347" s="744"/>
      <c r="J347" s="744"/>
      <c r="K347" s="744"/>
      <c r="L347" s="744"/>
      <c r="M347" s="3852"/>
      <c r="N347" s="3881"/>
      <c r="O347" s="117"/>
      <c r="P347" s="641"/>
    </row>
    <row r="348" spans="1:17" s="642" customFormat="1" ht="12" customHeight="1">
      <c r="A348" s="3878"/>
      <c r="B348" s="36" t="s">
        <v>15</v>
      </c>
      <c r="C348" s="37"/>
      <c r="D348" s="745">
        <f>+D380</f>
        <v>57003</v>
      </c>
      <c r="E348" s="745">
        <f>+E375</f>
        <v>57003</v>
      </c>
      <c r="F348" s="745">
        <f>+F375</f>
        <v>0</v>
      </c>
      <c r="G348" s="745">
        <f t="shared" ref="G348:K348" si="215">+G375</f>
        <v>0</v>
      </c>
      <c r="H348" s="745">
        <f t="shared" si="215"/>
        <v>0</v>
      </c>
      <c r="I348" s="745">
        <f t="shared" si="215"/>
        <v>0</v>
      </c>
      <c r="J348" s="745">
        <f t="shared" si="215"/>
        <v>0</v>
      </c>
      <c r="K348" s="745">
        <f t="shared" si="215"/>
        <v>0</v>
      </c>
      <c r="L348" s="745">
        <f t="shared" ref="L348" si="216">+L380</f>
        <v>0</v>
      </c>
      <c r="M348" s="3852"/>
      <c r="N348" s="3881"/>
      <c r="O348" s="117"/>
      <c r="P348" s="641"/>
    </row>
    <row r="349" spans="1:17" s="642" customFormat="1" ht="12.75" customHeight="1">
      <c r="A349" s="3878"/>
      <c r="B349" s="2038" t="s">
        <v>18</v>
      </c>
      <c r="C349" s="1982"/>
      <c r="D349" s="2039">
        <f>+D350+D360</f>
        <v>24854667</v>
      </c>
      <c r="E349" s="2039">
        <f t="shared" ref="E349:L349" si="217">+E350+E360</f>
        <v>0</v>
      </c>
      <c r="F349" s="2039">
        <f t="shared" si="217"/>
        <v>45734</v>
      </c>
      <c r="G349" s="2039">
        <f t="shared" si="217"/>
        <v>6266162</v>
      </c>
      <c r="H349" s="2039">
        <f t="shared" si="217"/>
        <v>7993312</v>
      </c>
      <c r="I349" s="2039">
        <f t="shared" si="217"/>
        <v>8632091</v>
      </c>
      <c r="J349" s="2039">
        <f t="shared" si="217"/>
        <v>1917368</v>
      </c>
      <c r="K349" s="2039">
        <f t="shared" si="217"/>
        <v>0</v>
      </c>
      <c r="L349" s="2039">
        <f t="shared" si="217"/>
        <v>0</v>
      </c>
      <c r="M349" s="3852"/>
      <c r="N349" s="3881"/>
      <c r="O349" s="2055"/>
      <c r="P349" s="641"/>
    </row>
    <row r="350" spans="1:17" s="642" customFormat="1" ht="13.5" customHeight="1" thickBot="1">
      <c r="A350" s="3878"/>
      <c r="B350" s="241" t="s">
        <v>20</v>
      </c>
      <c r="C350" s="660"/>
      <c r="D350" s="2040">
        <f>D433+D448</f>
        <v>799122</v>
      </c>
      <c r="E350" s="2040">
        <f t="shared" ref="E350:L350" si="218">E433+E448</f>
        <v>0</v>
      </c>
      <c r="F350" s="2040">
        <f t="shared" si="218"/>
        <v>45734</v>
      </c>
      <c r="G350" s="2040">
        <f t="shared" si="218"/>
        <v>259104</v>
      </c>
      <c r="H350" s="2040">
        <f t="shared" si="218"/>
        <v>341780</v>
      </c>
      <c r="I350" s="2040">
        <f t="shared" si="218"/>
        <v>152504</v>
      </c>
      <c r="J350" s="2040">
        <f t="shared" si="218"/>
        <v>0</v>
      </c>
      <c r="K350" s="2040">
        <f t="shared" si="218"/>
        <v>0</v>
      </c>
      <c r="L350" s="2040">
        <f t="shared" si="218"/>
        <v>0</v>
      </c>
      <c r="M350" s="3853"/>
      <c r="N350" s="3881"/>
      <c r="O350" s="2055"/>
      <c r="P350" s="641">
        <f>D350-D344</f>
        <v>0</v>
      </c>
    </row>
    <row r="351" spans="1:17" ht="12.75" hidden="1" customHeight="1">
      <c r="A351" s="3878"/>
      <c r="B351" s="2034"/>
      <c r="C351" s="690" t="s">
        <v>82</v>
      </c>
      <c r="D351" s="2035"/>
      <c r="E351" s="1653"/>
      <c r="F351" s="2036"/>
      <c r="G351" s="2036"/>
      <c r="H351" s="252"/>
      <c r="I351" s="2037"/>
      <c r="J351" s="252"/>
      <c r="K351" s="252"/>
      <c r="L351" s="252"/>
      <c r="M351" s="253"/>
      <c r="N351" s="3881"/>
      <c r="O351" s="2005" t="s">
        <v>102</v>
      </c>
    </row>
    <row r="352" spans="1:17" ht="12.75" hidden="1" customHeight="1">
      <c r="A352" s="3878"/>
      <c r="B352" s="21" t="s">
        <v>10</v>
      </c>
      <c r="C352" s="22"/>
      <c r="D352" s="120">
        <f>+D353+D355</f>
        <v>0</v>
      </c>
      <c r="E352" s="120">
        <v>0</v>
      </c>
      <c r="F352" s="120"/>
      <c r="G352" s="120"/>
      <c r="H352" s="120"/>
      <c r="I352" s="120"/>
      <c r="J352" s="120"/>
      <c r="K352" s="120"/>
      <c r="L352" s="120"/>
      <c r="M352" s="62">
        <f>+M353+M355</f>
        <v>0</v>
      </c>
      <c r="N352" s="3881"/>
      <c r="O352" s="2005"/>
    </row>
    <row r="353" spans="1:16" ht="12.75" hidden="1" customHeight="1">
      <c r="A353" s="3878"/>
      <c r="B353" s="164" t="s">
        <v>24</v>
      </c>
      <c r="C353" s="3820" t="s">
        <v>85</v>
      </c>
      <c r="D353" s="121">
        <f>+D354</f>
        <v>0</v>
      </c>
      <c r="E353" s="121">
        <v>0</v>
      </c>
      <c r="F353" s="121"/>
      <c r="G353" s="121"/>
      <c r="H353" s="121"/>
      <c r="I353" s="121"/>
      <c r="J353" s="121"/>
      <c r="K353" s="121"/>
      <c r="L353" s="121"/>
      <c r="M353" s="76">
        <f>+M354</f>
        <v>0</v>
      </c>
      <c r="N353" s="3881"/>
      <c r="O353" s="2005"/>
    </row>
    <row r="354" spans="1:16" ht="12.75" hidden="1" customHeight="1">
      <c r="A354" s="3878"/>
      <c r="B354" s="374" t="s">
        <v>12</v>
      </c>
      <c r="C354" s="3870"/>
      <c r="D354" s="226">
        <f>E354+F354+G354+H354+I354+J354+K354+L354</f>
        <v>0</v>
      </c>
      <c r="E354" s="249">
        <v>0</v>
      </c>
      <c r="F354" s="83"/>
      <c r="G354" s="83"/>
      <c r="H354" s="83"/>
      <c r="I354" s="83"/>
      <c r="J354" s="83"/>
      <c r="K354" s="83"/>
      <c r="L354" s="83"/>
      <c r="M354" s="34">
        <f>SUM(E354:H354)</f>
        <v>0</v>
      </c>
      <c r="N354" s="3881"/>
      <c r="O354" s="2005"/>
    </row>
    <row r="355" spans="1:16" ht="12.75" hidden="1" customHeight="1">
      <c r="A355" s="3878"/>
      <c r="B355" s="406" t="s">
        <v>18</v>
      </c>
      <c r="C355" s="3870"/>
      <c r="D355" s="47">
        <f>+D356</f>
        <v>0</v>
      </c>
      <c r="E355" s="47">
        <v>0</v>
      </c>
      <c r="F355" s="47"/>
      <c r="G355" s="47"/>
      <c r="H355" s="47"/>
      <c r="I355" s="47"/>
      <c r="J355" s="47"/>
      <c r="K355" s="47"/>
      <c r="L355" s="47"/>
      <c r="M355" s="76">
        <f>+M356</f>
        <v>0</v>
      </c>
      <c r="N355" s="3881"/>
      <c r="O355" s="2005"/>
    </row>
    <row r="356" spans="1:16" ht="12.75" hidden="1" customHeight="1">
      <c r="A356" s="3878"/>
      <c r="B356" s="635" t="s">
        <v>244</v>
      </c>
      <c r="C356" s="3871"/>
      <c r="D356" s="226">
        <f>E356+F356+G356+H356+I356+J356+K356+L356</f>
        <v>0</v>
      </c>
      <c r="E356" s="249"/>
      <c r="F356" s="83"/>
      <c r="G356" s="83"/>
      <c r="H356" s="83"/>
      <c r="I356" s="83"/>
      <c r="J356" s="83"/>
      <c r="K356" s="83"/>
      <c r="L356" s="83"/>
      <c r="M356" s="34">
        <f>SUM(E356:H356)</f>
        <v>0</v>
      </c>
      <c r="N356" s="3881"/>
      <c r="O356" s="2032"/>
      <c r="P356" s="401"/>
    </row>
    <row r="357" spans="1:16" ht="10.5" hidden="1" customHeight="1">
      <c r="A357" s="3878"/>
      <c r="B357" s="21" t="s">
        <v>22</v>
      </c>
      <c r="C357" s="22"/>
      <c r="D357" s="186">
        <f>+D358</f>
        <v>0</v>
      </c>
      <c r="E357" s="186">
        <v>0</v>
      </c>
      <c r="F357" s="186"/>
      <c r="G357" s="186"/>
      <c r="H357" s="186"/>
      <c r="I357" s="186"/>
      <c r="J357" s="186"/>
      <c r="K357" s="186"/>
      <c r="L357" s="186"/>
      <c r="M357" s="3851" t="s">
        <v>23</v>
      </c>
      <c r="N357" s="3881"/>
      <c r="O357" s="2033" t="s">
        <v>103</v>
      </c>
    </row>
    <row r="358" spans="1:16" s="242" customFormat="1" ht="12.75" hidden="1" customHeight="1">
      <c r="A358" s="3878"/>
      <c r="B358" s="406" t="s">
        <v>18</v>
      </c>
      <c r="C358" s="3820" t="s">
        <v>85</v>
      </c>
      <c r="D358" s="588">
        <f>+D359</f>
        <v>0</v>
      </c>
      <c r="E358" s="630">
        <v>0</v>
      </c>
      <c r="F358" s="588"/>
      <c r="G358" s="588"/>
      <c r="H358" s="588"/>
      <c r="I358" s="588"/>
      <c r="J358" s="588"/>
      <c r="K358" s="588"/>
      <c r="L358" s="588"/>
      <c r="M358" s="3852"/>
      <c r="N358" s="3881"/>
      <c r="O358" s="2051"/>
    </row>
    <row r="359" spans="1:16" ht="12" hidden="1" customHeight="1" thickBot="1">
      <c r="A359" s="3878"/>
      <c r="B359" s="53" t="s">
        <v>20</v>
      </c>
      <c r="C359" s="3819"/>
      <c r="D359" s="226">
        <f>E359+F359+G359+H359+I359+J359+K359+L359</f>
        <v>0</v>
      </c>
      <c r="E359" s="249">
        <v>0</v>
      </c>
      <c r="F359" s="69"/>
      <c r="G359" s="69"/>
      <c r="H359" s="69"/>
      <c r="I359" s="69"/>
      <c r="J359" s="69"/>
      <c r="K359" s="69"/>
      <c r="L359" s="69"/>
      <c r="M359" s="3853"/>
      <c r="N359" s="3881"/>
      <c r="O359" s="2052"/>
    </row>
    <row r="360" spans="1:16" ht="12" customHeight="1" thickBot="1">
      <c r="A360" s="3879"/>
      <c r="B360" s="644" t="s">
        <v>21</v>
      </c>
      <c r="C360" s="645"/>
      <c r="D360" s="118">
        <f>D370+D382+D409+D418</f>
        <v>24055545</v>
      </c>
      <c r="E360" s="118">
        <f t="shared" ref="E360:L360" si="219">E370+E382+E409+E418</f>
        <v>0</v>
      </c>
      <c r="F360" s="118">
        <f t="shared" si="219"/>
        <v>0</v>
      </c>
      <c r="G360" s="118">
        <f t="shared" si="219"/>
        <v>6007058</v>
      </c>
      <c r="H360" s="118">
        <f t="shared" si="219"/>
        <v>7651532</v>
      </c>
      <c r="I360" s="118">
        <f t="shared" si="219"/>
        <v>8479587</v>
      </c>
      <c r="J360" s="118">
        <f t="shared" si="219"/>
        <v>1917368</v>
      </c>
      <c r="K360" s="118">
        <f t="shared" si="219"/>
        <v>0</v>
      </c>
      <c r="L360" s="118">
        <f t="shared" si="219"/>
        <v>0</v>
      </c>
      <c r="M360" s="2031"/>
      <c r="N360" s="3882"/>
      <c r="O360" s="119"/>
    </row>
    <row r="361" spans="1:16" ht="20.25" customHeight="1" thickBot="1">
      <c r="A361" s="254"/>
      <c r="B361" s="245" t="s">
        <v>245</v>
      </c>
      <c r="C361" s="191"/>
      <c r="D361" s="646"/>
      <c r="E361" s="190"/>
      <c r="F361" s="647"/>
      <c r="G361" s="647"/>
      <c r="H361" s="648"/>
      <c r="I361" s="192"/>
      <c r="J361" s="648"/>
      <c r="K361" s="648"/>
      <c r="L361" s="648"/>
      <c r="M361" s="255"/>
      <c r="N361" s="255"/>
      <c r="O361" s="256"/>
    </row>
    <row r="362" spans="1:16" ht="28.5" customHeight="1">
      <c r="A362" s="3811" t="s">
        <v>97</v>
      </c>
      <c r="B362" s="247" t="s">
        <v>755</v>
      </c>
      <c r="C362" s="56" t="s">
        <v>82</v>
      </c>
      <c r="D362" s="122"/>
      <c r="E362" s="40"/>
      <c r="F362" s="42"/>
      <c r="G362" s="42"/>
      <c r="H362" s="216"/>
      <c r="I362" s="41"/>
      <c r="J362" s="216"/>
      <c r="K362" s="216"/>
      <c r="L362" s="216"/>
      <c r="M362" s="59"/>
      <c r="N362" s="59"/>
      <c r="O362" s="3808" t="s">
        <v>87</v>
      </c>
    </row>
    <row r="363" spans="1:16">
      <c r="A363" s="3812"/>
      <c r="B363" s="534" t="s">
        <v>10</v>
      </c>
      <c r="C363" s="1231"/>
      <c r="D363" s="1251">
        <f>+D364+D366</f>
        <v>13000000</v>
      </c>
      <c r="E363" s="1251">
        <f t="shared" ref="E363" si="220">+E364+E366</f>
        <v>20256</v>
      </c>
      <c r="F363" s="1251">
        <f>+F364+F366</f>
        <v>7431430</v>
      </c>
      <c r="G363" s="1251">
        <f>+G364+G366</f>
        <v>5548314</v>
      </c>
      <c r="H363" s="1251"/>
      <c r="I363" s="1251"/>
      <c r="J363" s="1251"/>
      <c r="K363" s="1251"/>
      <c r="L363" s="1251"/>
      <c r="M363" s="1233">
        <f>+M364+M366</f>
        <v>12979744</v>
      </c>
      <c r="N363" s="1233">
        <f>+N364+N366</f>
        <v>5548314</v>
      </c>
      <c r="O363" s="3809"/>
    </row>
    <row r="364" spans="1:16">
      <c r="A364" s="3812"/>
      <c r="B364" s="513" t="s">
        <v>24</v>
      </c>
      <c r="C364" s="3827" t="s">
        <v>85</v>
      </c>
      <c r="D364" s="1252">
        <f>+D365</f>
        <v>5350000</v>
      </c>
      <c r="E364" s="1252">
        <f t="shared" ref="E364:G364" si="221">+E365</f>
        <v>20256</v>
      </c>
      <c r="F364" s="1252">
        <f t="shared" si="221"/>
        <v>1797584</v>
      </c>
      <c r="G364" s="1252">
        <f t="shared" si="221"/>
        <v>3532160</v>
      </c>
      <c r="H364" s="1252"/>
      <c r="I364" s="1252"/>
      <c r="J364" s="1252"/>
      <c r="K364" s="1252"/>
      <c r="L364" s="1252"/>
      <c r="M364" s="1235">
        <f>+M365</f>
        <v>5329744</v>
      </c>
      <c r="N364" s="1235">
        <f>+N365</f>
        <v>3532160</v>
      </c>
      <c r="O364" s="3809"/>
    </row>
    <row r="365" spans="1:16">
      <c r="A365" s="3812"/>
      <c r="B365" s="733" t="s">
        <v>12</v>
      </c>
      <c r="C365" s="3870"/>
      <c r="D365" s="1159">
        <f>E365+F365+G365+H365+I365+J365+K365+L365</f>
        <v>5350000</v>
      </c>
      <c r="E365" s="1206">
        <f>20256</f>
        <v>20256</v>
      </c>
      <c r="F365" s="1242">
        <f>1743624+383940+1505122+240000-1765801-309301</f>
        <v>1797584</v>
      </c>
      <c r="G365" s="1242">
        <f>3265801+266359</f>
        <v>3532160</v>
      </c>
      <c r="H365" s="1242"/>
      <c r="I365" s="1242"/>
      <c r="J365" s="1242"/>
      <c r="K365" s="1242"/>
      <c r="L365" s="1242"/>
      <c r="M365" s="1244">
        <f>SUM(F365:K365)</f>
        <v>5329744</v>
      </c>
      <c r="N365" s="1244">
        <f>SUM(G365:L365)</f>
        <v>3532160</v>
      </c>
      <c r="O365" s="3809"/>
    </row>
    <row r="366" spans="1:16">
      <c r="A366" s="3812"/>
      <c r="B366" s="729" t="s">
        <v>18</v>
      </c>
      <c r="C366" s="3870"/>
      <c r="D366" s="1234">
        <f>+D367</f>
        <v>7650000</v>
      </c>
      <c r="E366" s="1361">
        <f t="shared" ref="E366:G366" si="222">+E367</f>
        <v>0</v>
      </c>
      <c r="F366" s="1234">
        <f t="shared" si="222"/>
        <v>5633846</v>
      </c>
      <c r="G366" s="1234">
        <f t="shared" si="222"/>
        <v>2016154</v>
      </c>
      <c r="H366" s="1234"/>
      <c r="I366" s="1234"/>
      <c r="J366" s="1234"/>
      <c r="K366" s="1234"/>
      <c r="L366" s="1234"/>
      <c r="M366" s="1235">
        <f>+M367</f>
        <v>7650000</v>
      </c>
      <c r="N366" s="1235">
        <f>+N367</f>
        <v>2016154</v>
      </c>
      <c r="O366" s="3809"/>
    </row>
    <row r="367" spans="1:16">
      <c r="A367" s="3812"/>
      <c r="B367" s="1362" t="s">
        <v>21</v>
      </c>
      <c r="C367" s="3871"/>
      <c r="D367" s="1159">
        <f>E367+F367+G367+H367+I367+J367+K367+L367</f>
        <v>7650000</v>
      </c>
      <c r="E367" s="1623">
        <v>0</v>
      </c>
      <c r="F367" s="1242">
        <f>5576376+1196060+74622+760000-1086523-886689</f>
        <v>5633846</v>
      </c>
      <c r="G367" s="1242">
        <f>1086523+929631</f>
        <v>2016154</v>
      </c>
      <c r="H367" s="1242"/>
      <c r="I367" s="1242"/>
      <c r="J367" s="1242"/>
      <c r="K367" s="1242"/>
      <c r="L367" s="1242"/>
      <c r="M367" s="1244">
        <f>SUM(F367:K367)</f>
        <v>7650000</v>
      </c>
      <c r="N367" s="1244">
        <f>SUM(G367:L367)</f>
        <v>2016154</v>
      </c>
      <c r="O367" s="3873"/>
      <c r="P367" s="401"/>
    </row>
    <row r="368" spans="1:16">
      <c r="A368" s="3813"/>
      <c r="B368" s="534" t="s">
        <v>22</v>
      </c>
      <c r="C368" s="1231"/>
      <c r="D368" s="1232">
        <f>+D369</f>
        <v>7650000</v>
      </c>
      <c r="E368" s="1363">
        <f t="shared" ref="E368:H369" si="223">+E369</f>
        <v>0</v>
      </c>
      <c r="F368" s="1363">
        <f t="shared" si="223"/>
        <v>0</v>
      </c>
      <c r="G368" s="1232">
        <f t="shared" si="223"/>
        <v>6007058</v>
      </c>
      <c r="H368" s="1232">
        <f t="shared" si="223"/>
        <v>1642942</v>
      </c>
      <c r="I368" s="1232"/>
      <c r="J368" s="1232"/>
      <c r="K368" s="1232"/>
      <c r="L368" s="1232"/>
      <c r="M368" s="3903" t="s">
        <v>23</v>
      </c>
      <c r="N368" s="3903" t="s">
        <v>23</v>
      </c>
      <c r="O368" s="3876" t="s">
        <v>103</v>
      </c>
      <c r="P368" s="401"/>
    </row>
    <row r="369" spans="1:16" s="242" customFormat="1" ht="12.75" customHeight="1">
      <c r="A369" s="3813"/>
      <c r="B369" s="729" t="s">
        <v>18</v>
      </c>
      <c r="C369" s="3827" t="s">
        <v>85</v>
      </c>
      <c r="D369" s="1248">
        <f>+D370</f>
        <v>7650000</v>
      </c>
      <c r="E369" s="1622">
        <v>0</v>
      </c>
      <c r="F369" s="1622">
        <f t="shared" si="223"/>
        <v>0</v>
      </c>
      <c r="G369" s="1255">
        <f t="shared" si="223"/>
        <v>6007058</v>
      </c>
      <c r="H369" s="1255">
        <f t="shared" si="223"/>
        <v>1642942</v>
      </c>
      <c r="I369" s="1248"/>
      <c r="J369" s="1248"/>
      <c r="K369" s="1248"/>
      <c r="L369" s="1248"/>
      <c r="M369" s="3852"/>
      <c r="N369" s="3852"/>
      <c r="O369" s="3868"/>
    </row>
    <row r="370" spans="1:16" ht="12" customHeight="1" thickBot="1">
      <c r="A370" s="3814"/>
      <c r="B370" s="595" t="s">
        <v>21</v>
      </c>
      <c r="C370" s="3819"/>
      <c r="D370" s="1319">
        <f>E370+F370+G370+H370+I370+J370+K370+L370</f>
        <v>7650000</v>
      </c>
      <c r="E370" s="1624">
        <v>0</v>
      </c>
      <c r="F370" s="1372">
        <v>0</v>
      </c>
      <c r="G370" s="1371">
        <f>2861124+4745934-1600000</f>
        <v>6007058</v>
      </c>
      <c r="H370" s="1371">
        <v>1642942</v>
      </c>
      <c r="I370" s="1371"/>
      <c r="J370" s="1371"/>
      <c r="K370" s="1371"/>
      <c r="L370" s="1371"/>
      <c r="M370" s="3853"/>
      <c r="N370" s="3853"/>
      <c r="O370" s="3869"/>
    </row>
    <row r="371" spans="1:16" ht="24">
      <c r="A371" s="3811" t="s">
        <v>98</v>
      </c>
      <c r="B371" s="247" t="s">
        <v>756</v>
      </c>
      <c r="C371" s="56" t="s">
        <v>82</v>
      </c>
      <c r="D371" s="122"/>
      <c r="E371" s="40"/>
      <c r="F371" s="42"/>
      <c r="G371" s="42"/>
      <c r="H371" s="216"/>
      <c r="I371" s="41"/>
      <c r="J371" s="216"/>
      <c r="K371" s="216"/>
      <c r="L371" s="216"/>
      <c r="M371" s="59"/>
      <c r="N371" s="59"/>
      <c r="O371" s="3808" t="s">
        <v>87</v>
      </c>
    </row>
    <row r="372" spans="1:16">
      <c r="A372" s="3812"/>
      <c r="B372" s="534" t="s">
        <v>10</v>
      </c>
      <c r="C372" s="445"/>
      <c r="D372" s="1568">
        <f>+D373+D376</f>
        <v>12413366</v>
      </c>
      <c r="E372" s="1568">
        <f t="shared" ref="E372" si="224">+E373+E376</f>
        <v>395660</v>
      </c>
      <c r="F372" s="1569">
        <f t="shared" ref="F372:H372" si="225">+F373+F376</f>
        <v>0</v>
      </c>
      <c r="G372" s="1568">
        <f t="shared" si="225"/>
        <v>3000000</v>
      </c>
      <c r="H372" s="1568">
        <f t="shared" si="225"/>
        <v>9017706</v>
      </c>
      <c r="I372" s="1568"/>
      <c r="J372" s="1568"/>
      <c r="K372" s="1568"/>
      <c r="L372" s="1568"/>
      <c r="M372" s="1570">
        <f>+M373+M376</f>
        <v>12017706</v>
      </c>
      <c r="N372" s="1570">
        <f>+N373+N376</f>
        <v>12017706</v>
      </c>
      <c r="O372" s="3809"/>
    </row>
    <row r="373" spans="1:16">
      <c r="A373" s="3812"/>
      <c r="B373" s="513" t="s">
        <v>24</v>
      </c>
      <c r="C373" s="3818" t="s">
        <v>85</v>
      </c>
      <c r="D373" s="1571">
        <f>+D374+D375</f>
        <v>5594666</v>
      </c>
      <c r="E373" s="1571">
        <f t="shared" ref="E373" si="226">+E374+E375</f>
        <v>395660</v>
      </c>
      <c r="F373" s="1572">
        <v>0</v>
      </c>
      <c r="G373" s="1571">
        <f>+G374+G375</f>
        <v>450000</v>
      </c>
      <c r="H373" s="1571">
        <f>+H374+H375</f>
        <v>4749006</v>
      </c>
      <c r="I373" s="1571"/>
      <c r="J373" s="1571"/>
      <c r="K373" s="1571"/>
      <c r="L373" s="1571"/>
      <c r="M373" s="520">
        <f>+M374</f>
        <v>5199006</v>
      </c>
      <c r="N373" s="520">
        <f>+N374</f>
        <v>5199006</v>
      </c>
      <c r="O373" s="3809"/>
    </row>
    <row r="374" spans="1:16">
      <c r="A374" s="3812"/>
      <c r="B374" s="733" t="s">
        <v>12</v>
      </c>
      <c r="C374" s="3870"/>
      <c r="D374" s="704">
        <f>E374+F374+G374+H374+I374+J374+K374+L374</f>
        <v>5537663</v>
      </c>
      <c r="E374" s="719">
        <v>338657</v>
      </c>
      <c r="F374" s="1283">
        <v>0</v>
      </c>
      <c r="G374" s="1585">
        <f>1887021+23820-1309191-151650</f>
        <v>450000</v>
      </c>
      <c r="H374" s="1585">
        <f>601650+4147356</f>
        <v>4749006</v>
      </c>
      <c r="I374" s="1585"/>
      <c r="J374" s="1585"/>
      <c r="K374" s="1585"/>
      <c r="L374" s="1585"/>
      <c r="M374" s="727">
        <f>SUM(F374:K374)</f>
        <v>5199006</v>
      </c>
      <c r="N374" s="727">
        <f>SUM(G374:L374)</f>
        <v>5199006</v>
      </c>
      <c r="O374" s="3809"/>
    </row>
    <row r="375" spans="1:16" ht="12" customHeight="1">
      <c r="A375" s="3812"/>
      <c r="B375" s="733" t="s">
        <v>15</v>
      </c>
      <c r="C375" s="3870"/>
      <c r="D375" s="704">
        <f>E375+F375+G375+H375+I375+J375+K375+L375</f>
        <v>57003</v>
      </c>
      <c r="E375" s="719">
        <v>57003</v>
      </c>
      <c r="F375" s="1283">
        <v>0</v>
      </c>
      <c r="G375" s="1283">
        <v>0</v>
      </c>
      <c r="H375" s="1283"/>
      <c r="I375" s="1283"/>
      <c r="J375" s="1283"/>
      <c r="K375" s="1283"/>
      <c r="L375" s="1283"/>
      <c r="M375" s="727">
        <f>SUM(F375:K375)</f>
        <v>0</v>
      </c>
      <c r="N375" s="727">
        <f>SUM(G375:L375)</f>
        <v>0</v>
      </c>
      <c r="O375" s="3809"/>
    </row>
    <row r="376" spans="1:16">
      <c r="A376" s="3812"/>
      <c r="B376" s="729" t="s">
        <v>18</v>
      </c>
      <c r="C376" s="3870"/>
      <c r="D376" s="521">
        <f>+D377</f>
        <v>6818700</v>
      </c>
      <c r="E376" s="521">
        <f t="shared" ref="E376:H376" si="227">+E377</f>
        <v>0</v>
      </c>
      <c r="F376" s="1572">
        <v>0</v>
      </c>
      <c r="G376" s="521">
        <f t="shared" si="227"/>
        <v>2550000</v>
      </c>
      <c r="H376" s="521">
        <f t="shared" si="227"/>
        <v>4268700</v>
      </c>
      <c r="I376" s="521"/>
      <c r="J376" s="521"/>
      <c r="K376" s="521"/>
      <c r="L376" s="521"/>
      <c r="M376" s="520">
        <f>+M377</f>
        <v>6818700</v>
      </c>
      <c r="N376" s="520">
        <f>+N377</f>
        <v>6818700</v>
      </c>
      <c r="O376" s="3809"/>
    </row>
    <row r="377" spans="1:16" ht="12" customHeight="1">
      <c r="A377" s="3812"/>
      <c r="B377" s="592" t="s">
        <v>21</v>
      </c>
      <c r="C377" s="3871"/>
      <c r="D377" s="704">
        <f>E377+F377+G377+H377+I377+J377+K377+L377</f>
        <v>6818700</v>
      </c>
      <c r="E377" s="719">
        <v>0</v>
      </c>
      <c r="F377" s="1283">
        <v>0</v>
      </c>
      <c r="G377" s="1585">
        <f>6034979+76180-2701809-859350</f>
        <v>2550000</v>
      </c>
      <c r="H377" s="1585">
        <f>3409350+859350</f>
        <v>4268700</v>
      </c>
      <c r="I377" s="1585"/>
      <c r="J377" s="1585"/>
      <c r="K377" s="1585"/>
      <c r="L377" s="1585"/>
      <c r="M377" s="727">
        <f>SUM(F377:K377)</f>
        <v>6818700</v>
      </c>
      <c r="N377" s="727">
        <f>SUM(G377:L377)</f>
        <v>6818700</v>
      </c>
      <c r="O377" s="3873"/>
      <c r="P377" s="401"/>
    </row>
    <row r="378" spans="1:16" ht="11.25" customHeight="1">
      <c r="A378" s="3813"/>
      <c r="B378" s="534" t="s">
        <v>22</v>
      </c>
      <c r="C378" s="445"/>
      <c r="D378" s="569">
        <f>+D379+D381</f>
        <v>6875703</v>
      </c>
      <c r="E378" s="569">
        <f t="shared" ref="E378" si="228">+E379+E381</f>
        <v>57003</v>
      </c>
      <c r="F378" s="586">
        <f t="shared" ref="F378:I378" si="229">+F379+F381</f>
        <v>0</v>
      </c>
      <c r="G378" s="569">
        <f t="shared" si="229"/>
        <v>0</v>
      </c>
      <c r="H378" s="569">
        <f t="shared" si="229"/>
        <v>4091220</v>
      </c>
      <c r="I378" s="569">
        <f t="shared" si="229"/>
        <v>2727480</v>
      </c>
      <c r="J378" s="569"/>
      <c r="K378" s="569"/>
      <c r="L378" s="569"/>
      <c r="M378" s="3866" t="s">
        <v>23</v>
      </c>
      <c r="N378" s="3866" t="s">
        <v>23</v>
      </c>
      <c r="O378" s="3867" t="s">
        <v>103</v>
      </c>
    </row>
    <row r="379" spans="1:16">
      <c r="A379" s="3813"/>
      <c r="B379" s="729" t="s">
        <v>24</v>
      </c>
      <c r="C379" s="3938" t="s">
        <v>85</v>
      </c>
      <c r="D379" s="1571">
        <f>+D380</f>
        <v>57003</v>
      </c>
      <c r="E379" s="1571">
        <f t="shared" ref="E379" si="230">+E380</f>
        <v>57003</v>
      </c>
      <c r="F379" s="1572">
        <v>0</v>
      </c>
      <c r="G379" s="1572">
        <v>0</v>
      </c>
      <c r="H379" s="1572">
        <v>0</v>
      </c>
      <c r="I379" s="1572">
        <v>0</v>
      </c>
      <c r="J379" s="1572"/>
      <c r="K379" s="1572"/>
      <c r="L379" s="1572"/>
      <c r="M379" s="3852"/>
      <c r="N379" s="3852"/>
      <c r="O379" s="3868"/>
    </row>
    <row r="380" spans="1:16">
      <c r="A380" s="3813"/>
      <c r="B380" s="592" t="s">
        <v>15</v>
      </c>
      <c r="C380" s="3939"/>
      <c r="D380" s="704">
        <f>E380+F380+G380+H380+I380+J380+K380+L380</f>
        <v>57003</v>
      </c>
      <c r="E380" s="719">
        <v>57003</v>
      </c>
      <c r="F380" s="1283">
        <v>0</v>
      </c>
      <c r="G380" s="1283">
        <v>0</v>
      </c>
      <c r="H380" s="1283">
        <v>0</v>
      </c>
      <c r="I380" s="1283">
        <v>0</v>
      </c>
      <c r="J380" s="1283"/>
      <c r="K380" s="1283"/>
      <c r="L380" s="1283"/>
      <c r="M380" s="3852"/>
      <c r="N380" s="3852"/>
      <c r="O380" s="3868"/>
    </row>
    <row r="381" spans="1:16" s="242" customFormat="1" ht="12.75" customHeight="1">
      <c r="A381" s="3813"/>
      <c r="B381" s="729" t="s">
        <v>18</v>
      </c>
      <c r="C381" s="3939"/>
      <c r="D381" s="649">
        <f>+D382</f>
        <v>6818700</v>
      </c>
      <c r="E381" s="2082">
        <f t="shared" ref="E381:I381" si="231">+E382</f>
        <v>0</v>
      </c>
      <c r="F381" s="1572">
        <v>0</v>
      </c>
      <c r="G381" s="1625">
        <f t="shared" si="231"/>
        <v>0</v>
      </c>
      <c r="H381" s="1625">
        <f t="shared" si="231"/>
        <v>4091220</v>
      </c>
      <c r="I381" s="1625">
        <f t="shared" si="231"/>
        <v>2727480</v>
      </c>
      <c r="J381" s="649"/>
      <c r="K381" s="649"/>
      <c r="L381" s="649"/>
      <c r="M381" s="3852"/>
      <c r="N381" s="3852"/>
      <c r="O381" s="3868"/>
    </row>
    <row r="382" spans="1:16" ht="12" customHeight="1" thickBot="1">
      <c r="A382" s="3814"/>
      <c r="B382" s="595" t="s">
        <v>21</v>
      </c>
      <c r="C382" s="3940"/>
      <c r="D382" s="1429">
        <f>E382+F382+G382+H382+I382+J382+K382+L382</f>
        <v>6818700</v>
      </c>
      <c r="E382" s="1429">
        <v>0</v>
      </c>
      <c r="F382" s="2083">
        <v>0</v>
      </c>
      <c r="G382" s="1371">
        <f>2555629+1141538-2197167-1500000</f>
        <v>0</v>
      </c>
      <c r="H382" s="1371">
        <f>2413992+2904708-1227480</f>
        <v>4091220</v>
      </c>
      <c r="I382" s="1371">
        <v>2727480</v>
      </c>
      <c r="J382" s="1371"/>
      <c r="K382" s="1371"/>
      <c r="L382" s="1371"/>
      <c r="M382" s="3853"/>
      <c r="N382" s="3853"/>
      <c r="O382" s="3869"/>
    </row>
    <row r="383" spans="1:16" ht="24.75" hidden="1" customHeight="1">
      <c r="A383" s="3811" t="s">
        <v>100</v>
      </c>
      <c r="B383" s="247"/>
      <c r="C383" s="56" t="s">
        <v>82</v>
      </c>
      <c r="D383" s="122"/>
      <c r="E383" s="518"/>
      <c r="F383" s="42"/>
      <c r="G383" s="42"/>
      <c r="H383" s="216"/>
      <c r="I383" s="41"/>
      <c r="J383" s="216"/>
      <c r="K383" s="216"/>
      <c r="L383" s="216"/>
      <c r="M383" s="59"/>
      <c r="N383" s="59"/>
      <c r="O383" s="3808" t="s">
        <v>87</v>
      </c>
      <c r="P383" s="214" t="s">
        <v>316</v>
      </c>
    </row>
    <row r="384" spans="1:16" hidden="1">
      <c r="A384" s="3812"/>
      <c r="B384" s="1961" t="s">
        <v>10</v>
      </c>
      <c r="C384" s="1231"/>
      <c r="D384" s="1568">
        <f>+D385+D387</f>
        <v>0</v>
      </c>
      <c r="E384" s="1568">
        <f t="shared" ref="E384" si="232">+E385+E387</f>
        <v>0</v>
      </c>
      <c r="F384" s="1568">
        <f t="shared" ref="F384:H384" si="233">+F385+F387</f>
        <v>0</v>
      </c>
      <c r="G384" s="1568">
        <f t="shared" si="233"/>
        <v>0</v>
      </c>
      <c r="H384" s="1568">
        <f t="shared" si="233"/>
        <v>0</v>
      </c>
      <c r="I384" s="1568"/>
      <c r="J384" s="1568"/>
      <c r="K384" s="1568"/>
      <c r="L384" s="1568"/>
      <c r="M384" s="1570">
        <f>+M385+M387</f>
        <v>0</v>
      </c>
      <c r="N384" s="1570">
        <f>+N385+N387</f>
        <v>0</v>
      </c>
      <c r="O384" s="3809"/>
    </row>
    <row r="385" spans="1:16" hidden="1">
      <c r="A385" s="3812"/>
      <c r="B385" s="1986" t="s">
        <v>24</v>
      </c>
      <c r="C385" s="3818" t="s">
        <v>85</v>
      </c>
      <c r="D385" s="1571">
        <f>+D386</f>
        <v>0</v>
      </c>
      <c r="E385" s="1571">
        <f t="shared" ref="E385:H385" si="234">+E386</f>
        <v>0</v>
      </c>
      <c r="F385" s="1571">
        <f t="shared" si="234"/>
        <v>0</v>
      </c>
      <c r="G385" s="1571">
        <f t="shared" si="234"/>
        <v>0</v>
      </c>
      <c r="H385" s="1571">
        <f t="shared" si="234"/>
        <v>0</v>
      </c>
      <c r="I385" s="1571"/>
      <c r="J385" s="1571"/>
      <c r="K385" s="1571"/>
      <c r="L385" s="1571"/>
      <c r="M385" s="520">
        <f>+M386</f>
        <v>0</v>
      </c>
      <c r="N385" s="520">
        <f>+N386</f>
        <v>0</v>
      </c>
      <c r="O385" s="3809"/>
    </row>
    <row r="386" spans="1:16" hidden="1">
      <c r="A386" s="3812"/>
      <c r="B386" s="1987" t="s">
        <v>12</v>
      </c>
      <c r="C386" s="3870"/>
      <c r="D386" s="704"/>
      <c r="E386" s="719"/>
      <c r="F386" s="1585"/>
      <c r="G386" s="1585">
        <f>1854503+17167-1310168-561502</f>
        <v>0</v>
      </c>
      <c r="H386" s="1585">
        <f>1550169-1550169</f>
        <v>0</v>
      </c>
      <c r="I386" s="1585"/>
      <c r="J386" s="1585"/>
      <c r="K386" s="1585"/>
      <c r="L386" s="1585"/>
      <c r="M386" s="727">
        <f>SUM(F386:K386)</f>
        <v>0</v>
      </c>
      <c r="N386" s="727">
        <f>SUM(G386:L386)</f>
        <v>0</v>
      </c>
      <c r="O386" s="3809"/>
    </row>
    <row r="387" spans="1:16" hidden="1">
      <c r="A387" s="3812"/>
      <c r="B387" s="1988" t="s">
        <v>18</v>
      </c>
      <c r="C387" s="3870"/>
      <c r="D387" s="521">
        <f>+D388</f>
        <v>0</v>
      </c>
      <c r="E387" s="521">
        <f t="shared" ref="E387:H387" si="235">+E388</f>
        <v>0</v>
      </c>
      <c r="F387" s="521">
        <f t="shared" si="235"/>
        <v>0</v>
      </c>
      <c r="G387" s="521">
        <f t="shared" si="235"/>
        <v>0</v>
      </c>
      <c r="H387" s="521">
        <f t="shared" si="235"/>
        <v>0</v>
      </c>
      <c r="I387" s="521"/>
      <c r="J387" s="521"/>
      <c r="K387" s="521"/>
      <c r="L387" s="521"/>
      <c r="M387" s="520">
        <f>+M388</f>
        <v>0</v>
      </c>
      <c r="N387" s="520">
        <f>+N388</f>
        <v>0</v>
      </c>
      <c r="O387" s="3809"/>
    </row>
    <row r="388" spans="1:16" hidden="1">
      <c r="A388" s="3812"/>
      <c r="B388" s="592" t="s">
        <v>21</v>
      </c>
      <c r="C388" s="3871"/>
      <c r="D388" s="704">
        <f>E388+F388+G388+H388+I388+J388+K388+L388</f>
        <v>0</v>
      </c>
      <c r="E388" s="719">
        <f>4205-4205</f>
        <v>0</v>
      </c>
      <c r="F388" s="1585">
        <f>5928372+953820+1843-6884035</f>
        <v>0</v>
      </c>
      <c r="G388" s="1585">
        <f>6124035-4286825-1837210</f>
        <v>0</v>
      </c>
      <c r="H388" s="1585">
        <f>5046825-5046825</f>
        <v>0</v>
      </c>
      <c r="I388" s="1585"/>
      <c r="J388" s="1585"/>
      <c r="K388" s="1585"/>
      <c r="L388" s="1585"/>
      <c r="M388" s="727">
        <f>SUM(F388:K388)</f>
        <v>0</v>
      </c>
      <c r="N388" s="727">
        <f>SUM(G388:L388)</f>
        <v>0</v>
      </c>
      <c r="O388" s="3873"/>
      <c r="P388" s="401"/>
    </row>
    <row r="389" spans="1:16" hidden="1">
      <c r="A389" s="3813"/>
      <c r="B389" s="1961" t="s">
        <v>22</v>
      </c>
      <c r="C389" s="1231"/>
      <c r="D389" s="569">
        <f>+D390</f>
        <v>0</v>
      </c>
      <c r="E389" s="569">
        <f t="shared" ref="E389:I390" si="236">+E390</f>
        <v>0</v>
      </c>
      <c r="F389" s="569">
        <f t="shared" si="236"/>
        <v>0</v>
      </c>
      <c r="G389" s="569">
        <f t="shared" si="236"/>
        <v>0</v>
      </c>
      <c r="H389" s="569">
        <f t="shared" si="236"/>
        <v>0</v>
      </c>
      <c r="I389" s="569">
        <f t="shared" si="236"/>
        <v>0</v>
      </c>
      <c r="J389" s="569"/>
      <c r="K389" s="569"/>
      <c r="L389" s="569"/>
      <c r="M389" s="3866" t="s">
        <v>23</v>
      </c>
      <c r="N389" s="3866" t="s">
        <v>23</v>
      </c>
      <c r="O389" s="3867" t="s">
        <v>103</v>
      </c>
    </row>
    <row r="390" spans="1:16" s="242" customFormat="1" ht="12.75" hidden="1" customHeight="1">
      <c r="A390" s="3813"/>
      <c r="B390" s="1988" t="s">
        <v>18</v>
      </c>
      <c r="C390" s="3818" t="s">
        <v>85</v>
      </c>
      <c r="D390" s="649">
        <f>+D391</f>
        <v>0</v>
      </c>
      <c r="E390" s="1625">
        <f t="shared" si="236"/>
        <v>0</v>
      </c>
      <c r="F390" s="1625">
        <f t="shared" si="236"/>
        <v>0</v>
      </c>
      <c r="G390" s="1625">
        <f t="shared" si="236"/>
        <v>0</v>
      </c>
      <c r="H390" s="1625">
        <f t="shared" si="236"/>
        <v>0</v>
      </c>
      <c r="I390" s="1625">
        <f t="shared" si="236"/>
        <v>0</v>
      </c>
      <c r="J390" s="649"/>
      <c r="K390" s="649"/>
      <c r="L390" s="649"/>
      <c r="M390" s="3852"/>
      <c r="N390" s="3852"/>
      <c r="O390" s="3868"/>
    </row>
    <row r="391" spans="1:16" ht="13.5" hidden="1" thickBot="1">
      <c r="A391" s="3814"/>
      <c r="B391" s="595" t="s">
        <v>21</v>
      </c>
      <c r="C391" s="3819"/>
      <c r="D391" s="1896">
        <f>E391+F391+G391+H391+I391+J391+K391+L391</f>
        <v>0</v>
      </c>
      <c r="E391" s="1896">
        <v>0</v>
      </c>
      <c r="F391" s="1371">
        <f>3909880-3909880</f>
        <v>0</v>
      </c>
      <c r="G391" s="1371">
        <f>2978360+931520-3909880</f>
        <v>0</v>
      </c>
      <c r="H391" s="1371">
        <f>2218360+760000-2978360</f>
        <v>0</v>
      </c>
      <c r="I391" s="1371">
        <f>3909880-3909880</f>
        <v>0</v>
      </c>
      <c r="J391" s="1371"/>
      <c r="K391" s="1371"/>
      <c r="L391" s="1371"/>
      <c r="M391" s="3853"/>
      <c r="N391" s="3853"/>
      <c r="O391" s="3869"/>
    </row>
    <row r="392" spans="1:16" ht="22.5" hidden="1" customHeight="1">
      <c r="A392" s="3811" t="s">
        <v>105</v>
      </c>
      <c r="B392" s="247" t="s">
        <v>678</v>
      </c>
      <c r="C392" s="56" t="s">
        <v>82</v>
      </c>
      <c r="D392" s="122"/>
      <c r="E392" s="518"/>
      <c r="F392" s="42"/>
      <c r="G392" s="42"/>
      <c r="H392" s="216"/>
      <c r="I392" s="41"/>
      <c r="J392" s="216"/>
      <c r="K392" s="216"/>
      <c r="L392" s="216"/>
      <c r="M392" s="59"/>
      <c r="N392" s="59"/>
      <c r="O392" s="3808" t="s">
        <v>87</v>
      </c>
      <c r="P392" s="214" t="s">
        <v>316</v>
      </c>
    </row>
    <row r="393" spans="1:16" ht="12" hidden="1" customHeight="1">
      <c r="A393" s="3812"/>
      <c r="B393" s="534" t="s">
        <v>10</v>
      </c>
      <c r="C393" s="1250"/>
      <c r="D393" s="1251">
        <f>+D394+D396</f>
        <v>0</v>
      </c>
      <c r="E393" s="1251">
        <f t="shared" ref="E393" si="237">+E394+E396</f>
        <v>0</v>
      </c>
      <c r="F393" s="1251">
        <f t="shared" ref="F393:G393" si="238">+F394+F396</f>
        <v>0</v>
      </c>
      <c r="G393" s="1251">
        <f t="shared" si="238"/>
        <v>0</v>
      </c>
      <c r="H393" s="1251"/>
      <c r="I393" s="1251"/>
      <c r="J393" s="1251"/>
      <c r="K393" s="1251"/>
      <c r="L393" s="1251"/>
      <c r="M393" s="1233">
        <f>+M394+M396</f>
        <v>0</v>
      </c>
      <c r="N393" s="1233">
        <f>+N394+N396</f>
        <v>0</v>
      </c>
      <c r="O393" s="3809"/>
    </row>
    <row r="394" spans="1:16" hidden="1">
      <c r="A394" s="3812"/>
      <c r="B394" s="513" t="s">
        <v>24</v>
      </c>
      <c r="C394" s="3818" t="s">
        <v>85</v>
      </c>
      <c r="D394" s="1252">
        <f>+D395</f>
        <v>0</v>
      </c>
      <c r="E394" s="1252">
        <f t="shared" ref="E394:G394" si="239">+E395</f>
        <v>0</v>
      </c>
      <c r="F394" s="1252">
        <f t="shared" si="239"/>
        <v>0</v>
      </c>
      <c r="G394" s="1252">
        <f t="shared" si="239"/>
        <v>0</v>
      </c>
      <c r="H394" s="1252"/>
      <c r="I394" s="1252"/>
      <c r="J394" s="1252"/>
      <c r="K394" s="1252"/>
      <c r="L394" s="1252"/>
      <c r="M394" s="1235">
        <f>+M395</f>
        <v>0</v>
      </c>
      <c r="N394" s="1235">
        <f>+N395</f>
        <v>0</v>
      </c>
      <c r="O394" s="3809"/>
    </row>
    <row r="395" spans="1:16" hidden="1">
      <c r="A395" s="3812"/>
      <c r="B395" s="733" t="s">
        <v>12</v>
      </c>
      <c r="C395" s="3870"/>
      <c r="D395" s="704">
        <f>E395+F395+G395+H395+I395+J395+K395+L395</f>
        <v>0</v>
      </c>
      <c r="E395" s="1206">
        <v>0</v>
      </c>
      <c r="F395" s="1242">
        <v>0</v>
      </c>
      <c r="G395" s="1242">
        <f>938336-938336</f>
        <v>0</v>
      </c>
      <c r="H395" s="1242"/>
      <c r="I395" s="1242"/>
      <c r="J395" s="1242"/>
      <c r="K395" s="1242"/>
      <c r="L395" s="1242"/>
      <c r="M395" s="1244">
        <f>SUM(F395:K395)</f>
        <v>0</v>
      </c>
      <c r="N395" s="1244">
        <f>SUM(G395:L395)</f>
        <v>0</v>
      </c>
      <c r="O395" s="3809"/>
    </row>
    <row r="396" spans="1:16" hidden="1">
      <c r="A396" s="3812"/>
      <c r="B396" s="729" t="s">
        <v>18</v>
      </c>
      <c r="C396" s="3870"/>
      <c r="D396" s="1234">
        <f>+D397</f>
        <v>0</v>
      </c>
      <c r="E396" s="1234">
        <f t="shared" ref="E396:G396" si="240">+E397</f>
        <v>0</v>
      </c>
      <c r="F396" s="1234">
        <f t="shared" si="240"/>
        <v>0</v>
      </c>
      <c r="G396" s="1234">
        <f t="shared" si="240"/>
        <v>0</v>
      </c>
      <c r="H396" s="1234"/>
      <c r="I396" s="1234"/>
      <c r="J396" s="1234"/>
      <c r="K396" s="1234"/>
      <c r="L396" s="1234"/>
      <c r="M396" s="1235">
        <f>+M397</f>
        <v>0</v>
      </c>
      <c r="N396" s="1235">
        <f>+N397</f>
        <v>0</v>
      </c>
      <c r="O396" s="3809"/>
    </row>
    <row r="397" spans="1:16" hidden="1">
      <c r="A397" s="3812"/>
      <c r="B397" s="592" t="s">
        <v>244</v>
      </c>
      <c r="C397" s="3871"/>
      <c r="D397" s="704">
        <f>E397+F397+G397+H397+I397+J397+K397+L397</f>
        <v>0</v>
      </c>
      <c r="E397" s="1206">
        <v>0</v>
      </c>
      <c r="F397" s="1242">
        <v>0</v>
      </c>
      <c r="G397" s="1242">
        <f>3019942-3019942</f>
        <v>0</v>
      </c>
      <c r="H397" s="1242"/>
      <c r="I397" s="1242"/>
      <c r="J397" s="1242"/>
      <c r="K397" s="1242"/>
      <c r="L397" s="1242"/>
      <c r="M397" s="1244">
        <f>SUM(F397:K397)</f>
        <v>0</v>
      </c>
      <c r="N397" s="1244">
        <f>SUM(G397:L397)</f>
        <v>0</v>
      </c>
      <c r="O397" s="3873"/>
      <c r="P397" s="401"/>
    </row>
    <row r="398" spans="1:16" hidden="1">
      <c r="A398" s="3813"/>
      <c r="B398" s="534" t="s">
        <v>22</v>
      </c>
      <c r="C398" s="1250"/>
      <c r="D398" s="1232">
        <f>+D399</f>
        <v>0</v>
      </c>
      <c r="E398" s="1232">
        <f t="shared" ref="E398:H399" si="241">+E399</f>
        <v>0</v>
      </c>
      <c r="F398" s="1232">
        <f t="shared" si="241"/>
        <v>0</v>
      </c>
      <c r="G398" s="1232">
        <f t="shared" si="241"/>
        <v>0</v>
      </c>
      <c r="H398" s="1232">
        <f t="shared" si="241"/>
        <v>0</v>
      </c>
      <c r="I398" s="1232"/>
      <c r="J398" s="1232"/>
      <c r="K398" s="1232"/>
      <c r="L398" s="1232"/>
      <c r="M398" s="3866" t="s">
        <v>23</v>
      </c>
      <c r="N398" s="3866" t="s">
        <v>23</v>
      </c>
      <c r="O398" s="3867" t="s">
        <v>103</v>
      </c>
    </row>
    <row r="399" spans="1:16" s="242" customFormat="1" ht="12.75" hidden="1" customHeight="1">
      <c r="A399" s="3813"/>
      <c r="B399" s="729" t="s">
        <v>18</v>
      </c>
      <c r="C399" s="3818" t="s">
        <v>85</v>
      </c>
      <c r="D399" s="1248">
        <f>+D400</f>
        <v>0</v>
      </c>
      <c r="E399" s="1255">
        <f t="shared" si="241"/>
        <v>0</v>
      </c>
      <c r="F399" s="1255">
        <f t="shared" si="241"/>
        <v>0</v>
      </c>
      <c r="G399" s="1255">
        <f t="shared" si="241"/>
        <v>0</v>
      </c>
      <c r="H399" s="1255">
        <f t="shared" si="241"/>
        <v>0</v>
      </c>
      <c r="I399" s="1248"/>
      <c r="J399" s="1248"/>
      <c r="K399" s="1248"/>
      <c r="L399" s="1248"/>
      <c r="M399" s="3852"/>
      <c r="N399" s="3852"/>
      <c r="O399" s="3868"/>
    </row>
    <row r="400" spans="1:16" ht="12" hidden="1" customHeight="1" thickBot="1">
      <c r="A400" s="3814"/>
      <c r="B400" s="595" t="s">
        <v>20</v>
      </c>
      <c r="C400" s="3819"/>
      <c r="D400" s="701">
        <f>E400+F400+G400+H400+I400+J400+K400+L400</f>
        <v>0</v>
      </c>
      <c r="E400" s="701">
        <v>0</v>
      </c>
      <c r="F400" s="425">
        <f>2334228-2334228</f>
        <v>0</v>
      </c>
      <c r="G400" s="425">
        <f>1025310+1308918-2334228</f>
        <v>0</v>
      </c>
      <c r="H400" s="425">
        <v>0</v>
      </c>
      <c r="I400" s="425"/>
      <c r="J400" s="425"/>
      <c r="K400" s="425"/>
      <c r="L400" s="425"/>
      <c r="M400" s="3853"/>
      <c r="N400" s="3853"/>
      <c r="O400" s="3869"/>
    </row>
    <row r="401" spans="1:16" ht="23.25" customHeight="1">
      <c r="A401" s="3811" t="s">
        <v>100</v>
      </c>
      <c r="B401" s="247" t="s">
        <v>757</v>
      </c>
      <c r="C401" s="56" t="s">
        <v>82</v>
      </c>
      <c r="D401" s="122"/>
      <c r="E401" s="518"/>
      <c r="F401" s="42"/>
      <c r="G401" s="42"/>
      <c r="H401" s="216"/>
      <c r="I401" s="41"/>
      <c r="J401" s="216"/>
      <c r="K401" s="216"/>
      <c r="L401" s="94"/>
      <c r="M401" s="59"/>
      <c r="N401" s="59"/>
      <c r="O401" s="3808" t="s">
        <v>87</v>
      </c>
      <c r="P401" s="214" t="s">
        <v>316</v>
      </c>
    </row>
    <row r="402" spans="1:16">
      <c r="A402" s="3812"/>
      <c r="B402" s="21" t="s">
        <v>10</v>
      </c>
      <c r="C402" s="22"/>
      <c r="D402" s="2084">
        <f>+D403+D405</f>
        <v>11037981</v>
      </c>
      <c r="E402" s="2085">
        <f t="shared" ref="E402:F402" si="242">+E403+E405</f>
        <v>0</v>
      </c>
      <c r="F402" s="2085">
        <f t="shared" si="242"/>
        <v>0</v>
      </c>
      <c r="G402" s="2084">
        <f>+G403+G405</f>
        <v>0</v>
      </c>
      <c r="H402" s="2084">
        <f>+H403+H405</f>
        <v>6622789</v>
      </c>
      <c r="I402" s="2084">
        <f>+I403+I405</f>
        <v>4415192</v>
      </c>
      <c r="J402" s="2084"/>
      <c r="K402" s="2084"/>
      <c r="L402" s="1568"/>
      <c r="M402" s="519">
        <f>+M403+M405</f>
        <v>11037981</v>
      </c>
      <c r="N402" s="519">
        <f>+N403+N405</f>
        <v>11037981</v>
      </c>
      <c r="O402" s="3809"/>
    </row>
    <row r="403" spans="1:16" ht="13.5" customHeight="1">
      <c r="A403" s="3812"/>
      <c r="B403" s="164" t="s">
        <v>24</v>
      </c>
      <c r="C403" s="3949" t="s">
        <v>85</v>
      </c>
      <c r="D403" s="2086">
        <f>+D404</f>
        <v>5773368</v>
      </c>
      <c r="E403" s="2087">
        <f t="shared" ref="E403:I403" si="243">+E404</f>
        <v>0</v>
      </c>
      <c r="F403" s="2087">
        <f t="shared" si="243"/>
        <v>0</v>
      </c>
      <c r="G403" s="2086">
        <f t="shared" si="243"/>
        <v>0</v>
      </c>
      <c r="H403" s="2086">
        <f t="shared" si="243"/>
        <v>3311394</v>
      </c>
      <c r="I403" s="2086">
        <f t="shared" si="243"/>
        <v>2461974</v>
      </c>
      <c r="J403" s="2086"/>
      <c r="K403" s="2086"/>
      <c r="L403" s="1571"/>
      <c r="M403" s="520">
        <f>+M404</f>
        <v>5773368</v>
      </c>
      <c r="N403" s="520">
        <f>+N404</f>
        <v>5773368</v>
      </c>
      <c r="O403" s="3809"/>
    </row>
    <row r="404" spans="1:16">
      <c r="A404" s="3812"/>
      <c r="B404" s="374" t="s">
        <v>12</v>
      </c>
      <c r="C404" s="3870"/>
      <c r="D404" s="226">
        <f>E404+F404+G404+H404+I404+J404+K404+L404</f>
        <v>5773368</v>
      </c>
      <c r="E404" s="2088">
        <v>0</v>
      </c>
      <c r="F404" s="2088">
        <v>0</v>
      </c>
      <c r="G404" s="2089">
        <f>621874-435312-186562</f>
        <v>0</v>
      </c>
      <c r="H404" s="2089">
        <f>1058866+787322+1465206</f>
        <v>3311394</v>
      </c>
      <c r="I404" s="2089">
        <v>2461974</v>
      </c>
      <c r="J404" s="2089"/>
      <c r="K404" s="2089"/>
      <c r="L404" s="1585"/>
      <c r="M404" s="727">
        <f>SUM(F404:K404)</f>
        <v>5773368</v>
      </c>
      <c r="N404" s="727">
        <f>SUM(G404:L404)</f>
        <v>5773368</v>
      </c>
      <c r="O404" s="3809"/>
    </row>
    <row r="405" spans="1:16">
      <c r="A405" s="3812"/>
      <c r="B405" s="406" t="s">
        <v>18</v>
      </c>
      <c r="C405" s="3870"/>
      <c r="D405" s="2090">
        <f>+D406</f>
        <v>5264613</v>
      </c>
      <c r="E405" s="2091">
        <f t="shared" ref="E405:I405" si="244">+E406</f>
        <v>0</v>
      </c>
      <c r="F405" s="2091">
        <f t="shared" si="244"/>
        <v>0</v>
      </c>
      <c r="G405" s="2090">
        <f t="shared" si="244"/>
        <v>0</v>
      </c>
      <c r="H405" s="2090">
        <f t="shared" si="244"/>
        <v>3311395</v>
      </c>
      <c r="I405" s="2090">
        <f t="shared" si="244"/>
        <v>1953218</v>
      </c>
      <c r="J405" s="2090"/>
      <c r="K405" s="2090"/>
      <c r="L405" s="521"/>
      <c r="M405" s="520">
        <f>+M406</f>
        <v>5264613</v>
      </c>
      <c r="N405" s="520">
        <f>+N406</f>
        <v>5264613</v>
      </c>
      <c r="O405" s="3809"/>
    </row>
    <row r="406" spans="1:16" ht="11.25" customHeight="1">
      <c r="A406" s="3812"/>
      <c r="B406" s="2092" t="s">
        <v>21</v>
      </c>
      <c r="C406" s="3871"/>
      <c r="D406" s="226">
        <f>E406+F406+G406+H406+I406+J406+K406+L406</f>
        <v>5264613</v>
      </c>
      <c r="E406" s="2088">
        <v>0</v>
      </c>
      <c r="F406" s="2088">
        <v>0</v>
      </c>
      <c r="G406" s="2089">
        <f>1988846-1392192-596654</f>
        <v>0</v>
      </c>
      <c r="H406" s="2089">
        <f>3386414+2522163-2597182</f>
        <v>3311395</v>
      </c>
      <c r="I406" s="2089">
        <v>1953218</v>
      </c>
      <c r="J406" s="2089"/>
      <c r="K406" s="2089"/>
      <c r="L406" s="1585"/>
      <c r="M406" s="727">
        <f>SUM(F406:K406)</f>
        <v>5264613</v>
      </c>
      <c r="N406" s="727">
        <f>SUM(G406:L406)</f>
        <v>5264613</v>
      </c>
      <c r="O406" s="3873"/>
      <c r="P406" s="401"/>
    </row>
    <row r="407" spans="1:16">
      <c r="A407" s="3813"/>
      <c r="B407" s="21" t="s">
        <v>22</v>
      </c>
      <c r="C407" s="22"/>
      <c r="D407" s="2093">
        <f>+D408</f>
        <v>5264613</v>
      </c>
      <c r="E407" s="2094">
        <f t="shared" ref="E407:J408" si="245">+E408</f>
        <v>0</v>
      </c>
      <c r="F407" s="2094">
        <f t="shared" si="245"/>
        <v>0</v>
      </c>
      <c r="G407" s="2093">
        <f t="shared" si="245"/>
        <v>0</v>
      </c>
      <c r="H407" s="2093">
        <f t="shared" si="245"/>
        <v>1052923</v>
      </c>
      <c r="I407" s="2093">
        <f t="shared" si="245"/>
        <v>3158768</v>
      </c>
      <c r="J407" s="2093">
        <f t="shared" si="245"/>
        <v>1052922</v>
      </c>
      <c r="K407" s="2093"/>
      <c r="L407" s="569"/>
      <c r="M407" s="3889" t="s">
        <v>23</v>
      </c>
      <c r="N407" s="3889" t="s">
        <v>23</v>
      </c>
      <c r="O407" s="3948" t="s">
        <v>103</v>
      </c>
    </row>
    <row r="408" spans="1:16" s="242" customFormat="1">
      <c r="A408" s="3813"/>
      <c r="B408" s="406" t="s">
        <v>18</v>
      </c>
      <c r="C408" s="3949" t="s">
        <v>85</v>
      </c>
      <c r="D408" s="2095">
        <f>+D409</f>
        <v>5264613</v>
      </c>
      <c r="E408" s="2096">
        <f t="shared" si="245"/>
        <v>0</v>
      </c>
      <c r="F408" s="2096">
        <f t="shared" si="245"/>
        <v>0</v>
      </c>
      <c r="G408" s="2097">
        <f t="shared" si="245"/>
        <v>0</v>
      </c>
      <c r="H408" s="2097">
        <f t="shared" si="245"/>
        <v>1052923</v>
      </c>
      <c r="I408" s="2097">
        <f t="shared" si="245"/>
        <v>3158768</v>
      </c>
      <c r="J408" s="2097">
        <f t="shared" si="245"/>
        <v>1052922</v>
      </c>
      <c r="K408" s="2095"/>
      <c r="L408" s="649"/>
      <c r="M408" s="3881"/>
      <c r="N408" s="3881"/>
      <c r="O408" s="3868"/>
    </row>
    <row r="409" spans="1:16" ht="12" customHeight="1" thickBot="1">
      <c r="A409" s="3814"/>
      <c r="B409" s="53" t="s">
        <v>21</v>
      </c>
      <c r="C409" s="3819"/>
      <c r="D409" s="226">
        <f>E409+F409+G409+H409+I409+J409+K409+L409</f>
        <v>5264613</v>
      </c>
      <c r="E409" s="250">
        <v>0</v>
      </c>
      <c r="F409" s="250">
        <v>0</v>
      </c>
      <c r="G409" s="69">
        <v>0</v>
      </c>
      <c r="H409" s="69">
        <f>3657763-2604840</f>
        <v>1052923</v>
      </c>
      <c r="I409" s="69">
        <f>1717497+1129971+311300</f>
        <v>3158768</v>
      </c>
      <c r="J409" s="69">
        <v>1052922</v>
      </c>
      <c r="K409" s="69"/>
      <c r="L409" s="425"/>
      <c r="M409" s="3882"/>
      <c r="N409" s="3882"/>
      <c r="O409" s="3869"/>
    </row>
    <row r="410" spans="1:16" ht="24">
      <c r="A410" s="3811" t="s">
        <v>302</v>
      </c>
      <c r="B410" s="247" t="s">
        <v>758</v>
      </c>
      <c r="C410" s="56" t="s">
        <v>82</v>
      </c>
      <c r="D410" s="122"/>
      <c r="E410" s="518"/>
      <c r="F410" s="423"/>
      <c r="G410" s="42"/>
      <c r="H410" s="216"/>
      <c r="I410" s="41"/>
      <c r="J410" s="216"/>
      <c r="K410" s="216"/>
      <c r="L410" s="94"/>
      <c r="M410" s="59"/>
      <c r="N410" s="59"/>
      <c r="O410" s="3808" t="s">
        <v>87</v>
      </c>
      <c r="P410" s="214" t="s">
        <v>316</v>
      </c>
    </row>
    <row r="411" spans="1:16" ht="10.5" customHeight="1">
      <c r="A411" s="3812"/>
      <c r="B411" s="534" t="s">
        <v>10</v>
      </c>
      <c r="C411" s="1231"/>
      <c r="D411" s="1251">
        <f>+D412+D414</f>
        <v>9147981</v>
      </c>
      <c r="E411" s="1251">
        <f t="shared" ref="E411" si="246">+E412+E414</f>
        <v>0</v>
      </c>
      <c r="F411" s="1256">
        <f t="shared" ref="F411:I411" si="247">+F412+F414</f>
        <v>0</v>
      </c>
      <c r="G411" s="1251">
        <f t="shared" si="247"/>
        <v>0</v>
      </c>
      <c r="H411" s="1251">
        <f t="shared" si="247"/>
        <v>5488789</v>
      </c>
      <c r="I411" s="1251">
        <f t="shared" si="247"/>
        <v>3659192</v>
      </c>
      <c r="J411" s="1251"/>
      <c r="K411" s="1251"/>
      <c r="L411" s="1251"/>
      <c r="M411" s="1285">
        <f>+M412+M414</f>
        <v>9147981</v>
      </c>
      <c r="N411" s="1285">
        <f>+N412+N414</f>
        <v>9147981</v>
      </c>
      <c r="O411" s="3809"/>
    </row>
    <row r="412" spans="1:16">
      <c r="A412" s="3812"/>
      <c r="B412" s="513" t="s">
        <v>24</v>
      </c>
      <c r="C412" s="3827" t="s">
        <v>85</v>
      </c>
      <c r="D412" s="1252">
        <f>+D413</f>
        <v>4825749</v>
      </c>
      <c r="E412" s="1252">
        <f t="shared" ref="E412:I412" si="248">+E413</f>
        <v>0</v>
      </c>
      <c r="F412" s="1254">
        <f t="shared" si="248"/>
        <v>0</v>
      </c>
      <c r="G412" s="1252">
        <f t="shared" si="248"/>
        <v>0</v>
      </c>
      <c r="H412" s="1252">
        <f t="shared" si="248"/>
        <v>2744394</v>
      </c>
      <c r="I412" s="1252">
        <f t="shared" si="248"/>
        <v>2081355</v>
      </c>
      <c r="J412" s="1252"/>
      <c r="K412" s="1252"/>
      <c r="L412" s="1252"/>
      <c r="M412" s="1235">
        <f>+M413</f>
        <v>4825749</v>
      </c>
      <c r="N412" s="1235">
        <f>+N413</f>
        <v>4825749</v>
      </c>
      <c r="O412" s="3809"/>
    </row>
    <row r="413" spans="1:16" ht="11.25" customHeight="1">
      <c r="A413" s="3812"/>
      <c r="B413" s="733" t="s">
        <v>12</v>
      </c>
      <c r="C413" s="3870"/>
      <c r="D413" s="1159">
        <f>E413+F413+G413+H413+I413+J413+K413+L413</f>
        <v>4825749</v>
      </c>
      <c r="E413" s="1242">
        <f>47545-47545</f>
        <v>0</v>
      </c>
      <c r="F413" s="1189">
        <v>0</v>
      </c>
      <c r="G413" s="1242">
        <f>455300-318710-136590</f>
        <v>0</v>
      </c>
      <c r="H413" s="1242">
        <f>775241+670720+1298433</f>
        <v>2744394</v>
      </c>
      <c r="I413" s="1242">
        <v>2081355</v>
      </c>
      <c r="J413" s="1242"/>
      <c r="K413" s="1242"/>
      <c r="L413" s="1242"/>
      <c r="M413" s="1244">
        <f>SUM(F413:K413)</f>
        <v>4825749</v>
      </c>
      <c r="N413" s="1244">
        <f>SUM(G413:L413)</f>
        <v>4825749</v>
      </c>
      <c r="O413" s="3809"/>
    </row>
    <row r="414" spans="1:16">
      <c r="A414" s="3812"/>
      <c r="B414" s="729" t="s">
        <v>18</v>
      </c>
      <c r="C414" s="3870"/>
      <c r="D414" s="1234">
        <f>+D415</f>
        <v>4322232</v>
      </c>
      <c r="E414" s="1234">
        <f t="shared" ref="E414:I414" si="249">+E415</f>
        <v>0</v>
      </c>
      <c r="F414" s="1361">
        <f t="shared" si="249"/>
        <v>0</v>
      </c>
      <c r="G414" s="1234">
        <f t="shared" si="249"/>
        <v>0</v>
      </c>
      <c r="H414" s="1234">
        <f t="shared" si="249"/>
        <v>2744395</v>
      </c>
      <c r="I414" s="1234">
        <f t="shared" si="249"/>
        <v>1577837</v>
      </c>
      <c r="J414" s="1234"/>
      <c r="K414" s="1234"/>
      <c r="L414" s="1234"/>
      <c r="M414" s="1235">
        <f>+M415</f>
        <v>4322232</v>
      </c>
      <c r="N414" s="1235">
        <f>+N415</f>
        <v>4322232</v>
      </c>
      <c r="O414" s="3809"/>
    </row>
    <row r="415" spans="1:16">
      <c r="A415" s="3812"/>
      <c r="B415" s="1362" t="s">
        <v>21</v>
      </c>
      <c r="C415" s="3871"/>
      <c r="D415" s="1159">
        <f>E415+F415+G415+H415+I415+J415+K415+L415</f>
        <v>4322232</v>
      </c>
      <c r="E415" s="1206">
        <v>0</v>
      </c>
      <c r="F415" s="1189">
        <v>0</v>
      </c>
      <c r="G415" s="1242">
        <f>1456120-1019284-436836</f>
        <v>0</v>
      </c>
      <c r="H415" s="1242">
        <f>2479339+2149255-1884199</f>
        <v>2744395</v>
      </c>
      <c r="I415" s="1242">
        <v>1577837</v>
      </c>
      <c r="J415" s="1242"/>
      <c r="K415" s="1242"/>
      <c r="L415" s="1242"/>
      <c r="M415" s="1244">
        <f>SUM(F415:K415)</f>
        <v>4322232</v>
      </c>
      <c r="N415" s="1244">
        <f>SUM(G415:L415)</f>
        <v>4322232</v>
      </c>
      <c r="O415" s="3873"/>
      <c r="P415" s="401"/>
    </row>
    <row r="416" spans="1:16" ht="12" customHeight="1">
      <c r="A416" s="3813"/>
      <c r="B416" s="534" t="s">
        <v>22</v>
      </c>
      <c r="C416" s="1231"/>
      <c r="D416" s="1232">
        <f>+D417</f>
        <v>4322232</v>
      </c>
      <c r="E416" s="1232">
        <f t="shared" ref="E416:J417" si="250">+E417</f>
        <v>0</v>
      </c>
      <c r="F416" s="1363">
        <f t="shared" si="250"/>
        <v>0</v>
      </c>
      <c r="G416" s="1232">
        <f t="shared" si="250"/>
        <v>0</v>
      </c>
      <c r="H416" s="1232">
        <f t="shared" si="250"/>
        <v>864447</v>
      </c>
      <c r="I416" s="1232">
        <f t="shared" si="250"/>
        <v>2593339</v>
      </c>
      <c r="J416" s="1232">
        <f t="shared" si="250"/>
        <v>864446</v>
      </c>
      <c r="K416" s="1232"/>
      <c r="L416" s="1232"/>
      <c r="M416" s="3903" t="s">
        <v>23</v>
      </c>
      <c r="N416" s="3903" t="s">
        <v>23</v>
      </c>
      <c r="O416" s="3876" t="s">
        <v>103</v>
      </c>
    </row>
    <row r="417" spans="1:15" s="242" customFormat="1" ht="12.75" customHeight="1">
      <c r="A417" s="3813"/>
      <c r="B417" s="729" t="s">
        <v>18</v>
      </c>
      <c r="C417" s="3827" t="s">
        <v>85</v>
      </c>
      <c r="D417" s="1248">
        <f>+D418</f>
        <v>4322232</v>
      </c>
      <c r="E417" s="1255">
        <f t="shared" si="250"/>
        <v>0</v>
      </c>
      <c r="F417" s="1622">
        <f t="shared" si="250"/>
        <v>0</v>
      </c>
      <c r="G417" s="1255">
        <f t="shared" si="250"/>
        <v>0</v>
      </c>
      <c r="H417" s="1255">
        <f t="shared" si="250"/>
        <v>864447</v>
      </c>
      <c r="I417" s="1255">
        <f t="shared" si="250"/>
        <v>2593339</v>
      </c>
      <c r="J417" s="1255">
        <f t="shared" si="250"/>
        <v>864446</v>
      </c>
      <c r="K417" s="1248"/>
      <c r="L417" s="1248"/>
      <c r="M417" s="3852"/>
      <c r="N417" s="3852"/>
      <c r="O417" s="3868"/>
    </row>
    <row r="418" spans="1:15" ht="12" customHeight="1" thickBot="1">
      <c r="A418" s="3814"/>
      <c r="B418" s="595" t="s">
        <v>21</v>
      </c>
      <c r="C418" s="3819"/>
      <c r="D418" s="1319">
        <f>E418+F418+G418+H418+I418+J418+K418+L418</f>
        <v>4322232</v>
      </c>
      <c r="E418" s="1319">
        <v>0</v>
      </c>
      <c r="F418" s="1372">
        <v>0</v>
      </c>
      <c r="G418" s="1371">
        <v>0</v>
      </c>
      <c r="H418" s="1371">
        <f>2671398-1806951</f>
        <v>864447</v>
      </c>
      <c r="I418" s="1371">
        <f>1264061+1129971+199307</f>
        <v>2593339</v>
      </c>
      <c r="J418" s="1371">
        <v>864446</v>
      </c>
      <c r="K418" s="1371"/>
      <c r="L418" s="1371"/>
      <c r="M418" s="3853"/>
      <c r="N418" s="3853"/>
      <c r="O418" s="3869"/>
    </row>
    <row r="419" spans="1:15" ht="27.75" customHeight="1">
      <c r="A419" s="3945" t="s">
        <v>105</v>
      </c>
      <c r="B419" s="247" t="s">
        <v>759</v>
      </c>
      <c r="C419" s="56" t="s">
        <v>110</v>
      </c>
      <c r="D419" s="42"/>
      <c r="E419" s="518"/>
      <c r="F419" s="42"/>
      <c r="G419" s="42"/>
      <c r="H419" s="42"/>
      <c r="I419" s="41"/>
      <c r="J419" s="216"/>
      <c r="K419" s="216"/>
      <c r="L419" s="216"/>
      <c r="M419" s="59"/>
      <c r="N419" s="59"/>
      <c r="O419" s="3808" t="s">
        <v>319</v>
      </c>
    </row>
    <row r="420" spans="1:15" ht="15.75" customHeight="1">
      <c r="A420" s="3946"/>
      <c r="B420" s="534" t="s">
        <v>10</v>
      </c>
      <c r="C420" s="445"/>
      <c r="D420" s="1568">
        <f>+D421+D426</f>
        <v>454666</v>
      </c>
      <c r="E420" s="1568">
        <f t="shared" ref="E420" si="251">+E421+E426</f>
        <v>48374</v>
      </c>
      <c r="F420" s="1568">
        <f>+F421+F426</f>
        <v>130976</v>
      </c>
      <c r="G420" s="1568">
        <f>+G421+G426</f>
        <v>247072</v>
      </c>
      <c r="H420" s="1568">
        <f>+H421+H426</f>
        <v>28244</v>
      </c>
      <c r="I420" s="1569">
        <v>0</v>
      </c>
      <c r="J420" s="1569">
        <v>0</v>
      </c>
      <c r="K420" s="1569">
        <v>0</v>
      </c>
      <c r="L420" s="1569">
        <v>0</v>
      </c>
      <c r="M420" s="1570">
        <f>+M421+M426</f>
        <v>406292</v>
      </c>
      <c r="N420" s="1570">
        <f>+N421+N426</f>
        <v>275316</v>
      </c>
      <c r="O420" s="3809"/>
    </row>
    <row r="421" spans="1:15" ht="12.75" customHeight="1">
      <c r="A421" s="3946"/>
      <c r="B421" s="513" t="s">
        <v>24</v>
      </c>
      <c r="C421" s="3818" t="s">
        <v>497</v>
      </c>
      <c r="D421" s="1571">
        <f>+D422</f>
        <v>70277</v>
      </c>
      <c r="E421" s="1571">
        <f t="shared" ref="E421" si="252">+E422</f>
        <v>7548</v>
      </c>
      <c r="F421" s="1571">
        <f>+F422</f>
        <v>19763</v>
      </c>
      <c r="G421" s="1571">
        <f>+G422</f>
        <v>38305</v>
      </c>
      <c r="H421" s="1571">
        <f>+H422</f>
        <v>4661</v>
      </c>
      <c r="I421" s="1572">
        <v>0</v>
      </c>
      <c r="J421" s="1572">
        <v>0</v>
      </c>
      <c r="K421" s="1572">
        <v>0</v>
      </c>
      <c r="L421" s="1572">
        <v>0</v>
      </c>
      <c r="M421" s="520">
        <f>M422</f>
        <v>62729</v>
      </c>
      <c r="N421" s="520">
        <f>N422</f>
        <v>42966</v>
      </c>
      <c r="O421" s="3809"/>
    </row>
    <row r="422" spans="1:15" ht="12.75" customHeight="1">
      <c r="A422" s="3946"/>
      <c r="B422" s="733" t="s">
        <v>12</v>
      </c>
      <c r="C422" s="3870"/>
      <c r="D422" s="704">
        <f>E422+F422+G422+H422+I422+J422+K422+L422</f>
        <v>70277</v>
      </c>
      <c r="E422" s="719">
        <f>+E424+E425</f>
        <v>7548</v>
      </c>
      <c r="F422" s="1585">
        <f>+F424+F425</f>
        <v>19763</v>
      </c>
      <c r="G422" s="1585">
        <f>+G424+G425</f>
        <v>38305</v>
      </c>
      <c r="H422" s="1585">
        <f>+H424+H425</f>
        <v>4661</v>
      </c>
      <c r="I422" s="1573">
        <v>0</v>
      </c>
      <c r="J422" s="1573">
        <v>0</v>
      </c>
      <c r="K422" s="1573">
        <v>0</v>
      </c>
      <c r="L422" s="1573">
        <v>0</v>
      </c>
      <c r="M422" s="727">
        <f>SUM(F422:L422)</f>
        <v>62729</v>
      </c>
      <c r="N422" s="727">
        <f>SUM(G422:L422)</f>
        <v>42966</v>
      </c>
      <c r="O422" s="3809"/>
    </row>
    <row r="423" spans="1:15" ht="12.75" hidden="1" customHeight="1">
      <c r="A423" s="3946"/>
      <c r="B423" s="733" t="s">
        <v>150</v>
      </c>
      <c r="C423" s="3870"/>
      <c r="D423" s="704"/>
      <c r="E423" s="543"/>
      <c r="F423" s="1585"/>
      <c r="G423" s="1585"/>
      <c r="H423" s="1585"/>
      <c r="I423" s="1573"/>
      <c r="J423" s="1573"/>
      <c r="K423" s="1573"/>
      <c r="L423" s="1573"/>
      <c r="M423" s="727"/>
      <c r="N423" s="727"/>
      <c r="O423" s="3809"/>
    </row>
    <row r="424" spans="1:15" ht="18" hidden="1" customHeight="1">
      <c r="A424" s="3946"/>
      <c r="B424" s="733" t="s">
        <v>111</v>
      </c>
      <c r="C424" s="3870"/>
      <c r="D424" s="704">
        <f>SUM(E424:H424)</f>
        <v>54138</v>
      </c>
      <c r="E424" s="1585">
        <v>3466</v>
      </c>
      <c r="F424" s="1585">
        <f>35747+1841-2300-20219</f>
        <v>15069</v>
      </c>
      <c r="G424" s="1585">
        <f>12993+600-951+20219</f>
        <v>32861</v>
      </c>
      <c r="H424" s="1585">
        <f>2242+500</f>
        <v>2742</v>
      </c>
      <c r="I424" s="1573"/>
      <c r="J424" s="1573"/>
      <c r="K424" s="1573"/>
      <c r="L424" s="1573"/>
      <c r="M424" s="727">
        <f>SUM(E424:G424)</f>
        <v>51396</v>
      </c>
      <c r="N424" s="727">
        <f>SUM(G424:H424)</f>
        <v>35603</v>
      </c>
      <c r="O424" s="3809"/>
    </row>
    <row r="425" spans="1:15" ht="18" hidden="1" customHeight="1">
      <c r="A425" s="3946"/>
      <c r="B425" s="733" t="s">
        <v>304</v>
      </c>
      <c r="C425" s="3870"/>
      <c r="D425" s="704">
        <f>SUM(E425:H425)</f>
        <v>16139</v>
      </c>
      <c r="E425" s="1585">
        <f>3291+791</f>
        <v>4082</v>
      </c>
      <c r="F425" s="1585">
        <f>4259+28+585-178</f>
        <v>4694</v>
      </c>
      <c r="G425" s="1585">
        <f>4315+951+178</f>
        <v>5444</v>
      </c>
      <c r="H425" s="1585">
        <f>995+924</f>
        <v>1919</v>
      </c>
      <c r="I425" s="1573"/>
      <c r="J425" s="1573"/>
      <c r="K425" s="1573"/>
      <c r="L425" s="1573"/>
      <c r="M425" s="727">
        <f>SUM(E425:G425)</f>
        <v>14220</v>
      </c>
      <c r="N425" s="727">
        <f>SUM(G425:H425)</f>
        <v>7363</v>
      </c>
      <c r="O425" s="3809"/>
    </row>
    <row r="426" spans="1:15" ht="12.75" customHeight="1">
      <c r="A426" s="3946"/>
      <c r="B426" s="729" t="s">
        <v>18</v>
      </c>
      <c r="C426" s="3870"/>
      <c r="D426" s="521">
        <f>+D427</f>
        <v>384389</v>
      </c>
      <c r="E426" s="521">
        <f t="shared" ref="E426" si="253">+E427</f>
        <v>40826</v>
      </c>
      <c r="F426" s="521">
        <f>+F427</f>
        <v>111213</v>
      </c>
      <c r="G426" s="521">
        <f>+G427</f>
        <v>208767</v>
      </c>
      <c r="H426" s="521">
        <f>+H427</f>
        <v>23583</v>
      </c>
      <c r="I426" s="730">
        <v>0</v>
      </c>
      <c r="J426" s="730">
        <v>0</v>
      </c>
      <c r="K426" s="730">
        <v>0</v>
      </c>
      <c r="L426" s="730">
        <v>0</v>
      </c>
      <c r="M426" s="520">
        <f>+M427</f>
        <v>343563</v>
      </c>
      <c r="N426" s="520">
        <f>+N427</f>
        <v>232350</v>
      </c>
      <c r="O426" s="3809"/>
    </row>
    <row r="427" spans="1:15" ht="12.75" customHeight="1">
      <c r="A427" s="3946"/>
      <c r="B427" s="592" t="s">
        <v>244</v>
      </c>
      <c r="C427" s="3871"/>
      <c r="D427" s="704">
        <f>E427+F427+G427+H427+I427+J427+K427+L427</f>
        <v>384389</v>
      </c>
      <c r="E427" s="719">
        <f>+E429+E430</f>
        <v>40826</v>
      </c>
      <c r="F427" s="1585">
        <f>+F429+F430</f>
        <v>111213</v>
      </c>
      <c r="G427" s="1585">
        <f>+G429+G430</f>
        <v>208767</v>
      </c>
      <c r="H427" s="1585">
        <f>+H429+H430</f>
        <v>23583</v>
      </c>
      <c r="I427" s="1573">
        <v>0</v>
      </c>
      <c r="J427" s="1573">
        <v>0</v>
      </c>
      <c r="K427" s="1573">
        <v>0</v>
      </c>
      <c r="L427" s="1573">
        <v>0</v>
      </c>
      <c r="M427" s="727">
        <f>SUM(F427:L427)</f>
        <v>343563</v>
      </c>
      <c r="N427" s="727">
        <f>SUM(G427:L427)</f>
        <v>232350</v>
      </c>
      <c r="O427" s="3873"/>
    </row>
    <row r="428" spans="1:15" ht="12.75" hidden="1" customHeight="1">
      <c r="A428" s="3946"/>
      <c r="B428" s="733" t="s">
        <v>150</v>
      </c>
      <c r="C428" s="2047"/>
      <c r="D428" s="704"/>
      <c r="E428" s="543"/>
      <c r="F428" s="1585"/>
      <c r="G428" s="1585"/>
      <c r="H428" s="1585"/>
      <c r="I428" s="1573"/>
      <c r="J428" s="1573"/>
      <c r="K428" s="1573"/>
      <c r="L428" s="1573"/>
      <c r="M428" s="1626"/>
      <c r="N428" s="1626"/>
      <c r="O428" s="2005"/>
    </row>
    <row r="429" spans="1:15" ht="21" hidden="1" customHeight="1">
      <c r="A429" s="3946"/>
      <c r="B429" s="733" t="s">
        <v>111</v>
      </c>
      <c r="C429" s="1627"/>
      <c r="D429" s="704">
        <f>+F429+G429+H429+E429</f>
        <v>292933</v>
      </c>
      <c r="E429" s="1585">
        <v>17695</v>
      </c>
      <c r="F429" s="1585">
        <f>202561+4760-13035-109673</f>
        <v>84613</v>
      </c>
      <c r="G429" s="1585">
        <f>73627-5379+109673</f>
        <v>177921</v>
      </c>
      <c r="H429" s="1585">
        <v>12704</v>
      </c>
      <c r="I429" s="1573"/>
      <c r="J429" s="1573"/>
      <c r="K429" s="1573"/>
      <c r="L429" s="1573"/>
      <c r="M429" s="727">
        <f>SUM(E429:G429)</f>
        <v>280229</v>
      </c>
      <c r="N429" s="727">
        <f>SUM(G429:H429)</f>
        <v>190625</v>
      </c>
      <c r="O429" s="2005"/>
    </row>
    <row r="430" spans="1:15" ht="14.25" hidden="1" customHeight="1">
      <c r="A430" s="3946"/>
      <c r="B430" s="733" t="s">
        <v>304</v>
      </c>
      <c r="C430" s="1627"/>
      <c r="D430" s="704">
        <f>+F430+G430+H430+E430</f>
        <v>91456</v>
      </c>
      <c r="E430" s="1585">
        <f>18646+4485</f>
        <v>23131</v>
      </c>
      <c r="F430" s="1585">
        <f>24139+163+3315-1017</f>
        <v>26600</v>
      </c>
      <c r="G430" s="1585">
        <f>24450+5379+1017</f>
        <v>30846</v>
      </c>
      <c r="H430" s="1585">
        <f>5644+5235</f>
        <v>10879</v>
      </c>
      <c r="I430" s="1573"/>
      <c r="J430" s="1573"/>
      <c r="K430" s="1573"/>
      <c r="L430" s="1573"/>
      <c r="M430" s="727">
        <f>SUM(E430:G430)</f>
        <v>80577</v>
      </c>
      <c r="N430" s="727">
        <f>SUM(G430:H430)</f>
        <v>41725</v>
      </c>
      <c r="O430" s="2005"/>
    </row>
    <row r="431" spans="1:15" ht="15.75" customHeight="1">
      <c r="A431" s="3946"/>
      <c r="B431" s="534" t="s">
        <v>22</v>
      </c>
      <c r="C431" s="445"/>
      <c r="D431" s="569">
        <f>SUM(E431:L431)</f>
        <v>384389</v>
      </c>
      <c r="E431" s="569">
        <v>0</v>
      </c>
      <c r="F431" s="569">
        <f t="shared" ref="F431:I432" si="254">+F432</f>
        <v>45734</v>
      </c>
      <c r="G431" s="569">
        <f t="shared" si="254"/>
        <v>164775</v>
      </c>
      <c r="H431" s="569">
        <f t="shared" si="254"/>
        <v>173880</v>
      </c>
      <c r="I431" s="586">
        <f t="shared" si="254"/>
        <v>0</v>
      </c>
      <c r="J431" s="586">
        <v>0</v>
      </c>
      <c r="K431" s="586">
        <v>0</v>
      </c>
      <c r="L431" s="586">
        <v>0</v>
      </c>
      <c r="M431" s="3866" t="s">
        <v>23</v>
      </c>
      <c r="N431" s="3866" t="s">
        <v>23</v>
      </c>
      <c r="O431" s="2005"/>
    </row>
    <row r="432" spans="1:15" ht="12.75" customHeight="1">
      <c r="A432" s="3946"/>
      <c r="B432" s="729" t="s">
        <v>18</v>
      </c>
      <c r="C432" s="3818" t="s">
        <v>112</v>
      </c>
      <c r="D432" s="649">
        <f>+D433</f>
        <v>384389</v>
      </c>
      <c r="E432" s="649">
        <v>0</v>
      </c>
      <c r="F432" s="1625">
        <f t="shared" si="254"/>
        <v>45734</v>
      </c>
      <c r="G432" s="1625">
        <f t="shared" si="254"/>
        <v>164775</v>
      </c>
      <c r="H432" s="1625">
        <f t="shared" si="254"/>
        <v>173880</v>
      </c>
      <c r="I432" s="1628">
        <f t="shared" si="254"/>
        <v>0</v>
      </c>
      <c r="J432" s="548">
        <v>0</v>
      </c>
      <c r="K432" s="548">
        <v>0</v>
      </c>
      <c r="L432" s="548">
        <v>0</v>
      </c>
      <c r="M432" s="3852"/>
      <c r="N432" s="3852"/>
      <c r="O432" s="2043" t="s">
        <v>111</v>
      </c>
    </row>
    <row r="433" spans="1:16" ht="12" customHeight="1" thickBot="1">
      <c r="A433" s="3947"/>
      <c r="B433" s="595" t="s">
        <v>20</v>
      </c>
      <c r="C433" s="3819"/>
      <c r="D433" s="1429">
        <f>E433+F433+G433+H433+I433+J433+K433+L433</f>
        <v>384389</v>
      </c>
      <c r="E433" s="1429">
        <v>0</v>
      </c>
      <c r="F433" s="1371">
        <f>20632+7848+17417-163</f>
        <v>45734</v>
      </c>
      <c r="G433" s="1371">
        <f>133982+66898+38178-74283</f>
        <v>164775</v>
      </c>
      <c r="H433" s="1371">
        <f>229775-109440-20901+74446</f>
        <v>173880</v>
      </c>
      <c r="I433" s="1372">
        <f>34694-34694</f>
        <v>0</v>
      </c>
      <c r="J433" s="1372">
        <v>0</v>
      </c>
      <c r="K433" s="1372">
        <v>0</v>
      </c>
      <c r="L433" s="1372">
        <v>0</v>
      </c>
      <c r="M433" s="3853"/>
      <c r="N433" s="3853"/>
      <c r="O433" s="2006"/>
      <c r="P433" s="401">
        <f>D433-D427</f>
        <v>0</v>
      </c>
    </row>
    <row r="434" spans="1:16" ht="27.75" customHeight="1">
      <c r="A434" s="2053"/>
      <c r="B434" s="247" t="s">
        <v>760</v>
      </c>
      <c r="C434" s="56" t="s">
        <v>110</v>
      </c>
      <c r="D434" s="122"/>
      <c r="E434" s="518"/>
      <c r="F434" s="42"/>
      <c r="G434" s="42"/>
      <c r="H434" s="40"/>
      <c r="I434" s="41"/>
      <c r="J434" s="216"/>
      <c r="K434" s="216"/>
      <c r="L434" s="216"/>
      <c r="M434" s="59"/>
      <c r="N434" s="59"/>
      <c r="O434" s="2043"/>
    </row>
    <row r="435" spans="1:16" ht="15.75" customHeight="1">
      <c r="A435" s="2053"/>
      <c r="B435" s="534" t="s">
        <v>10</v>
      </c>
      <c r="C435" s="585"/>
      <c r="D435" s="1568">
        <f>+F435+G435+H435+I435</f>
        <v>489921</v>
      </c>
      <c r="E435" s="1568">
        <f>+E436+E441</f>
        <v>0</v>
      </c>
      <c r="F435" s="1568">
        <f>+F436+F441</f>
        <v>19734</v>
      </c>
      <c r="G435" s="1568">
        <f t="shared" ref="G435:I435" si="255">+G436+G441</f>
        <v>220024</v>
      </c>
      <c r="H435" s="1568">
        <f t="shared" si="255"/>
        <v>167991</v>
      </c>
      <c r="I435" s="1568">
        <f t="shared" si="255"/>
        <v>82172</v>
      </c>
      <c r="J435" s="1569">
        <v>0</v>
      </c>
      <c r="K435" s="1569">
        <v>0</v>
      </c>
      <c r="L435" s="1569">
        <v>0</v>
      </c>
      <c r="M435" s="1166">
        <f>+M436+M441</f>
        <v>489921</v>
      </c>
      <c r="N435" s="1166">
        <f>+N436+N441</f>
        <v>470187</v>
      </c>
      <c r="O435" s="2043"/>
    </row>
    <row r="436" spans="1:16" ht="12.75" customHeight="1">
      <c r="A436" s="2053"/>
      <c r="B436" s="513" t="s">
        <v>24</v>
      </c>
      <c r="C436" s="3827" t="s">
        <v>497</v>
      </c>
      <c r="D436" s="1252">
        <f t="shared" ref="D436:D440" si="256">+F436+G436+H436+I436</f>
        <v>75188</v>
      </c>
      <c r="E436" s="1252">
        <f>+E437</f>
        <v>0</v>
      </c>
      <c r="F436" s="1252">
        <f>+F437</f>
        <v>2988</v>
      </c>
      <c r="G436" s="1252">
        <f t="shared" ref="G436:I436" si="257">+G437</f>
        <v>33825</v>
      </c>
      <c r="H436" s="1252">
        <f t="shared" si="257"/>
        <v>25709</v>
      </c>
      <c r="I436" s="1252">
        <f t="shared" si="257"/>
        <v>12666</v>
      </c>
      <c r="J436" s="1254">
        <v>0</v>
      </c>
      <c r="K436" s="1254">
        <v>0</v>
      </c>
      <c r="L436" s="1254">
        <v>0</v>
      </c>
      <c r="M436" s="1235">
        <f>+M437</f>
        <v>75188</v>
      </c>
      <c r="N436" s="1235">
        <f>+N437</f>
        <v>72200</v>
      </c>
      <c r="O436" s="2043"/>
    </row>
    <row r="437" spans="1:16" ht="12.75" customHeight="1">
      <c r="A437" s="2053" t="s">
        <v>303</v>
      </c>
      <c r="B437" s="733" t="s">
        <v>12</v>
      </c>
      <c r="C437" s="3870"/>
      <c r="D437" s="704">
        <f>E437+F437+G437+H437+I437+J437+K437+L437</f>
        <v>75188</v>
      </c>
      <c r="E437" s="1206">
        <v>0</v>
      </c>
      <c r="F437" s="1242">
        <f>+F438</f>
        <v>2988</v>
      </c>
      <c r="G437" s="1242">
        <f t="shared" ref="G437:I437" si="258">+G438</f>
        <v>33825</v>
      </c>
      <c r="H437" s="1242">
        <f t="shared" si="258"/>
        <v>25709</v>
      </c>
      <c r="I437" s="1242">
        <f t="shared" si="258"/>
        <v>12666</v>
      </c>
      <c r="J437" s="1189">
        <v>0</v>
      </c>
      <c r="K437" s="1189">
        <v>0</v>
      </c>
      <c r="L437" s="1189">
        <v>0</v>
      </c>
      <c r="M437" s="1244">
        <f>SUM(F437:K437)</f>
        <v>75188</v>
      </c>
      <c r="N437" s="1244">
        <f>SUM(G437:L437)</f>
        <v>72200</v>
      </c>
      <c r="O437" s="2043" t="s">
        <v>319</v>
      </c>
    </row>
    <row r="438" spans="1:16" ht="12.75" hidden="1" customHeight="1">
      <c r="A438" s="2053"/>
      <c r="B438" s="733" t="s">
        <v>150</v>
      </c>
      <c r="C438" s="3870"/>
      <c r="D438" s="1242">
        <f t="shared" si="256"/>
        <v>75188</v>
      </c>
      <c r="E438" s="1623">
        <v>0</v>
      </c>
      <c r="F438" s="1242">
        <f>+F439+F440</f>
        <v>2988</v>
      </c>
      <c r="G438" s="1242">
        <f t="shared" ref="G438:I438" si="259">+G439+G440</f>
        <v>33825</v>
      </c>
      <c r="H438" s="1242">
        <f t="shared" si="259"/>
        <v>25709</v>
      </c>
      <c r="I438" s="1242">
        <f t="shared" si="259"/>
        <v>12666</v>
      </c>
      <c r="J438" s="1189">
        <v>0</v>
      </c>
      <c r="K438" s="1189">
        <v>0</v>
      </c>
      <c r="L438" s="1189">
        <v>0</v>
      </c>
      <c r="M438" s="1244">
        <f t="shared" ref="M438:M440" si="260">+H438+G438+F438+E438</f>
        <v>62522</v>
      </c>
      <c r="N438" s="1244">
        <f>G438+H438+I438</f>
        <v>72200</v>
      </c>
      <c r="O438" s="2043"/>
    </row>
    <row r="439" spans="1:16" ht="12.75" hidden="1" customHeight="1">
      <c r="A439" s="2053"/>
      <c r="B439" s="733" t="s">
        <v>111</v>
      </c>
      <c r="C439" s="3870"/>
      <c r="D439" s="1242">
        <f t="shared" si="256"/>
        <v>61857</v>
      </c>
      <c r="E439" s="1623">
        <v>0</v>
      </c>
      <c r="F439" s="1242">
        <f>10714-1427-8380</f>
        <v>907</v>
      </c>
      <c r="G439" s="1242">
        <f>21623-548+8380</f>
        <v>29455</v>
      </c>
      <c r="H439" s="1242">
        <f>21679-604</f>
        <v>21075</v>
      </c>
      <c r="I439" s="1242">
        <f>10713-293</f>
        <v>10420</v>
      </c>
      <c r="J439" s="1189">
        <v>0</v>
      </c>
      <c r="K439" s="1189">
        <v>0</v>
      </c>
      <c r="L439" s="1189">
        <v>0</v>
      </c>
      <c r="M439" s="1244">
        <f t="shared" si="260"/>
        <v>51437</v>
      </c>
      <c r="N439" s="1244">
        <f>G439+H439+I439</f>
        <v>60950</v>
      </c>
      <c r="O439" s="2043"/>
    </row>
    <row r="440" spans="1:16" ht="12.75" hidden="1" customHeight="1">
      <c r="A440" s="2053"/>
      <c r="B440" s="733" t="s">
        <v>304</v>
      </c>
      <c r="C440" s="3870"/>
      <c r="D440" s="1242">
        <f t="shared" si="256"/>
        <v>13331</v>
      </c>
      <c r="E440" s="1623">
        <v>0</v>
      </c>
      <c r="F440" s="1242">
        <f>1959+294-172</f>
        <v>2081</v>
      </c>
      <c r="G440" s="1242">
        <f>3650+548+172</f>
        <v>4370</v>
      </c>
      <c r="H440" s="1242">
        <f>4030+604</f>
        <v>4634</v>
      </c>
      <c r="I440" s="1242">
        <f>1953+293</f>
        <v>2246</v>
      </c>
      <c r="J440" s="1189">
        <v>0</v>
      </c>
      <c r="K440" s="1189">
        <v>0</v>
      </c>
      <c r="L440" s="1189">
        <v>0</v>
      </c>
      <c r="M440" s="1244">
        <f t="shared" si="260"/>
        <v>11085</v>
      </c>
      <c r="N440" s="1244">
        <f>G440+H440+I440</f>
        <v>11250</v>
      </c>
      <c r="O440" s="2043"/>
    </row>
    <row r="441" spans="1:16" ht="12.75" customHeight="1">
      <c r="A441" s="2053"/>
      <c r="B441" s="729" t="s">
        <v>18</v>
      </c>
      <c r="C441" s="3870"/>
      <c r="D441" s="1234">
        <f>+E441+F441+G441+H441+I441+J441+K441+L441</f>
        <v>414733</v>
      </c>
      <c r="E441" s="1234">
        <f>+E442</f>
        <v>0</v>
      </c>
      <c r="F441" s="1234">
        <f>+F442</f>
        <v>16746</v>
      </c>
      <c r="G441" s="1234">
        <f t="shared" ref="G441:I441" si="261">+G442</f>
        <v>186199</v>
      </c>
      <c r="H441" s="1234">
        <f t="shared" si="261"/>
        <v>142282</v>
      </c>
      <c r="I441" s="1234">
        <f t="shared" si="261"/>
        <v>69506</v>
      </c>
      <c r="J441" s="1361">
        <v>0</v>
      </c>
      <c r="K441" s="1361">
        <v>0</v>
      </c>
      <c r="L441" s="1361">
        <v>0</v>
      </c>
      <c r="M441" s="1235">
        <f>+M442</f>
        <v>414733</v>
      </c>
      <c r="N441" s="1235">
        <f>+N442</f>
        <v>397987</v>
      </c>
      <c r="O441" s="2043"/>
    </row>
    <row r="442" spans="1:16" ht="12.75" customHeight="1">
      <c r="A442" s="2053"/>
      <c r="B442" s="1362" t="s">
        <v>244</v>
      </c>
      <c r="C442" s="3871"/>
      <c r="D442" s="704">
        <f>E442+F442+G442+H442+I442+J442+K442+L442</f>
        <v>414733</v>
      </c>
      <c r="E442" s="1206">
        <v>0</v>
      </c>
      <c r="F442" s="1242">
        <f>+F443</f>
        <v>16746</v>
      </c>
      <c r="G442" s="1242">
        <f t="shared" ref="G442:I442" si="262">+G443</f>
        <v>186199</v>
      </c>
      <c r="H442" s="1242">
        <f t="shared" si="262"/>
        <v>142282</v>
      </c>
      <c r="I442" s="1242">
        <f t="shared" si="262"/>
        <v>69506</v>
      </c>
      <c r="J442" s="1189">
        <v>0</v>
      </c>
      <c r="K442" s="1189">
        <v>0</v>
      </c>
      <c r="L442" s="1189">
        <v>0</v>
      </c>
      <c r="M442" s="1244">
        <f>SUM(F442:K442)</f>
        <v>414733</v>
      </c>
      <c r="N442" s="1244">
        <f>SUM(G442:L442)</f>
        <v>397987</v>
      </c>
      <c r="O442" s="2045"/>
      <c r="P442" s="401">
        <f>+F439+F444</f>
        <v>5859</v>
      </c>
    </row>
    <row r="443" spans="1:16" ht="12.75" hidden="1" customHeight="1">
      <c r="A443" s="2053"/>
      <c r="B443" s="733" t="s">
        <v>150</v>
      </c>
      <c r="C443" s="2047"/>
      <c r="D443" s="704">
        <f t="shared" ref="D443:D445" si="263">E443+F443+G443+H443+I443+J443+K443+L443</f>
        <v>414733</v>
      </c>
      <c r="E443" s="1623">
        <v>0</v>
      </c>
      <c r="F443" s="1242">
        <f>+F444+F445</f>
        <v>16746</v>
      </c>
      <c r="G443" s="1242">
        <f>+G444+G445</f>
        <v>186199</v>
      </c>
      <c r="H443" s="1242">
        <f>+H444+H445</f>
        <v>142282</v>
      </c>
      <c r="I443" s="1242">
        <f>+I444+I445</f>
        <v>69506</v>
      </c>
      <c r="J443" s="1189">
        <v>0</v>
      </c>
      <c r="K443" s="1189">
        <v>0</v>
      </c>
      <c r="L443" s="1189">
        <v>0</v>
      </c>
      <c r="M443" s="1242">
        <f t="shared" ref="M443:N445" si="264">+H443+G443+F443+E443</f>
        <v>345227</v>
      </c>
      <c r="N443" s="1242">
        <f t="shared" si="264"/>
        <v>414733</v>
      </c>
      <c r="O443" s="2043"/>
    </row>
    <row r="444" spans="1:16" ht="12.75" hidden="1" customHeight="1">
      <c r="A444" s="2053"/>
      <c r="B444" s="733" t="s">
        <v>111</v>
      </c>
      <c r="C444" s="1627"/>
      <c r="D444" s="704">
        <f t="shared" si="263"/>
        <v>339192</v>
      </c>
      <c r="E444" s="1623">
        <v>0</v>
      </c>
      <c r="F444" s="1242">
        <f>58446-8085-45409</f>
        <v>4952</v>
      </c>
      <c r="G444" s="1242">
        <f>119128-3103+45409</f>
        <v>161434</v>
      </c>
      <c r="H444" s="1242">
        <f>119450-3425</f>
        <v>116025</v>
      </c>
      <c r="I444" s="1242">
        <f>58441-1660</f>
        <v>56781</v>
      </c>
      <c r="J444" s="1189">
        <v>0</v>
      </c>
      <c r="K444" s="1189">
        <v>0</v>
      </c>
      <c r="L444" s="1189">
        <v>0</v>
      </c>
      <c r="M444" s="1242">
        <f t="shared" si="264"/>
        <v>282411</v>
      </c>
      <c r="N444" s="1242">
        <f t="shared" si="264"/>
        <v>339192</v>
      </c>
      <c r="O444" s="2043"/>
    </row>
    <row r="445" spans="1:16" ht="12" hidden="1" customHeight="1">
      <c r="A445" s="2053"/>
      <c r="B445" s="733" t="s">
        <v>304</v>
      </c>
      <c r="C445" s="1627"/>
      <c r="D445" s="704">
        <f t="shared" si="263"/>
        <v>75541</v>
      </c>
      <c r="E445" s="1623">
        <v>0</v>
      </c>
      <c r="F445" s="1242">
        <f>11101+1665-972</f>
        <v>11794</v>
      </c>
      <c r="G445" s="1242">
        <f>20690+3103+972</f>
        <v>24765</v>
      </c>
      <c r="H445" s="1242">
        <f>22832+3425</f>
        <v>26257</v>
      </c>
      <c r="I445" s="1242">
        <f>11065+1660</f>
        <v>12725</v>
      </c>
      <c r="J445" s="1189">
        <v>0</v>
      </c>
      <c r="K445" s="1189">
        <v>0</v>
      </c>
      <c r="L445" s="1189">
        <v>0</v>
      </c>
      <c r="M445" s="1242">
        <f t="shared" si="264"/>
        <v>62816</v>
      </c>
      <c r="N445" s="1242">
        <f t="shared" si="264"/>
        <v>75541</v>
      </c>
      <c r="O445" s="2043"/>
    </row>
    <row r="446" spans="1:16" ht="15.75" customHeight="1">
      <c r="A446" s="2053"/>
      <c r="B446" s="534" t="s">
        <v>22</v>
      </c>
      <c r="C446" s="1231"/>
      <c r="D446" s="1232">
        <f>+D447</f>
        <v>414733</v>
      </c>
      <c r="E446" s="1232">
        <f>+E447</f>
        <v>0</v>
      </c>
      <c r="F446" s="1363">
        <v>0</v>
      </c>
      <c r="G446" s="1232">
        <f>+G447</f>
        <v>94329</v>
      </c>
      <c r="H446" s="1232">
        <f t="shared" ref="H446:I446" si="265">+H447</f>
        <v>167900</v>
      </c>
      <c r="I446" s="1232">
        <f t="shared" si="265"/>
        <v>152504</v>
      </c>
      <c r="J446" s="1363">
        <v>0</v>
      </c>
      <c r="K446" s="1363">
        <v>0</v>
      </c>
      <c r="L446" s="1363">
        <v>0</v>
      </c>
      <c r="M446" s="3903" t="s">
        <v>23</v>
      </c>
      <c r="N446" s="3903" t="s">
        <v>23</v>
      </c>
      <c r="O446" s="2043"/>
    </row>
    <row r="447" spans="1:16" ht="12.75" customHeight="1">
      <c r="A447" s="2053"/>
      <c r="B447" s="729" t="s">
        <v>18</v>
      </c>
      <c r="C447" s="3827" t="s">
        <v>496</v>
      </c>
      <c r="D447" s="1248">
        <f>+D448</f>
        <v>414733</v>
      </c>
      <c r="E447" s="1255">
        <f>+E448</f>
        <v>0</v>
      </c>
      <c r="F447" s="1622">
        <v>0</v>
      </c>
      <c r="G447" s="1255">
        <f>+G448</f>
        <v>94329</v>
      </c>
      <c r="H447" s="1255">
        <f t="shared" ref="H447:I447" si="266">+H448</f>
        <v>167900</v>
      </c>
      <c r="I447" s="1255">
        <f t="shared" si="266"/>
        <v>152504</v>
      </c>
      <c r="J447" s="1364">
        <v>0</v>
      </c>
      <c r="K447" s="1364">
        <v>0</v>
      </c>
      <c r="L447" s="1364">
        <v>0</v>
      </c>
      <c r="M447" s="3852"/>
      <c r="N447" s="3852"/>
      <c r="O447" s="2043" t="s">
        <v>111</v>
      </c>
    </row>
    <row r="448" spans="1:16" ht="12.75" customHeight="1" thickBot="1">
      <c r="A448" s="2054"/>
      <c r="B448" s="595" t="s">
        <v>20</v>
      </c>
      <c r="C448" s="3819"/>
      <c r="D448" s="1353">
        <f>E448+F448+G448+H448+I448+J448+K448+L448</f>
        <v>414733</v>
      </c>
      <c r="E448" s="1353">
        <v>0</v>
      </c>
      <c r="F448" s="1372">
        <v>0</v>
      </c>
      <c r="G448" s="1629">
        <f>127804-6420-27055</f>
        <v>94329</v>
      </c>
      <c r="H448" s="1629">
        <f>140845+27055</f>
        <v>167900</v>
      </c>
      <c r="I448" s="1630">
        <v>152504</v>
      </c>
      <c r="J448" s="1372">
        <v>0</v>
      </c>
      <c r="K448" s="1372">
        <v>0</v>
      </c>
      <c r="L448" s="1372">
        <v>0</v>
      </c>
      <c r="M448" s="3853"/>
      <c r="N448" s="3853"/>
      <c r="O448" s="2048"/>
    </row>
    <row r="449" spans="1:17" ht="26.25" hidden="1" customHeight="1">
      <c r="A449" s="3815" t="s">
        <v>276</v>
      </c>
      <c r="B449" s="123" t="s">
        <v>104</v>
      </c>
      <c r="C449" s="650"/>
      <c r="D449" s="651"/>
      <c r="E449" s="653"/>
      <c r="F449" s="653"/>
      <c r="G449" s="653"/>
      <c r="H449" s="653"/>
      <c r="I449" s="653"/>
      <c r="J449" s="653"/>
      <c r="K449" s="653"/>
      <c r="L449" s="653"/>
      <c r="M449" s="654"/>
      <c r="N449" s="654"/>
      <c r="O449" s="3854"/>
    </row>
    <row r="450" spans="1:17" ht="12" hidden="1" customHeight="1">
      <c r="A450" s="3816"/>
      <c r="B450" s="21" t="s">
        <v>10</v>
      </c>
      <c r="C450" s="22"/>
      <c r="D450" s="124">
        <f>+D451+D455</f>
        <v>0</v>
      </c>
      <c r="E450" s="124">
        <f>+E451+E455</f>
        <v>0</v>
      </c>
      <c r="F450" s="124">
        <f t="shared" ref="F450:G450" si="267">+F451+F455</f>
        <v>0</v>
      </c>
      <c r="G450" s="124">
        <f t="shared" si="267"/>
        <v>0</v>
      </c>
      <c r="H450" s="124">
        <f t="shared" ref="H450:N450" si="268">+H451+H455</f>
        <v>0</v>
      </c>
      <c r="I450" s="124">
        <f t="shared" si="268"/>
        <v>0</v>
      </c>
      <c r="J450" s="124">
        <f t="shared" si="268"/>
        <v>0</v>
      </c>
      <c r="K450" s="124">
        <f t="shared" si="268"/>
        <v>0</v>
      </c>
      <c r="L450" s="124">
        <f t="shared" si="268"/>
        <v>0</v>
      </c>
      <c r="M450" s="30">
        <f t="shared" ref="M450" si="269">+M451+M455</f>
        <v>0</v>
      </c>
      <c r="N450" s="30">
        <f t="shared" si="268"/>
        <v>0</v>
      </c>
      <c r="O450" s="3855"/>
      <c r="P450" s="401" t="e">
        <f>+#REF!+#REF!</f>
        <v>#REF!</v>
      </c>
      <c r="Q450" s="401"/>
    </row>
    <row r="451" spans="1:17" s="608" customFormat="1" ht="12" hidden="1" customHeight="1">
      <c r="A451" s="3816"/>
      <c r="B451" s="655" t="s">
        <v>11</v>
      </c>
      <c r="C451" s="656"/>
      <c r="D451" s="116">
        <f>+D452+D453+D454</f>
        <v>0</v>
      </c>
      <c r="E451" s="116">
        <f>+E452+E453+E454</f>
        <v>0</v>
      </c>
      <c r="F451" s="116">
        <f t="shared" ref="F451:G451" si="270">+F452+F453+F454</f>
        <v>0</v>
      </c>
      <c r="G451" s="116">
        <f t="shared" si="270"/>
        <v>0</v>
      </c>
      <c r="H451" s="116">
        <f t="shared" ref="H451:N451" si="271">+H452+H453+H454</f>
        <v>0</v>
      </c>
      <c r="I451" s="116">
        <f t="shared" si="271"/>
        <v>0</v>
      </c>
      <c r="J451" s="116">
        <f t="shared" si="271"/>
        <v>0</v>
      </c>
      <c r="K451" s="116">
        <f t="shared" si="271"/>
        <v>0</v>
      </c>
      <c r="L451" s="116">
        <f t="shared" si="271"/>
        <v>0</v>
      </c>
      <c r="M451" s="32">
        <f t="shared" ref="M451" si="272">+M452+M453+M454</f>
        <v>0</v>
      </c>
      <c r="N451" s="32">
        <f t="shared" si="271"/>
        <v>0</v>
      </c>
      <c r="O451" s="3855"/>
      <c r="Q451" s="401"/>
    </row>
    <row r="452" spans="1:17" ht="12" hidden="1" customHeight="1">
      <c r="A452" s="3816"/>
      <c r="B452" s="657" t="s">
        <v>12</v>
      </c>
      <c r="C452" s="658"/>
      <c r="D452" s="33">
        <f>+D468+D486</f>
        <v>0</v>
      </c>
      <c r="E452" s="33">
        <f>+E468+E486</f>
        <v>0</v>
      </c>
      <c r="F452" s="33">
        <f t="shared" ref="F452:G452" si="273">+F468+F486</f>
        <v>0</v>
      </c>
      <c r="G452" s="33">
        <f t="shared" si="273"/>
        <v>0</v>
      </c>
      <c r="H452" s="33">
        <f>+H468+H486</f>
        <v>0</v>
      </c>
      <c r="I452" s="33">
        <f>+I468+I486</f>
        <v>0</v>
      </c>
      <c r="J452" s="33">
        <f>+J468+J486</f>
        <v>0</v>
      </c>
      <c r="K452" s="33">
        <f>+K468+K486</f>
        <v>0</v>
      </c>
      <c r="L452" s="33">
        <f>+L468+L486</f>
        <v>0</v>
      </c>
      <c r="M452" s="34">
        <f t="shared" ref="M452:N454" si="274">SUM(E452:H452)</f>
        <v>0</v>
      </c>
      <c r="N452" s="34">
        <f t="shared" si="274"/>
        <v>0</v>
      </c>
      <c r="O452" s="3855"/>
      <c r="P452" s="401"/>
      <c r="Q452" s="401"/>
    </row>
    <row r="453" spans="1:17" ht="12" hidden="1" customHeight="1">
      <c r="A453" s="3816"/>
      <c r="B453" s="620" t="s">
        <v>78</v>
      </c>
      <c r="C453" s="621"/>
      <c r="D453" s="33">
        <f>+D469</f>
        <v>0</v>
      </c>
      <c r="E453" s="33">
        <f>+E469</f>
        <v>0</v>
      </c>
      <c r="F453" s="33">
        <f t="shared" ref="F453:G454" si="275">+F469</f>
        <v>0</v>
      </c>
      <c r="G453" s="33">
        <f t="shared" si="275"/>
        <v>0</v>
      </c>
      <c r="H453" s="33">
        <f t="shared" ref="H453:L454" si="276">+H469</f>
        <v>0</v>
      </c>
      <c r="I453" s="33">
        <f t="shared" si="276"/>
        <v>0</v>
      </c>
      <c r="J453" s="33">
        <f t="shared" si="276"/>
        <v>0</v>
      </c>
      <c r="K453" s="33">
        <f t="shared" si="276"/>
        <v>0</v>
      </c>
      <c r="L453" s="33">
        <f t="shared" si="276"/>
        <v>0</v>
      </c>
      <c r="M453" s="34">
        <f t="shared" si="274"/>
        <v>0</v>
      </c>
      <c r="N453" s="34">
        <f t="shared" si="274"/>
        <v>0</v>
      </c>
      <c r="O453" s="3855"/>
      <c r="Q453" s="401"/>
    </row>
    <row r="454" spans="1:17" ht="12" hidden="1" customHeight="1">
      <c r="A454" s="3816"/>
      <c r="B454" s="659" t="s">
        <v>52</v>
      </c>
      <c r="C454" s="660"/>
      <c r="D454" s="33">
        <f>+D470</f>
        <v>0</v>
      </c>
      <c r="E454" s="33">
        <f>+E470</f>
        <v>0</v>
      </c>
      <c r="F454" s="33">
        <f t="shared" si="275"/>
        <v>0</v>
      </c>
      <c r="G454" s="33">
        <f t="shared" si="275"/>
        <v>0</v>
      </c>
      <c r="H454" s="33">
        <f t="shared" si="276"/>
        <v>0</v>
      </c>
      <c r="I454" s="33">
        <f t="shared" si="276"/>
        <v>0</v>
      </c>
      <c r="J454" s="33">
        <f t="shared" si="276"/>
        <v>0</v>
      </c>
      <c r="K454" s="33">
        <f t="shared" si="276"/>
        <v>0</v>
      </c>
      <c r="L454" s="33">
        <f t="shared" si="276"/>
        <v>0</v>
      </c>
      <c r="M454" s="34">
        <f t="shared" si="274"/>
        <v>0</v>
      </c>
      <c r="N454" s="34">
        <f t="shared" si="274"/>
        <v>0</v>
      </c>
      <c r="O454" s="3855"/>
      <c r="P454" s="401"/>
      <c r="Q454" s="401"/>
    </row>
    <row r="455" spans="1:17" s="662" customFormat="1" ht="12" hidden="1" customHeight="1">
      <c r="A455" s="3816"/>
      <c r="B455" s="623" t="s">
        <v>18</v>
      </c>
      <c r="C455" s="661"/>
      <c r="D455" s="31">
        <f>+D456+D457</f>
        <v>0</v>
      </c>
      <c r="E455" s="31">
        <f>+E456+E457</f>
        <v>0</v>
      </c>
      <c r="F455" s="31">
        <f t="shared" ref="F455:G455" si="277">+F456+F457</f>
        <v>0</v>
      </c>
      <c r="G455" s="31">
        <f t="shared" si="277"/>
        <v>0</v>
      </c>
      <c r="H455" s="31">
        <f t="shared" ref="H455:N455" si="278">+H456+H457</f>
        <v>0</v>
      </c>
      <c r="I455" s="31">
        <f t="shared" si="278"/>
        <v>0</v>
      </c>
      <c r="J455" s="31">
        <f t="shared" si="278"/>
        <v>0</v>
      </c>
      <c r="K455" s="31">
        <f t="shared" si="278"/>
        <v>0</v>
      </c>
      <c r="L455" s="31">
        <f t="shared" si="278"/>
        <v>0</v>
      </c>
      <c r="M455" s="125">
        <f t="shared" ref="M455" si="279">+M456+M457</f>
        <v>0</v>
      </c>
      <c r="N455" s="125">
        <f t="shared" si="278"/>
        <v>0</v>
      </c>
      <c r="O455" s="3855"/>
      <c r="P455" s="607"/>
      <c r="Q455" s="607"/>
    </row>
    <row r="456" spans="1:17" ht="12" hidden="1" customHeight="1">
      <c r="A456" s="3816"/>
      <c r="B456" s="624" t="s">
        <v>21</v>
      </c>
      <c r="C456" s="660"/>
      <c r="D456" s="33">
        <f>+D472+D488</f>
        <v>0</v>
      </c>
      <c r="E456" s="33">
        <f>+E472+E488</f>
        <v>0</v>
      </c>
      <c r="F456" s="33">
        <f t="shared" ref="F456:G456" si="280">+F472+F488</f>
        <v>0</v>
      </c>
      <c r="G456" s="33">
        <f t="shared" si="280"/>
        <v>0</v>
      </c>
      <c r="H456" s="33">
        <f>+H472+H488</f>
        <v>0</v>
      </c>
      <c r="I456" s="33">
        <f>+I472+I488</f>
        <v>0</v>
      </c>
      <c r="J456" s="33">
        <f>+J472+J488</f>
        <v>0</v>
      </c>
      <c r="K456" s="33">
        <f>+K472+K488</f>
        <v>0</v>
      </c>
      <c r="L456" s="33">
        <f>+L472+L488</f>
        <v>0</v>
      </c>
      <c r="M456" s="34">
        <f>SUM(E456:H456)</f>
        <v>0</v>
      </c>
      <c r="N456" s="34">
        <f>SUM(F456:I456)</f>
        <v>0</v>
      </c>
      <c r="O456" s="3855"/>
      <c r="P456" s="401"/>
      <c r="Q456" s="401"/>
    </row>
    <row r="457" spans="1:17" ht="12" hidden="1" customHeight="1">
      <c r="A457" s="3816"/>
      <c r="B457" s="624" t="s">
        <v>79</v>
      </c>
      <c r="C457" s="660"/>
      <c r="D457" s="33">
        <f>+D473</f>
        <v>0</v>
      </c>
      <c r="E457" s="33">
        <f>+E473</f>
        <v>0</v>
      </c>
      <c r="F457" s="33">
        <f t="shared" ref="F457:G457" si="281">+F473</f>
        <v>0</v>
      </c>
      <c r="G457" s="33">
        <f t="shared" si="281"/>
        <v>0</v>
      </c>
      <c r="H457" s="33">
        <f>+H473</f>
        <v>0</v>
      </c>
      <c r="I457" s="33">
        <f>+I473</f>
        <v>0</v>
      </c>
      <c r="J457" s="33">
        <f>+J473</f>
        <v>0</v>
      </c>
      <c r="K457" s="33">
        <f>+K473</f>
        <v>0</v>
      </c>
      <c r="L457" s="33">
        <f>+L473</f>
        <v>0</v>
      </c>
      <c r="M457" s="34">
        <f>SUM(E457:H457)</f>
        <v>0</v>
      </c>
      <c r="N457" s="34">
        <f>SUM(F457:I457)</f>
        <v>0</v>
      </c>
      <c r="O457" s="3855"/>
      <c r="P457" s="401"/>
      <c r="Q457" s="401"/>
    </row>
    <row r="458" spans="1:17" ht="12" hidden="1" customHeight="1">
      <c r="A458" s="3816"/>
      <c r="B458" s="21" t="s">
        <v>22</v>
      </c>
      <c r="C458" s="22"/>
      <c r="D458" s="186">
        <f>+D459+D462</f>
        <v>0</v>
      </c>
      <c r="E458" s="186">
        <f>+E459+E462</f>
        <v>0</v>
      </c>
      <c r="F458" s="186">
        <f t="shared" ref="F458:G458" si="282">+F459+F462</f>
        <v>0</v>
      </c>
      <c r="G458" s="186">
        <f t="shared" si="282"/>
        <v>0</v>
      </c>
      <c r="H458" s="186">
        <f>+H459+H462</f>
        <v>0</v>
      </c>
      <c r="I458" s="186">
        <f>+I459+I462</f>
        <v>0</v>
      </c>
      <c r="J458" s="186">
        <f>+J459+J462</f>
        <v>0</v>
      </c>
      <c r="K458" s="186">
        <f>+K459+K462</f>
        <v>0</v>
      </c>
      <c r="L458" s="186">
        <f>+L459+L462</f>
        <v>0</v>
      </c>
      <c r="M458" s="3851" t="s">
        <v>23</v>
      </c>
      <c r="N458" s="3851" t="s">
        <v>23</v>
      </c>
      <c r="O458" s="3855"/>
    </row>
    <row r="459" spans="1:17" ht="12" hidden="1" customHeight="1">
      <c r="A459" s="3816"/>
      <c r="B459" s="663" t="s">
        <v>24</v>
      </c>
      <c r="C459" s="664"/>
      <c r="D459" s="116">
        <f>+D460+D461</f>
        <v>0</v>
      </c>
      <c r="E459" s="116">
        <f>+E460+E461</f>
        <v>0</v>
      </c>
      <c r="F459" s="116">
        <f t="shared" ref="F459:G459" si="283">+F460+F461</f>
        <v>0</v>
      </c>
      <c r="G459" s="116">
        <f t="shared" si="283"/>
        <v>0</v>
      </c>
      <c r="H459" s="116">
        <f>+H460+H461</f>
        <v>0</v>
      </c>
      <c r="I459" s="116">
        <f>+I460+I461</f>
        <v>0</v>
      </c>
      <c r="J459" s="116">
        <f>+J460+J461</f>
        <v>0</v>
      </c>
      <c r="K459" s="116">
        <f>+K460+K461</f>
        <v>0</v>
      </c>
      <c r="L459" s="116">
        <f>+L460+L461</f>
        <v>0</v>
      </c>
      <c r="M459" s="3852"/>
      <c r="N459" s="3852"/>
      <c r="O459" s="3855"/>
      <c r="P459" s="401"/>
    </row>
    <row r="460" spans="1:17" ht="12" hidden="1" customHeight="1">
      <c r="A460" s="3816"/>
      <c r="B460" s="241" t="s">
        <v>78</v>
      </c>
      <c r="C460" s="660"/>
      <c r="D460" s="33">
        <f>+D476</f>
        <v>0</v>
      </c>
      <c r="E460" s="33">
        <f>+E476</f>
        <v>0</v>
      </c>
      <c r="F460" s="33">
        <f t="shared" ref="F460:L460" si="284">+F476</f>
        <v>0</v>
      </c>
      <c r="G460" s="33">
        <f t="shared" si="284"/>
        <v>0</v>
      </c>
      <c r="H460" s="33">
        <f t="shared" si="284"/>
        <v>0</v>
      </c>
      <c r="I460" s="33">
        <f t="shared" si="284"/>
        <v>0</v>
      </c>
      <c r="J460" s="33">
        <f t="shared" si="284"/>
        <v>0</v>
      </c>
      <c r="K460" s="33">
        <f t="shared" si="284"/>
        <v>0</v>
      </c>
      <c r="L460" s="33">
        <f t="shared" si="284"/>
        <v>0</v>
      </c>
      <c r="M460" s="3852"/>
      <c r="N460" s="3852"/>
      <c r="O460" s="3855"/>
    </row>
    <row r="461" spans="1:17" ht="12" hidden="1" customHeight="1">
      <c r="A461" s="3816"/>
      <c r="B461" s="665" t="s">
        <v>52</v>
      </c>
      <c r="C461" s="126"/>
      <c r="D461" s="33">
        <f>+D478</f>
        <v>0</v>
      </c>
      <c r="E461" s="33">
        <f>+E478</f>
        <v>0</v>
      </c>
      <c r="F461" s="33">
        <f t="shared" ref="F461:L461" si="285">+F478</f>
        <v>0</v>
      </c>
      <c r="G461" s="33">
        <f t="shared" si="285"/>
        <v>0</v>
      </c>
      <c r="H461" s="33">
        <f t="shared" si="285"/>
        <v>0</v>
      </c>
      <c r="I461" s="33">
        <f t="shared" si="285"/>
        <v>0</v>
      </c>
      <c r="J461" s="33">
        <f t="shared" si="285"/>
        <v>0</v>
      </c>
      <c r="K461" s="33">
        <f t="shared" si="285"/>
        <v>0</v>
      </c>
      <c r="L461" s="33">
        <f t="shared" si="285"/>
        <v>0</v>
      </c>
      <c r="M461" s="3852"/>
      <c r="N461" s="3852"/>
      <c r="O461" s="3855"/>
    </row>
    <row r="462" spans="1:17" s="662" customFormat="1" ht="12" hidden="1" customHeight="1">
      <c r="A462" s="3816"/>
      <c r="B462" s="666" t="s">
        <v>18</v>
      </c>
      <c r="C462" s="661"/>
      <c r="D462" s="127">
        <f>+D463+D464</f>
        <v>0</v>
      </c>
      <c r="E462" s="127">
        <f>+E463+E464</f>
        <v>0</v>
      </c>
      <c r="F462" s="127">
        <f t="shared" ref="F462:G462" si="286">+F463+F464</f>
        <v>0</v>
      </c>
      <c r="G462" s="127">
        <f t="shared" si="286"/>
        <v>0</v>
      </c>
      <c r="H462" s="127">
        <f>+H463+H464</f>
        <v>0</v>
      </c>
      <c r="I462" s="127">
        <f>+I463+I464</f>
        <v>0</v>
      </c>
      <c r="J462" s="127">
        <f>+J463+J464</f>
        <v>0</v>
      </c>
      <c r="K462" s="127">
        <f>+K463+K464</f>
        <v>0</v>
      </c>
      <c r="L462" s="127">
        <f>+L463+L464</f>
        <v>0</v>
      </c>
      <c r="M462" s="3852"/>
      <c r="N462" s="3852"/>
      <c r="O462" s="3855"/>
    </row>
    <row r="463" spans="1:17" ht="12" hidden="1" customHeight="1">
      <c r="A463" s="3816"/>
      <c r="B463" s="667" t="s">
        <v>21</v>
      </c>
      <c r="C463" s="660"/>
      <c r="D463" s="33">
        <f>+D481+D491</f>
        <v>0</v>
      </c>
      <c r="E463" s="33">
        <f>+E481+E491</f>
        <v>0</v>
      </c>
      <c r="F463" s="33">
        <f t="shared" ref="F463:G463" si="287">+F481+F491</f>
        <v>0</v>
      </c>
      <c r="G463" s="33">
        <f t="shared" si="287"/>
        <v>0</v>
      </c>
      <c r="H463" s="33">
        <f>+H481+H491</f>
        <v>0</v>
      </c>
      <c r="I463" s="33">
        <f>+I481+I491</f>
        <v>0</v>
      </c>
      <c r="J463" s="33">
        <f>+J481+J491</f>
        <v>0</v>
      </c>
      <c r="K463" s="33">
        <f>+K481+K491</f>
        <v>0</v>
      </c>
      <c r="L463" s="33">
        <f>+L481+L491</f>
        <v>0</v>
      </c>
      <c r="M463" s="3852"/>
      <c r="N463" s="3852"/>
      <c r="O463" s="3855"/>
    </row>
    <row r="464" spans="1:17" ht="12" hidden="1" customHeight="1" thickBot="1">
      <c r="A464" s="3817"/>
      <c r="B464" s="668" t="s">
        <v>79</v>
      </c>
      <c r="C464" s="645"/>
      <c r="D464" s="118">
        <f>+D482</f>
        <v>0</v>
      </c>
      <c r="E464" s="118">
        <f>+E482</f>
        <v>0</v>
      </c>
      <c r="F464" s="118">
        <f t="shared" ref="F464:G464" si="288">+F482</f>
        <v>0</v>
      </c>
      <c r="G464" s="118">
        <f t="shared" si="288"/>
        <v>0</v>
      </c>
      <c r="H464" s="229">
        <f>+H482</f>
        <v>0</v>
      </c>
      <c r="I464" s="230">
        <f>+I482</f>
        <v>0</v>
      </c>
      <c r="J464" s="230">
        <f>+J482</f>
        <v>0</v>
      </c>
      <c r="K464" s="230">
        <f>+K482</f>
        <v>0</v>
      </c>
      <c r="L464" s="230">
        <f>+L482</f>
        <v>0</v>
      </c>
      <c r="M464" s="3853"/>
      <c r="N464" s="3853"/>
      <c r="O464" s="669"/>
    </row>
    <row r="465" spans="1:16" hidden="1">
      <c r="A465" s="3811"/>
      <c r="B465" s="522"/>
      <c r="C465" s="56" t="s">
        <v>82</v>
      </c>
      <c r="D465" s="97"/>
      <c r="E465" s="99"/>
      <c r="F465" s="98"/>
      <c r="G465" s="523"/>
      <c r="H465" s="523"/>
      <c r="I465" s="523"/>
      <c r="J465" s="523"/>
      <c r="K465" s="523"/>
      <c r="L465" s="523"/>
      <c r="M465" s="43"/>
      <c r="N465" s="43"/>
      <c r="O465" s="3808" t="s">
        <v>106</v>
      </c>
    </row>
    <row r="466" spans="1:16" ht="15" hidden="1" customHeight="1">
      <c r="A466" s="3812"/>
      <c r="B466" s="21" t="s">
        <v>10</v>
      </c>
      <c r="C466" s="22"/>
      <c r="D466" s="100">
        <f t="shared" ref="D466:I466" si="289">+D467+D471</f>
        <v>0</v>
      </c>
      <c r="E466" s="100">
        <f t="shared" si="289"/>
        <v>0</v>
      </c>
      <c r="F466" s="100">
        <f t="shared" si="289"/>
        <v>0</v>
      </c>
      <c r="G466" s="100">
        <f t="shared" si="289"/>
        <v>0</v>
      </c>
      <c r="H466" s="100">
        <f t="shared" si="289"/>
        <v>0</v>
      </c>
      <c r="I466" s="100">
        <f t="shared" si="289"/>
        <v>0</v>
      </c>
      <c r="J466" s="100"/>
      <c r="K466" s="100"/>
      <c r="L466" s="100"/>
      <c r="M466" s="30">
        <f>+M467+M471</f>
        <v>0</v>
      </c>
      <c r="N466" s="30">
        <f>+N467+N471</f>
        <v>0</v>
      </c>
      <c r="O466" s="3809"/>
      <c r="P466" s="401" t="e">
        <f>+#REF!+#REF!</f>
        <v>#REF!</v>
      </c>
    </row>
    <row r="467" spans="1:16" hidden="1">
      <c r="A467" s="3812"/>
      <c r="B467" s="164" t="s">
        <v>24</v>
      </c>
      <c r="C467" s="3820" t="s">
        <v>99</v>
      </c>
      <c r="D467" s="101">
        <f t="shared" ref="D467:I467" si="290">+D468+D469+D470</f>
        <v>0</v>
      </c>
      <c r="E467" s="102">
        <f t="shared" si="290"/>
        <v>0</v>
      </c>
      <c r="F467" s="101">
        <f t="shared" si="290"/>
        <v>0</v>
      </c>
      <c r="G467" s="101">
        <f t="shared" si="290"/>
        <v>0</v>
      </c>
      <c r="H467" s="101">
        <f t="shared" si="290"/>
        <v>0</v>
      </c>
      <c r="I467" s="101">
        <f t="shared" si="290"/>
        <v>0</v>
      </c>
      <c r="J467" s="103"/>
      <c r="K467" s="103"/>
      <c r="L467" s="103"/>
      <c r="M467" s="76">
        <f>+M468+M469+M470</f>
        <v>0</v>
      </c>
      <c r="N467" s="76">
        <f>+N468+N469+N470</f>
        <v>0</v>
      </c>
      <c r="O467" s="3809"/>
    </row>
    <row r="468" spans="1:16" ht="11.25" hidden="1" customHeight="1">
      <c r="A468" s="3812"/>
      <c r="B468" s="381" t="s">
        <v>12</v>
      </c>
      <c r="C468" s="3821"/>
      <c r="D468" s="226">
        <f t="shared" ref="D468:D473" si="291">E468+F468+G468+H468+I468+J468+K468+L468</f>
        <v>0</v>
      </c>
      <c r="E468" s="249"/>
      <c r="F468" s="524">
        <v>0</v>
      </c>
      <c r="G468" s="524">
        <v>0</v>
      </c>
      <c r="H468" s="524">
        <v>0</v>
      </c>
      <c r="I468" s="524">
        <v>0</v>
      </c>
      <c r="J468" s="525"/>
      <c r="K468" s="525"/>
      <c r="L468" s="525"/>
      <c r="M468" s="34">
        <f t="shared" ref="M468:N470" si="292">SUM(E468:H468)</f>
        <v>0</v>
      </c>
      <c r="N468" s="34">
        <f t="shared" si="292"/>
        <v>0</v>
      </c>
      <c r="O468" s="3809"/>
      <c r="P468" s="401"/>
    </row>
    <row r="469" spans="1:16" hidden="1">
      <c r="A469" s="3812"/>
      <c r="B469" s="128" t="s">
        <v>78</v>
      </c>
      <c r="C469" s="3821"/>
      <c r="D469" s="226">
        <f t="shared" si="291"/>
        <v>0</v>
      </c>
      <c r="E469" s="249"/>
      <c r="F469" s="129">
        <v>0</v>
      </c>
      <c r="G469" s="129">
        <v>0</v>
      </c>
      <c r="H469" s="129">
        <v>0</v>
      </c>
      <c r="I469" s="129">
        <v>0</v>
      </c>
      <c r="J469" s="107"/>
      <c r="K469" s="107"/>
      <c r="L469" s="107"/>
      <c r="M469" s="34">
        <f t="shared" si="292"/>
        <v>0</v>
      </c>
      <c r="N469" s="34">
        <f t="shared" si="292"/>
        <v>0</v>
      </c>
      <c r="O469" s="3809"/>
    </row>
    <row r="470" spans="1:16" ht="12" hidden="1" customHeight="1">
      <c r="A470" s="3812"/>
      <c r="B470" s="511" t="s">
        <v>107</v>
      </c>
      <c r="C470" s="3870"/>
      <c r="D470" s="226">
        <f t="shared" si="291"/>
        <v>0</v>
      </c>
      <c r="E470" s="249"/>
      <c r="F470" s="524">
        <v>0</v>
      </c>
      <c r="G470" s="524">
        <v>0</v>
      </c>
      <c r="H470" s="524">
        <v>0</v>
      </c>
      <c r="I470" s="524">
        <v>0</v>
      </c>
      <c r="J470" s="525"/>
      <c r="K470" s="525"/>
      <c r="L470" s="525"/>
      <c r="M470" s="34">
        <f t="shared" si="292"/>
        <v>0</v>
      </c>
      <c r="N470" s="34">
        <f t="shared" si="292"/>
        <v>0</v>
      </c>
      <c r="O470" s="3809"/>
    </row>
    <row r="471" spans="1:16" s="662" customFormat="1" hidden="1">
      <c r="A471" s="3812"/>
      <c r="B471" s="406" t="s">
        <v>18</v>
      </c>
      <c r="C471" s="526"/>
      <c r="D471" s="47">
        <f>+D472+D473</f>
        <v>0</v>
      </c>
      <c r="E471" s="527">
        <f t="shared" ref="E471:N471" si="293">+E472+E473</f>
        <v>0</v>
      </c>
      <c r="F471" s="527">
        <f t="shared" si="293"/>
        <v>0</v>
      </c>
      <c r="G471" s="527">
        <f t="shared" si="293"/>
        <v>0</v>
      </c>
      <c r="H471" s="527">
        <f t="shared" si="293"/>
        <v>0</v>
      </c>
      <c r="I471" s="527">
        <f t="shared" si="293"/>
        <v>0</v>
      </c>
      <c r="J471" s="527"/>
      <c r="K471" s="527"/>
      <c r="L471" s="527"/>
      <c r="M471" s="76">
        <f t="shared" ref="M471" si="294">+M472+M473</f>
        <v>0</v>
      </c>
      <c r="N471" s="76">
        <f t="shared" si="293"/>
        <v>0</v>
      </c>
      <c r="O471" s="3809"/>
    </row>
    <row r="472" spans="1:16" hidden="1">
      <c r="A472" s="3812"/>
      <c r="B472" s="632" t="s">
        <v>21</v>
      </c>
      <c r="C472" s="2046"/>
      <c r="D472" s="226">
        <f t="shared" si="291"/>
        <v>0</v>
      </c>
      <c r="E472" s="249"/>
      <c r="F472" s="525">
        <v>0</v>
      </c>
      <c r="G472" s="525">
        <v>0</v>
      </c>
      <c r="H472" s="525">
        <v>0</v>
      </c>
      <c r="I472" s="525">
        <v>0</v>
      </c>
      <c r="J472" s="525"/>
      <c r="K472" s="525"/>
      <c r="L472" s="525"/>
      <c r="M472" s="34">
        <f>SUM(E472:H472)</f>
        <v>0</v>
      </c>
      <c r="N472" s="34">
        <f>SUM(F472:I472)</f>
        <v>0</v>
      </c>
      <c r="O472" s="3809"/>
    </row>
    <row r="473" spans="1:16" ht="12" hidden="1" customHeight="1">
      <c r="A473" s="3812"/>
      <c r="B473" s="632" t="s">
        <v>79</v>
      </c>
      <c r="C473" s="2046"/>
      <c r="D473" s="226">
        <f t="shared" si="291"/>
        <v>0</v>
      </c>
      <c r="E473" s="249"/>
      <c r="F473" s="525">
        <v>0</v>
      </c>
      <c r="G473" s="525">
        <v>0</v>
      </c>
      <c r="H473" s="525">
        <v>0</v>
      </c>
      <c r="I473" s="525">
        <v>0</v>
      </c>
      <c r="J473" s="525"/>
      <c r="K473" s="525"/>
      <c r="L473" s="525"/>
      <c r="M473" s="34">
        <f>SUM(E473:H473)</f>
        <v>0</v>
      </c>
      <c r="N473" s="34">
        <f>SUM(F473:I473)</f>
        <v>0</v>
      </c>
      <c r="O473" s="3809"/>
    </row>
    <row r="474" spans="1:16" ht="14.25" hidden="1" customHeight="1">
      <c r="A474" s="3812"/>
      <c r="B474" s="21" t="s">
        <v>22</v>
      </c>
      <c r="C474" s="22"/>
      <c r="D474" s="186">
        <f t="shared" ref="D474:I474" si="295">+D475+D479</f>
        <v>0</v>
      </c>
      <c r="E474" s="186">
        <f t="shared" si="295"/>
        <v>0</v>
      </c>
      <c r="F474" s="186">
        <f t="shared" si="295"/>
        <v>0</v>
      </c>
      <c r="G474" s="186">
        <f t="shared" si="295"/>
        <v>0</v>
      </c>
      <c r="H474" s="186">
        <f t="shared" si="295"/>
        <v>0</v>
      </c>
      <c r="I474" s="186">
        <f t="shared" si="295"/>
        <v>0</v>
      </c>
      <c r="J474" s="186"/>
      <c r="K474" s="186"/>
      <c r="L474" s="186"/>
      <c r="M474" s="3851" t="s">
        <v>23</v>
      </c>
      <c r="N474" s="3851" t="s">
        <v>23</v>
      </c>
      <c r="O474" s="3809"/>
      <c r="P474" s="401"/>
    </row>
    <row r="475" spans="1:16" s="670" customFormat="1" ht="12.75" hidden="1" customHeight="1">
      <c r="A475" s="3812"/>
      <c r="B475" s="164" t="s">
        <v>24</v>
      </c>
      <c r="C475" s="3820" t="s">
        <v>99</v>
      </c>
      <c r="D475" s="588">
        <f>+D476+D477+D478</f>
        <v>0</v>
      </c>
      <c r="E475" s="588">
        <f>SUM(E476:E478)</f>
        <v>0</v>
      </c>
      <c r="F475" s="588">
        <f>+F476+F478</f>
        <v>0</v>
      </c>
      <c r="G475" s="588">
        <f>+G476+G478</f>
        <v>0</v>
      </c>
      <c r="H475" s="588">
        <f>+H476+H478</f>
        <v>0</v>
      </c>
      <c r="I475" s="588">
        <f>+I476+I478</f>
        <v>0</v>
      </c>
      <c r="J475" s="588"/>
      <c r="K475" s="588"/>
      <c r="L475" s="588"/>
      <c r="M475" s="3852"/>
      <c r="N475" s="3852"/>
      <c r="O475" s="3809"/>
    </row>
    <row r="476" spans="1:16" s="242" customFormat="1" hidden="1">
      <c r="A476" s="3812"/>
      <c r="B476" s="128" t="s">
        <v>108</v>
      </c>
      <c r="C476" s="3821"/>
      <c r="D476" s="226">
        <f t="shared" ref="D476:D478" si="296">E476+F476+G476+H476+I476+J476+K476+L476</f>
        <v>0</v>
      </c>
      <c r="E476" s="249"/>
      <c r="F476" s="671">
        <v>0</v>
      </c>
      <c r="G476" s="671">
        <v>0</v>
      </c>
      <c r="H476" s="671">
        <v>0</v>
      </c>
      <c r="I476" s="671">
        <v>0</v>
      </c>
      <c r="J476" s="671"/>
      <c r="K476" s="671"/>
      <c r="L476" s="671"/>
      <c r="M476" s="3852"/>
      <c r="N476" s="3852"/>
      <c r="O476" s="3809"/>
      <c r="P476" s="638">
        <v>-14575000</v>
      </c>
    </row>
    <row r="477" spans="1:16" s="242" customFormat="1" ht="10.5" hidden="1" customHeight="1">
      <c r="A477" s="3812"/>
      <c r="B477" s="672" t="s">
        <v>109</v>
      </c>
      <c r="C477" s="3821"/>
      <c r="D477" s="226">
        <f t="shared" si="296"/>
        <v>0</v>
      </c>
      <c r="E477" s="249"/>
      <c r="F477" s="671"/>
      <c r="G477" s="671"/>
      <c r="H477" s="671"/>
      <c r="I477" s="671"/>
      <c r="J477" s="671"/>
      <c r="K477" s="671"/>
      <c r="L477" s="671"/>
      <c r="M477" s="3852"/>
      <c r="N477" s="3852"/>
      <c r="O477" s="3809"/>
    </row>
    <row r="478" spans="1:16" s="242" customFormat="1" hidden="1">
      <c r="A478" s="3812"/>
      <c r="B478" s="511" t="s">
        <v>107</v>
      </c>
      <c r="C478" s="3821"/>
      <c r="D478" s="226">
        <f t="shared" si="296"/>
        <v>0</v>
      </c>
      <c r="E478" s="249"/>
      <c r="F478" s="524">
        <v>0</v>
      </c>
      <c r="G478" s="524">
        <v>0</v>
      </c>
      <c r="H478" s="524">
        <v>0</v>
      </c>
      <c r="I478" s="524">
        <v>0</v>
      </c>
      <c r="J478" s="524"/>
      <c r="K478" s="524"/>
      <c r="L478" s="524"/>
      <c r="M478" s="3852"/>
      <c r="N478" s="3852"/>
      <c r="O478" s="3809"/>
      <c r="P478" s="638"/>
    </row>
    <row r="479" spans="1:16" s="670" customFormat="1" hidden="1">
      <c r="A479" s="3812"/>
      <c r="B479" s="673" t="s">
        <v>18</v>
      </c>
      <c r="C479" s="3821"/>
      <c r="D479" s="50">
        <f>+D480+D481+D482</f>
        <v>0</v>
      </c>
      <c r="E479" s="590"/>
      <c r="F479" s="590">
        <f>+F481</f>
        <v>0</v>
      </c>
      <c r="G479" s="590">
        <f>+G481</f>
        <v>0</v>
      </c>
      <c r="H479" s="590">
        <f>+H481</f>
        <v>0</v>
      </c>
      <c r="I479" s="590">
        <f>+I481</f>
        <v>0</v>
      </c>
      <c r="J479" s="590"/>
      <c r="K479" s="590"/>
      <c r="L479" s="590"/>
      <c r="M479" s="3852"/>
      <c r="N479" s="3852"/>
      <c r="O479" s="3809"/>
    </row>
    <row r="480" spans="1:16" s="670" customFormat="1" ht="10.5" hidden="1" customHeight="1">
      <c r="A480" s="3812"/>
      <c r="B480" s="672" t="s">
        <v>109</v>
      </c>
      <c r="C480" s="3821"/>
      <c r="D480" s="226">
        <f t="shared" ref="D480:D482" si="297">E480+F480+G480+H480+I480+J480+K480+L480</f>
        <v>0</v>
      </c>
      <c r="E480" s="1156"/>
      <c r="F480" s="674"/>
      <c r="G480" s="674"/>
      <c r="H480" s="674"/>
      <c r="I480" s="674"/>
      <c r="J480" s="674"/>
      <c r="K480" s="674"/>
      <c r="L480" s="674"/>
      <c r="M480" s="3852"/>
      <c r="N480" s="3852"/>
      <c r="O480" s="3809"/>
    </row>
    <row r="481" spans="1:19" s="242" customFormat="1" hidden="1">
      <c r="A481" s="3812"/>
      <c r="B481" s="381" t="s">
        <v>21</v>
      </c>
      <c r="C481" s="3821"/>
      <c r="D481" s="226">
        <f t="shared" si="297"/>
        <v>0</v>
      </c>
      <c r="E481" s="249"/>
      <c r="F481" s="528">
        <v>0</v>
      </c>
      <c r="G481" s="528">
        <v>0</v>
      </c>
      <c r="H481" s="528">
        <v>0</v>
      </c>
      <c r="I481" s="528">
        <v>0</v>
      </c>
      <c r="J481" s="528"/>
      <c r="K481" s="528"/>
      <c r="L481" s="528"/>
      <c r="M481" s="3852"/>
      <c r="N481" s="3852"/>
      <c r="O481" s="3809"/>
      <c r="P481" s="638"/>
    </row>
    <row r="482" spans="1:19" s="242" customFormat="1" ht="11.25" hidden="1" customHeight="1" thickBot="1">
      <c r="A482" s="3862"/>
      <c r="B482" s="73" t="s">
        <v>79</v>
      </c>
      <c r="C482" s="3822"/>
      <c r="D482" s="226">
        <f t="shared" si="297"/>
        <v>0</v>
      </c>
      <c r="E482" s="54"/>
      <c r="F482" s="529">
        <v>0</v>
      </c>
      <c r="G482" s="529">
        <v>0</v>
      </c>
      <c r="H482" s="530">
        <v>0</v>
      </c>
      <c r="I482" s="170">
        <v>0</v>
      </c>
      <c r="J482" s="170"/>
      <c r="K482" s="170"/>
      <c r="L482" s="170"/>
      <c r="M482" s="3853"/>
      <c r="N482" s="3853"/>
      <c r="O482" s="2048"/>
    </row>
    <row r="483" spans="1:19" hidden="1">
      <c r="A483" s="3811"/>
      <c r="B483" s="247"/>
      <c r="C483" s="56" t="s">
        <v>110</v>
      </c>
      <c r="D483" s="633"/>
      <c r="E483" s="91"/>
      <c r="F483" s="92"/>
      <c r="G483" s="92"/>
      <c r="H483" s="92"/>
      <c r="I483" s="92"/>
      <c r="J483" s="92"/>
      <c r="K483" s="92"/>
      <c r="L483" s="92"/>
      <c r="M483" s="43"/>
      <c r="N483" s="43"/>
      <c r="O483" s="3823" t="s">
        <v>103</v>
      </c>
      <c r="S483" s="631"/>
    </row>
    <row r="484" spans="1:19" ht="14.25" hidden="1" customHeight="1">
      <c r="A484" s="3812"/>
      <c r="B484" s="21" t="s">
        <v>10</v>
      </c>
      <c r="C484" s="22"/>
      <c r="D484" s="60">
        <f t="shared" ref="D484" si="298">+D485+D487</f>
        <v>0</v>
      </c>
      <c r="E484" s="60">
        <f>+E485+E487</f>
        <v>0</v>
      </c>
      <c r="F484" s="60"/>
      <c r="G484" s="60"/>
      <c r="H484" s="61"/>
      <c r="I484" s="60"/>
      <c r="J484" s="60"/>
      <c r="K484" s="60"/>
      <c r="L484" s="60"/>
      <c r="M484" s="62">
        <f>+M485+M487</f>
        <v>0</v>
      </c>
      <c r="N484" s="62">
        <f>+N485+N487</f>
        <v>0</v>
      </c>
      <c r="O484" s="3824"/>
      <c r="P484" s="401" t="e">
        <f>+#REF!+#REF!+F484+G484</f>
        <v>#REF!</v>
      </c>
      <c r="Q484" s="401"/>
      <c r="R484" s="401"/>
      <c r="S484" s="401"/>
    </row>
    <row r="485" spans="1:19" ht="14.25" hidden="1" customHeight="1">
      <c r="A485" s="3812"/>
      <c r="B485" s="164" t="s">
        <v>24</v>
      </c>
      <c r="C485" s="3820" t="s">
        <v>99</v>
      </c>
      <c r="D485" s="63">
        <f>+D486</f>
        <v>0</v>
      </c>
      <c r="E485" s="63">
        <f t="shared" ref="E485" si="299">+E486</f>
        <v>0</v>
      </c>
      <c r="F485" s="63"/>
      <c r="G485" s="63"/>
      <c r="H485" s="93"/>
      <c r="I485" s="63"/>
      <c r="J485" s="63"/>
      <c r="K485" s="63"/>
      <c r="L485" s="63"/>
      <c r="M485" s="76">
        <f>+M486</f>
        <v>0</v>
      </c>
      <c r="N485" s="76">
        <f>+N486</f>
        <v>0</v>
      </c>
      <c r="O485" s="3824"/>
      <c r="P485" s="401"/>
    </row>
    <row r="486" spans="1:19" hidden="1">
      <c r="A486" s="3812"/>
      <c r="B486" s="374" t="s">
        <v>12</v>
      </c>
      <c r="C486" s="3828"/>
      <c r="D486" s="226">
        <f t="shared" ref="D486" si="300">E486+F486+G486+H486+I486+J486+K486+L486</f>
        <v>0</v>
      </c>
      <c r="E486" s="249"/>
      <c r="F486" s="46"/>
      <c r="G486" s="46"/>
      <c r="H486" s="45"/>
      <c r="I486" s="46"/>
      <c r="J486" s="46"/>
      <c r="K486" s="46"/>
      <c r="L486" s="46"/>
      <c r="M486" s="34">
        <f>SUM(E486:H486)</f>
        <v>0</v>
      </c>
      <c r="N486" s="34">
        <f>SUM(F486:I486)</f>
        <v>0</v>
      </c>
      <c r="O486" s="3824"/>
    </row>
    <row r="487" spans="1:19" ht="14.25" hidden="1" customHeight="1">
      <c r="A487" s="3812"/>
      <c r="B487" s="406" t="s">
        <v>18</v>
      </c>
      <c r="C487" s="3828"/>
      <c r="D487" s="47">
        <f>+D488</f>
        <v>0</v>
      </c>
      <c r="E487" s="47">
        <f t="shared" ref="E487" si="301">+E488</f>
        <v>0</v>
      </c>
      <c r="F487" s="47"/>
      <c r="G487" s="47"/>
      <c r="H487" s="48"/>
      <c r="I487" s="47"/>
      <c r="J487" s="47"/>
      <c r="K487" s="47"/>
      <c r="L487" s="47"/>
      <c r="M487" s="76">
        <f>+M488</f>
        <v>0</v>
      </c>
      <c r="N487" s="76">
        <f>+N488</f>
        <v>0</v>
      </c>
      <c r="O487" s="3824"/>
    </row>
    <row r="488" spans="1:19" hidden="1">
      <c r="A488" s="3812"/>
      <c r="B488" s="635" t="s">
        <v>21</v>
      </c>
      <c r="C488" s="3828"/>
      <c r="D488" s="226">
        <f t="shared" ref="D488" si="302">E488+F488+G488+H488+I488+J488+K488+L488</f>
        <v>0</v>
      </c>
      <c r="E488" s="249"/>
      <c r="F488" s="46"/>
      <c r="G488" s="46"/>
      <c r="H488" s="45"/>
      <c r="I488" s="46"/>
      <c r="J488" s="46"/>
      <c r="K488" s="46"/>
      <c r="L488" s="46"/>
      <c r="M488" s="34">
        <f>SUM(E488:H488)</f>
        <v>0</v>
      </c>
      <c r="N488" s="34">
        <f>SUM(F488:I488)</f>
        <v>0</v>
      </c>
      <c r="O488" s="3824"/>
    </row>
    <row r="489" spans="1:19" ht="14.25" hidden="1" customHeight="1">
      <c r="A489" s="3813"/>
      <c r="B489" s="21" t="s">
        <v>22</v>
      </c>
      <c r="C489" s="22"/>
      <c r="D489" s="186">
        <f>+D490</f>
        <v>0</v>
      </c>
      <c r="E489" s="186">
        <f t="shared" ref="E489" si="303">+E490</f>
        <v>0</v>
      </c>
      <c r="F489" s="186"/>
      <c r="G489" s="186"/>
      <c r="H489" s="187"/>
      <c r="I489" s="186"/>
      <c r="J489" s="186"/>
      <c r="K489" s="186"/>
      <c r="L489" s="186"/>
      <c r="M489" s="3944" t="s">
        <v>23</v>
      </c>
      <c r="N489" s="3944" t="s">
        <v>23</v>
      </c>
      <c r="O489" s="3825"/>
      <c r="P489" s="401"/>
    </row>
    <row r="490" spans="1:19" s="242" customFormat="1" ht="14.25" hidden="1" customHeight="1">
      <c r="A490" s="3813"/>
      <c r="B490" s="406" t="s">
        <v>18</v>
      </c>
      <c r="C490" s="3820" t="s">
        <v>99</v>
      </c>
      <c r="D490" s="588">
        <f>+D491</f>
        <v>0</v>
      </c>
      <c r="E490" s="588"/>
      <c r="F490" s="588"/>
      <c r="G490" s="588"/>
      <c r="H490" s="590"/>
      <c r="I490" s="588"/>
      <c r="J490" s="588"/>
      <c r="K490" s="588"/>
      <c r="L490" s="588"/>
      <c r="M490" s="3896"/>
      <c r="N490" s="3896"/>
      <c r="O490" s="3825"/>
    </row>
    <row r="491" spans="1:19" s="242" customFormat="1" ht="14.25" hidden="1" customHeight="1" thickBot="1">
      <c r="A491" s="3814"/>
      <c r="B491" s="53" t="s">
        <v>21</v>
      </c>
      <c r="C491" s="3819"/>
      <c r="D491" s="226">
        <f t="shared" ref="D491" si="304">E491+F491+G491+H491+I491+J491+K491+L491</f>
        <v>0</v>
      </c>
      <c r="E491" s="634"/>
      <c r="F491" s="422"/>
      <c r="G491" s="422"/>
      <c r="H491" s="422"/>
      <c r="I491" s="422"/>
      <c r="J491" s="422"/>
      <c r="K491" s="422"/>
      <c r="L491" s="422"/>
      <c r="M491" s="3897"/>
      <c r="N491" s="3897"/>
      <c r="O491" s="3826"/>
    </row>
    <row r="492" spans="1:19" ht="27.75" hidden="1" customHeight="1">
      <c r="A492" s="3974" t="s">
        <v>277</v>
      </c>
      <c r="B492" s="194" t="s">
        <v>240</v>
      </c>
      <c r="C492" s="675"/>
      <c r="D492" s="652"/>
      <c r="E492" s="653"/>
      <c r="F492" s="653"/>
      <c r="G492" s="653"/>
      <c r="H492" s="653"/>
      <c r="I492" s="653"/>
      <c r="J492" s="653"/>
      <c r="K492" s="653"/>
      <c r="L492" s="653"/>
      <c r="M492" s="269"/>
      <c r="N492" s="269"/>
      <c r="O492" s="3839"/>
    </row>
    <row r="493" spans="1:19" ht="14.25" hidden="1" customHeight="1">
      <c r="A493" s="3975"/>
      <c r="B493" s="21" t="s">
        <v>10</v>
      </c>
      <c r="C493" s="130"/>
      <c r="D493" s="124">
        <f>+D494+D496</f>
        <v>0</v>
      </c>
      <c r="E493" s="124">
        <f t="shared" ref="E493:N493" si="305">+E494+E496</f>
        <v>0</v>
      </c>
      <c r="F493" s="124">
        <f t="shared" si="305"/>
        <v>0</v>
      </c>
      <c r="G493" s="124">
        <f t="shared" si="305"/>
        <v>0</v>
      </c>
      <c r="H493" s="124">
        <f t="shared" si="305"/>
        <v>0</v>
      </c>
      <c r="I493" s="124">
        <f t="shared" si="305"/>
        <v>0</v>
      </c>
      <c r="J493" s="124">
        <f t="shared" si="305"/>
        <v>0</v>
      </c>
      <c r="K493" s="124">
        <f t="shared" si="305"/>
        <v>0</v>
      </c>
      <c r="L493" s="124">
        <f t="shared" si="305"/>
        <v>0</v>
      </c>
      <c r="M493" s="62">
        <f t="shared" ref="M493" si="306">+M494+M496</f>
        <v>0</v>
      </c>
      <c r="N493" s="62">
        <f t="shared" si="305"/>
        <v>0</v>
      </c>
      <c r="O493" s="3840"/>
      <c r="P493" s="401" t="e">
        <f>+#REF!+#REF!+F493+G493</f>
        <v>#REF!</v>
      </c>
    </row>
    <row r="494" spans="1:19" ht="13.5" hidden="1" customHeight="1">
      <c r="A494" s="3975"/>
      <c r="B494" s="676" t="s">
        <v>24</v>
      </c>
      <c r="C494" s="131"/>
      <c r="D494" s="116">
        <f>+D495</f>
        <v>0</v>
      </c>
      <c r="E494" s="116">
        <f t="shared" ref="E494:N494" si="307">+E495</f>
        <v>0</v>
      </c>
      <c r="F494" s="116">
        <f t="shared" si="307"/>
        <v>0</v>
      </c>
      <c r="G494" s="116">
        <f t="shared" si="307"/>
        <v>0</v>
      </c>
      <c r="H494" s="116">
        <f t="shared" si="307"/>
        <v>0</v>
      </c>
      <c r="I494" s="116">
        <f t="shared" si="307"/>
        <v>0</v>
      </c>
      <c r="J494" s="116">
        <f t="shared" si="307"/>
        <v>0</v>
      </c>
      <c r="K494" s="116">
        <f t="shared" si="307"/>
        <v>0</v>
      </c>
      <c r="L494" s="116">
        <f t="shared" si="307"/>
        <v>0</v>
      </c>
      <c r="M494" s="64">
        <f t="shared" si="307"/>
        <v>0</v>
      </c>
      <c r="N494" s="64">
        <f t="shared" si="307"/>
        <v>0</v>
      </c>
      <c r="O494" s="3840"/>
    </row>
    <row r="495" spans="1:19" hidden="1">
      <c r="A495" s="3975"/>
      <c r="B495" s="240" t="s">
        <v>12</v>
      </c>
      <c r="C495" s="132"/>
      <c r="D495" s="33">
        <f>+D504</f>
        <v>0</v>
      </c>
      <c r="E495" s="33">
        <f>+E504</f>
        <v>0</v>
      </c>
      <c r="F495" s="33">
        <f t="shared" ref="F495:I495" si="308">+F504</f>
        <v>0</v>
      </c>
      <c r="G495" s="33">
        <f t="shared" si="308"/>
        <v>0</v>
      </c>
      <c r="H495" s="33">
        <f t="shared" si="308"/>
        <v>0</v>
      </c>
      <c r="I495" s="33">
        <f t="shared" si="308"/>
        <v>0</v>
      </c>
      <c r="J495" s="33">
        <f>+J504</f>
        <v>0</v>
      </c>
      <c r="K495" s="33">
        <f>+K504</f>
        <v>0</v>
      </c>
      <c r="L495" s="33">
        <f>+L504</f>
        <v>0</v>
      </c>
      <c r="M495" s="34">
        <f>SUM(E495:H495)</f>
        <v>0</v>
      </c>
      <c r="N495" s="34">
        <f>SUM(F495:I495)</f>
        <v>0</v>
      </c>
      <c r="O495" s="3840"/>
    </row>
    <row r="496" spans="1:19" ht="14.25" hidden="1" customHeight="1">
      <c r="A496" s="3975"/>
      <c r="B496" s="677" t="s">
        <v>18</v>
      </c>
      <c r="C496" s="133"/>
      <c r="D496" s="31">
        <f>+D497</f>
        <v>0</v>
      </c>
      <c r="E496" s="31">
        <f t="shared" ref="E496:N496" si="309">+E497</f>
        <v>0</v>
      </c>
      <c r="F496" s="31">
        <f t="shared" si="309"/>
        <v>0</v>
      </c>
      <c r="G496" s="31">
        <f t="shared" si="309"/>
        <v>0</v>
      </c>
      <c r="H496" s="31">
        <f t="shared" si="309"/>
        <v>0</v>
      </c>
      <c r="I496" s="31">
        <f t="shared" si="309"/>
        <v>0</v>
      </c>
      <c r="J496" s="31">
        <f t="shared" si="309"/>
        <v>0</v>
      </c>
      <c r="K496" s="31">
        <f t="shared" si="309"/>
        <v>0</v>
      </c>
      <c r="L496" s="31">
        <f t="shared" si="309"/>
        <v>0</v>
      </c>
      <c r="M496" s="64">
        <f t="shared" si="309"/>
        <v>0</v>
      </c>
      <c r="N496" s="64">
        <f t="shared" si="309"/>
        <v>0</v>
      </c>
      <c r="O496" s="3840"/>
    </row>
    <row r="497" spans="1:19" ht="11.25" hidden="1" customHeight="1">
      <c r="A497" s="3975"/>
      <c r="B497" s="241" t="s">
        <v>20</v>
      </c>
      <c r="C497" s="132"/>
      <c r="D497" s="33">
        <f>+D506</f>
        <v>0</v>
      </c>
      <c r="E497" s="33">
        <f t="shared" ref="E497:I497" si="310">+E506</f>
        <v>0</v>
      </c>
      <c r="F497" s="33">
        <f t="shared" si="310"/>
        <v>0</v>
      </c>
      <c r="G497" s="33">
        <f t="shared" si="310"/>
        <v>0</v>
      </c>
      <c r="H497" s="33">
        <f t="shared" si="310"/>
        <v>0</v>
      </c>
      <c r="I497" s="33">
        <f t="shared" si="310"/>
        <v>0</v>
      </c>
      <c r="J497" s="33">
        <f>+J506</f>
        <v>0</v>
      </c>
      <c r="K497" s="33">
        <f>+K506</f>
        <v>0</v>
      </c>
      <c r="L497" s="33">
        <f>+L506</f>
        <v>0</v>
      </c>
      <c r="M497" s="34">
        <f>SUM(E497:H497)</f>
        <v>0</v>
      </c>
      <c r="N497" s="34">
        <f>SUM(F497:I497)</f>
        <v>0</v>
      </c>
      <c r="O497" s="3840"/>
    </row>
    <row r="498" spans="1:19" ht="13.5" hidden="1" customHeight="1">
      <c r="A498" s="3975"/>
      <c r="B498" s="21" t="s">
        <v>22</v>
      </c>
      <c r="C498" s="130"/>
      <c r="D498" s="124">
        <f>+D499</f>
        <v>0</v>
      </c>
      <c r="E498" s="124">
        <f>+E499</f>
        <v>0</v>
      </c>
      <c r="F498" s="124">
        <f t="shared" ref="F498:L499" si="311">+F499</f>
        <v>0</v>
      </c>
      <c r="G498" s="124">
        <f t="shared" si="311"/>
        <v>0</v>
      </c>
      <c r="H498" s="124">
        <f t="shared" si="311"/>
        <v>0</v>
      </c>
      <c r="I498" s="124">
        <f t="shared" si="311"/>
        <v>0</v>
      </c>
      <c r="J498" s="124">
        <f t="shared" si="311"/>
        <v>0</v>
      </c>
      <c r="K498" s="124">
        <f t="shared" si="311"/>
        <v>0</v>
      </c>
      <c r="L498" s="124">
        <f t="shared" si="311"/>
        <v>0</v>
      </c>
      <c r="M498" s="3944" t="s">
        <v>23</v>
      </c>
      <c r="N498" s="3944" t="s">
        <v>23</v>
      </c>
      <c r="O498" s="3840"/>
    </row>
    <row r="499" spans="1:19" ht="12" hidden="1" customHeight="1">
      <c r="A499" s="3975"/>
      <c r="B499" s="678" t="s">
        <v>18</v>
      </c>
      <c r="C499" s="131"/>
      <c r="D499" s="116">
        <f>+D500</f>
        <v>0</v>
      </c>
      <c r="E499" s="116">
        <f>+E500</f>
        <v>0</v>
      </c>
      <c r="F499" s="116">
        <f t="shared" si="311"/>
        <v>0</v>
      </c>
      <c r="G499" s="116">
        <f t="shared" si="311"/>
        <v>0</v>
      </c>
      <c r="H499" s="116">
        <f t="shared" si="311"/>
        <v>0</v>
      </c>
      <c r="I499" s="116">
        <f t="shared" si="311"/>
        <v>0</v>
      </c>
      <c r="J499" s="116">
        <f t="shared" si="311"/>
        <v>0</v>
      </c>
      <c r="K499" s="116">
        <f t="shared" si="311"/>
        <v>0</v>
      </c>
      <c r="L499" s="116">
        <f t="shared" si="311"/>
        <v>0</v>
      </c>
      <c r="M499" s="3896"/>
      <c r="N499" s="3896"/>
      <c r="O499" s="3840"/>
    </row>
    <row r="500" spans="1:19" ht="13.5" hidden="1" customHeight="1" thickBot="1">
      <c r="A500" s="3976"/>
      <c r="B500" s="241" t="s">
        <v>20</v>
      </c>
      <c r="C500" s="132"/>
      <c r="D500" s="33">
        <f>+D509</f>
        <v>0</v>
      </c>
      <c r="E500" s="33">
        <f t="shared" ref="E500:I500" si="312">+E509</f>
        <v>0</v>
      </c>
      <c r="F500" s="33">
        <f t="shared" si="312"/>
        <v>0</v>
      </c>
      <c r="G500" s="33">
        <f t="shared" si="312"/>
        <v>0</v>
      </c>
      <c r="H500" s="229">
        <f t="shared" si="312"/>
        <v>0</v>
      </c>
      <c r="I500" s="230">
        <f t="shared" si="312"/>
        <v>0</v>
      </c>
      <c r="J500" s="230">
        <f>+J509</f>
        <v>0</v>
      </c>
      <c r="K500" s="230">
        <f>+K509</f>
        <v>0</v>
      </c>
      <c r="L500" s="230">
        <f>+L509</f>
        <v>0</v>
      </c>
      <c r="M500" s="3897"/>
      <c r="N500" s="3897"/>
      <c r="O500" s="3841"/>
    </row>
    <row r="501" spans="1:19" hidden="1">
      <c r="A501" s="3811" t="s">
        <v>293</v>
      </c>
      <c r="B501" s="247"/>
      <c r="C501" s="56" t="s">
        <v>110</v>
      </c>
      <c r="D501" s="633"/>
      <c r="E501" s="91"/>
      <c r="F501" s="92"/>
      <c r="G501" s="92"/>
      <c r="H501" s="92"/>
      <c r="I501" s="92"/>
      <c r="J501" s="92"/>
      <c r="K501" s="92"/>
      <c r="L501" s="92"/>
      <c r="M501" s="43"/>
      <c r="N501" s="43"/>
      <c r="O501" s="3823" t="s">
        <v>111</v>
      </c>
      <c r="S501" s="631"/>
    </row>
    <row r="502" spans="1:19" ht="14.25" hidden="1" customHeight="1">
      <c r="A502" s="3812"/>
      <c r="B502" s="534" t="s">
        <v>10</v>
      </c>
      <c r="C502" s="1231"/>
      <c r="D502" s="1240">
        <f>+D503+D505</f>
        <v>0</v>
      </c>
      <c r="E502" s="1240">
        <f t="shared" ref="E502:N502" si="313">+E503+E505</f>
        <v>0</v>
      </c>
      <c r="F502" s="1359">
        <f t="shared" si="313"/>
        <v>0</v>
      </c>
      <c r="G502" s="1359">
        <f t="shared" si="313"/>
        <v>0</v>
      </c>
      <c r="H502" s="1359">
        <f t="shared" si="313"/>
        <v>0</v>
      </c>
      <c r="I502" s="1359">
        <f t="shared" si="313"/>
        <v>0</v>
      </c>
      <c r="J502" s="1359">
        <f t="shared" si="313"/>
        <v>0</v>
      </c>
      <c r="K502" s="1359">
        <f t="shared" si="313"/>
        <v>0</v>
      </c>
      <c r="L502" s="1359">
        <f t="shared" si="313"/>
        <v>0</v>
      </c>
      <c r="M502" s="1233">
        <f t="shared" ref="M502" si="314">+M503+M505</f>
        <v>0</v>
      </c>
      <c r="N502" s="1233">
        <f t="shared" si="313"/>
        <v>0</v>
      </c>
      <c r="O502" s="3824"/>
      <c r="P502" s="401" t="e">
        <f>+#REF!+#REF!+F502+G502</f>
        <v>#REF!</v>
      </c>
      <c r="Q502" s="401"/>
      <c r="R502" s="401"/>
      <c r="S502" s="401"/>
    </row>
    <row r="503" spans="1:19" ht="14.25" hidden="1" customHeight="1">
      <c r="A503" s="3812"/>
      <c r="B503" s="513" t="s">
        <v>24</v>
      </c>
      <c r="C503" s="3827" t="s">
        <v>112</v>
      </c>
      <c r="D503" s="1241">
        <f>+D504</f>
        <v>0</v>
      </c>
      <c r="E503" s="1241">
        <f t="shared" ref="E503:N503" si="315">+E504</f>
        <v>0</v>
      </c>
      <c r="F503" s="1360">
        <f t="shared" si="315"/>
        <v>0</v>
      </c>
      <c r="G503" s="1360">
        <f t="shared" si="315"/>
        <v>0</v>
      </c>
      <c r="H503" s="1360">
        <f t="shared" si="315"/>
        <v>0</v>
      </c>
      <c r="I503" s="1360">
        <f t="shared" si="315"/>
        <v>0</v>
      </c>
      <c r="J503" s="1360">
        <f t="shared" si="315"/>
        <v>0</v>
      </c>
      <c r="K503" s="1360">
        <f t="shared" si="315"/>
        <v>0</v>
      </c>
      <c r="L503" s="1360">
        <f t="shared" si="315"/>
        <v>0</v>
      </c>
      <c r="M503" s="1235">
        <f t="shared" si="315"/>
        <v>0</v>
      </c>
      <c r="N503" s="1235">
        <f t="shared" si="315"/>
        <v>0</v>
      </c>
      <c r="O503" s="3824"/>
      <c r="P503" s="401"/>
    </row>
    <row r="504" spans="1:19" ht="14.25" hidden="1" customHeight="1">
      <c r="A504" s="3812"/>
      <c r="B504" s="733" t="s">
        <v>12</v>
      </c>
      <c r="C504" s="3828"/>
      <c r="D504" s="1159">
        <f t="shared" ref="D504" si="316">E504+F504+G504+H504+I504+J504+K504+L504</f>
        <v>0</v>
      </c>
      <c r="E504" s="1206"/>
      <c r="F504" s="1268">
        <v>0</v>
      </c>
      <c r="G504" s="1268">
        <v>0</v>
      </c>
      <c r="H504" s="1268">
        <v>0</v>
      </c>
      <c r="I504" s="1268">
        <v>0</v>
      </c>
      <c r="J504" s="1268">
        <v>0</v>
      </c>
      <c r="K504" s="1268">
        <v>0</v>
      </c>
      <c r="L504" s="1268">
        <v>0</v>
      </c>
      <c r="M504" s="1244">
        <f>SUM(E504:H504)</f>
        <v>0</v>
      </c>
      <c r="N504" s="1244">
        <f>SUM(F504:I504)</f>
        <v>0</v>
      </c>
      <c r="O504" s="3824"/>
    </row>
    <row r="505" spans="1:19" ht="14.25" hidden="1" customHeight="1">
      <c r="A505" s="3812"/>
      <c r="B505" s="729" t="s">
        <v>18</v>
      </c>
      <c r="C505" s="3828"/>
      <c r="D505" s="1234">
        <f t="shared" ref="D505:N505" si="317">+D506</f>
        <v>0</v>
      </c>
      <c r="E505" s="1234">
        <f t="shared" si="317"/>
        <v>0</v>
      </c>
      <c r="F505" s="1361">
        <f t="shared" si="317"/>
        <v>0</v>
      </c>
      <c r="G505" s="1361">
        <f t="shared" si="317"/>
        <v>0</v>
      </c>
      <c r="H505" s="1361">
        <f t="shared" si="317"/>
        <v>0</v>
      </c>
      <c r="I505" s="1361">
        <f t="shared" si="317"/>
        <v>0</v>
      </c>
      <c r="J505" s="1361">
        <f t="shared" si="317"/>
        <v>0</v>
      </c>
      <c r="K505" s="1361">
        <f t="shared" si="317"/>
        <v>0</v>
      </c>
      <c r="L505" s="1361">
        <f t="shared" si="317"/>
        <v>0</v>
      </c>
      <c r="M505" s="1235">
        <f t="shared" si="317"/>
        <v>0</v>
      </c>
      <c r="N505" s="1235">
        <f t="shared" si="317"/>
        <v>0</v>
      </c>
      <c r="O505" s="3824"/>
    </row>
    <row r="506" spans="1:19" ht="14.25" hidden="1" customHeight="1">
      <c r="A506" s="3812"/>
      <c r="B506" s="1362" t="s">
        <v>20</v>
      </c>
      <c r="C506" s="3828"/>
      <c r="D506" s="1159">
        <f t="shared" ref="D506" si="318">E506+F506+G506+H506+I506+J506+K506+L506</f>
        <v>0</v>
      </c>
      <c r="E506" s="1206">
        <v>0</v>
      </c>
      <c r="F506" s="1268">
        <v>0</v>
      </c>
      <c r="G506" s="1268">
        <v>0</v>
      </c>
      <c r="H506" s="1268">
        <v>0</v>
      </c>
      <c r="I506" s="1268">
        <v>0</v>
      </c>
      <c r="J506" s="1268">
        <v>0</v>
      </c>
      <c r="K506" s="1268">
        <v>0</v>
      </c>
      <c r="L506" s="1268">
        <v>0</v>
      </c>
      <c r="M506" s="1244">
        <f>SUM(E506:H506)</f>
        <v>0</v>
      </c>
      <c r="N506" s="1244">
        <f>SUM(F506:I506)</f>
        <v>0</v>
      </c>
      <c r="O506" s="3824"/>
    </row>
    <row r="507" spans="1:19" ht="14.25" hidden="1" customHeight="1">
      <c r="A507" s="3813"/>
      <c r="B507" s="534" t="s">
        <v>22</v>
      </c>
      <c r="C507" s="1231"/>
      <c r="D507" s="1232">
        <f>+D508</f>
        <v>0</v>
      </c>
      <c r="E507" s="1232">
        <f t="shared" ref="E507:L508" si="319">+E508</f>
        <v>0</v>
      </c>
      <c r="F507" s="1363">
        <f t="shared" si="319"/>
        <v>0</v>
      </c>
      <c r="G507" s="1363">
        <f t="shared" si="319"/>
        <v>0</v>
      </c>
      <c r="H507" s="1363">
        <f t="shared" si="319"/>
        <v>0</v>
      </c>
      <c r="I507" s="1363">
        <f t="shared" si="319"/>
        <v>0</v>
      </c>
      <c r="J507" s="1363">
        <f t="shared" si="319"/>
        <v>0</v>
      </c>
      <c r="K507" s="1363">
        <f t="shared" si="319"/>
        <v>0</v>
      </c>
      <c r="L507" s="1363">
        <f t="shared" si="319"/>
        <v>0</v>
      </c>
      <c r="M507" s="3901" t="s">
        <v>23</v>
      </c>
      <c r="N507" s="3901" t="s">
        <v>23</v>
      </c>
      <c r="O507" s="3825"/>
    </row>
    <row r="508" spans="1:19" s="242" customFormat="1" ht="14.25" hidden="1" customHeight="1">
      <c r="A508" s="3813"/>
      <c r="B508" s="729" t="s">
        <v>18</v>
      </c>
      <c r="C508" s="3827" t="s">
        <v>113</v>
      </c>
      <c r="D508" s="1248">
        <f>+D509</f>
        <v>0</v>
      </c>
      <c r="E508" s="1255">
        <f t="shared" si="319"/>
        <v>0</v>
      </c>
      <c r="F508" s="1364">
        <f t="shared" si="319"/>
        <v>0</v>
      </c>
      <c r="G508" s="1364">
        <f t="shared" si="319"/>
        <v>0</v>
      </c>
      <c r="H508" s="1364">
        <f t="shared" si="319"/>
        <v>0</v>
      </c>
      <c r="I508" s="1364">
        <f t="shared" si="319"/>
        <v>0</v>
      </c>
      <c r="J508" s="1364">
        <f t="shared" si="319"/>
        <v>0</v>
      </c>
      <c r="K508" s="1364">
        <f t="shared" si="319"/>
        <v>0</v>
      </c>
      <c r="L508" s="1364">
        <f t="shared" si="319"/>
        <v>0</v>
      </c>
      <c r="M508" s="3896"/>
      <c r="N508" s="3896"/>
      <c r="O508" s="3825"/>
    </row>
    <row r="509" spans="1:19" s="242" customFormat="1" ht="14.25" hidden="1" customHeight="1" thickBot="1">
      <c r="A509" s="3814"/>
      <c r="B509" s="595" t="s">
        <v>20</v>
      </c>
      <c r="C509" s="3819"/>
      <c r="D509" s="1319">
        <f t="shared" ref="D509" si="320">E509+F509+G509+H509+I509+J509+K509+L509</f>
        <v>0</v>
      </c>
      <c r="E509" s="1353">
        <v>0</v>
      </c>
      <c r="F509" s="679">
        <v>0</v>
      </c>
      <c r="G509" s="679">
        <v>0</v>
      </c>
      <c r="H509" s="679">
        <v>0</v>
      </c>
      <c r="I509" s="679">
        <v>0</v>
      </c>
      <c r="J509" s="679">
        <v>0</v>
      </c>
      <c r="K509" s="679">
        <v>0</v>
      </c>
      <c r="L509" s="679">
        <v>0</v>
      </c>
      <c r="M509" s="3897"/>
      <c r="N509" s="3897"/>
      <c r="O509" s="3826"/>
      <c r="P509" s="638">
        <f>D509-D506</f>
        <v>0</v>
      </c>
    </row>
    <row r="510" spans="1:19" ht="21" customHeight="1" thickBot="1">
      <c r="A510" s="134" t="s">
        <v>114</v>
      </c>
      <c r="B510" s="135"/>
      <c r="C510" s="136"/>
      <c r="D510" s="137"/>
      <c r="E510" s="137"/>
      <c r="F510" s="136"/>
      <c r="G510" s="136"/>
      <c r="H510" s="136"/>
      <c r="I510" s="136"/>
      <c r="J510" s="136"/>
      <c r="K510" s="136"/>
      <c r="L510" s="136"/>
      <c r="M510" s="136"/>
      <c r="N510" s="136"/>
      <c r="O510" s="138"/>
    </row>
    <row r="511" spans="1:19" s="682" customFormat="1" ht="15.75" customHeight="1">
      <c r="A511" s="3847"/>
      <c r="B511" s="204" t="s">
        <v>76</v>
      </c>
      <c r="C511" s="196"/>
      <c r="D511" s="205">
        <f>+D512+D513</f>
        <v>1101133852</v>
      </c>
      <c r="E511" s="205">
        <f t="shared" ref="E511" si="321">+E512+E513</f>
        <v>367194414</v>
      </c>
      <c r="F511" s="205">
        <f t="shared" ref="F511" si="322">+F512+F513</f>
        <v>166997344</v>
      </c>
      <c r="G511" s="205">
        <f t="shared" ref="G511:L511" si="323">+G512+G513</f>
        <v>200690504</v>
      </c>
      <c r="H511" s="205">
        <f t="shared" si="323"/>
        <v>184720092</v>
      </c>
      <c r="I511" s="205">
        <f t="shared" si="323"/>
        <v>177586498</v>
      </c>
      <c r="J511" s="205">
        <f t="shared" si="323"/>
        <v>3945000</v>
      </c>
      <c r="K511" s="205">
        <f t="shared" si="323"/>
        <v>0</v>
      </c>
      <c r="L511" s="205">
        <f t="shared" si="323"/>
        <v>0</v>
      </c>
      <c r="M511" s="16">
        <f>+M512+M513</f>
        <v>733939438</v>
      </c>
      <c r="N511" s="16">
        <f>+N512+N513</f>
        <v>566942094</v>
      </c>
      <c r="O511" s="680"/>
      <c r="P511" s="681"/>
    </row>
    <row r="512" spans="1:19" s="682" customFormat="1" ht="11.25" customHeight="1">
      <c r="A512" s="3848"/>
      <c r="B512" s="198" t="s">
        <v>77</v>
      </c>
      <c r="C512" s="384"/>
      <c r="D512" s="200">
        <f t="shared" ref="D512:N512" si="324">D527+D585+D589+D602+D610+D622+D626+D634</f>
        <v>889642176</v>
      </c>
      <c r="E512" s="200">
        <f t="shared" ref="E512" si="325">E527+E585+E589+E602+E610+E622+E626+E634</f>
        <v>328478944</v>
      </c>
      <c r="F512" s="200">
        <f t="shared" si="324"/>
        <v>125586332</v>
      </c>
      <c r="G512" s="200">
        <f t="shared" si="324"/>
        <v>149947802</v>
      </c>
      <c r="H512" s="200">
        <f t="shared" si="324"/>
        <v>139077600</v>
      </c>
      <c r="I512" s="200">
        <f t="shared" si="324"/>
        <v>142606498</v>
      </c>
      <c r="J512" s="200">
        <f t="shared" si="324"/>
        <v>3945000</v>
      </c>
      <c r="K512" s="200">
        <f t="shared" si="324"/>
        <v>0</v>
      </c>
      <c r="L512" s="200">
        <f t="shared" si="324"/>
        <v>0</v>
      </c>
      <c r="M512" s="18">
        <f t="shared" ref="M512" si="326">M527+M585+M589+M602+M610+M622+M626+M634</f>
        <v>561163232</v>
      </c>
      <c r="N512" s="18">
        <f t="shared" si="324"/>
        <v>435576900</v>
      </c>
      <c r="O512" s="680"/>
    </row>
    <row r="513" spans="1:17" s="682" customFormat="1" ht="13.5" customHeight="1">
      <c r="A513" s="3848"/>
      <c r="B513" s="596" t="s">
        <v>9</v>
      </c>
      <c r="C513" s="683"/>
      <c r="D513" s="684">
        <f t="shared" ref="D513:N513" si="327">D539+D547+D551+D563+D578+D618+D630+D642+D650+D654</f>
        <v>211491676</v>
      </c>
      <c r="E513" s="684">
        <f t="shared" ref="E513" si="328">E539+E547+E551+E563+E578+E618+E630+E642+E650+E654</f>
        <v>38715470</v>
      </c>
      <c r="F513" s="684">
        <f t="shared" si="327"/>
        <v>41411012</v>
      </c>
      <c r="G513" s="684">
        <f t="shared" si="327"/>
        <v>50742702</v>
      </c>
      <c r="H513" s="684">
        <f t="shared" si="327"/>
        <v>45642492</v>
      </c>
      <c r="I513" s="684">
        <f t="shared" si="327"/>
        <v>34980000</v>
      </c>
      <c r="J513" s="684">
        <f t="shared" si="327"/>
        <v>0</v>
      </c>
      <c r="K513" s="684">
        <f t="shared" si="327"/>
        <v>0</v>
      </c>
      <c r="L513" s="684">
        <f t="shared" si="327"/>
        <v>0</v>
      </c>
      <c r="M513" s="18">
        <f t="shared" ref="M513" si="329">M539+M547+M551+M563+M578+M618+M630+M642+M650+M654</f>
        <v>172776206</v>
      </c>
      <c r="N513" s="18">
        <f t="shared" si="327"/>
        <v>131365194</v>
      </c>
      <c r="O513" s="680"/>
      <c r="P513" s="681"/>
    </row>
    <row r="514" spans="1:17" s="682" customFormat="1" ht="14.25" customHeight="1">
      <c r="A514" s="3848"/>
      <c r="B514" s="28" t="s">
        <v>10</v>
      </c>
      <c r="C514" s="22"/>
      <c r="D514" s="29">
        <f>+D515</f>
        <v>1101133852</v>
      </c>
      <c r="E514" s="29">
        <f t="shared" ref="E514:L515" si="330">+E515</f>
        <v>367194414</v>
      </c>
      <c r="F514" s="29">
        <f t="shared" si="330"/>
        <v>166997344</v>
      </c>
      <c r="G514" s="29">
        <f t="shared" si="330"/>
        <v>200690504</v>
      </c>
      <c r="H514" s="29">
        <f t="shared" si="330"/>
        <v>184720092</v>
      </c>
      <c r="I514" s="29">
        <f t="shared" si="330"/>
        <v>177586498</v>
      </c>
      <c r="J514" s="29">
        <f t="shared" si="330"/>
        <v>3945000</v>
      </c>
      <c r="K514" s="29">
        <f t="shared" si="330"/>
        <v>0</v>
      </c>
      <c r="L514" s="29">
        <f t="shared" si="330"/>
        <v>0</v>
      </c>
      <c r="M514" s="30">
        <f>+M515</f>
        <v>733939438</v>
      </c>
      <c r="N514" s="30">
        <f>+N515</f>
        <v>566942094</v>
      </c>
      <c r="O514" s="685"/>
      <c r="P514" s="681">
        <f>N514-N511</f>
        <v>0</v>
      </c>
    </row>
    <row r="515" spans="1:17" s="689" customFormat="1" ht="12">
      <c r="A515" s="3848"/>
      <c r="B515" s="686" t="s">
        <v>24</v>
      </c>
      <c r="C515" s="687"/>
      <c r="D515" s="385">
        <f>SUM(D516:D519)</f>
        <v>1101133852</v>
      </c>
      <c r="E515" s="385">
        <f t="shared" ref="E515" si="331">SUM(E516:E519)</f>
        <v>367194414</v>
      </c>
      <c r="F515" s="385">
        <f t="shared" ref="F515:I515" si="332">SUM(F516:F519)</f>
        <v>166997344</v>
      </c>
      <c r="G515" s="385">
        <f t="shared" si="332"/>
        <v>200690504</v>
      </c>
      <c r="H515" s="385">
        <f t="shared" si="332"/>
        <v>184720092</v>
      </c>
      <c r="I515" s="385">
        <f t="shared" si="332"/>
        <v>177586498</v>
      </c>
      <c r="J515" s="385">
        <f t="shared" si="330"/>
        <v>3945000</v>
      </c>
      <c r="K515" s="385">
        <f t="shared" si="330"/>
        <v>0</v>
      </c>
      <c r="L515" s="385">
        <f t="shared" si="330"/>
        <v>0</v>
      </c>
      <c r="M515" s="76">
        <f>SUM(M516:M519)</f>
        <v>733939438</v>
      </c>
      <c r="N515" s="76">
        <f>SUM(N516:N519)</f>
        <v>566942094</v>
      </c>
      <c r="O515" s="2058"/>
      <c r="P515" s="688"/>
    </row>
    <row r="516" spans="1:17" s="682" customFormat="1" ht="12">
      <c r="A516" s="3848"/>
      <c r="B516" s="610" t="s">
        <v>12</v>
      </c>
      <c r="C516" s="611"/>
      <c r="D516" s="386">
        <f>+D529+D537+D541+D549+D553+D656+D557+D565+D572+D587+D591+D600+D604+D612+D620+D628+D580+D624+D632+D636+D644+D652</f>
        <v>1004329127</v>
      </c>
      <c r="E516" s="386">
        <f t="shared" ref="E516" si="333">+E529+E537+E541+E549+E553+E656+E557+E565+E572+E587+E591+E600+E604+E612+E620+E628+E580+E624+E632+E636+E644+E652</f>
        <v>362500650</v>
      </c>
      <c r="F516" s="386">
        <f t="shared" ref="F516:L516" si="334">+F529+F537+F541+F549+F553+F656+F557+F565+F572+F587+F591+F600+F604+F612+F620+F628+F580+F624+F632+F636+F644+F652</f>
        <v>129567608</v>
      </c>
      <c r="G516" s="386">
        <f t="shared" si="334"/>
        <v>174312139</v>
      </c>
      <c r="H516" s="386">
        <f t="shared" si="334"/>
        <v>170600092</v>
      </c>
      <c r="I516" s="386">
        <f t="shared" si="334"/>
        <v>163403638</v>
      </c>
      <c r="J516" s="386">
        <f t="shared" si="334"/>
        <v>3945000</v>
      </c>
      <c r="K516" s="386">
        <f t="shared" si="334"/>
        <v>0</v>
      </c>
      <c r="L516" s="386">
        <f t="shared" si="334"/>
        <v>0</v>
      </c>
      <c r="M516" s="727">
        <f t="shared" ref="M516:N519" si="335">SUM(F516:K516)</f>
        <v>641828477</v>
      </c>
      <c r="N516" s="727">
        <f t="shared" si="335"/>
        <v>512260869</v>
      </c>
      <c r="O516" s="3849"/>
      <c r="P516" s="681"/>
    </row>
    <row r="517" spans="1:17" s="682" customFormat="1" ht="12">
      <c r="A517" s="3848"/>
      <c r="B517" s="610" t="s">
        <v>78</v>
      </c>
      <c r="C517" s="611"/>
      <c r="D517" s="386">
        <f>D605+D613+D637</f>
        <v>23425991</v>
      </c>
      <c r="E517" s="386">
        <f t="shared" ref="E517" si="336">E605+E613+E637</f>
        <v>0</v>
      </c>
      <c r="F517" s="386">
        <f t="shared" ref="F517:L517" si="337">F605+F613+F637</f>
        <v>23425991</v>
      </c>
      <c r="G517" s="386">
        <f t="shared" si="337"/>
        <v>0</v>
      </c>
      <c r="H517" s="386">
        <f t="shared" si="337"/>
        <v>0</v>
      </c>
      <c r="I517" s="386">
        <f t="shared" si="337"/>
        <v>0</v>
      </c>
      <c r="J517" s="386">
        <f t="shared" si="337"/>
        <v>0</v>
      </c>
      <c r="K517" s="386">
        <f t="shared" si="337"/>
        <v>0</v>
      </c>
      <c r="L517" s="386">
        <f t="shared" si="337"/>
        <v>0</v>
      </c>
      <c r="M517" s="727">
        <f t="shared" si="335"/>
        <v>23425991</v>
      </c>
      <c r="N517" s="727">
        <f t="shared" si="335"/>
        <v>0</v>
      </c>
      <c r="O517" s="3849"/>
      <c r="P517" s="681"/>
    </row>
    <row r="518" spans="1:17" s="682" customFormat="1" ht="12">
      <c r="A518" s="3848"/>
      <c r="B518" s="610" t="s">
        <v>15</v>
      </c>
      <c r="C518" s="611"/>
      <c r="D518" s="386">
        <f t="shared" ref="D518:L518" si="338">+D542+D558+D573+D592+D645</f>
        <v>10929533</v>
      </c>
      <c r="E518" s="386">
        <f t="shared" ref="E518" si="339">+E542+E558+E573+E592+E645</f>
        <v>4693764</v>
      </c>
      <c r="F518" s="386">
        <f t="shared" si="338"/>
        <v>4000167</v>
      </c>
      <c r="G518" s="386">
        <f t="shared" si="338"/>
        <v>2235602</v>
      </c>
      <c r="H518" s="386">
        <f t="shared" si="338"/>
        <v>0</v>
      </c>
      <c r="I518" s="386">
        <f t="shared" si="338"/>
        <v>0</v>
      </c>
      <c r="J518" s="386">
        <f t="shared" si="338"/>
        <v>0</v>
      </c>
      <c r="K518" s="386">
        <f t="shared" si="338"/>
        <v>0</v>
      </c>
      <c r="L518" s="386">
        <f t="shared" si="338"/>
        <v>0</v>
      </c>
      <c r="M518" s="727">
        <f t="shared" si="335"/>
        <v>6235769</v>
      </c>
      <c r="N518" s="727">
        <f t="shared" si="335"/>
        <v>2235602</v>
      </c>
      <c r="O518" s="3849"/>
      <c r="P518" s="681">
        <f>D518-D524</f>
        <v>0</v>
      </c>
    </row>
    <row r="519" spans="1:17" s="682" customFormat="1" ht="13.5" customHeight="1">
      <c r="A519" s="3848"/>
      <c r="B519" s="610" t="s">
        <v>107</v>
      </c>
      <c r="C519" s="611"/>
      <c r="D519" s="386">
        <f>D530</f>
        <v>62449201</v>
      </c>
      <c r="E519" s="386">
        <f t="shared" ref="E519" si="340">E530</f>
        <v>0</v>
      </c>
      <c r="F519" s="386">
        <f t="shared" ref="F519:L519" si="341">F530</f>
        <v>10003578</v>
      </c>
      <c r="G519" s="386">
        <f t="shared" si="341"/>
        <v>24142763</v>
      </c>
      <c r="H519" s="386">
        <f t="shared" si="341"/>
        <v>14120000</v>
      </c>
      <c r="I519" s="386">
        <f t="shared" si="341"/>
        <v>14182860</v>
      </c>
      <c r="J519" s="386">
        <f t="shared" si="341"/>
        <v>0</v>
      </c>
      <c r="K519" s="386">
        <f t="shared" si="341"/>
        <v>0</v>
      </c>
      <c r="L519" s="386">
        <f t="shared" si="341"/>
        <v>0</v>
      </c>
      <c r="M519" s="727">
        <f t="shared" si="335"/>
        <v>62449201</v>
      </c>
      <c r="N519" s="727">
        <f t="shared" si="335"/>
        <v>52445623</v>
      </c>
      <c r="O519" s="3849"/>
      <c r="P519" s="681"/>
    </row>
    <row r="520" spans="1:17" s="682" customFormat="1" ht="13.5" customHeight="1">
      <c r="A520" s="3848"/>
      <c r="B520" s="79" t="s">
        <v>22</v>
      </c>
      <c r="C520" s="22"/>
      <c r="D520" s="29">
        <f>+D521</f>
        <v>196724416</v>
      </c>
      <c r="E520" s="29">
        <f t="shared" ref="E520:L520" si="342">+E521</f>
        <v>56644776</v>
      </c>
      <c r="F520" s="29">
        <f t="shared" si="342"/>
        <v>49455283</v>
      </c>
      <c r="G520" s="29">
        <f t="shared" si="342"/>
        <v>30513187</v>
      </c>
      <c r="H520" s="29">
        <f t="shared" si="342"/>
        <v>30055585</v>
      </c>
      <c r="I520" s="29">
        <f t="shared" si="342"/>
        <v>30055585</v>
      </c>
      <c r="J520" s="29">
        <f t="shared" si="342"/>
        <v>0</v>
      </c>
      <c r="K520" s="29">
        <f t="shared" si="342"/>
        <v>0</v>
      </c>
      <c r="L520" s="29">
        <f t="shared" si="342"/>
        <v>0</v>
      </c>
      <c r="M520" s="3944" t="s">
        <v>23</v>
      </c>
      <c r="N520" s="3944" t="s">
        <v>23</v>
      </c>
      <c r="O520" s="3849"/>
    </row>
    <row r="521" spans="1:17" s="682" customFormat="1" ht="12" customHeight="1">
      <c r="A521" s="3848"/>
      <c r="B521" s="686" t="s">
        <v>24</v>
      </c>
      <c r="C521" s="616"/>
      <c r="D521" s="213">
        <f>+D522+D524+D523+D525</f>
        <v>196724416</v>
      </c>
      <c r="E521" s="213">
        <f t="shared" ref="E521" si="343">+E522+E524+E523+E525</f>
        <v>56644776</v>
      </c>
      <c r="F521" s="213">
        <f t="shared" ref="F521:L521" si="344">+F522+F524+F523+F525</f>
        <v>49455283</v>
      </c>
      <c r="G521" s="213">
        <f t="shared" si="344"/>
        <v>30513187</v>
      </c>
      <c r="H521" s="213">
        <f t="shared" si="344"/>
        <v>30055585</v>
      </c>
      <c r="I521" s="213">
        <f t="shared" si="344"/>
        <v>30055585</v>
      </c>
      <c r="J521" s="213">
        <f t="shared" si="344"/>
        <v>0</v>
      </c>
      <c r="K521" s="213">
        <f t="shared" si="344"/>
        <v>0</v>
      </c>
      <c r="L521" s="213">
        <f t="shared" si="344"/>
        <v>0</v>
      </c>
      <c r="M521" s="3896"/>
      <c r="N521" s="3896"/>
      <c r="O521" s="3849"/>
    </row>
    <row r="522" spans="1:17" s="682" customFormat="1" ht="12" customHeight="1">
      <c r="A522" s="3848"/>
      <c r="B522" s="610" t="s">
        <v>221</v>
      </c>
      <c r="C522" s="387"/>
      <c r="D522" s="139">
        <f>+D595+D583+D568</f>
        <v>99919691</v>
      </c>
      <c r="E522" s="139">
        <f t="shared" ref="E522" si="345">+E595+E583+E568</f>
        <v>23178951</v>
      </c>
      <c r="F522" s="139">
        <f t="shared" ref="F522:I522" si="346">+F595+F583+F568</f>
        <v>13609840</v>
      </c>
      <c r="G522" s="139">
        <f t="shared" si="346"/>
        <v>19858300</v>
      </c>
      <c r="H522" s="139">
        <f t="shared" si="346"/>
        <v>21636300</v>
      </c>
      <c r="I522" s="139">
        <f t="shared" si="346"/>
        <v>21636300</v>
      </c>
      <c r="J522" s="139">
        <f t="shared" ref="J522:L522" si="347">+J595+J583</f>
        <v>0</v>
      </c>
      <c r="K522" s="139">
        <f t="shared" si="347"/>
        <v>0</v>
      </c>
      <c r="L522" s="139">
        <f t="shared" si="347"/>
        <v>0</v>
      </c>
      <c r="M522" s="3896"/>
      <c r="N522" s="3896"/>
      <c r="O522" s="3849"/>
      <c r="Q522" s="681">
        <v>28500000</v>
      </c>
    </row>
    <row r="523" spans="1:17" s="682" customFormat="1" ht="12" customHeight="1">
      <c r="A523" s="2042"/>
      <c r="B523" s="610" t="s">
        <v>78</v>
      </c>
      <c r="C523" s="387"/>
      <c r="D523" s="386">
        <f>D608+D616+D640</f>
        <v>23425991</v>
      </c>
      <c r="E523" s="386">
        <f t="shared" ref="E523" si="348">E608+E616+E640</f>
        <v>0</v>
      </c>
      <c r="F523" s="386">
        <f t="shared" ref="F523:L523" si="349">F608+F616+F640</f>
        <v>23425991</v>
      </c>
      <c r="G523" s="386">
        <f t="shared" si="349"/>
        <v>0</v>
      </c>
      <c r="H523" s="386">
        <f t="shared" si="349"/>
        <v>0</v>
      </c>
      <c r="I523" s="386">
        <f t="shared" si="349"/>
        <v>0</v>
      </c>
      <c r="J523" s="386">
        <f t="shared" si="349"/>
        <v>0</v>
      </c>
      <c r="K523" s="386">
        <f t="shared" si="349"/>
        <v>0</v>
      </c>
      <c r="L523" s="386">
        <f t="shared" si="349"/>
        <v>0</v>
      </c>
      <c r="M523" s="3896"/>
      <c r="N523" s="3896"/>
      <c r="O523" s="3849"/>
      <c r="P523" s="681">
        <f>D523-D517</f>
        <v>0</v>
      </c>
      <c r="Q523" s="681">
        <v>4072498</v>
      </c>
    </row>
    <row r="524" spans="1:17" s="682" customFormat="1" ht="12" customHeight="1">
      <c r="A524" s="2042"/>
      <c r="B524" s="610" t="s">
        <v>15</v>
      </c>
      <c r="C524" s="387"/>
      <c r="D524" s="139">
        <f t="shared" ref="D524:L524" si="350">+D545+D561+D576+D596+D648</f>
        <v>10929533</v>
      </c>
      <c r="E524" s="139">
        <f t="shared" ref="E524" si="351">+E545+E561+E576+E596+E648</f>
        <v>4693764</v>
      </c>
      <c r="F524" s="139">
        <f t="shared" si="350"/>
        <v>4000167</v>
      </c>
      <c r="G524" s="139">
        <f t="shared" si="350"/>
        <v>2235602</v>
      </c>
      <c r="H524" s="139">
        <f t="shared" si="350"/>
        <v>0</v>
      </c>
      <c r="I524" s="139">
        <f t="shared" si="350"/>
        <v>0</v>
      </c>
      <c r="J524" s="139">
        <f t="shared" si="350"/>
        <v>0</v>
      </c>
      <c r="K524" s="139">
        <f t="shared" si="350"/>
        <v>0</v>
      </c>
      <c r="L524" s="139">
        <f t="shared" si="350"/>
        <v>0</v>
      </c>
      <c r="M524" s="3896"/>
      <c r="N524" s="3896"/>
      <c r="O524" s="3849"/>
      <c r="Q524" s="681">
        <v>1570791</v>
      </c>
    </row>
    <row r="525" spans="1:17" s="682" customFormat="1" ht="12" customHeight="1" thickBot="1">
      <c r="A525" s="2042"/>
      <c r="B525" s="610" t="s">
        <v>107</v>
      </c>
      <c r="C525" s="387"/>
      <c r="D525" s="139">
        <f>D533</f>
        <v>62449201</v>
      </c>
      <c r="E525" s="139">
        <f t="shared" ref="E525" si="352">E533</f>
        <v>28772061</v>
      </c>
      <c r="F525" s="139">
        <f t="shared" ref="F525:L525" si="353">F533</f>
        <v>8419285</v>
      </c>
      <c r="G525" s="139">
        <f t="shared" si="353"/>
        <v>8419285</v>
      </c>
      <c r="H525" s="139">
        <f t="shared" si="353"/>
        <v>8419285</v>
      </c>
      <c r="I525" s="139">
        <f t="shared" si="353"/>
        <v>8419285</v>
      </c>
      <c r="J525" s="139">
        <f t="shared" si="353"/>
        <v>0</v>
      </c>
      <c r="K525" s="139">
        <f t="shared" si="353"/>
        <v>0</v>
      </c>
      <c r="L525" s="139">
        <f t="shared" si="353"/>
        <v>0</v>
      </c>
      <c r="M525" s="3897"/>
      <c r="N525" s="3897"/>
      <c r="O525" s="3850"/>
    </row>
    <row r="526" spans="1:17" s="682" customFormat="1" ht="13.5" customHeight="1">
      <c r="A526" s="3847" t="s">
        <v>63</v>
      </c>
      <c r="B526" s="71" t="s">
        <v>462</v>
      </c>
      <c r="C526" s="56" t="s">
        <v>110</v>
      </c>
      <c r="D526" s="97"/>
      <c r="E526" s="99"/>
      <c r="F526" s="98"/>
      <c r="G526" s="98"/>
      <c r="H526" s="221"/>
      <c r="I526" s="221"/>
      <c r="J526" s="221"/>
      <c r="K526" s="221"/>
      <c r="L526" s="221"/>
      <c r="M526" s="1084"/>
      <c r="N526" s="1084"/>
      <c r="O526" s="3859" t="s">
        <v>103</v>
      </c>
    </row>
    <row r="527" spans="1:17" s="682" customFormat="1" ht="12">
      <c r="A527" s="3848"/>
      <c r="B527" s="427" t="s">
        <v>10</v>
      </c>
      <c r="C527" s="1231"/>
      <c r="D527" s="1373">
        <f>+D528</f>
        <v>83298218</v>
      </c>
      <c r="E527" s="1373">
        <f t="shared" ref="E527:I527" si="354">+E528</f>
        <v>2184218</v>
      </c>
      <c r="F527" s="1373">
        <f t="shared" si="354"/>
        <v>12304401</v>
      </c>
      <c r="G527" s="1373">
        <f t="shared" si="354"/>
        <v>29695599</v>
      </c>
      <c r="H527" s="1373">
        <f t="shared" si="354"/>
        <v>17367600</v>
      </c>
      <c r="I527" s="1373">
        <f t="shared" si="354"/>
        <v>21746400</v>
      </c>
      <c r="J527" s="1256">
        <v>0</v>
      </c>
      <c r="K527" s="1256">
        <v>0</v>
      </c>
      <c r="L527" s="1256">
        <v>0</v>
      </c>
      <c r="M527" s="1282">
        <f>+M528</f>
        <v>81114000</v>
      </c>
      <c r="N527" s="1282">
        <f>+N528</f>
        <v>68809599</v>
      </c>
      <c r="O527" s="3860"/>
      <c r="P527" s="681"/>
    </row>
    <row r="528" spans="1:17" s="682" customFormat="1" ht="12">
      <c r="A528" s="3848"/>
      <c r="B528" s="538" t="s">
        <v>24</v>
      </c>
      <c r="C528" s="3827" t="s">
        <v>99</v>
      </c>
      <c r="D528" s="1374">
        <f>D529+D530</f>
        <v>83298218</v>
      </c>
      <c r="E528" s="1374">
        <f t="shared" ref="E528:G528" si="355">E529+E530</f>
        <v>2184218</v>
      </c>
      <c r="F528" s="1374">
        <f>F529+F530</f>
        <v>12304401</v>
      </c>
      <c r="G528" s="1374">
        <f t="shared" si="355"/>
        <v>29695599</v>
      </c>
      <c r="H528" s="1374">
        <f t="shared" ref="H528" si="356">H529+H530</f>
        <v>17367600</v>
      </c>
      <c r="I528" s="1374">
        <f t="shared" ref="I528" si="357">I529+I530</f>
        <v>21746400</v>
      </c>
      <c r="J528" s="1254">
        <v>0</v>
      </c>
      <c r="K528" s="1254">
        <v>0</v>
      </c>
      <c r="L528" s="1254">
        <v>0</v>
      </c>
      <c r="M528" s="1267">
        <f>+M529+M530</f>
        <v>81114000</v>
      </c>
      <c r="N528" s="1267">
        <f>+N529+N530</f>
        <v>68809599</v>
      </c>
      <c r="O528" s="3860"/>
    </row>
    <row r="529" spans="1:16" s="682" customFormat="1" ht="12">
      <c r="A529" s="3848"/>
      <c r="B529" s="581" t="s">
        <v>12</v>
      </c>
      <c r="C529" s="3872"/>
      <c r="D529" s="1159">
        <f>E529+F529+G529+H529+I529+J529+K529+L529</f>
        <v>20849017</v>
      </c>
      <c r="E529" s="1206">
        <v>2184218</v>
      </c>
      <c r="F529" s="1375">
        <f>23370000-5870000+3500000-18079000-620177</f>
        <v>2300823</v>
      </c>
      <c r="G529" s="1375">
        <f>29212500-15212500+7000000-16067341+620177</f>
        <v>5552836</v>
      </c>
      <c r="H529" s="1375">
        <f>3427000-179400</f>
        <v>3247600</v>
      </c>
      <c r="I529" s="1375">
        <f>7384140+179400</f>
        <v>7563540</v>
      </c>
      <c r="J529" s="1189">
        <v>0</v>
      </c>
      <c r="K529" s="1189">
        <v>0</v>
      </c>
      <c r="L529" s="1189">
        <v>0</v>
      </c>
      <c r="M529" s="1244">
        <f>SUM(F529:K529)</f>
        <v>18664799</v>
      </c>
      <c r="N529" s="1244">
        <f>SUM(G529:L529)</f>
        <v>16363976</v>
      </c>
      <c r="O529" s="3860"/>
      <c r="P529" s="681"/>
    </row>
    <row r="530" spans="1:16" s="682" customFormat="1" ht="12">
      <c r="A530" s="3848"/>
      <c r="B530" s="1085" t="s">
        <v>107</v>
      </c>
      <c r="C530" s="2044"/>
      <c r="D530" s="1213">
        <f>E530+F530+G530+H530+I530+J530+K530+L530</f>
        <v>62449201</v>
      </c>
      <c r="E530" s="1206">
        <v>0</v>
      </c>
      <c r="F530" s="106">
        <f>12700000-2696422</f>
        <v>10003578</v>
      </c>
      <c r="G530" s="106">
        <f>21446341+2696422</f>
        <v>24142763</v>
      </c>
      <c r="H530" s="106">
        <f>14900000-780000</f>
        <v>14120000</v>
      </c>
      <c r="I530" s="106">
        <f>13402860+780000</f>
        <v>14182860</v>
      </c>
      <c r="J530" s="1060">
        <v>0</v>
      </c>
      <c r="K530" s="1060">
        <v>0</v>
      </c>
      <c r="L530" s="1060">
        <v>0</v>
      </c>
      <c r="M530" s="1244">
        <f>SUM(F530:K530)</f>
        <v>62449201</v>
      </c>
      <c r="N530" s="1244">
        <f>SUM(G530:L530)</f>
        <v>52445623</v>
      </c>
      <c r="O530" s="3860"/>
      <c r="P530" s="681"/>
    </row>
    <row r="531" spans="1:16" s="682" customFormat="1" ht="12">
      <c r="A531" s="3848"/>
      <c r="B531" s="178" t="s">
        <v>22</v>
      </c>
      <c r="C531" s="87"/>
      <c r="D531" s="1086">
        <f>D532</f>
        <v>62449201</v>
      </c>
      <c r="E531" s="1086">
        <f t="shared" ref="E531:L532" si="358">E532</f>
        <v>28772061</v>
      </c>
      <c r="F531" s="1086">
        <f t="shared" si="358"/>
        <v>8419285</v>
      </c>
      <c r="G531" s="1086">
        <f t="shared" si="358"/>
        <v>8419285</v>
      </c>
      <c r="H531" s="1086">
        <f t="shared" si="358"/>
        <v>8419285</v>
      </c>
      <c r="I531" s="1086">
        <f t="shared" si="358"/>
        <v>8419285</v>
      </c>
      <c r="J531" s="1087">
        <f t="shared" si="358"/>
        <v>0</v>
      </c>
      <c r="K531" s="1087">
        <f t="shared" si="358"/>
        <v>0</v>
      </c>
      <c r="L531" s="1087">
        <f t="shared" si="358"/>
        <v>0</v>
      </c>
      <c r="M531" s="3978" t="s">
        <v>23</v>
      </c>
      <c r="N531" s="3978" t="s">
        <v>23</v>
      </c>
      <c r="O531" s="3860"/>
      <c r="P531" s="681"/>
    </row>
    <row r="532" spans="1:16" s="682" customFormat="1" ht="14.25" customHeight="1">
      <c r="A532" s="3848"/>
      <c r="B532" s="1293" t="s">
        <v>24</v>
      </c>
      <c r="C532" s="3827" t="s">
        <v>99</v>
      </c>
      <c r="D532" s="1213">
        <f>D533</f>
        <v>62449201</v>
      </c>
      <c r="E532" s="1213">
        <f t="shared" si="358"/>
        <v>28772061</v>
      </c>
      <c r="F532" s="1213">
        <f t="shared" si="358"/>
        <v>8419285</v>
      </c>
      <c r="G532" s="1213">
        <f t="shared" si="358"/>
        <v>8419285</v>
      </c>
      <c r="H532" s="1213">
        <f t="shared" si="358"/>
        <v>8419285</v>
      </c>
      <c r="I532" s="1213">
        <f t="shared" si="358"/>
        <v>8419285</v>
      </c>
      <c r="J532" s="1376">
        <f t="shared" si="358"/>
        <v>0</v>
      </c>
      <c r="K532" s="1376">
        <f t="shared" si="358"/>
        <v>0</v>
      </c>
      <c r="L532" s="1376">
        <f t="shared" si="358"/>
        <v>0</v>
      </c>
      <c r="M532" s="3978"/>
      <c r="N532" s="3978"/>
      <c r="O532" s="3860"/>
      <c r="P532" s="681"/>
    </row>
    <row r="533" spans="1:16" s="682" customFormat="1" thickBot="1">
      <c r="A533" s="3977"/>
      <c r="B533" s="1099" t="s">
        <v>107</v>
      </c>
      <c r="C533" s="3822"/>
      <c r="D533" s="1353">
        <f>E533+F533+G533+H533+I533+J533+K533+L533</f>
        <v>62449201</v>
      </c>
      <c r="E533" s="1353">
        <v>28772061</v>
      </c>
      <c r="F533" s="1353">
        <v>8419285</v>
      </c>
      <c r="G533" s="1353">
        <v>8419285</v>
      </c>
      <c r="H533" s="1353">
        <v>8419285</v>
      </c>
      <c r="I533" s="1353">
        <v>8419285</v>
      </c>
      <c r="J533" s="1377">
        <v>0</v>
      </c>
      <c r="K533" s="1377">
        <v>0</v>
      </c>
      <c r="L533" s="1377">
        <v>0</v>
      </c>
      <c r="M533" s="3979"/>
      <c r="N533" s="3979"/>
      <c r="O533" s="3861"/>
      <c r="P533" s="681"/>
    </row>
    <row r="534" spans="1:16" s="682" customFormat="1" ht="14.25" hidden="1" customHeight="1">
      <c r="A534" s="3848"/>
      <c r="B534" s="388"/>
      <c r="C534" s="690"/>
      <c r="D534" s="81"/>
      <c r="E534" s="233"/>
      <c r="F534" s="233"/>
      <c r="G534" s="233"/>
      <c r="H534" s="233"/>
      <c r="I534" s="233"/>
      <c r="J534" s="233"/>
      <c r="K534" s="233"/>
      <c r="L534" s="233"/>
      <c r="M534" s="234"/>
      <c r="N534" s="234"/>
      <c r="O534" s="3836"/>
    </row>
    <row r="535" spans="1:16" s="682" customFormat="1" ht="13.5" hidden="1" customHeight="1">
      <c r="A535" s="3848"/>
      <c r="B535" s="28"/>
      <c r="C535" s="87"/>
      <c r="D535" s="193"/>
      <c r="E535" s="193"/>
      <c r="F535" s="193"/>
      <c r="G535" s="193"/>
      <c r="H535" s="224"/>
      <c r="I535" s="224"/>
      <c r="J535" s="224"/>
      <c r="K535" s="224"/>
      <c r="L535" s="224"/>
      <c r="M535" s="218"/>
      <c r="N535" s="218"/>
      <c r="O535" s="3837"/>
    </row>
    <row r="536" spans="1:16" s="682" customFormat="1" ht="13.5" hidden="1" customHeight="1">
      <c r="A536" s="3848"/>
      <c r="B536" s="516"/>
      <c r="C536" s="3820"/>
      <c r="D536" s="75"/>
      <c r="E536" s="75"/>
      <c r="F536" s="75"/>
      <c r="G536" s="75"/>
      <c r="H536" s="222"/>
      <c r="I536" s="222"/>
      <c r="J536" s="222"/>
      <c r="K536" s="222"/>
      <c r="L536" s="222"/>
      <c r="M536" s="219"/>
      <c r="N536" s="219"/>
      <c r="O536" s="3837"/>
    </row>
    <row r="537" spans="1:16" s="682" customFormat="1" ht="13.5" hidden="1" customHeight="1" thickBot="1">
      <c r="A537" s="3977"/>
      <c r="B537" s="68"/>
      <c r="C537" s="3819"/>
      <c r="D537" s="84"/>
      <c r="E537" s="70"/>
      <c r="F537" s="49"/>
      <c r="G537" s="49"/>
      <c r="H537" s="225"/>
      <c r="I537" s="225"/>
      <c r="J537" s="225"/>
      <c r="K537" s="225"/>
      <c r="L537" s="225"/>
      <c r="M537" s="220"/>
      <c r="N537" s="220"/>
      <c r="O537" s="3838"/>
      <c r="P537" s="681"/>
    </row>
    <row r="538" spans="1:16" s="682" customFormat="1" hidden="1" thickBot="1">
      <c r="A538" s="3964"/>
      <c r="B538" s="71"/>
      <c r="C538" s="56" t="s">
        <v>82</v>
      </c>
      <c r="D538" s="633"/>
      <c r="E538" s="92"/>
      <c r="F538" s="92"/>
      <c r="G538" s="92"/>
      <c r="H538" s="92"/>
      <c r="I538" s="92"/>
      <c r="J538" s="92"/>
      <c r="K538" s="92"/>
      <c r="L538" s="92"/>
      <c r="M538" s="43"/>
      <c r="N538" s="43"/>
      <c r="O538" s="3823" t="s">
        <v>103</v>
      </c>
    </row>
    <row r="539" spans="1:16" s="682" customFormat="1" ht="15" hidden="1" customHeight="1">
      <c r="A539" s="3965"/>
      <c r="B539" s="427" t="s">
        <v>10</v>
      </c>
      <c r="C539" s="1250"/>
      <c r="D539" s="1165">
        <f>+D540</f>
        <v>0</v>
      </c>
      <c r="E539" s="1240">
        <f t="shared" ref="E539:N539" si="359">+E540</f>
        <v>0</v>
      </c>
      <c r="F539" s="1240">
        <f t="shared" si="359"/>
        <v>0</v>
      </c>
      <c r="G539" s="1256">
        <v>0</v>
      </c>
      <c r="H539" s="1256">
        <v>0</v>
      </c>
      <c r="I539" s="1256">
        <v>0</v>
      </c>
      <c r="J539" s="1256">
        <v>0</v>
      </c>
      <c r="K539" s="1256">
        <v>0</v>
      </c>
      <c r="L539" s="1256">
        <v>0</v>
      </c>
      <c r="M539" s="1166">
        <f t="shared" si="359"/>
        <v>0</v>
      </c>
      <c r="N539" s="1166">
        <f t="shared" si="359"/>
        <v>0</v>
      </c>
      <c r="O539" s="3968"/>
      <c r="P539" s="681"/>
    </row>
    <row r="540" spans="1:16" s="682" customFormat="1" ht="13.5" hidden="1" customHeight="1">
      <c r="A540" s="3965"/>
      <c r="B540" s="538" t="s">
        <v>24</v>
      </c>
      <c r="C540" s="3827"/>
      <c r="D540" s="1168">
        <f>+D541+D542</f>
        <v>0</v>
      </c>
      <c r="E540" s="1241">
        <f t="shared" ref="E540" si="360">+E541+E542</f>
        <v>0</v>
      </c>
      <c r="F540" s="1241">
        <f>+F541+F542</f>
        <v>0</v>
      </c>
      <c r="G540" s="1254">
        <v>0</v>
      </c>
      <c r="H540" s="1254">
        <v>0</v>
      </c>
      <c r="I540" s="1254">
        <v>0</v>
      </c>
      <c r="J540" s="1254">
        <v>0</v>
      </c>
      <c r="K540" s="1254">
        <v>0</v>
      </c>
      <c r="L540" s="1254">
        <v>0</v>
      </c>
      <c r="M540" s="1235">
        <f>+M541+M542</f>
        <v>0</v>
      </c>
      <c r="N540" s="1235">
        <f>+N541+N542</f>
        <v>0</v>
      </c>
      <c r="O540" s="3968"/>
    </row>
    <row r="541" spans="1:16" s="682" customFormat="1" ht="13.5" hidden="1" customHeight="1">
      <c r="A541" s="3965"/>
      <c r="B541" s="1257" t="s">
        <v>12</v>
      </c>
      <c r="C541" s="3828"/>
      <c r="D541" s="1159">
        <f>E541+F541+G541+H541+I541+J541+K541+L541</f>
        <v>0</v>
      </c>
      <c r="E541" s="1206"/>
      <c r="F541" s="1172"/>
      <c r="G541" s="1253">
        <v>0</v>
      </c>
      <c r="H541" s="1253">
        <v>0</v>
      </c>
      <c r="I541" s="1253">
        <v>0</v>
      </c>
      <c r="J541" s="1253">
        <v>0</v>
      </c>
      <c r="K541" s="1253">
        <v>0</v>
      </c>
      <c r="L541" s="1253">
        <v>0</v>
      </c>
      <c r="M541" s="727">
        <f>SUM(F541:K541)</f>
        <v>0</v>
      </c>
      <c r="N541" s="727">
        <f>SUM(G541:L541)</f>
        <v>0</v>
      </c>
      <c r="O541" s="3968"/>
    </row>
    <row r="542" spans="1:16" s="682" customFormat="1" ht="13.5" hidden="1" customHeight="1">
      <c r="A542" s="3965"/>
      <c r="B542" s="581" t="s">
        <v>115</v>
      </c>
      <c r="C542" s="3890"/>
      <c r="D542" s="1159">
        <f>E542+F542+G542+H542+I542+J542+K542+L542</f>
        <v>0</v>
      </c>
      <c r="E542" s="1206"/>
      <c r="F542" s="1253">
        <v>0</v>
      </c>
      <c r="G542" s="1253">
        <v>0</v>
      </c>
      <c r="H542" s="1253">
        <v>0</v>
      </c>
      <c r="I542" s="1253">
        <v>0</v>
      </c>
      <c r="J542" s="1253">
        <v>0</v>
      </c>
      <c r="K542" s="1253">
        <v>0</v>
      </c>
      <c r="L542" s="1253">
        <v>0</v>
      </c>
      <c r="M542" s="727">
        <f>SUM(F542:K542)</f>
        <v>0</v>
      </c>
      <c r="N542" s="727">
        <f>SUM(G542:L542)</f>
        <v>0</v>
      </c>
      <c r="O542" s="3968"/>
    </row>
    <row r="543" spans="1:16" s="682" customFormat="1" ht="12.75" hidden="1" customHeight="1">
      <c r="A543" s="3966"/>
      <c r="B543" s="534" t="s">
        <v>22</v>
      </c>
      <c r="C543" s="1250"/>
      <c r="D543" s="1165">
        <f>+D544</f>
        <v>0</v>
      </c>
      <c r="E543" s="1165">
        <f t="shared" ref="E543:E544" si="361">+E544</f>
        <v>0</v>
      </c>
      <c r="F543" s="1256">
        <v>0</v>
      </c>
      <c r="G543" s="1256">
        <v>0</v>
      </c>
      <c r="H543" s="1256">
        <v>0</v>
      </c>
      <c r="I543" s="1256">
        <v>0</v>
      </c>
      <c r="J543" s="1256">
        <v>0</v>
      </c>
      <c r="K543" s="1256">
        <v>0</v>
      </c>
      <c r="L543" s="1256">
        <v>0</v>
      </c>
      <c r="M543" s="3959" t="s">
        <v>23</v>
      </c>
      <c r="N543" s="3959" t="s">
        <v>23</v>
      </c>
      <c r="O543" s="3968"/>
    </row>
    <row r="544" spans="1:16" s="682" customFormat="1" ht="13.5" hidden="1" customHeight="1">
      <c r="A544" s="3966"/>
      <c r="B544" s="513" t="s">
        <v>24</v>
      </c>
      <c r="C544" s="3827"/>
      <c r="D544" s="1241">
        <f>+D545</f>
        <v>0</v>
      </c>
      <c r="E544" s="1241">
        <f t="shared" si="361"/>
        <v>0</v>
      </c>
      <c r="F544" s="1254">
        <v>0</v>
      </c>
      <c r="G544" s="1254">
        <v>0</v>
      </c>
      <c r="H544" s="1254">
        <v>0</v>
      </c>
      <c r="I544" s="1254">
        <v>0</v>
      </c>
      <c r="J544" s="1254">
        <v>0</v>
      </c>
      <c r="K544" s="1254">
        <v>0</v>
      </c>
      <c r="L544" s="1254">
        <v>0</v>
      </c>
      <c r="M544" s="3960"/>
      <c r="N544" s="3960"/>
      <c r="O544" s="3968"/>
    </row>
    <row r="545" spans="1:131" s="682" customFormat="1" ht="13.5" hidden="1" customHeight="1" thickBot="1">
      <c r="A545" s="3967"/>
      <c r="B545" s="312" t="s">
        <v>115</v>
      </c>
      <c r="C545" s="3819"/>
      <c r="D545" s="1159">
        <f>E545+F545+G545+H545+I545+J545+K545+L545</f>
        <v>0</v>
      </c>
      <c r="E545" s="1206"/>
      <c r="F545" s="738">
        <v>0</v>
      </c>
      <c r="G545" s="738">
        <v>0</v>
      </c>
      <c r="H545" s="738">
        <v>0</v>
      </c>
      <c r="I545" s="738">
        <v>0</v>
      </c>
      <c r="J545" s="738">
        <v>0</v>
      </c>
      <c r="K545" s="738">
        <v>0</v>
      </c>
      <c r="L545" s="738">
        <v>0</v>
      </c>
      <c r="M545" s="3961"/>
      <c r="N545" s="3961"/>
      <c r="O545" s="3969"/>
    </row>
    <row r="546" spans="1:131" s="692" customFormat="1" ht="12" customHeight="1">
      <c r="A546" s="3842" t="s">
        <v>64</v>
      </c>
      <c r="B546" s="71" t="s">
        <v>384</v>
      </c>
      <c r="C546" s="56" t="s">
        <v>82</v>
      </c>
      <c r="D546" s="2021"/>
      <c r="E546" s="2022"/>
      <c r="F546" s="2022"/>
      <c r="G546" s="2022"/>
      <c r="H546" s="2022"/>
      <c r="I546" s="2022"/>
      <c r="J546" s="2022"/>
      <c r="K546" s="2022"/>
      <c r="L546" s="2022"/>
      <c r="M546" s="43"/>
      <c r="N546" s="43"/>
      <c r="O546" s="3808" t="s">
        <v>87</v>
      </c>
      <c r="P546" s="691"/>
      <c r="Q546" s="691"/>
      <c r="R546" s="691"/>
      <c r="S546" s="691"/>
      <c r="T546" s="691"/>
      <c r="U546" s="691"/>
      <c r="V546" s="691"/>
      <c r="W546" s="691"/>
      <c r="X546" s="691"/>
      <c r="Y546" s="691"/>
      <c r="Z546" s="691"/>
      <c r="AA546" s="691"/>
      <c r="AB546" s="691"/>
      <c r="AC546" s="691"/>
      <c r="AD546" s="691"/>
      <c r="AE546" s="691"/>
      <c r="AF546" s="691"/>
      <c r="AG546" s="691"/>
      <c r="AH546" s="691"/>
      <c r="AI546" s="691"/>
      <c r="AJ546" s="691"/>
      <c r="AK546" s="691"/>
      <c r="AL546" s="691"/>
      <c r="AM546" s="691"/>
      <c r="AN546" s="691"/>
      <c r="AO546" s="691"/>
      <c r="AP546" s="691"/>
      <c r="AQ546" s="691"/>
      <c r="AR546" s="691"/>
      <c r="AS546" s="691"/>
      <c r="AT546" s="691"/>
      <c r="AU546" s="691"/>
      <c r="AV546" s="691"/>
      <c r="AW546" s="691"/>
      <c r="AX546" s="691"/>
      <c r="AY546" s="691"/>
      <c r="AZ546" s="691"/>
      <c r="BA546" s="691"/>
      <c r="BB546" s="691"/>
      <c r="BC546" s="691"/>
      <c r="BD546" s="691"/>
      <c r="BE546" s="691"/>
      <c r="BF546" s="691"/>
      <c r="BG546" s="691"/>
      <c r="BH546" s="691"/>
      <c r="BI546" s="691"/>
      <c r="BJ546" s="691"/>
      <c r="BK546" s="691"/>
      <c r="BL546" s="691"/>
      <c r="BM546" s="691"/>
      <c r="BN546" s="691"/>
      <c r="BO546" s="691"/>
      <c r="BP546" s="691"/>
      <c r="BQ546" s="691"/>
      <c r="BR546" s="691"/>
      <c r="BS546" s="691"/>
      <c r="BT546" s="691"/>
      <c r="BU546" s="691"/>
      <c r="BV546" s="691"/>
      <c r="BW546" s="691"/>
      <c r="BX546" s="691"/>
      <c r="BY546" s="691"/>
      <c r="BZ546" s="691"/>
      <c r="CA546" s="691"/>
      <c r="CB546" s="691"/>
      <c r="CC546" s="691"/>
      <c r="CD546" s="691"/>
      <c r="CE546" s="691"/>
      <c r="CF546" s="691"/>
      <c r="CG546" s="691"/>
      <c r="CH546" s="691"/>
      <c r="CI546" s="691"/>
      <c r="CJ546" s="691"/>
      <c r="CK546" s="691"/>
      <c r="CL546" s="691"/>
      <c r="CM546" s="691"/>
      <c r="CN546" s="691"/>
      <c r="CO546" s="691"/>
      <c r="CP546" s="691"/>
      <c r="CQ546" s="691"/>
      <c r="CR546" s="691"/>
      <c r="CS546" s="691"/>
      <c r="CT546" s="691"/>
      <c r="CU546" s="691"/>
      <c r="CV546" s="691"/>
      <c r="CW546" s="691"/>
      <c r="CX546" s="691"/>
      <c r="CY546" s="691"/>
      <c r="CZ546" s="691"/>
      <c r="DA546" s="691"/>
      <c r="DB546" s="691"/>
      <c r="DC546" s="691"/>
      <c r="DD546" s="691"/>
      <c r="DE546" s="691"/>
      <c r="DF546" s="691"/>
      <c r="DG546" s="691"/>
      <c r="DH546" s="691"/>
      <c r="DI546" s="691"/>
      <c r="DJ546" s="691"/>
      <c r="DK546" s="691"/>
      <c r="DL546" s="691"/>
      <c r="DM546" s="691"/>
      <c r="DN546" s="691"/>
      <c r="DO546" s="691"/>
      <c r="DP546" s="691"/>
      <c r="DQ546" s="691"/>
      <c r="DR546" s="691"/>
      <c r="DS546" s="691"/>
      <c r="DT546" s="691"/>
      <c r="DU546" s="691"/>
      <c r="DV546" s="691"/>
      <c r="DW546" s="691"/>
      <c r="DX546" s="691"/>
      <c r="DY546" s="691"/>
      <c r="DZ546" s="691"/>
      <c r="EA546" s="691"/>
    </row>
    <row r="547" spans="1:131" s="691" customFormat="1" ht="12">
      <c r="A547" s="3843"/>
      <c r="B547" s="427" t="s">
        <v>10</v>
      </c>
      <c r="C547" s="1250"/>
      <c r="D547" s="2023">
        <f>+D548</f>
        <v>8500760</v>
      </c>
      <c r="E547" s="1251">
        <f t="shared" ref="E547:I548" si="362">+E548</f>
        <v>3000367</v>
      </c>
      <c r="F547" s="1251">
        <f t="shared" si="362"/>
        <v>97933</v>
      </c>
      <c r="G547" s="1251">
        <f t="shared" si="362"/>
        <v>809968</v>
      </c>
      <c r="H547" s="1251">
        <f t="shared" si="362"/>
        <v>2392492</v>
      </c>
      <c r="I547" s="1251">
        <f t="shared" si="362"/>
        <v>2200000</v>
      </c>
      <c r="J547" s="1256">
        <v>0</v>
      </c>
      <c r="K547" s="1256">
        <v>0</v>
      </c>
      <c r="L547" s="1256">
        <v>0</v>
      </c>
      <c r="M547" s="1166">
        <f>+M548</f>
        <v>5500393</v>
      </c>
      <c r="N547" s="1166">
        <f>+N548</f>
        <v>5402460</v>
      </c>
      <c r="O547" s="3809"/>
      <c r="P547" s="681"/>
    </row>
    <row r="548" spans="1:131" s="691" customFormat="1" ht="14.25" customHeight="1">
      <c r="A548" s="3843"/>
      <c r="B548" s="538" t="s">
        <v>24</v>
      </c>
      <c r="C548" s="3827" t="s">
        <v>85</v>
      </c>
      <c r="D548" s="105">
        <f>+D549</f>
        <v>8500760</v>
      </c>
      <c r="E548" s="1252">
        <f t="shared" si="362"/>
        <v>3000367</v>
      </c>
      <c r="F548" s="1252">
        <f t="shared" si="362"/>
        <v>97933</v>
      </c>
      <c r="G548" s="1252">
        <f t="shared" si="362"/>
        <v>809968</v>
      </c>
      <c r="H548" s="1252">
        <f t="shared" si="362"/>
        <v>2392492</v>
      </c>
      <c r="I548" s="1252">
        <f t="shared" si="362"/>
        <v>2200000</v>
      </c>
      <c r="J548" s="1254">
        <v>0</v>
      </c>
      <c r="K548" s="1254">
        <v>0</v>
      </c>
      <c r="L548" s="1254">
        <v>0</v>
      </c>
      <c r="M548" s="1235">
        <f>+M549</f>
        <v>5500393</v>
      </c>
      <c r="N548" s="1235">
        <f>+N549</f>
        <v>5402460</v>
      </c>
      <c r="O548" s="3809"/>
    </row>
    <row r="549" spans="1:131" s="691" customFormat="1" thickBot="1">
      <c r="A549" s="3844"/>
      <c r="B549" s="732" t="s">
        <v>12</v>
      </c>
      <c r="C549" s="3819"/>
      <c r="D549" s="701">
        <f>E549+F549+G549+H549+I549+J549+K549+L549</f>
        <v>8500760</v>
      </c>
      <c r="E549" s="701">
        <f>3130167-129800</f>
        <v>3000367</v>
      </c>
      <c r="F549" s="425">
        <f>1925000+100000-1300000+50351+160000+51342-67533-683227-138000</f>
        <v>97933</v>
      </c>
      <c r="G549" s="425">
        <f>1971200-850000-500000+67533+121235</f>
        <v>809968</v>
      </c>
      <c r="H549" s="425">
        <f>2020500+371992</f>
        <v>2392492</v>
      </c>
      <c r="I549" s="425">
        <f>2070000+130000</f>
        <v>2200000</v>
      </c>
      <c r="J549" s="738">
        <v>0</v>
      </c>
      <c r="K549" s="738">
        <v>0</v>
      </c>
      <c r="L549" s="738">
        <v>0</v>
      </c>
      <c r="M549" s="727">
        <f>SUM(F549:K549)</f>
        <v>5500393</v>
      </c>
      <c r="N549" s="727">
        <f>SUM(G549:L549)</f>
        <v>5402460</v>
      </c>
      <c r="O549" s="3810"/>
      <c r="P549" s="693"/>
    </row>
    <row r="550" spans="1:131" s="682" customFormat="1" ht="23.25" customHeight="1">
      <c r="A550" s="3829" t="s">
        <v>65</v>
      </c>
      <c r="B550" s="1041" t="s">
        <v>219</v>
      </c>
      <c r="C550" s="56" t="s">
        <v>82</v>
      </c>
      <c r="D550" s="97"/>
      <c r="E550" s="221"/>
      <c r="F550" s="221"/>
      <c r="G550" s="221"/>
      <c r="H550" s="221"/>
      <c r="I550" s="221"/>
      <c r="J550" s="221"/>
      <c r="K550" s="221"/>
      <c r="L550" s="221"/>
      <c r="M550" s="43"/>
      <c r="N550" s="43"/>
      <c r="O550" s="3832" t="s">
        <v>231</v>
      </c>
    </row>
    <row r="551" spans="1:131" s="682" customFormat="1" ht="12">
      <c r="A551" s="3830"/>
      <c r="B551" s="77" t="s">
        <v>10</v>
      </c>
      <c r="C551" s="22"/>
      <c r="D551" s="124">
        <f>+D552</f>
        <v>45601289</v>
      </c>
      <c r="E551" s="100">
        <f t="shared" ref="E551:N552" si="363">+E552</f>
        <v>31401289</v>
      </c>
      <c r="F551" s="100">
        <f t="shared" si="363"/>
        <v>5000000</v>
      </c>
      <c r="G551" s="100">
        <f t="shared" si="363"/>
        <v>5000000</v>
      </c>
      <c r="H551" s="100">
        <f t="shared" si="363"/>
        <v>2700000</v>
      </c>
      <c r="I551" s="100">
        <f t="shared" si="363"/>
        <v>1500000</v>
      </c>
      <c r="J551" s="100"/>
      <c r="K551" s="100"/>
      <c r="L551" s="100"/>
      <c r="M551" s="30">
        <f t="shared" si="363"/>
        <v>14200000</v>
      </c>
      <c r="N551" s="30">
        <f t="shared" si="363"/>
        <v>9200000</v>
      </c>
      <c r="O551" s="3833"/>
      <c r="P551" s="681"/>
    </row>
    <row r="552" spans="1:131" s="682" customFormat="1" ht="12">
      <c r="A552" s="3830"/>
      <c r="B552" s="209" t="s">
        <v>24</v>
      </c>
      <c r="C552" s="3820" t="s">
        <v>112</v>
      </c>
      <c r="D552" s="105">
        <f>+D553</f>
        <v>45601289</v>
      </c>
      <c r="E552" s="102">
        <f t="shared" si="363"/>
        <v>31401289</v>
      </c>
      <c r="F552" s="102">
        <f t="shared" si="363"/>
        <v>5000000</v>
      </c>
      <c r="G552" s="102">
        <f t="shared" si="363"/>
        <v>5000000</v>
      </c>
      <c r="H552" s="102">
        <f t="shared" si="363"/>
        <v>2700000</v>
      </c>
      <c r="I552" s="102">
        <f t="shared" si="363"/>
        <v>1500000</v>
      </c>
      <c r="J552" s="1042"/>
      <c r="K552" s="1042"/>
      <c r="L552" s="1042"/>
      <c r="M552" s="104">
        <f>+M553</f>
        <v>14200000</v>
      </c>
      <c r="N552" s="104">
        <f>+N553</f>
        <v>9200000</v>
      </c>
      <c r="O552" s="3833"/>
    </row>
    <row r="553" spans="1:131" s="682" customFormat="1" thickBot="1">
      <c r="A553" s="3831"/>
      <c r="B553" s="264" t="s">
        <v>12</v>
      </c>
      <c r="C553" s="3835"/>
      <c r="D553" s="226">
        <f>E553+F553+G553+H553+I553+J553+K553+L553</f>
        <v>45601289</v>
      </c>
      <c r="E553" s="249">
        <v>31401289</v>
      </c>
      <c r="F553" s="1043">
        <v>5000000</v>
      </c>
      <c r="G553" s="1043">
        <v>5000000</v>
      </c>
      <c r="H553" s="1043">
        <v>2700000</v>
      </c>
      <c r="I553" s="1043">
        <v>1500000</v>
      </c>
      <c r="J553" s="1044"/>
      <c r="K553" s="1044"/>
      <c r="L553" s="1044"/>
      <c r="M553" s="727">
        <f>SUM(F553:K553)</f>
        <v>14200000</v>
      </c>
      <c r="N553" s="727">
        <f>SUM(G553:L553)</f>
        <v>9200000</v>
      </c>
      <c r="O553" s="3834"/>
      <c r="P553" s="681"/>
    </row>
    <row r="554" spans="1:131" s="682" customFormat="1" ht="14.25" hidden="1" customHeight="1">
      <c r="A554" s="3842"/>
      <c r="B554" s="247"/>
      <c r="C554" s="56" t="s">
        <v>82</v>
      </c>
      <c r="D554" s="122"/>
      <c r="E554" s="42"/>
      <c r="F554" s="371"/>
      <c r="G554" s="371"/>
      <c r="H554" s="371"/>
      <c r="I554" s="371"/>
      <c r="J554" s="42"/>
      <c r="K554" s="42"/>
      <c r="L554" s="42"/>
      <c r="M554" s="43"/>
      <c r="N554" s="43"/>
      <c r="O554" s="3808" t="s">
        <v>87</v>
      </c>
    </row>
    <row r="555" spans="1:131" s="682" customFormat="1" ht="13.5" hidden="1" customHeight="1">
      <c r="A555" s="3843"/>
      <c r="B555" s="21" t="s">
        <v>10</v>
      </c>
      <c r="C555" s="22"/>
      <c r="D555" s="120">
        <f>+D556</f>
        <v>0</v>
      </c>
      <c r="E555" s="120">
        <v>0</v>
      </c>
      <c r="F555" s="257">
        <v>0</v>
      </c>
      <c r="G555" s="257">
        <v>0</v>
      </c>
      <c r="H555" s="257">
        <v>0</v>
      </c>
      <c r="I555" s="257">
        <v>0</v>
      </c>
      <c r="J555" s="257">
        <v>0</v>
      </c>
      <c r="K555" s="257">
        <v>0</v>
      </c>
      <c r="L555" s="257">
        <v>0</v>
      </c>
      <c r="M555" s="62">
        <f>+M556</f>
        <v>0</v>
      </c>
      <c r="N555" s="62">
        <f>+N556</f>
        <v>0</v>
      </c>
      <c r="O555" s="3809"/>
      <c r="P555" s="681" t="e">
        <f>+#REF!+#REF!+F555+G555</f>
        <v>#REF!</v>
      </c>
    </row>
    <row r="556" spans="1:131" s="682" customFormat="1" ht="12.75" hidden="1" customHeight="1">
      <c r="A556" s="3843"/>
      <c r="B556" s="164" t="s">
        <v>24</v>
      </c>
      <c r="C556" s="3820" t="s">
        <v>85</v>
      </c>
      <c r="D556" s="121">
        <f>+D557+D558</f>
        <v>0</v>
      </c>
      <c r="E556" s="121">
        <v>0</v>
      </c>
      <c r="F556" s="258">
        <v>0</v>
      </c>
      <c r="G556" s="258">
        <v>0</v>
      </c>
      <c r="H556" s="258">
        <v>0</v>
      </c>
      <c r="I556" s="258">
        <v>0</v>
      </c>
      <c r="J556" s="258">
        <v>0</v>
      </c>
      <c r="K556" s="258">
        <v>0</v>
      </c>
      <c r="L556" s="258">
        <v>0</v>
      </c>
      <c r="M556" s="76">
        <f>+M557+M558</f>
        <v>0</v>
      </c>
      <c r="N556" s="76">
        <f>+N557+N558</f>
        <v>0</v>
      </c>
      <c r="O556" s="3809"/>
      <c r="P556" s="682" t="s">
        <v>249</v>
      </c>
    </row>
    <row r="557" spans="1:131" s="682" customFormat="1" hidden="1" thickBot="1">
      <c r="A557" s="3843"/>
      <c r="B557" s="390" t="s">
        <v>12</v>
      </c>
      <c r="C557" s="3821"/>
      <c r="D557" s="226">
        <f>E557+F557+G557+H557+I557+J557+K557+L557</f>
        <v>0</v>
      </c>
      <c r="E557" s="83">
        <v>0</v>
      </c>
      <c r="F557" s="259">
        <v>0</v>
      </c>
      <c r="G557" s="259">
        <v>0</v>
      </c>
      <c r="H557" s="259">
        <v>0</v>
      </c>
      <c r="I557" s="259">
        <v>0</v>
      </c>
      <c r="J557" s="259">
        <v>0</v>
      </c>
      <c r="K557" s="259">
        <v>0</v>
      </c>
      <c r="L557" s="259">
        <v>0</v>
      </c>
      <c r="M557" s="34">
        <f>SUM(E557:H557)</f>
        <v>0</v>
      </c>
      <c r="N557" s="34">
        <f>SUM(F557:I557)</f>
        <v>0</v>
      </c>
      <c r="O557" s="3809"/>
    </row>
    <row r="558" spans="1:131" s="682" customFormat="1" hidden="1" thickBot="1">
      <c r="A558" s="3843"/>
      <c r="B558" s="391" t="s">
        <v>15</v>
      </c>
      <c r="C558" s="3872"/>
      <c r="D558" s="226">
        <f>E558+F558+G558+H558+I558+J558+K558+L558</f>
        <v>0</v>
      </c>
      <c r="E558" s="83">
        <v>0</v>
      </c>
      <c r="F558" s="259">
        <v>0</v>
      </c>
      <c r="G558" s="259">
        <v>0</v>
      </c>
      <c r="H558" s="259">
        <v>0</v>
      </c>
      <c r="I558" s="259">
        <v>0</v>
      </c>
      <c r="J558" s="259">
        <v>0</v>
      </c>
      <c r="K558" s="259">
        <v>0</v>
      </c>
      <c r="L558" s="259">
        <v>0</v>
      </c>
      <c r="M558" s="34">
        <f>SUM(E558:H558)</f>
        <v>0</v>
      </c>
      <c r="N558" s="34">
        <f>SUM(F558:I558)</f>
        <v>0</v>
      </c>
      <c r="O558" s="2045"/>
    </row>
    <row r="559" spans="1:131" s="682" customFormat="1" ht="10.5" hidden="1" customHeight="1">
      <c r="A559" s="3843"/>
      <c r="B559" s="21" t="s">
        <v>22</v>
      </c>
      <c r="C559" s="22"/>
      <c r="D559" s="120">
        <f>+D560</f>
        <v>0</v>
      </c>
      <c r="E559" s="120">
        <v>0</v>
      </c>
      <c r="F559" s="257">
        <v>0</v>
      </c>
      <c r="G559" s="257">
        <v>0</v>
      </c>
      <c r="H559" s="257">
        <v>0</v>
      </c>
      <c r="I559" s="257">
        <v>0</v>
      </c>
      <c r="J559" s="257">
        <v>0</v>
      </c>
      <c r="K559" s="257">
        <v>0</v>
      </c>
      <c r="L559" s="257">
        <v>0</v>
      </c>
      <c r="M559" s="3953" t="s">
        <v>23</v>
      </c>
      <c r="N559" s="3953" t="s">
        <v>23</v>
      </c>
      <c r="O559" s="3970" t="s">
        <v>103</v>
      </c>
    </row>
    <row r="560" spans="1:131" s="682" customFormat="1" ht="12.75" hidden="1" customHeight="1">
      <c r="A560" s="3843"/>
      <c r="B560" s="164" t="s">
        <v>24</v>
      </c>
      <c r="C560" s="3845" t="s">
        <v>85</v>
      </c>
      <c r="D560" s="121">
        <f>+D561</f>
        <v>0</v>
      </c>
      <c r="E560" s="121">
        <v>0</v>
      </c>
      <c r="F560" s="258">
        <v>0</v>
      </c>
      <c r="G560" s="258">
        <v>0</v>
      </c>
      <c r="H560" s="258">
        <v>0</v>
      </c>
      <c r="I560" s="258">
        <v>0</v>
      </c>
      <c r="J560" s="258">
        <v>0</v>
      </c>
      <c r="K560" s="258">
        <v>0</v>
      </c>
      <c r="L560" s="258">
        <v>0</v>
      </c>
      <c r="M560" s="3954"/>
      <c r="N560" s="3954"/>
      <c r="O560" s="3809"/>
    </row>
    <row r="561" spans="1:16" s="682" customFormat="1" ht="13.5" hidden="1" customHeight="1" thickBot="1">
      <c r="A561" s="3844"/>
      <c r="B561" s="389" t="s">
        <v>15</v>
      </c>
      <c r="C561" s="3846"/>
      <c r="D561" s="226">
        <f>E561+F561+G561+H561+I561+J561+K561+L561</f>
        <v>0</v>
      </c>
      <c r="E561" s="74">
        <v>0</v>
      </c>
      <c r="F561" s="259">
        <v>0</v>
      </c>
      <c r="G561" s="259">
        <v>0</v>
      </c>
      <c r="H561" s="259">
        <v>0</v>
      </c>
      <c r="I561" s="259">
        <v>0</v>
      </c>
      <c r="J561" s="259">
        <v>0</v>
      </c>
      <c r="K561" s="259">
        <v>0</v>
      </c>
      <c r="L561" s="259">
        <v>0</v>
      </c>
      <c r="M561" s="3955"/>
      <c r="N561" s="3955"/>
      <c r="O561" s="3810"/>
    </row>
    <row r="562" spans="1:16" s="682" customFormat="1" ht="23.25" customHeight="1">
      <c r="A562" s="3842" t="s">
        <v>66</v>
      </c>
      <c r="B562" s="247" t="s">
        <v>585</v>
      </c>
      <c r="C562" s="56" t="s">
        <v>82</v>
      </c>
      <c r="D562" s="40"/>
      <c r="E562" s="40"/>
      <c r="F562" s="42"/>
      <c r="G562" s="42"/>
      <c r="H562" s="42"/>
      <c r="I562" s="42"/>
      <c r="J562" s="42"/>
      <c r="K562" s="42"/>
      <c r="L562" s="42"/>
      <c r="M562" s="43"/>
      <c r="N562" s="43"/>
      <c r="O562" s="3808" t="s">
        <v>87</v>
      </c>
    </row>
    <row r="563" spans="1:16" s="682" customFormat="1" ht="12">
      <c r="A563" s="3843"/>
      <c r="B563" s="1961" t="s">
        <v>10</v>
      </c>
      <c r="C563" s="1231"/>
      <c r="D563" s="1568">
        <f>+D564</f>
        <v>1778306</v>
      </c>
      <c r="E563" s="1568">
        <f t="shared" ref="E563:G564" si="364">+E564</f>
        <v>503620</v>
      </c>
      <c r="F563" s="1569">
        <f t="shared" si="364"/>
        <v>0</v>
      </c>
      <c r="G563" s="1568">
        <f t="shared" si="364"/>
        <v>1274686</v>
      </c>
      <c r="H563" s="1569">
        <v>0</v>
      </c>
      <c r="I563" s="1569">
        <v>0</v>
      </c>
      <c r="J563" s="1569">
        <v>0</v>
      </c>
      <c r="K563" s="1569">
        <v>0</v>
      </c>
      <c r="L563" s="1569">
        <v>0</v>
      </c>
      <c r="M563" s="1570">
        <f>+M564</f>
        <v>1274686</v>
      </c>
      <c r="N563" s="1570">
        <f>+N564</f>
        <v>1274686</v>
      </c>
      <c r="O563" s="3809"/>
      <c r="P563" s="681"/>
    </row>
    <row r="564" spans="1:16" s="682" customFormat="1" ht="12.75" customHeight="1">
      <c r="A564" s="3843"/>
      <c r="B564" s="1986" t="s">
        <v>24</v>
      </c>
      <c r="C564" s="3818" t="s">
        <v>85</v>
      </c>
      <c r="D564" s="1571">
        <f>+D565</f>
        <v>1778306</v>
      </c>
      <c r="E564" s="1571">
        <f t="shared" si="364"/>
        <v>503620</v>
      </c>
      <c r="F564" s="1572">
        <f t="shared" si="364"/>
        <v>0</v>
      </c>
      <c r="G564" s="1571">
        <f t="shared" si="364"/>
        <v>1274686</v>
      </c>
      <c r="H564" s="1572">
        <v>0</v>
      </c>
      <c r="I564" s="1572">
        <v>0</v>
      </c>
      <c r="J564" s="1572">
        <v>0</v>
      </c>
      <c r="K564" s="1572">
        <v>0</v>
      </c>
      <c r="L564" s="1572">
        <v>0</v>
      </c>
      <c r="M564" s="520">
        <f>+M565</f>
        <v>1274686</v>
      </c>
      <c r="N564" s="520">
        <f>+N565</f>
        <v>1274686</v>
      </c>
      <c r="O564" s="3809"/>
    </row>
    <row r="565" spans="1:16" s="682" customFormat="1" ht="12">
      <c r="A565" s="3843"/>
      <c r="B565" s="1993" t="s">
        <v>12</v>
      </c>
      <c r="C565" s="3870"/>
      <c r="D565" s="704">
        <f>E565+F565+G565+H565+I565+J565+K565+L565</f>
        <v>1778306</v>
      </c>
      <c r="E565" s="719">
        <f>503620</f>
        <v>503620</v>
      </c>
      <c r="F565" s="1573">
        <f>1239686+35000-1274686</f>
        <v>0</v>
      </c>
      <c r="G565" s="1574">
        <v>1274686</v>
      </c>
      <c r="H565" s="1283">
        <v>0</v>
      </c>
      <c r="I565" s="1283">
        <v>0</v>
      </c>
      <c r="J565" s="1283">
        <v>0</v>
      </c>
      <c r="K565" s="1283">
        <v>0</v>
      </c>
      <c r="L565" s="1283">
        <v>0</v>
      </c>
      <c r="M565" s="727">
        <f>SUM(F565:K565)</f>
        <v>1274686</v>
      </c>
      <c r="N565" s="727">
        <f>SUM(G565:L565)</f>
        <v>1274686</v>
      </c>
      <c r="O565" s="3873"/>
    </row>
    <row r="566" spans="1:16" s="682" customFormat="1" ht="12" customHeight="1">
      <c r="A566" s="3843"/>
      <c r="B566" s="79" t="s">
        <v>22</v>
      </c>
      <c r="C566" s="1231"/>
      <c r="D566" s="1568">
        <f>+D567</f>
        <v>35000</v>
      </c>
      <c r="E566" s="1569">
        <v>0</v>
      </c>
      <c r="F566" s="1568">
        <f t="shared" ref="F566:L567" si="365">+F567</f>
        <v>35000</v>
      </c>
      <c r="G566" s="1096">
        <f t="shared" si="365"/>
        <v>0</v>
      </c>
      <c r="H566" s="1569">
        <f t="shared" si="365"/>
        <v>0</v>
      </c>
      <c r="I566" s="1569">
        <f t="shared" si="365"/>
        <v>0</v>
      </c>
      <c r="J566" s="1569">
        <f t="shared" si="365"/>
        <v>0</v>
      </c>
      <c r="K566" s="1569">
        <f t="shared" si="365"/>
        <v>0</v>
      </c>
      <c r="L566" s="1569">
        <f t="shared" si="365"/>
        <v>0</v>
      </c>
      <c r="M566" s="3956" t="s">
        <v>23</v>
      </c>
      <c r="N566" s="3956" t="s">
        <v>23</v>
      </c>
      <c r="O566" s="2043"/>
    </row>
    <row r="567" spans="1:16" s="682" customFormat="1" ht="12.75" customHeight="1">
      <c r="A567" s="3843"/>
      <c r="B567" s="1986" t="s">
        <v>24</v>
      </c>
      <c r="C567" s="3818" t="s">
        <v>85</v>
      </c>
      <c r="D567" s="1571">
        <f>+D568</f>
        <v>35000</v>
      </c>
      <c r="E567" s="1572">
        <v>0</v>
      </c>
      <c r="F567" s="1571">
        <f t="shared" si="365"/>
        <v>35000</v>
      </c>
      <c r="G567" s="1572">
        <f t="shared" si="365"/>
        <v>0</v>
      </c>
      <c r="H567" s="1572">
        <f t="shared" si="365"/>
        <v>0</v>
      </c>
      <c r="I567" s="1572">
        <f t="shared" si="365"/>
        <v>0</v>
      </c>
      <c r="J567" s="1572">
        <f t="shared" si="365"/>
        <v>0</v>
      </c>
      <c r="K567" s="1572">
        <f t="shared" si="365"/>
        <v>0</v>
      </c>
      <c r="L567" s="1572">
        <f t="shared" si="365"/>
        <v>0</v>
      </c>
      <c r="M567" s="3957"/>
      <c r="N567" s="3957"/>
      <c r="O567" s="2043" t="s">
        <v>103</v>
      </c>
    </row>
    <row r="568" spans="1:16" s="682" customFormat="1" ht="13.5" customHeight="1" thickBot="1">
      <c r="A568" s="3844"/>
      <c r="B568" s="392" t="s">
        <v>12</v>
      </c>
      <c r="C568" s="3835"/>
      <c r="D568" s="1896">
        <f>E568+F568+G568+H568+I568+J568+K568+L568</f>
        <v>35000</v>
      </c>
      <c r="E568" s="1994">
        <v>0</v>
      </c>
      <c r="F568" s="1995">
        <f>35000</f>
        <v>35000</v>
      </c>
      <c r="G568" s="1996">
        <v>0</v>
      </c>
      <c r="H568" s="1996">
        <v>0</v>
      </c>
      <c r="I568" s="1996">
        <v>0</v>
      </c>
      <c r="J568" s="1996">
        <v>0</v>
      </c>
      <c r="K568" s="1996">
        <v>0</v>
      </c>
      <c r="L568" s="1996">
        <v>0</v>
      </c>
      <c r="M568" s="3958"/>
      <c r="N568" s="3958"/>
      <c r="O568" s="2048"/>
    </row>
    <row r="569" spans="1:16" s="682" customFormat="1" ht="22.5" hidden="1" customHeight="1">
      <c r="A569" s="3842"/>
      <c r="B569" s="247"/>
      <c r="C569" s="56" t="s">
        <v>82</v>
      </c>
      <c r="D569" s="122"/>
      <c r="E569" s="42"/>
      <c r="F569" s="42"/>
      <c r="G569" s="42"/>
      <c r="H569" s="216"/>
      <c r="I569" s="94"/>
      <c r="J569" s="216"/>
      <c r="K569" s="216"/>
      <c r="L569" s="216"/>
      <c r="M569" s="43"/>
      <c r="N569" s="43"/>
      <c r="O569" s="3808" t="s">
        <v>87</v>
      </c>
    </row>
    <row r="570" spans="1:16" s="682" customFormat="1" ht="12.75" hidden="1" customHeight="1">
      <c r="A570" s="3843"/>
      <c r="B570" s="1961" t="s">
        <v>10</v>
      </c>
      <c r="C570" s="1231"/>
      <c r="D570" s="1568">
        <f>+D571</f>
        <v>0</v>
      </c>
      <c r="E570" s="1568">
        <v>0</v>
      </c>
      <c r="F570" s="1569">
        <v>0</v>
      </c>
      <c r="G570" s="1569">
        <v>0</v>
      </c>
      <c r="H570" s="1569">
        <v>0</v>
      </c>
      <c r="I570" s="1569">
        <v>0</v>
      </c>
      <c r="J570" s="1569">
        <v>0</v>
      </c>
      <c r="K570" s="1569">
        <v>0</v>
      </c>
      <c r="L570" s="1569">
        <v>0</v>
      </c>
      <c r="M570" s="519">
        <f>+M571</f>
        <v>0</v>
      </c>
      <c r="N570" s="519">
        <f>+N571</f>
        <v>0</v>
      </c>
      <c r="O570" s="3809"/>
      <c r="P570" s="681" t="e">
        <f>+#REF!+#REF!+F570+G570</f>
        <v>#REF!</v>
      </c>
    </row>
    <row r="571" spans="1:16" s="682" customFormat="1" ht="12.75" hidden="1" customHeight="1">
      <c r="A571" s="3843"/>
      <c r="B571" s="1986" t="s">
        <v>24</v>
      </c>
      <c r="C571" s="3818" t="s">
        <v>85</v>
      </c>
      <c r="D571" s="1571">
        <f>+D572+D573</f>
        <v>0</v>
      </c>
      <c r="E571" s="1571">
        <v>0</v>
      </c>
      <c r="F571" s="1572">
        <v>0</v>
      </c>
      <c r="G571" s="1572">
        <v>0</v>
      </c>
      <c r="H571" s="1572">
        <v>0</v>
      </c>
      <c r="I571" s="1572">
        <v>0</v>
      </c>
      <c r="J571" s="1572">
        <v>0</v>
      </c>
      <c r="K571" s="1572">
        <v>0</v>
      </c>
      <c r="L571" s="1572">
        <v>0</v>
      </c>
      <c r="M571" s="520">
        <f>+M572</f>
        <v>0</v>
      </c>
      <c r="N571" s="520">
        <f>+N572</f>
        <v>0</v>
      </c>
      <c r="O571" s="3809"/>
    </row>
    <row r="572" spans="1:16" s="682" customFormat="1" ht="12.75" hidden="1" customHeight="1">
      <c r="A572" s="3843"/>
      <c r="B572" s="1997" t="s">
        <v>12</v>
      </c>
      <c r="C572" s="3821"/>
      <c r="D572" s="704">
        <f>E572+F572+G572+H572+I572+J572+K572+L572</f>
        <v>0</v>
      </c>
      <c r="E572" s="719">
        <v>0</v>
      </c>
      <c r="F572" s="1283">
        <v>0</v>
      </c>
      <c r="G572" s="1283">
        <v>0</v>
      </c>
      <c r="H572" s="1283">
        <v>0</v>
      </c>
      <c r="I572" s="1283">
        <v>0</v>
      </c>
      <c r="J572" s="1283">
        <v>0</v>
      </c>
      <c r="K572" s="1283">
        <v>0</v>
      </c>
      <c r="L572" s="1283">
        <v>0</v>
      </c>
      <c r="M572" s="727">
        <f>SUM(E572:H572)</f>
        <v>0</v>
      </c>
      <c r="N572" s="727">
        <f>SUM(F572:I572)</f>
        <v>0</v>
      </c>
      <c r="O572" s="3809"/>
    </row>
    <row r="573" spans="1:16" s="682" customFormat="1" ht="12.75" hidden="1" customHeight="1">
      <c r="A573" s="3843"/>
      <c r="B573" s="391" t="s">
        <v>15</v>
      </c>
      <c r="C573" s="3872"/>
      <c r="D573" s="704">
        <f>E573+F573+G573+H573+I573+J573+K573+L573</f>
        <v>0</v>
      </c>
      <c r="E573" s="719">
        <v>0</v>
      </c>
      <c r="F573" s="1283">
        <v>0</v>
      </c>
      <c r="G573" s="1283">
        <v>0</v>
      </c>
      <c r="H573" s="1283">
        <v>0</v>
      </c>
      <c r="I573" s="1283">
        <v>0</v>
      </c>
      <c r="J573" s="1283">
        <v>0</v>
      </c>
      <c r="K573" s="1283">
        <v>0</v>
      </c>
      <c r="L573" s="1283">
        <v>0</v>
      </c>
      <c r="M573" s="727">
        <f>SUM(E573:H573)</f>
        <v>0</v>
      </c>
      <c r="N573" s="727">
        <f>SUM(F573:I573)</f>
        <v>0</v>
      </c>
      <c r="O573" s="2045"/>
    </row>
    <row r="574" spans="1:16" s="682" customFormat="1" ht="12.75" hidden="1" customHeight="1">
      <c r="A574" s="3843"/>
      <c r="B574" s="1961" t="s">
        <v>22</v>
      </c>
      <c r="C574" s="1231"/>
      <c r="D574" s="1568">
        <f>+D575</f>
        <v>0</v>
      </c>
      <c r="E574" s="1568">
        <v>0</v>
      </c>
      <c r="F574" s="1569">
        <v>0</v>
      </c>
      <c r="G574" s="1569">
        <v>0</v>
      </c>
      <c r="H574" s="1569">
        <v>0</v>
      </c>
      <c r="I574" s="1569">
        <v>0</v>
      </c>
      <c r="J574" s="1569">
        <v>0</v>
      </c>
      <c r="K574" s="1569">
        <v>0</v>
      </c>
      <c r="L574" s="1569">
        <v>0</v>
      </c>
      <c r="M574" s="3956" t="s">
        <v>23</v>
      </c>
      <c r="N574" s="3956" t="s">
        <v>23</v>
      </c>
      <c r="O574" s="3963" t="s">
        <v>103</v>
      </c>
    </row>
    <row r="575" spans="1:16" s="682" customFormat="1" ht="12.75" hidden="1" customHeight="1">
      <c r="A575" s="3843"/>
      <c r="B575" s="1986" t="s">
        <v>24</v>
      </c>
      <c r="C575" s="3952" t="s">
        <v>85</v>
      </c>
      <c r="D575" s="1571">
        <f>+D576</f>
        <v>0</v>
      </c>
      <c r="E575" s="1571">
        <v>0</v>
      </c>
      <c r="F575" s="1572">
        <v>0</v>
      </c>
      <c r="G575" s="1572">
        <v>0</v>
      </c>
      <c r="H575" s="1572">
        <v>0</v>
      </c>
      <c r="I575" s="1572">
        <v>0</v>
      </c>
      <c r="J575" s="1572">
        <v>0</v>
      </c>
      <c r="K575" s="1572">
        <v>0</v>
      </c>
      <c r="L575" s="1572">
        <v>0</v>
      </c>
      <c r="M575" s="3957"/>
      <c r="N575" s="3957"/>
      <c r="O575" s="3809"/>
    </row>
    <row r="576" spans="1:16" s="682" customFormat="1" ht="13.5" hidden="1" customHeight="1" thickBot="1">
      <c r="A576" s="3844"/>
      <c r="B576" s="389" t="s">
        <v>15</v>
      </c>
      <c r="C576" s="3846"/>
      <c r="D576" s="704">
        <f>E576+F576+G576+H576+I576+J576+K576+L576</f>
        <v>0</v>
      </c>
      <c r="E576" s="719"/>
      <c r="F576" s="1283">
        <v>0</v>
      </c>
      <c r="G576" s="1283">
        <v>0</v>
      </c>
      <c r="H576" s="1283">
        <v>0</v>
      </c>
      <c r="I576" s="1283">
        <v>0</v>
      </c>
      <c r="J576" s="1283">
        <v>0</v>
      </c>
      <c r="K576" s="1283">
        <v>0</v>
      </c>
      <c r="L576" s="1283">
        <v>0</v>
      </c>
      <c r="M576" s="3958"/>
      <c r="N576" s="3958"/>
      <c r="O576" s="3810"/>
    </row>
    <row r="577" spans="1:16" s="682" customFormat="1" ht="26.25" hidden="1" customHeight="1">
      <c r="A577" s="3842"/>
      <c r="B577" s="247"/>
      <c r="C577" s="56"/>
      <c r="D577" s="122"/>
      <c r="E577" s="42"/>
      <c r="F577" s="42"/>
      <c r="G577" s="42"/>
      <c r="H577" s="42"/>
      <c r="I577" s="95"/>
      <c r="J577" s="216"/>
      <c r="K577" s="216"/>
      <c r="L577" s="216"/>
      <c r="M577" s="216"/>
      <c r="N577" s="216"/>
      <c r="O577" s="3808" t="s">
        <v>87</v>
      </c>
    </row>
    <row r="578" spans="1:16" s="682" customFormat="1" hidden="1" thickBot="1">
      <c r="A578" s="3843"/>
      <c r="B578" s="1961" t="s">
        <v>10</v>
      </c>
      <c r="C578" s="1231"/>
      <c r="D578" s="1568"/>
      <c r="E578" s="1569"/>
      <c r="F578" s="1569"/>
      <c r="G578" s="1569"/>
      <c r="H578" s="1569"/>
      <c r="I578" s="1569"/>
      <c r="J578" s="1569"/>
      <c r="K578" s="1569"/>
      <c r="L578" s="1569"/>
      <c r="M578" s="1998">
        <f>+M579</f>
        <v>0</v>
      </c>
      <c r="N578" s="1998">
        <f>+N579</f>
        <v>0</v>
      </c>
      <c r="O578" s="3809"/>
    </row>
    <row r="579" spans="1:16" s="682" customFormat="1" hidden="1" thickBot="1">
      <c r="A579" s="3843"/>
      <c r="B579" s="1986" t="s">
        <v>24</v>
      </c>
      <c r="C579" s="3952" t="s">
        <v>85</v>
      </c>
      <c r="D579" s="1571"/>
      <c r="E579" s="1572"/>
      <c r="F579" s="1572"/>
      <c r="G579" s="1572"/>
      <c r="H579" s="1572"/>
      <c r="I579" s="1572"/>
      <c r="J579" s="1572"/>
      <c r="K579" s="1572"/>
      <c r="L579" s="1572"/>
      <c r="M579" s="584">
        <f>+M580</f>
        <v>0</v>
      </c>
      <c r="N579" s="584">
        <f>+N580</f>
        <v>0</v>
      </c>
      <c r="O579" s="3809"/>
    </row>
    <row r="580" spans="1:16" s="682" customFormat="1" hidden="1" thickBot="1">
      <c r="A580" s="3843"/>
      <c r="B580" s="1999" t="s">
        <v>12</v>
      </c>
      <c r="C580" s="3806"/>
      <c r="D580" s="1582"/>
      <c r="E580" s="1582"/>
      <c r="F580" s="1283"/>
      <c r="G580" s="1283"/>
      <c r="H580" s="1283"/>
      <c r="I580" s="1283"/>
      <c r="J580" s="1283"/>
      <c r="K580" s="1283"/>
      <c r="L580" s="1283"/>
      <c r="M580" s="727">
        <f>SUM(E580:K580)</f>
        <v>0</v>
      </c>
      <c r="N580" s="727">
        <f>SUM(F580:L580)</f>
        <v>0</v>
      </c>
      <c r="O580" s="3809"/>
    </row>
    <row r="581" spans="1:16" s="682" customFormat="1" hidden="1" thickBot="1">
      <c r="A581" s="3843"/>
      <c r="B581" s="1961" t="s">
        <v>22</v>
      </c>
      <c r="C581" s="1231"/>
      <c r="D581" s="1568"/>
      <c r="E581" s="1569"/>
      <c r="F581" s="1569"/>
      <c r="G581" s="1569"/>
      <c r="H581" s="1569"/>
      <c r="I581" s="1569"/>
      <c r="J581" s="1569"/>
      <c r="K581" s="1569"/>
      <c r="L581" s="1569"/>
      <c r="M581" s="3956" t="s">
        <v>23</v>
      </c>
      <c r="N581" s="3956" t="s">
        <v>23</v>
      </c>
      <c r="O581" s="3963" t="s">
        <v>103</v>
      </c>
    </row>
    <row r="582" spans="1:16" s="682" customFormat="1" hidden="1" thickBot="1">
      <c r="A582" s="3843"/>
      <c r="B582" s="1986" t="s">
        <v>24</v>
      </c>
      <c r="C582" s="3952">
        <v>75802</v>
      </c>
      <c r="D582" s="1571"/>
      <c r="E582" s="1572"/>
      <c r="F582" s="1572"/>
      <c r="G582" s="1572"/>
      <c r="H582" s="1572"/>
      <c r="I582" s="1572"/>
      <c r="J582" s="1572"/>
      <c r="K582" s="1572"/>
      <c r="L582" s="1572"/>
      <c r="M582" s="3957"/>
      <c r="N582" s="3957"/>
      <c r="O582" s="3809"/>
    </row>
    <row r="583" spans="1:16" s="682" customFormat="1" hidden="1" thickBot="1">
      <c r="A583" s="3844"/>
      <c r="B583" s="389" t="s">
        <v>309</v>
      </c>
      <c r="C583" s="3846"/>
      <c r="D583" s="1582"/>
      <c r="E583" s="1582"/>
      <c r="F583" s="1996"/>
      <c r="G583" s="1996"/>
      <c r="H583" s="1996"/>
      <c r="I583" s="1996"/>
      <c r="J583" s="1996"/>
      <c r="K583" s="1996"/>
      <c r="L583" s="1996"/>
      <c r="M583" s="3958"/>
      <c r="N583" s="3958"/>
      <c r="O583" s="3810"/>
    </row>
    <row r="584" spans="1:16" s="682" customFormat="1" ht="15" customHeight="1">
      <c r="A584" s="3842" t="s">
        <v>67</v>
      </c>
      <c r="B584" s="247" t="s">
        <v>539</v>
      </c>
      <c r="C584" s="56" t="s">
        <v>110</v>
      </c>
      <c r="D584" s="122"/>
      <c r="E584" s="42"/>
      <c r="F584" s="42"/>
      <c r="G584" s="42"/>
      <c r="H584" s="42"/>
      <c r="I584" s="95"/>
      <c r="J584" s="42"/>
      <c r="K584" s="42"/>
      <c r="L584" s="42"/>
      <c r="M584" s="43"/>
      <c r="N584" s="43"/>
      <c r="O584" s="3808" t="s">
        <v>103</v>
      </c>
    </row>
    <row r="585" spans="1:16" s="682" customFormat="1" ht="12">
      <c r="A585" s="3843"/>
      <c r="B585" s="1961" t="s">
        <v>10</v>
      </c>
      <c r="C585" s="1231"/>
      <c r="D585" s="1568">
        <f>+D586</f>
        <v>23831912</v>
      </c>
      <c r="E585" s="1568">
        <f t="shared" ref="E585:J586" si="366">+E586</f>
        <v>6358217</v>
      </c>
      <c r="F585" s="1568">
        <f t="shared" si="366"/>
        <v>2573695</v>
      </c>
      <c r="G585" s="1568">
        <f t="shared" si="366"/>
        <v>3500000</v>
      </c>
      <c r="H585" s="1568">
        <f t="shared" si="366"/>
        <v>3800000</v>
      </c>
      <c r="I585" s="1568">
        <f t="shared" si="366"/>
        <v>3800000</v>
      </c>
      <c r="J585" s="1568">
        <f t="shared" si="366"/>
        <v>3800000</v>
      </c>
      <c r="K585" s="1569">
        <v>0</v>
      </c>
      <c r="L585" s="1569">
        <v>0</v>
      </c>
      <c r="M585" s="1998">
        <f>+M586</f>
        <v>17473695</v>
      </c>
      <c r="N585" s="1998">
        <f>+N586</f>
        <v>14900000</v>
      </c>
      <c r="O585" s="3809"/>
      <c r="P585" s="681"/>
    </row>
    <row r="586" spans="1:16" s="682" customFormat="1" ht="12">
      <c r="A586" s="3843"/>
      <c r="B586" s="1986" t="s">
        <v>24</v>
      </c>
      <c r="C586" s="3952" t="s">
        <v>99</v>
      </c>
      <c r="D586" s="1571">
        <f>+D587</f>
        <v>23831912</v>
      </c>
      <c r="E586" s="1571">
        <f t="shared" si="366"/>
        <v>6358217</v>
      </c>
      <c r="F586" s="1571">
        <f t="shared" si="366"/>
        <v>2573695</v>
      </c>
      <c r="G586" s="1571">
        <f t="shared" si="366"/>
        <v>3500000</v>
      </c>
      <c r="H586" s="1571">
        <f t="shared" si="366"/>
        <v>3800000</v>
      </c>
      <c r="I586" s="1571">
        <f t="shared" si="366"/>
        <v>3800000</v>
      </c>
      <c r="J586" s="1571">
        <f t="shared" si="366"/>
        <v>3800000</v>
      </c>
      <c r="K586" s="1572">
        <v>0</v>
      </c>
      <c r="L586" s="1572">
        <v>0</v>
      </c>
      <c r="M586" s="584">
        <f>+M587</f>
        <v>17473695</v>
      </c>
      <c r="N586" s="584">
        <f>+N587</f>
        <v>14900000</v>
      </c>
      <c r="O586" s="3809"/>
    </row>
    <row r="587" spans="1:16" s="682" customFormat="1" thickBot="1">
      <c r="A587" s="3844"/>
      <c r="B587" s="392" t="s">
        <v>12</v>
      </c>
      <c r="C587" s="3846"/>
      <c r="D587" s="1896">
        <f>E587+F587+G587+H587+I587+J587+K587+L587</f>
        <v>23831912</v>
      </c>
      <c r="E587" s="1896">
        <v>6358217</v>
      </c>
      <c r="F587" s="2000">
        <f>3000000+500000-913378-12927</f>
        <v>2573695</v>
      </c>
      <c r="G587" s="2000">
        <f>3000000+500000+100000-100000</f>
        <v>3500000</v>
      </c>
      <c r="H587" s="2000">
        <f>3000000+500000+300000</f>
        <v>3800000</v>
      </c>
      <c r="I587" s="2000">
        <f>3000000+500000+300000</f>
        <v>3800000</v>
      </c>
      <c r="J587" s="2000">
        <f>3000000+500000+300000</f>
        <v>3800000</v>
      </c>
      <c r="K587" s="1996">
        <v>0</v>
      </c>
      <c r="L587" s="1996">
        <v>0</v>
      </c>
      <c r="M587" s="2001">
        <f>SUM(F587:K587)</f>
        <v>17473695</v>
      </c>
      <c r="N587" s="2001">
        <f>SUM(G587:L587)</f>
        <v>14900000</v>
      </c>
      <c r="O587" s="3810"/>
    </row>
    <row r="588" spans="1:16" s="682" customFormat="1" ht="17.25" customHeight="1">
      <c r="A588" s="3842" t="s">
        <v>116</v>
      </c>
      <c r="B588" s="247" t="s">
        <v>218</v>
      </c>
      <c r="C588" s="56" t="s">
        <v>110</v>
      </c>
      <c r="D588" s="122"/>
      <c r="E588" s="42"/>
      <c r="F588" s="42"/>
      <c r="G588" s="42"/>
      <c r="H588" s="42"/>
      <c r="I588" s="95"/>
      <c r="J588" s="423"/>
      <c r="K588" s="423"/>
      <c r="L588" s="423"/>
      <c r="M588" s="43"/>
      <c r="N588" s="43"/>
      <c r="O588" s="3808" t="s">
        <v>103</v>
      </c>
    </row>
    <row r="589" spans="1:16" s="682" customFormat="1" ht="12">
      <c r="A589" s="3843"/>
      <c r="B589" s="534" t="s">
        <v>10</v>
      </c>
      <c r="C589" s="1250"/>
      <c r="D589" s="1251">
        <f>+D590</f>
        <v>674487245</v>
      </c>
      <c r="E589" s="1251">
        <f t="shared" ref="E589:I589" si="367">+E590</f>
        <v>319820454</v>
      </c>
      <c r="F589" s="1251">
        <f t="shared" si="367"/>
        <v>83406189</v>
      </c>
      <c r="G589" s="1251">
        <f t="shared" si="367"/>
        <v>89760602</v>
      </c>
      <c r="H589" s="1251">
        <f t="shared" si="367"/>
        <v>91500000</v>
      </c>
      <c r="I589" s="1251">
        <f t="shared" si="367"/>
        <v>90000000</v>
      </c>
      <c r="J589" s="1256">
        <v>0</v>
      </c>
      <c r="K589" s="1256">
        <v>0</v>
      </c>
      <c r="L589" s="1256">
        <v>0</v>
      </c>
      <c r="M589" s="1285">
        <f>+M590</f>
        <v>354666791</v>
      </c>
      <c r="N589" s="1285">
        <f>+N590</f>
        <v>271260602</v>
      </c>
      <c r="O589" s="3809"/>
      <c r="P589" s="681"/>
    </row>
    <row r="590" spans="1:16" s="682" customFormat="1" ht="12">
      <c r="A590" s="3843"/>
      <c r="B590" s="513" t="s">
        <v>24</v>
      </c>
      <c r="C590" s="3952" t="s">
        <v>99</v>
      </c>
      <c r="D590" s="1252">
        <f>+D591+D592</f>
        <v>674487245</v>
      </c>
      <c r="E590" s="1252">
        <f t="shared" ref="E590" si="368">+E591+E592</f>
        <v>319820454</v>
      </c>
      <c r="F590" s="1252">
        <f t="shared" ref="F590:G590" si="369">+F591+F592</f>
        <v>83406189</v>
      </c>
      <c r="G590" s="1252">
        <f t="shared" si="369"/>
        <v>89760602</v>
      </c>
      <c r="H590" s="1252">
        <f>+H591+H592</f>
        <v>91500000</v>
      </c>
      <c r="I590" s="1252">
        <f>+I591+I592</f>
        <v>90000000</v>
      </c>
      <c r="J590" s="1254">
        <v>0</v>
      </c>
      <c r="K590" s="1254">
        <v>0</v>
      </c>
      <c r="L590" s="1254">
        <v>0</v>
      </c>
      <c r="M590" s="1235">
        <f>+M591+M592</f>
        <v>354666791</v>
      </c>
      <c r="N590" s="1235">
        <f>+N591+N592</f>
        <v>271260602</v>
      </c>
      <c r="O590" s="3809"/>
    </row>
    <row r="591" spans="1:16" s="682" customFormat="1" ht="12">
      <c r="A591" s="3843"/>
      <c r="B591" s="1115" t="s">
        <v>12</v>
      </c>
      <c r="C591" s="3807"/>
      <c r="D591" s="704">
        <f>E591+F591+G591+H591+I591+J591+K591+L591</f>
        <v>666614712</v>
      </c>
      <c r="E591" s="1206">
        <v>315126690</v>
      </c>
      <c r="F591" s="1242">
        <f>79000000+2000000+1000000-411978</f>
        <v>81588022</v>
      </c>
      <c r="G591" s="1242">
        <f>79000000+2000000+7000000+400000</f>
        <v>88400000</v>
      </c>
      <c r="H591" s="1242">
        <f>79000000+2000000+10500000</f>
        <v>91500000</v>
      </c>
      <c r="I591" s="1242">
        <f>79000000+2000000+9000000</f>
        <v>90000000</v>
      </c>
      <c r="J591" s="1189">
        <v>0</v>
      </c>
      <c r="K591" s="1189">
        <v>0</v>
      </c>
      <c r="L591" s="1189">
        <v>0</v>
      </c>
      <c r="M591" s="1244">
        <f>SUM(F591:K591)</f>
        <v>351488022</v>
      </c>
      <c r="N591" s="1244">
        <f>SUM(G591:L591)</f>
        <v>269900000</v>
      </c>
      <c r="O591" s="3809"/>
    </row>
    <row r="592" spans="1:16" s="682" customFormat="1" ht="12">
      <c r="A592" s="3843"/>
      <c r="B592" s="1114" t="s">
        <v>15</v>
      </c>
      <c r="C592" s="2049"/>
      <c r="D592" s="704">
        <f>E592+F592+G592+H592+I592+J592+K592+L592</f>
        <v>7872533</v>
      </c>
      <c r="E592" s="1206">
        <v>4693764</v>
      </c>
      <c r="F592" s="1116">
        <f>1397794+422214-1841</f>
        <v>1818167</v>
      </c>
      <c r="G592" s="1116">
        <v>1360602</v>
      </c>
      <c r="H592" s="1117">
        <v>0</v>
      </c>
      <c r="I592" s="1117">
        <v>0</v>
      </c>
      <c r="J592" s="424">
        <v>0</v>
      </c>
      <c r="K592" s="424">
        <v>0</v>
      </c>
      <c r="L592" s="424">
        <v>0</v>
      </c>
      <c r="M592" s="1244">
        <f>SUM(F592:K592)</f>
        <v>3178769</v>
      </c>
      <c r="N592" s="1244">
        <f>SUM(G592:L592)</f>
        <v>1360602</v>
      </c>
      <c r="O592" s="3809"/>
    </row>
    <row r="593" spans="1:16" s="682" customFormat="1" ht="12">
      <c r="A593" s="3843"/>
      <c r="B593" s="534" t="s">
        <v>22</v>
      </c>
      <c r="C593" s="1250"/>
      <c r="D593" s="1251">
        <f>+D594</f>
        <v>107757224</v>
      </c>
      <c r="E593" s="1251">
        <f t="shared" ref="E593:I593" si="370">+E594</f>
        <v>27872715</v>
      </c>
      <c r="F593" s="1286">
        <f t="shared" si="370"/>
        <v>15393007</v>
      </c>
      <c r="G593" s="1286">
        <f t="shared" si="370"/>
        <v>21218902</v>
      </c>
      <c r="H593" s="1286">
        <f t="shared" si="370"/>
        <v>21636300</v>
      </c>
      <c r="I593" s="1286">
        <f t="shared" si="370"/>
        <v>21636300</v>
      </c>
      <c r="J593" s="1287">
        <v>0</v>
      </c>
      <c r="K593" s="1287">
        <v>0</v>
      </c>
      <c r="L593" s="1287">
        <v>0</v>
      </c>
      <c r="M593" s="3973" t="s">
        <v>23</v>
      </c>
      <c r="N593" s="3973" t="s">
        <v>23</v>
      </c>
      <c r="O593" s="3809"/>
    </row>
    <row r="594" spans="1:16" s="682" customFormat="1" ht="12">
      <c r="A594" s="3843"/>
      <c r="B594" s="513" t="s">
        <v>24</v>
      </c>
      <c r="C594" s="3952" t="s">
        <v>99</v>
      </c>
      <c r="D594" s="1252">
        <f>+D595+D596</f>
        <v>107757224</v>
      </c>
      <c r="E594" s="1252">
        <f t="shared" ref="E594" si="371">+E595+E596</f>
        <v>27872715</v>
      </c>
      <c r="F594" s="1252">
        <f t="shared" ref="F594:G594" si="372">+F595+F596</f>
        <v>15393007</v>
      </c>
      <c r="G594" s="1252">
        <f t="shared" si="372"/>
        <v>21218902</v>
      </c>
      <c r="H594" s="1252">
        <f>+H595+H596</f>
        <v>21636300</v>
      </c>
      <c r="I594" s="1252">
        <f>+I595+I596</f>
        <v>21636300</v>
      </c>
      <c r="J594" s="1254">
        <v>0</v>
      </c>
      <c r="K594" s="1254">
        <v>0</v>
      </c>
      <c r="L594" s="1254">
        <v>0</v>
      </c>
      <c r="M594" s="3954"/>
      <c r="N594" s="3954"/>
      <c r="O594" s="3809"/>
    </row>
    <row r="595" spans="1:16" s="682" customFormat="1" ht="12">
      <c r="A595" s="3843"/>
      <c r="B595" s="2024" t="s">
        <v>222</v>
      </c>
      <c r="C595" s="3806"/>
      <c r="D595" s="704">
        <f>E595+F595+G595+H595+I595+J595+K595+L595</f>
        <v>99884691</v>
      </c>
      <c r="E595" s="1206">
        <v>23178951</v>
      </c>
      <c r="F595" s="1288">
        <f>10500000+1500000+1574800+40</f>
        <v>13574840</v>
      </c>
      <c r="G595" s="1288">
        <f>10500000+1500000+7458300+400000</f>
        <v>19858300</v>
      </c>
      <c r="H595" s="1288">
        <f>10500000+1500000+9636300</f>
        <v>21636300</v>
      </c>
      <c r="I595" s="1288">
        <f>10500000+1500000+9636300</f>
        <v>21636300</v>
      </c>
      <c r="J595" s="1289">
        <v>0</v>
      </c>
      <c r="K595" s="1289">
        <v>0</v>
      </c>
      <c r="L595" s="1289">
        <v>0</v>
      </c>
      <c r="M595" s="3954"/>
      <c r="N595" s="3954"/>
      <c r="O595" s="3809"/>
    </row>
    <row r="596" spans="1:16" s="682" customFormat="1" ht="12" customHeight="1" thickBot="1">
      <c r="A596" s="3844"/>
      <c r="B596" s="392" t="s">
        <v>15</v>
      </c>
      <c r="C596" s="3846"/>
      <c r="D596" s="701">
        <f>E596+F596+G596+H596+I596+J596+K596+L596</f>
        <v>7872533</v>
      </c>
      <c r="E596" s="701">
        <v>4693764</v>
      </c>
      <c r="F596" s="426">
        <f>1397794+422214-1841</f>
        <v>1818167</v>
      </c>
      <c r="G596" s="426">
        <v>1360602</v>
      </c>
      <c r="H596" s="1290">
        <v>0</v>
      </c>
      <c r="I596" s="1290">
        <v>0</v>
      </c>
      <c r="J596" s="1290">
        <v>0</v>
      </c>
      <c r="K596" s="1290">
        <v>0</v>
      </c>
      <c r="L596" s="1290">
        <v>0</v>
      </c>
      <c r="M596" s="3955"/>
      <c r="N596" s="3955"/>
      <c r="O596" s="3810"/>
    </row>
    <row r="597" spans="1:16" s="682" customFormat="1" hidden="1" thickBot="1">
      <c r="A597" s="3842"/>
      <c r="B597" s="247"/>
      <c r="C597" s="56" t="s">
        <v>110</v>
      </c>
      <c r="D597" s="122"/>
      <c r="E597" s="42"/>
      <c r="F597" s="42"/>
      <c r="G597" s="42"/>
      <c r="H597" s="42"/>
      <c r="I597" s="42"/>
      <c r="J597" s="42"/>
      <c r="K597" s="42"/>
      <c r="L597" s="42"/>
      <c r="M597" s="43"/>
      <c r="N597" s="43"/>
      <c r="O597" s="3808" t="s">
        <v>103</v>
      </c>
    </row>
    <row r="598" spans="1:16" s="682" customFormat="1" hidden="1" thickBot="1">
      <c r="A598" s="3843"/>
      <c r="B598" s="21" t="s">
        <v>10</v>
      </c>
      <c r="C598" s="22"/>
      <c r="D598" s="120">
        <f>+D599</f>
        <v>0</v>
      </c>
      <c r="E598" s="120">
        <v>0</v>
      </c>
      <c r="F598" s="120"/>
      <c r="G598" s="120"/>
      <c r="H598" s="120"/>
      <c r="I598" s="120"/>
      <c r="J598" s="266"/>
      <c r="K598" s="266"/>
      <c r="L598" s="266"/>
      <c r="M598" s="88"/>
      <c r="N598" s="88"/>
      <c r="O598" s="3809"/>
      <c r="P598" s="681"/>
    </row>
    <row r="599" spans="1:16" s="682" customFormat="1" hidden="1" thickBot="1">
      <c r="A599" s="3843"/>
      <c r="B599" s="164" t="s">
        <v>24</v>
      </c>
      <c r="C599" s="394" t="s">
        <v>99</v>
      </c>
      <c r="D599" s="121">
        <f>+D600</f>
        <v>0</v>
      </c>
      <c r="E599" s="121">
        <v>0</v>
      </c>
      <c r="F599" s="121"/>
      <c r="G599" s="121"/>
      <c r="H599" s="121"/>
      <c r="I599" s="121"/>
      <c r="J599" s="265"/>
      <c r="K599" s="265"/>
      <c r="L599" s="265"/>
      <c r="M599" s="65"/>
      <c r="N599" s="65"/>
      <c r="O599" s="3809"/>
    </row>
    <row r="600" spans="1:16" s="682" customFormat="1" hidden="1" thickBot="1">
      <c r="A600" s="3843"/>
      <c r="B600" s="390" t="s">
        <v>12</v>
      </c>
      <c r="C600" s="395"/>
      <c r="D600" s="51">
        <f>SUM(E600:I600)</f>
        <v>0</v>
      </c>
      <c r="E600" s="188">
        <v>0</v>
      </c>
      <c r="F600" s="83"/>
      <c r="G600" s="83"/>
      <c r="H600" s="83"/>
      <c r="I600" s="83"/>
      <c r="J600" s="223"/>
      <c r="K600" s="223"/>
      <c r="L600" s="223"/>
      <c r="M600" s="66"/>
      <c r="N600" s="66"/>
      <c r="O600" s="3809"/>
    </row>
    <row r="601" spans="1:16" s="682" customFormat="1" ht="14.25" hidden="1" customHeight="1">
      <c r="A601" s="3842" t="s">
        <v>89</v>
      </c>
      <c r="B601" s="247"/>
      <c r="C601" s="56" t="s">
        <v>110</v>
      </c>
      <c r="D601" s="40"/>
      <c r="E601" s="42"/>
      <c r="F601" s="42"/>
      <c r="G601" s="42"/>
      <c r="H601" s="42"/>
      <c r="I601" s="42"/>
      <c r="J601" s="42"/>
      <c r="K601" s="42"/>
      <c r="L601" s="42"/>
      <c r="M601" s="43"/>
      <c r="N601" s="43"/>
      <c r="O601" s="3808" t="s">
        <v>87</v>
      </c>
    </row>
    <row r="602" spans="1:16" s="682" customFormat="1" hidden="1" thickBot="1">
      <c r="A602" s="3843"/>
      <c r="B602" s="21" t="s">
        <v>10</v>
      </c>
      <c r="C602" s="22"/>
      <c r="D602" s="120"/>
      <c r="E602" s="120"/>
      <c r="F602" s="120"/>
      <c r="G602" s="120"/>
      <c r="H602" s="120"/>
      <c r="I602" s="257"/>
      <c r="J602" s="257"/>
      <c r="K602" s="257"/>
      <c r="L602" s="257"/>
      <c r="M602" s="62">
        <f>+M603</f>
        <v>0</v>
      </c>
      <c r="N602" s="62">
        <f>+N603</f>
        <v>0</v>
      </c>
      <c r="O602" s="3809"/>
      <c r="P602" s="681"/>
    </row>
    <row r="603" spans="1:16" s="682" customFormat="1" hidden="1" thickBot="1">
      <c r="A603" s="3843"/>
      <c r="B603" s="164" t="s">
        <v>24</v>
      </c>
      <c r="C603" s="3845" t="s">
        <v>85</v>
      </c>
      <c r="D603" s="121"/>
      <c r="E603" s="121"/>
      <c r="F603" s="121"/>
      <c r="G603" s="121"/>
      <c r="H603" s="121"/>
      <c r="I603" s="258"/>
      <c r="J603" s="258"/>
      <c r="K603" s="258"/>
      <c r="L603" s="258"/>
      <c r="M603" s="76">
        <f>+M604+M605</f>
        <v>0</v>
      </c>
      <c r="N603" s="76">
        <f>+N604+N605</f>
        <v>0</v>
      </c>
      <c r="O603" s="3809"/>
    </row>
    <row r="604" spans="1:16" s="682" customFormat="1" hidden="1" thickBot="1">
      <c r="A604" s="3843"/>
      <c r="B604" s="393" t="s">
        <v>12</v>
      </c>
      <c r="C604" s="3806"/>
      <c r="D604" s="699"/>
      <c r="E604" s="699"/>
      <c r="F604" s="67"/>
      <c r="G604" s="67"/>
      <c r="H604" s="67"/>
      <c r="I604" s="259"/>
      <c r="J604" s="259"/>
      <c r="K604" s="259"/>
      <c r="L604" s="259"/>
      <c r="M604" s="34">
        <f>SUM(E604:K604)</f>
        <v>0</v>
      </c>
      <c r="N604" s="34">
        <f>SUM(F604:L604)</f>
        <v>0</v>
      </c>
      <c r="O604" s="3809"/>
    </row>
    <row r="605" spans="1:16" s="682" customFormat="1" hidden="1" thickBot="1">
      <c r="A605" s="3843"/>
      <c r="B605" s="128" t="s">
        <v>108</v>
      </c>
      <c r="C605" s="3807"/>
      <c r="D605" s="699"/>
      <c r="E605" s="699"/>
      <c r="F605" s="260"/>
      <c r="G605" s="260"/>
      <c r="H605" s="260"/>
      <c r="I605" s="260"/>
      <c r="J605" s="248"/>
      <c r="K605" s="248"/>
      <c r="L605" s="248"/>
      <c r="M605" s="34">
        <f>SUM(E605:K605)</f>
        <v>0</v>
      </c>
      <c r="N605" s="34">
        <f>SUM(F605:L605)</f>
        <v>0</v>
      </c>
      <c r="O605" s="3809"/>
    </row>
    <row r="606" spans="1:16" s="682" customFormat="1" hidden="1" thickBot="1">
      <c r="A606" s="3843"/>
      <c r="B606" s="77" t="s">
        <v>22</v>
      </c>
      <c r="C606" s="22"/>
      <c r="D606" s="120"/>
      <c r="E606" s="120"/>
      <c r="F606" s="257"/>
      <c r="G606" s="257"/>
      <c r="H606" s="257"/>
      <c r="I606" s="257"/>
      <c r="J606" s="257"/>
      <c r="K606" s="257"/>
      <c r="L606" s="257"/>
      <c r="M606" s="3962" t="s">
        <v>23</v>
      </c>
      <c r="N606" s="3962" t="s">
        <v>23</v>
      </c>
      <c r="O606" s="3809"/>
    </row>
    <row r="607" spans="1:16" s="682" customFormat="1" hidden="1" thickBot="1">
      <c r="A607" s="3843"/>
      <c r="B607" s="164" t="s">
        <v>24</v>
      </c>
      <c r="C607" s="3845" t="s">
        <v>85</v>
      </c>
      <c r="D607" s="48"/>
      <c r="E607" s="48"/>
      <c r="F607" s="251"/>
      <c r="G607" s="251"/>
      <c r="H607" s="261"/>
      <c r="I607" s="251"/>
      <c r="J607" s="251"/>
      <c r="K607" s="251"/>
      <c r="L607" s="251"/>
      <c r="M607" s="3960"/>
      <c r="N607" s="3960"/>
      <c r="O607" s="3809"/>
    </row>
    <row r="608" spans="1:16" s="682" customFormat="1" hidden="1" thickBot="1">
      <c r="A608" s="3844"/>
      <c r="B608" s="264" t="s">
        <v>13</v>
      </c>
      <c r="C608" s="3846"/>
      <c r="D608" s="699"/>
      <c r="E608" s="699"/>
      <c r="F608" s="262"/>
      <c r="G608" s="262"/>
      <c r="H608" s="263"/>
      <c r="I608" s="262"/>
      <c r="J608" s="262"/>
      <c r="K608" s="262"/>
      <c r="L608" s="262"/>
      <c r="M608" s="3961"/>
      <c r="N608" s="3961"/>
      <c r="O608" s="3810"/>
    </row>
    <row r="609" spans="1:16" s="682" customFormat="1" ht="24.75" hidden="1" customHeight="1">
      <c r="A609" s="3842" t="s">
        <v>92</v>
      </c>
      <c r="B609" s="247"/>
      <c r="C609" s="56"/>
      <c r="D609" s="40"/>
      <c r="E609" s="40"/>
      <c r="F609" s="40"/>
      <c r="G609" s="40"/>
      <c r="H609" s="42"/>
      <c r="I609" s="42"/>
      <c r="J609" s="42"/>
      <c r="K609" s="42"/>
      <c r="L609" s="42"/>
      <c r="M609" s="43"/>
      <c r="N609" s="43"/>
      <c r="O609" s="3808" t="s">
        <v>87</v>
      </c>
    </row>
    <row r="610" spans="1:16" s="682" customFormat="1" hidden="1" thickBot="1">
      <c r="A610" s="3843"/>
      <c r="B610" s="21" t="s">
        <v>10</v>
      </c>
      <c r="C610" s="22"/>
      <c r="D610" s="120"/>
      <c r="E610" s="120"/>
      <c r="F610" s="120"/>
      <c r="G610" s="120"/>
      <c r="H610" s="120"/>
      <c r="I610" s="257"/>
      <c r="J610" s="257"/>
      <c r="K610" s="257"/>
      <c r="L610" s="257"/>
      <c r="M610" s="62">
        <f>+M611</f>
        <v>0</v>
      </c>
      <c r="N610" s="62">
        <f>+N611</f>
        <v>0</v>
      </c>
      <c r="O610" s="3809"/>
      <c r="P610" s="681"/>
    </row>
    <row r="611" spans="1:16" s="682" customFormat="1" hidden="1" thickBot="1">
      <c r="A611" s="3843"/>
      <c r="B611" s="164" t="s">
        <v>24</v>
      </c>
      <c r="C611" s="3845" t="s">
        <v>85</v>
      </c>
      <c r="D611" s="121"/>
      <c r="E611" s="121"/>
      <c r="F611" s="121"/>
      <c r="G611" s="121"/>
      <c r="H611" s="121"/>
      <c r="I611" s="260"/>
      <c r="J611" s="248"/>
      <c r="K611" s="248"/>
      <c r="L611" s="248"/>
      <c r="M611" s="76">
        <f>+M612+M613</f>
        <v>0</v>
      </c>
      <c r="N611" s="76">
        <f>+N612+N613</f>
        <v>0</v>
      </c>
      <c r="O611" s="3809"/>
    </row>
    <row r="612" spans="1:16" s="682" customFormat="1" hidden="1" thickBot="1">
      <c r="A612" s="3843"/>
      <c r="B612" s="393" t="s">
        <v>12</v>
      </c>
      <c r="C612" s="3806"/>
      <c r="D612" s="699"/>
      <c r="E612" s="699"/>
      <c r="F612" s="72"/>
      <c r="G612" s="72"/>
      <c r="H612" s="72"/>
      <c r="I612" s="260"/>
      <c r="J612" s="248"/>
      <c r="K612" s="248"/>
      <c r="L612" s="248"/>
      <c r="M612" s="34">
        <f>SUM(E612:K612)</f>
        <v>0</v>
      </c>
      <c r="N612" s="34">
        <f>SUM(F612:L612)</f>
        <v>0</v>
      </c>
      <c r="O612" s="3809"/>
    </row>
    <row r="613" spans="1:16" s="682" customFormat="1" hidden="1" thickBot="1">
      <c r="A613" s="3843"/>
      <c r="B613" s="128" t="s">
        <v>78</v>
      </c>
      <c r="C613" s="3807"/>
      <c r="D613" s="699"/>
      <c r="E613" s="699"/>
      <c r="F613" s="72"/>
      <c r="G613" s="72"/>
      <c r="H613" s="260"/>
      <c r="I613" s="260"/>
      <c r="J613" s="248"/>
      <c r="K613" s="248"/>
      <c r="L613" s="248"/>
      <c r="M613" s="34">
        <f>SUM(E613:K613)</f>
        <v>0</v>
      </c>
      <c r="N613" s="34">
        <f>SUM(F613:L613)</f>
        <v>0</v>
      </c>
      <c r="O613" s="3809"/>
    </row>
    <row r="614" spans="1:16" s="682" customFormat="1" hidden="1" thickBot="1">
      <c r="A614" s="3843"/>
      <c r="B614" s="77" t="s">
        <v>22</v>
      </c>
      <c r="C614" s="22"/>
      <c r="D614" s="120"/>
      <c r="E614" s="120"/>
      <c r="F614" s="257"/>
      <c r="G614" s="257"/>
      <c r="H614" s="257"/>
      <c r="I614" s="257"/>
      <c r="J614" s="257"/>
      <c r="K614" s="257"/>
      <c r="L614" s="257"/>
      <c r="M614" s="3962" t="s">
        <v>23</v>
      </c>
      <c r="N614" s="3962" t="s">
        <v>23</v>
      </c>
      <c r="O614" s="3809"/>
    </row>
    <row r="615" spans="1:16" s="682" customFormat="1" hidden="1" thickBot="1">
      <c r="A615" s="3843"/>
      <c r="B615" s="164" t="s">
        <v>24</v>
      </c>
      <c r="C615" s="3845" t="s">
        <v>85</v>
      </c>
      <c r="D615" s="372"/>
      <c r="E615" s="372"/>
      <c r="F615" s="261"/>
      <c r="G615" s="261"/>
      <c r="H615" s="261"/>
      <c r="I615" s="251"/>
      <c r="J615" s="251"/>
      <c r="K615" s="251"/>
      <c r="L615" s="251"/>
      <c r="M615" s="3960"/>
      <c r="N615" s="3960"/>
      <c r="O615" s="3809"/>
    </row>
    <row r="616" spans="1:16" s="682" customFormat="1" hidden="1" thickBot="1">
      <c r="A616" s="3844"/>
      <c r="B616" s="128" t="s">
        <v>13</v>
      </c>
      <c r="C616" s="3846"/>
      <c r="D616" s="699"/>
      <c r="E616" s="699"/>
      <c r="F616" s="263"/>
      <c r="G616" s="263"/>
      <c r="H616" s="263"/>
      <c r="I616" s="262"/>
      <c r="J616" s="262"/>
      <c r="K616" s="262"/>
      <c r="L616" s="262"/>
      <c r="M616" s="3961"/>
      <c r="N616" s="3961"/>
      <c r="O616" s="3810"/>
    </row>
    <row r="617" spans="1:16" s="682" customFormat="1" ht="14.25" hidden="1" customHeight="1">
      <c r="A617" s="3842" t="s">
        <v>93</v>
      </c>
      <c r="B617" s="247"/>
      <c r="C617" s="56"/>
      <c r="D617" s="122"/>
      <c r="E617" s="42"/>
      <c r="F617" s="42"/>
      <c r="G617" s="42"/>
      <c r="H617" s="42"/>
      <c r="I617" s="42"/>
      <c r="J617" s="42"/>
      <c r="K617" s="42"/>
      <c r="L617" s="42"/>
      <c r="M617" s="43"/>
      <c r="N617" s="43"/>
      <c r="O617" s="3808" t="s">
        <v>87</v>
      </c>
    </row>
    <row r="618" spans="1:16" s="682" customFormat="1" hidden="1" thickBot="1">
      <c r="A618" s="3843"/>
      <c r="B618" s="21" t="s">
        <v>10</v>
      </c>
      <c r="C618" s="22"/>
      <c r="D618" s="120"/>
      <c r="E618" s="120"/>
      <c r="F618" s="120"/>
      <c r="G618" s="120"/>
      <c r="H618" s="257"/>
      <c r="I618" s="257"/>
      <c r="J618" s="257"/>
      <c r="K618" s="257"/>
      <c r="L618" s="257"/>
      <c r="M618" s="62">
        <f>+M619</f>
        <v>0</v>
      </c>
      <c r="N618" s="62">
        <f>+N619</f>
        <v>0</v>
      </c>
      <c r="O618" s="3809"/>
      <c r="P618" s="681"/>
    </row>
    <row r="619" spans="1:16" s="682" customFormat="1" hidden="1" thickBot="1">
      <c r="A619" s="3843"/>
      <c r="B619" s="164" t="s">
        <v>24</v>
      </c>
      <c r="C619" s="3845" t="s">
        <v>85</v>
      </c>
      <c r="D619" s="121"/>
      <c r="E619" s="121"/>
      <c r="F619" s="121"/>
      <c r="G619" s="121"/>
      <c r="H619" s="258"/>
      <c r="I619" s="258"/>
      <c r="J619" s="258"/>
      <c r="K619" s="258"/>
      <c r="L619" s="258"/>
      <c r="M619" s="76">
        <f>+M620</f>
        <v>0</v>
      </c>
      <c r="N619" s="76">
        <f>+N620</f>
        <v>0</v>
      </c>
      <c r="O619" s="3809"/>
    </row>
    <row r="620" spans="1:16" s="682" customFormat="1" hidden="1" thickBot="1">
      <c r="A620" s="3844"/>
      <c r="B620" s="392" t="s">
        <v>12</v>
      </c>
      <c r="C620" s="3846"/>
      <c r="D620" s="699"/>
      <c r="E620" s="699"/>
      <c r="F620" s="217"/>
      <c r="G620" s="217"/>
      <c r="H620" s="270"/>
      <c r="I620" s="270"/>
      <c r="J620" s="259"/>
      <c r="K620" s="259"/>
      <c r="L620" s="259"/>
      <c r="M620" s="34">
        <f>SUM(E620:K620)</f>
        <v>0</v>
      </c>
      <c r="N620" s="34">
        <f>SUM(F620:L620)</f>
        <v>0</v>
      </c>
      <c r="O620" s="3810"/>
    </row>
    <row r="621" spans="1:16" s="682" customFormat="1" ht="14.25" hidden="1" customHeight="1">
      <c r="A621" s="3842" t="s">
        <v>94</v>
      </c>
      <c r="B621" s="247"/>
      <c r="C621" s="56"/>
      <c r="D621" s="122"/>
      <c r="E621" s="42"/>
      <c r="F621" s="42"/>
      <c r="G621" s="42"/>
      <c r="H621" s="42"/>
      <c r="I621" s="42"/>
      <c r="J621" s="42"/>
      <c r="K621" s="42"/>
      <c r="L621" s="42"/>
      <c r="M621" s="43"/>
      <c r="N621" s="43"/>
      <c r="O621" s="3808" t="s">
        <v>87</v>
      </c>
    </row>
    <row r="622" spans="1:16" s="682" customFormat="1" hidden="1" thickBot="1">
      <c r="A622" s="3843"/>
      <c r="B622" s="21" t="s">
        <v>10</v>
      </c>
      <c r="C622" s="22"/>
      <c r="D622" s="120"/>
      <c r="E622" s="257"/>
      <c r="F622" s="120"/>
      <c r="G622" s="120"/>
      <c r="H622" s="120"/>
      <c r="I622" s="257"/>
      <c r="J622" s="257"/>
      <c r="K622" s="257"/>
      <c r="L622" s="257"/>
      <c r="M622" s="62">
        <f>+M623</f>
        <v>0</v>
      </c>
      <c r="N622" s="62">
        <f>+N623</f>
        <v>0</v>
      </c>
      <c r="O622" s="3809"/>
      <c r="P622" s="681"/>
    </row>
    <row r="623" spans="1:16" s="682" customFormat="1" hidden="1" thickBot="1">
      <c r="A623" s="3843"/>
      <c r="B623" s="164" t="s">
        <v>24</v>
      </c>
      <c r="C623" s="3845" t="s">
        <v>85</v>
      </c>
      <c r="D623" s="121"/>
      <c r="E623" s="258"/>
      <c r="F623" s="121"/>
      <c r="G623" s="121"/>
      <c r="H623" s="121"/>
      <c r="I623" s="258"/>
      <c r="J623" s="258"/>
      <c r="K623" s="258"/>
      <c r="L623" s="258"/>
      <c r="M623" s="76">
        <f>+M624</f>
        <v>0</v>
      </c>
      <c r="N623" s="76">
        <f>+N624</f>
        <v>0</v>
      </c>
      <c r="O623" s="3809"/>
    </row>
    <row r="624" spans="1:16" s="682" customFormat="1" hidden="1" thickBot="1">
      <c r="A624" s="3844"/>
      <c r="B624" s="392" t="s">
        <v>12</v>
      </c>
      <c r="C624" s="3846"/>
      <c r="D624" s="699"/>
      <c r="E624" s="542"/>
      <c r="F624" s="217"/>
      <c r="G624" s="217"/>
      <c r="H624" s="217"/>
      <c r="I624" s="270"/>
      <c r="J624" s="259"/>
      <c r="K624" s="259"/>
      <c r="L624" s="259"/>
      <c r="M624" s="34">
        <f>SUM(E624:K624)</f>
        <v>0</v>
      </c>
      <c r="N624" s="34">
        <f>SUM(F624:L624)</f>
        <v>0</v>
      </c>
      <c r="O624" s="3810"/>
    </row>
    <row r="625" spans="1:16" s="682" customFormat="1" ht="24.75" customHeight="1">
      <c r="A625" s="3842" t="s">
        <v>88</v>
      </c>
      <c r="B625" s="247" t="s">
        <v>540</v>
      </c>
      <c r="C625" s="1279" t="s">
        <v>110</v>
      </c>
      <c r="D625" s="1280"/>
      <c r="E625" s="371"/>
      <c r="F625" s="371"/>
      <c r="G625" s="371"/>
      <c r="H625" s="371"/>
      <c r="I625" s="40"/>
      <c r="J625" s="42"/>
      <c r="K625" s="42"/>
      <c r="L625" s="42"/>
      <c r="M625" s="43"/>
      <c r="N625" s="43"/>
      <c r="O625" s="3808" t="s">
        <v>103</v>
      </c>
    </row>
    <row r="626" spans="1:16" s="682" customFormat="1" ht="12">
      <c r="A626" s="3843"/>
      <c r="B626" s="21" t="s">
        <v>10</v>
      </c>
      <c r="C626" s="22"/>
      <c r="D626" s="120">
        <f>+D627</f>
        <v>767432</v>
      </c>
      <c r="E626" s="120">
        <f t="shared" ref="E626:J627" si="373">+E627</f>
        <v>116055</v>
      </c>
      <c r="F626" s="120">
        <f t="shared" si="373"/>
        <v>81377</v>
      </c>
      <c r="G626" s="120">
        <f t="shared" si="373"/>
        <v>135000</v>
      </c>
      <c r="H626" s="120">
        <f t="shared" si="373"/>
        <v>145000</v>
      </c>
      <c r="I626" s="120">
        <f t="shared" si="373"/>
        <v>145000</v>
      </c>
      <c r="J626" s="120">
        <f t="shared" si="373"/>
        <v>145000</v>
      </c>
      <c r="K626" s="257">
        <v>0</v>
      </c>
      <c r="L626" s="257">
        <v>0</v>
      </c>
      <c r="M626" s="62">
        <f>+M627</f>
        <v>651377</v>
      </c>
      <c r="N626" s="62">
        <f>+N627</f>
        <v>570000</v>
      </c>
      <c r="O626" s="3809"/>
      <c r="P626" s="681"/>
    </row>
    <row r="627" spans="1:16" s="682" customFormat="1" ht="12">
      <c r="A627" s="3843"/>
      <c r="B627" s="164" t="s">
        <v>24</v>
      </c>
      <c r="C627" s="3845" t="s">
        <v>99</v>
      </c>
      <c r="D627" s="121">
        <f>+D628</f>
        <v>767432</v>
      </c>
      <c r="E627" s="121">
        <f t="shared" si="373"/>
        <v>116055</v>
      </c>
      <c r="F627" s="121">
        <f t="shared" si="373"/>
        <v>81377</v>
      </c>
      <c r="G627" s="121">
        <f t="shared" si="373"/>
        <v>135000</v>
      </c>
      <c r="H627" s="121">
        <f t="shared" si="373"/>
        <v>145000</v>
      </c>
      <c r="I627" s="121">
        <f t="shared" si="373"/>
        <v>145000</v>
      </c>
      <c r="J627" s="121">
        <f>145000</f>
        <v>145000</v>
      </c>
      <c r="K627" s="258">
        <v>0</v>
      </c>
      <c r="L627" s="258">
        <v>0</v>
      </c>
      <c r="M627" s="76">
        <f>+M628</f>
        <v>651377</v>
      </c>
      <c r="N627" s="76">
        <f>+N628</f>
        <v>570000</v>
      </c>
      <c r="O627" s="3809"/>
    </row>
    <row r="628" spans="1:16" s="682" customFormat="1" thickBot="1">
      <c r="A628" s="3844"/>
      <c r="B628" s="389" t="s">
        <v>12</v>
      </c>
      <c r="C628" s="3846"/>
      <c r="D628" s="226">
        <f>E628+F628+G628+H628+I628+J628+K628+L628</f>
        <v>767432</v>
      </c>
      <c r="E628" s="249">
        <v>116055</v>
      </c>
      <c r="F628" s="217">
        <f>135000-44000-9623</f>
        <v>81377</v>
      </c>
      <c r="G628" s="217">
        <f>135000</f>
        <v>135000</v>
      </c>
      <c r="H628" s="217">
        <f>135000+10000</f>
        <v>145000</v>
      </c>
      <c r="I628" s="217">
        <f>135000+10000</f>
        <v>145000</v>
      </c>
      <c r="J628" s="217">
        <f>145000</f>
        <v>145000</v>
      </c>
      <c r="K628" s="270">
        <v>0</v>
      </c>
      <c r="L628" s="270">
        <v>0</v>
      </c>
      <c r="M628" s="727">
        <f>SUM(F628:K628)</f>
        <v>651377</v>
      </c>
      <c r="N628" s="727">
        <f>SUM(G628:L628)</f>
        <v>570000</v>
      </c>
      <c r="O628" s="3810"/>
    </row>
    <row r="629" spans="1:16" s="682" customFormat="1" ht="27" customHeight="1">
      <c r="A629" s="3842" t="s">
        <v>89</v>
      </c>
      <c r="B629" s="247" t="s">
        <v>545</v>
      </c>
      <c r="C629" s="56" t="s">
        <v>82</v>
      </c>
      <c r="D629" s="122"/>
      <c r="E629" s="42"/>
      <c r="F629" s="42"/>
      <c r="G629" s="42"/>
      <c r="H629" s="42"/>
      <c r="I629" s="42"/>
      <c r="J629" s="42"/>
      <c r="K629" s="42"/>
      <c r="L629" s="42"/>
      <c r="M629" s="43"/>
      <c r="N629" s="43"/>
      <c r="O629" s="3808" t="s">
        <v>87</v>
      </c>
    </row>
    <row r="630" spans="1:16" s="682" customFormat="1" ht="12">
      <c r="A630" s="3843"/>
      <c r="B630" s="534" t="s">
        <v>10</v>
      </c>
      <c r="C630" s="1231"/>
      <c r="D630" s="1251">
        <f>+D631</f>
        <v>6415000</v>
      </c>
      <c r="E630" s="1251">
        <v>3810194</v>
      </c>
      <c r="F630" s="1251">
        <f t="shared" ref="F630:G631" si="374">+F631</f>
        <v>2021758</v>
      </c>
      <c r="G630" s="1251">
        <f t="shared" si="374"/>
        <v>583048</v>
      </c>
      <c r="H630" s="1256">
        <v>0</v>
      </c>
      <c r="I630" s="1256">
        <v>0</v>
      </c>
      <c r="J630" s="1256">
        <v>0</v>
      </c>
      <c r="K630" s="1256">
        <v>0</v>
      </c>
      <c r="L630" s="1256">
        <v>0</v>
      </c>
      <c r="M630" s="1233">
        <f>+M631</f>
        <v>2604806</v>
      </c>
      <c r="N630" s="1233">
        <f>+N631</f>
        <v>583048</v>
      </c>
      <c r="O630" s="3809"/>
      <c r="P630" s="681"/>
    </row>
    <row r="631" spans="1:16" s="682" customFormat="1" ht="12">
      <c r="A631" s="3843"/>
      <c r="B631" s="513" t="s">
        <v>24</v>
      </c>
      <c r="C631" s="3805" t="s">
        <v>85</v>
      </c>
      <c r="D631" s="1252">
        <f>+D632</f>
        <v>6415000</v>
      </c>
      <c r="E631" s="1252">
        <v>3810194</v>
      </c>
      <c r="F631" s="1252">
        <f t="shared" si="374"/>
        <v>2021758</v>
      </c>
      <c r="G631" s="1252">
        <f t="shared" si="374"/>
        <v>583048</v>
      </c>
      <c r="H631" s="1254">
        <v>0</v>
      </c>
      <c r="I631" s="1254">
        <v>0</v>
      </c>
      <c r="J631" s="1254">
        <v>0</v>
      </c>
      <c r="K631" s="1254">
        <v>0</v>
      </c>
      <c r="L631" s="1254">
        <v>0</v>
      </c>
      <c r="M631" s="1235">
        <f>+M632</f>
        <v>2604806</v>
      </c>
      <c r="N631" s="1235">
        <f>+N632</f>
        <v>583048</v>
      </c>
      <c r="O631" s="3809"/>
    </row>
    <row r="632" spans="1:16" s="682" customFormat="1" thickBot="1">
      <c r="A632" s="3844"/>
      <c r="B632" s="392" t="s">
        <v>12</v>
      </c>
      <c r="C632" s="3846"/>
      <c r="D632" s="1319">
        <f>E632+F632+G632+H632+I632+J632+K632+L632</f>
        <v>6415000</v>
      </c>
      <c r="E632" s="1319">
        <v>3810194</v>
      </c>
      <c r="F632" s="1378">
        <f>1965000+93736+486070-523048</f>
        <v>2021758</v>
      </c>
      <c r="G632" s="1378">
        <f>523048+60000</f>
        <v>583048</v>
      </c>
      <c r="H632" s="1379">
        <v>0</v>
      </c>
      <c r="I632" s="1379">
        <v>0</v>
      </c>
      <c r="J632" s="1379">
        <v>0</v>
      </c>
      <c r="K632" s="1379">
        <v>0</v>
      </c>
      <c r="L632" s="1379">
        <v>0</v>
      </c>
      <c r="M632" s="1380">
        <f>SUM(F632:K632)</f>
        <v>2604806</v>
      </c>
      <c r="N632" s="1380">
        <f>SUM(G632:L632)</f>
        <v>583048</v>
      </c>
      <c r="O632" s="3810"/>
    </row>
    <row r="633" spans="1:16" s="682" customFormat="1" ht="16.5" customHeight="1">
      <c r="A633" s="3842" t="s">
        <v>90</v>
      </c>
      <c r="B633" s="247" t="s">
        <v>374</v>
      </c>
      <c r="C633" s="56" t="s">
        <v>110</v>
      </c>
      <c r="D633" s="122"/>
      <c r="E633" s="423"/>
      <c r="F633" s="42"/>
      <c r="G633" s="42"/>
      <c r="H633" s="42"/>
      <c r="I633" s="42"/>
      <c r="J633" s="42"/>
      <c r="K633" s="42"/>
      <c r="L633" s="42"/>
      <c r="M633" s="43"/>
      <c r="N633" s="43"/>
      <c r="O633" s="3808" t="s">
        <v>87</v>
      </c>
    </row>
    <row r="634" spans="1:16" s="682" customFormat="1" ht="12.75" customHeight="1">
      <c r="A634" s="3843"/>
      <c r="B634" s="21" t="s">
        <v>10</v>
      </c>
      <c r="C634" s="22"/>
      <c r="D634" s="382">
        <f>+D635</f>
        <v>107257369</v>
      </c>
      <c r="E634" s="382">
        <f t="shared" ref="E634:I634" si="375">+E635</f>
        <v>0</v>
      </c>
      <c r="F634" s="382">
        <f t="shared" si="375"/>
        <v>27220670</v>
      </c>
      <c r="G634" s="382">
        <f t="shared" si="375"/>
        <v>26856601</v>
      </c>
      <c r="H634" s="382">
        <f t="shared" si="375"/>
        <v>26265000</v>
      </c>
      <c r="I634" s="382">
        <f t="shared" si="375"/>
        <v>26915098</v>
      </c>
      <c r="J634" s="383">
        <v>0</v>
      </c>
      <c r="K634" s="383">
        <v>0</v>
      </c>
      <c r="L634" s="383">
        <v>0</v>
      </c>
      <c r="M634" s="396">
        <f>+M635</f>
        <v>107257369</v>
      </c>
      <c r="N634" s="396">
        <f>+N635</f>
        <v>80036699</v>
      </c>
      <c r="O634" s="3809"/>
      <c r="P634" s="681"/>
    </row>
    <row r="635" spans="1:16" s="682" customFormat="1" ht="12.75" customHeight="1">
      <c r="A635" s="3843"/>
      <c r="B635" s="513" t="s">
        <v>24</v>
      </c>
      <c r="C635" s="3971" t="s">
        <v>511</v>
      </c>
      <c r="D635" s="1571">
        <f>+D636+D637</f>
        <v>107257369</v>
      </c>
      <c r="E635" s="1571">
        <f t="shared" ref="E635" si="376">+E636+E637</f>
        <v>0</v>
      </c>
      <c r="F635" s="1571">
        <f t="shared" ref="F635:L635" si="377">+F636+F637</f>
        <v>27220670</v>
      </c>
      <c r="G635" s="1571">
        <f t="shared" si="377"/>
        <v>26856601</v>
      </c>
      <c r="H635" s="1571">
        <f t="shared" si="377"/>
        <v>26265000</v>
      </c>
      <c r="I635" s="1571">
        <f t="shared" si="377"/>
        <v>26915098</v>
      </c>
      <c r="J635" s="1572">
        <f t="shared" si="377"/>
        <v>0</v>
      </c>
      <c r="K635" s="1572">
        <f t="shared" si="377"/>
        <v>0</v>
      </c>
      <c r="L635" s="1572">
        <f t="shared" si="377"/>
        <v>0</v>
      </c>
      <c r="M635" s="520">
        <f>+M636+M637</f>
        <v>107257369</v>
      </c>
      <c r="N635" s="520">
        <f>+N636+N637</f>
        <v>80036699</v>
      </c>
      <c r="O635" s="3809"/>
    </row>
    <row r="636" spans="1:16" s="682" customFormat="1" ht="14.25" customHeight="1">
      <c r="A636" s="3843"/>
      <c r="B636" s="1115" t="s">
        <v>12</v>
      </c>
      <c r="C636" s="3806"/>
      <c r="D636" s="226">
        <f>E636+F636+G636+H636+I636+J636+K636+L636</f>
        <v>83831378</v>
      </c>
      <c r="E636" s="249">
        <v>0</v>
      </c>
      <c r="F636" s="1585">
        <f>24142831+86188+3000000-23425991-8349</f>
        <v>3794679</v>
      </c>
      <c r="G636" s="1585">
        <v>26856601</v>
      </c>
      <c r="H636" s="1585">
        <v>26265000</v>
      </c>
      <c r="I636" s="1585">
        <v>26915098</v>
      </c>
      <c r="J636" s="1573">
        <v>0</v>
      </c>
      <c r="K636" s="1573">
        <v>0</v>
      </c>
      <c r="L636" s="1573">
        <v>0</v>
      </c>
      <c r="M636" s="727">
        <f>SUM(F636:K636)</f>
        <v>83831378</v>
      </c>
      <c r="N636" s="727">
        <f>SUM(G636:L636)</f>
        <v>80036699</v>
      </c>
      <c r="O636" s="3809"/>
    </row>
    <row r="637" spans="1:16" s="682" customFormat="1" ht="14.25" customHeight="1">
      <c r="A637" s="3843"/>
      <c r="B637" s="1115" t="s">
        <v>78</v>
      </c>
      <c r="C637" s="3807"/>
      <c r="D637" s="1213">
        <f>E637+F637+G637+H637+I637+J637+K637+L637</f>
        <v>23425991</v>
      </c>
      <c r="E637" s="249">
        <v>0</v>
      </c>
      <c r="F637" s="1585">
        <f>23425991</f>
        <v>23425991</v>
      </c>
      <c r="G637" s="1573">
        <v>0</v>
      </c>
      <c r="H637" s="1573">
        <v>0</v>
      </c>
      <c r="I637" s="1573">
        <v>0</v>
      </c>
      <c r="J637" s="1573">
        <v>0</v>
      </c>
      <c r="K637" s="1573">
        <v>0</v>
      </c>
      <c r="L637" s="1573"/>
      <c r="M637" s="727">
        <f>SUM(F637:K637)</f>
        <v>23425991</v>
      </c>
      <c r="N637" s="727">
        <f>SUM(G637:L637)</f>
        <v>0</v>
      </c>
      <c r="O637" s="3873"/>
    </row>
    <row r="638" spans="1:16" s="682" customFormat="1" ht="14.25" customHeight="1">
      <c r="A638" s="3843"/>
      <c r="B638" s="79" t="s">
        <v>22</v>
      </c>
      <c r="C638" s="87"/>
      <c r="D638" s="1631">
        <f>+D639</f>
        <v>23425991</v>
      </c>
      <c r="E638" s="1631">
        <f t="shared" ref="E638:E639" si="378">+E639</f>
        <v>0</v>
      </c>
      <c r="F638" s="1631">
        <f t="shared" ref="F638:F639" si="379">+F639</f>
        <v>23425991</v>
      </c>
      <c r="G638" s="1096">
        <f t="shared" ref="G638:G639" si="380">+G639</f>
        <v>0</v>
      </c>
      <c r="H638" s="1096">
        <f t="shared" ref="H638:H639" si="381">+H639</f>
        <v>0</v>
      </c>
      <c r="I638" s="1096">
        <f t="shared" ref="I638:I639" si="382">+I639</f>
        <v>0</v>
      </c>
      <c r="J638" s="1096">
        <f t="shared" ref="J638:J639" si="383">+J639</f>
        <v>0</v>
      </c>
      <c r="K638" s="1096">
        <f t="shared" ref="K638:K639" si="384">+K639</f>
        <v>0</v>
      </c>
      <c r="L638" s="1096">
        <f t="shared" ref="L638:L639" si="385">+L639</f>
        <v>0</v>
      </c>
      <c r="M638" s="3972" t="s">
        <v>23</v>
      </c>
      <c r="N638" s="3972" t="s">
        <v>23</v>
      </c>
      <c r="O638" s="3963" t="s">
        <v>103</v>
      </c>
    </row>
    <row r="639" spans="1:16" s="682" customFormat="1" ht="14.25" customHeight="1">
      <c r="A639" s="3843"/>
      <c r="B639" s="164" t="s">
        <v>24</v>
      </c>
      <c r="C639" s="3820" t="s">
        <v>85</v>
      </c>
      <c r="D639" s="121">
        <f>+D640</f>
        <v>23425991</v>
      </c>
      <c r="E639" s="121">
        <f t="shared" si="378"/>
        <v>0</v>
      </c>
      <c r="F639" s="121">
        <f t="shared" si="379"/>
        <v>23425991</v>
      </c>
      <c r="G639" s="258">
        <f t="shared" si="380"/>
        <v>0</v>
      </c>
      <c r="H639" s="258">
        <f t="shared" si="381"/>
        <v>0</v>
      </c>
      <c r="I639" s="258">
        <f t="shared" si="382"/>
        <v>0</v>
      </c>
      <c r="J639" s="258">
        <f t="shared" si="383"/>
        <v>0</v>
      </c>
      <c r="K639" s="258">
        <f t="shared" si="384"/>
        <v>0</v>
      </c>
      <c r="L639" s="258">
        <f t="shared" si="385"/>
        <v>0</v>
      </c>
      <c r="M639" s="3960"/>
      <c r="N639" s="3960"/>
      <c r="O639" s="3809"/>
    </row>
    <row r="640" spans="1:16" s="682" customFormat="1" ht="14.25" customHeight="1" thickBot="1">
      <c r="A640" s="3844"/>
      <c r="B640" s="392" t="s">
        <v>78</v>
      </c>
      <c r="C640" s="3870"/>
      <c r="D640" s="226">
        <f>E640+F640+G640+H640+I640+J640+K640+L640</f>
        <v>23425991</v>
      </c>
      <c r="E640" s="249">
        <v>0</v>
      </c>
      <c r="F640" s="1043">
        <f>23425991</f>
        <v>23425991</v>
      </c>
      <c r="G640" s="270">
        <v>0</v>
      </c>
      <c r="H640" s="270">
        <v>0</v>
      </c>
      <c r="I640" s="270">
        <v>0</v>
      </c>
      <c r="J640" s="270">
        <v>0</v>
      </c>
      <c r="K640" s="270">
        <v>0</v>
      </c>
      <c r="L640" s="270">
        <v>0</v>
      </c>
      <c r="M640" s="3961"/>
      <c r="N640" s="3961"/>
      <c r="O640" s="3810"/>
    </row>
    <row r="641" spans="1:16" s="682" customFormat="1" ht="15.75" customHeight="1">
      <c r="A641" s="3842" t="s">
        <v>91</v>
      </c>
      <c r="B641" s="247" t="s">
        <v>375</v>
      </c>
      <c r="C641" s="56" t="s">
        <v>82</v>
      </c>
      <c r="D641" s="122"/>
      <c r="E641" s="423"/>
      <c r="F641" s="42"/>
      <c r="G641" s="42"/>
      <c r="H641" s="42"/>
      <c r="I641" s="42"/>
      <c r="J641" s="42"/>
      <c r="K641" s="42"/>
      <c r="L641" s="42"/>
      <c r="M641" s="43"/>
      <c r="N641" s="43"/>
      <c r="O641" s="3808" t="s">
        <v>87</v>
      </c>
    </row>
    <row r="642" spans="1:16" s="682" customFormat="1" ht="12.75" customHeight="1">
      <c r="A642" s="3843"/>
      <c r="B642" s="534" t="s">
        <v>10</v>
      </c>
      <c r="C642" s="1250"/>
      <c r="D642" s="1251">
        <f>+D643</f>
        <v>116196326</v>
      </c>
      <c r="E642" s="1251">
        <f t="shared" ref="E642:I642" si="386">+E643</f>
        <v>0</v>
      </c>
      <c r="F642" s="1251">
        <f t="shared" si="386"/>
        <v>24291326</v>
      </c>
      <c r="G642" s="1251">
        <f t="shared" si="386"/>
        <v>30075000</v>
      </c>
      <c r="H642" s="1251">
        <f t="shared" si="386"/>
        <v>30550000</v>
      </c>
      <c r="I642" s="1251">
        <f t="shared" si="386"/>
        <v>31280000</v>
      </c>
      <c r="J642" s="1256">
        <v>0</v>
      </c>
      <c r="K642" s="1256">
        <v>0</v>
      </c>
      <c r="L642" s="1256">
        <v>0</v>
      </c>
      <c r="M642" s="1166">
        <f>+M643</f>
        <v>116196326</v>
      </c>
      <c r="N642" s="1166">
        <f>+N643</f>
        <v>91905000</v>
      </c>
      <c r="O642" s="3809"/>
      <c r="P642" s="681"/>
    </row>
    <row r="643" spans="1:16" s="682" customFormat="1" ht="12.75" customHeight="1">
      <c r="A643" s="3843"/>
      <c r="B643" s="513" t="s">
        <v>24</v>
      </c>
      <c r="C643" s="3805" t="s">
        <v>85</v>
      </c>
      <c r="D643" s="1252">
        <f>+D644+D645</f>
        <v>116196326</v>
      </c>
      <c r="E643" s="1252">
        <f t="shared" ref="E643" si="387">+E644+E645</f>
        <v>0</v>
      </c>
      <c r="F643" s="1252">
        <f t="shared" ref="F643:L643" si="388">+F644+F645</f>
        <v>24291326</v>
      </c>
      <c r="G643" s="1252">
        <f t="shared" si="388"/>
        <v>30075000</v>
      </c>
      <c r="H643" s="1252">
        <f t="shared" si="388"/>
        <v>30550000</v>
      </c>
      <c r="I643" s="1252">
        <f t="shared" si="388"/>
        <v>31280000</v>
      </c>
      <c r="J643" s="1254">
        <f t="shared" si="388"/>
        <v>0</v>
      </c>
      <c r="K643" s="1254">
        <f t="shared" si="388"/>
        <v>0</v>
      </c>
      <c r="L643" s="1254">
        <f t="shared" si="388"/>
        <v>0</v>
      </c>
      <c r="M643" s="1235">
        <f>+M644+M645</f>
        <v>116196326</v>
      </c>
      <c r="N643" s="1235">
        <f>+N644+N645</f>
        <v>91905000</v>
      </c>
      <c r="O643" s="3809"/>
    </row>
    <row r="644" spans="1:16" s="682" customFormat="1" ht="12">
      <c r="A644" s="3843"/>
      <c r="B644" s="1115" t="s">
        <v>12</v>
      </c>
      <c r="C644" s="3806"/>
      <c r="D644" s="1159">
        <f>E644+F644+G644+H644+I644+J644+K644+L644</f>
        <v>113139326</v>
      </c>
      <c r="E644" s="1206">
        <v>0</v>
      </c>
      <c r="F644" s="1242">
        <f>22110000-674</f>
        <v>22109326</v>
      </c>
      <c r="G644" s="1242">
        <v>29200000</v>
      </c>
      <c r="H644" s="1242">
        <v>30550000</v>
      </c>
      <c r="I644" s="1242">
        <v>31280000</v>
      </c>
      <c r="J644" s="1189">
        <v>0</v>
      </c>
      <c r="K644" s="1189">
        <v>0</v>
      </c>
      <c r="L644" s="1189">
        <v>0</v>
      </c>
      <c r="M644" s="727">
        <f>SUM(F644:K644)</f>
        <v>113139326</v>
      </c>
      <c r="N644" s="727">
        <f>SUM(G644:L644)</f>
        <v>91030000</v>
      </c>
      <c r="O644" s="3809"/>
    </row>
    <row r="645" spans="1:16" s="682" customFormat="1" ht="13.5" customHeight="1">
      <c r="A645" s="3843"/>
      <c r="B645" s="1632" t="s">
        <v>115</v>
      </c>
      <c r="C645" s="3807"/>
      <c r="D645" s="1159">
        <f>E645+F645+G645+H645+I645+J645+K645+L645</f>
        <v>3057000</v>
      </c>
      <c r="E645" s="1206">
        <v>0</v>
      </c>
      <c r="F645" s="1242">
        <f>5000+1565000+235000+335000+53000+30000+200000-241000</f>
        <v>2182000</v>
      </c>
      <c r="G645" s="1242">
        <f>550000+325000</f>
        <v>875000</v>
      </c>
      <c r="H645" s="424">
        <v>0</v>
      </c>
      <c r="I645" s="424">
        <v>0</v>
      </c>
      <c r="J645" s="424">
        <v>0</v>
      </c>
      <c r="K645" s="424">
        <v>0</v>
      </c>
      <c r="L645" s="424">
        <v>0</v>
      </c>
      <c r="M645" s="727">
        <f>SUM(F645:K645)</f>
        <v>3057000</v>
      </c>
      <c r="N645" s="727">
        <f>SUM(G645:L645)</f>
        <v>875000</v>
      </c>
      <c r="O645" s="3809"/>
    </row>
    <row r="646" spans="1:16" s="682" customFormat="1" ht="12.75" customHeight="1">
      <c r="A646" s="3843"/>
      <c r="B646" s="534" t="s">
        <v>22</v>
      </c>
      <c r="C646" s="1250"/>
      <c r="D646" s="1165">
        <f>+D647</f>
        <v>3057000</v>
      </c>
      <c r="E646" s="2098">
        <f t="shared" ref="E646" si="389">+E647</f>
        <v>0</v>
      </c>
      <c r="F646" s="1251">
        <f>+F647</f>
        <v>2182000</v>
      </c>
      <c r="G646" s="1251">
        <f>+G647</f>
        <v>875000</v>
      </c>
      <c r="H646" s="1256">
        <v>0</v>
      </c>
      <c r="I646" s="1256">
        <v>0</v>
      </c>
      <c r="J646" s="1256">
        <v>0</v>
      </c>
      <c r="K646" s="1256">
        <v>0</v>
      </c>
      <c r="L646" s="1256">
        <v>0</v>
      </c>
      <c r="M646" s="3959" t="s">
        <v>23</v>
      </c>
      <c r="N646" s="3959" t="s">
        <v>23</v>
      </c>
      <c r="O646" s="3809"/>
    </row>
    <row r="647" spans="1:16" s="682" customFormat="1" ht="13.5" customHeight="1">
      <c r="A647" s="3843"/>
      <c r="B647" s="513" t="s">
        <v>24</v>
      </c>
      <c r="C647" s="3827" t="s">
        <v>85</v>
      </c>
      <c r="D647" s="1241">
        <f>+D648</f>
        <v>3057000</v>
      </c>
      <c r="E647" s="1252">
        <f>+E648</f>
        <v>0</v>
      </c>
      <c r="F647" s="1252">
        <f>+F648</f>
        <v>2182000</v>
      </c>
      <c r="G647" s="1252">
        <f>+G648</f>
        <v>875000</v>
      </c>
      <c r="H647" s="1254">
        <v>0</v>
      </c>
      <c r="I647" s="1254">
        <v>0</v>
      </c>
      <c r="J647" s="1254">
        <v>0</v>
      </c>
      <c r="K647" s="1254">
        <v>0</v>
      </c>
      <c r="L647" s="1254">
        <v>0</v>
      </c>
      <c r="M647" s="3960"/>
      <c r="N647" s="3960"/>
      <c r="O647" s="3809"/>
    </row>
    <row r="648" spans="1:16" s="682" customFormat="1" ht="13.5" customHeight="1" thickBot="1">
      <c r="A648" s="3844"/>
      <c r="B648" s="312" t="s">
        <v>115</v>
      </c>
      <c r="C648" s="3819"/>
      <c r="D648" s="701">
        <f>E648+F648+G648+H648+I648+J648+K648+L648</f>
        <v>3057000</v>
      </c>
      <c r="E648" s="701">
        <v>0</v>
      </c>
      <c r="F648" s="2099">
        <f>5000+1565000+235000+335000+53000+30000+200000-241000</f>
        <v>2182000</v>
      </c>
      <c r="G648" s="1242">
        <f>550000+325000</f>
        <v>875000</v>
      </c>
      <c r="H648" s="738">
        <v>0</v>
      </c>
      <c r="I648" s="738">
        <v>0</v>
      </c>
      <c r="J648" s="738">
        <v>0</v>
      </c>
      <c r="K648" s="738">
        <v>0</v>
      </c>
      <c r="L648" s="738">
        <v>0</v>
      </c>
      <c r="M648" s="3961"/>
      <c r="N648" s="3961"/>
      <c r="O648" s="3810"/>
    </row>
    <row r="649" spans="1:16" s="682" customFormat="1" ht="12.75" customHeight="1">
      <c r="A649" s="3842" t="s">
        <v>92</v>
      </c>
      <c r="B649" s="247" t="s">
        <v>465</v>
      </c>
      <c r="C649" s="56" t="s">
        <v>82</v>
      </c>
      <c r="D649" s="122"/>
      <c r="E649" s="423"/>
      <c r="F649" s="42"/>
      <c r="G649" s="42"/>
      <c r="H649" s="42"/>
      <c r="I649" s="42"/>
      <c r="J649" s="42"/>
      <c r="K649" s="42"/>
      <c r="L649" s="42"/>
      <c r="M649" s="43"/>
      <c r="N649" s="43"/>
      <c r="O649" s="3808" t="s">
        <v>87</v>
      </c>
    </row>
    <row r="650" spans="1:16" s="682" customFormat="1" ht="12">
      <c r="A650" s="3843"/>
      <c r="B650" s="21" t="s">
        <v>10</v>
      </c>
      <c r="C650" s="22"/>
      <c r="D650" s="382">
        <f>+D651</f>
        <v>3000000</v>
      </c>
      <c r="E650" s="382">
        <f t="shared" ref="E650:I651" si="390">+E651</f>
        <v>0</v>
      </c>
      <c r="F650" s="382">
        <f t="shared" si="390"/>
        <v>0</v>
      </c>
      <c r="G650" s="382">
        <f t="shared" si="390"/>
        <v>3000000</v>
      </c>
      <c r="H650" s="382">
        <f t="shared" si="390"/>
        <v>0</v>
      </c>
      <c r="I650" s="382">
        <f t="shared" si="390"/>
        <v>0</v>
      </c>
      <c r="J650" s="383">
        <v>0</v>
      </c>
      <c r="K650" s="383">
        <v>0</v>
      </c>
      <c r="L650" s="383">
        <v>0</v>
      </c>
      <c r="M650" s="396">
        <f>+M651</f>
        <v>3000000</v>
      </c>
      <c r="N650" s="396">
        <f>+N651</f>
        <v>3000000</v>
      </c>
      <c r="O650" s="3809"/>
      <c r="P650" s="681"/>
    </row>
    <row r="651" spans="1:16" s="682" customFormat="1" ht="12">
      <c r="A651" s="3843"/>
      <c r="B651" s="164" t="s">
        <v>24</v>
      </c>
      <c r="C651" s="3858" t="s">
        <v>85</v>
      </c>
      <c r="D651" s="398">
        <f>+D652</f>
        <v>3000000</v>
      </c>
      <c r="E651" s="398">
        <f t="shared" si="390"/>
        <v>0</v>
      </c>
      <c r="F651" s="398">
        <f t="shared" si="390"/>
        <v>0</v>
      </c>
      <c r="G651" s="398">
        <f t="shared" si="390"/>
        <v>3000000</v>
      </c>
      <c r="H651" s="398">
        <f t="shared" si="390"/>
        <v>0</v>
      </c>
      <c r="I651" s="398">
        <f t="shared" si="390"/>
        <v>0</v>
      </c>
      <c r="J651" s="399">
        <v>0</v>
      </c>
      <c r="K651" s="399">
        <v>0</v>
      </c>
      <c r="L651" s="399">
        <v>0</v>
      </c>
      <c r="M651" s="397">
        <f>+M652</f>
        <v>3000000</v>
      </c>
      <c r="N651" s="397">
        <f>+N652</f>
        <v>3000000</v>
      </c>
      <c r="O651" s="3809"/>
    </row>
    <row r="652" spans="1:16" s="682" customFormat="1" thickBot="1">
      <c r="A652" s="3844"/>
      <c r="B652" s="392" t="s">
        <v>12</v>
      </c>
      <c r="C652" s="3846"/>
      <c r="D652" s="226">
        <f>E652+F652+G652+H652+I652+J652+K652+L652</f>
        <v>3000000</v>
      </c>
      <c r="E652" s="249">
        <v>0</v>
      </c>
      <c r="F652" s="217">
        <v>0</v>
      </c>
      <c r="G652" s="217">
        <v>3000000</v>
      </c>
      <c r="H652" s="217"/>
      <c r="I652" s="217"/>
      <c r="J652" s="270">
        <v>0</v>
      </c>
      <c r="K652" s="270">
        <v>0</v>
      </c>
      <c r="L652" s="270">
        <v>0</v>
      </c>
      <c r="M652" s="727">
        <f>SUM(F652:K652)</f>
        <v>3000000</v>
      </c>
      <c r="N652" s="727">
        <f>SUM(G652:L652)</f>
        <v>3000000</v>
      </c>
      <c r="O652" s="3810"/>
    </row>
    <row r="653" spans="1:16" s="682" customFormat="1" ht="17.25" customHeight="1">
      <c r="A653" s="3842" t="s">
        <v>93</v>
      </c>
      <c r="B653" s="247" t="s">
        <v>505</v>
      </c>
      <c r="C653" s="56" t="s">
        <v>82</v>
      </c>
      <c r="D653" s="122"/>
      <c r="E653" s="42"/>
      <c r="F653" s="42"/>
      <c r="G653" s="42"/>
      <c r="H653" s="42"/>
      <c r="I653" s="42"/>
      <c r="J653" s="42"/>
      <c r="K653" s="42"/>
      <c r="L653" s="42"/>
      <c r="M653" s="43"/>
      <c r="N653" s="43"/>
      <c r="O653" s="3808" t="s">
        <v>87</v>
      </c>
    </row>
    <row r="654" spans="1:16" s="682" customFormat="1" ht="12">
      <c r="A654" s="3843"/>
      <c r="B654" s="534" t="s">
        <v>10</v>
      </c>
      <c r="C654" s="1231"/>
      <c r="D654" s="1251">
        <f>+D655</f>
        <v>29999995</v>
      </c>
      <c r="E654" s="1251">
        <f t="shared" ref="E654:L655" si="391">+E655</f>
        <v>0</v>
      </c>
      <c r="F654" s="1251">
        <f t="shared" si="391"/>
        <v>9999995</v>
      </c>
      <c r="G654" s="1251">
        <f t="shared" si="391"/>
        <v>10000000</v>
      </c>
      <c r="H654" s="1251">
        <f t="shared" si="391"/>
        <v>10000000</v>
      </c>
      <c r="I654" s="1251">
        <f t="shared" si="391"/>
        <v>0</v>
      </c>
      <c r="J654" s="1251">
        <f t="shared" si="391"/>
        <v>0</v>
      </c>
      <c r="K654" s="1251">
        <f t="shared" si="391"/>
        <v>0</v>
      </c>
      <c r="L654" s="1251">
        <f t="shared" si="391"/>
        <v>0</v>
      </c>
      <c r="M654" s="1233">
        <f>+M655</f>
        <v>29999995</v>
      </c>
      <c r="N654" s="1233">
        <f>+N655</f>
        <v>20000000</v>
      </c>
      <c r="O654" s="3809"/>
    </row>
    <row r="655" spans="1:16" s="682" customFormat="1" ht="12">
      <c r="A655" s="3843"/>
      <c r="B655" s="513" t="s">
        <v>24</v>
      </c>
      <c r="C655" s="3827" t="s">
        <v>85</v>
      </c>
      <c r="D655" s="1252">
        <f>+D656</f>
        <v>29999995</v>
      </c>
      <c r="E655" s="1252">
        <f t="shared" si="391"/>
        <v>0</v>
      </c>
      <c r="F655" s="1252">
        <f t="shared" si="391"/>
        <v>9999995</v>
      </c>
      <c r="G655" s="1252">
        <f t="shared" si="391"/>
        <v>10000000</v>
      </c>
      <c r="H655" s="1252">
        <f t="shared" si="391"/>
        <v>10000000</v>
      </c>
      <c r="I655" s="1252">
        <f t="shared" si="391"/>
        <v>0</v>
      </c>
      <c r="J655" s="1252">
        <f t="shared" si="391"/>
        <v>0</v>
      </c>
      <c r="K655" s="1252">
        <f t="shared" si="391"/>
        <v>0</v>
      </c>
      <c r="L655" s="1252">
        <f t="shared" si="391"/>
        <v>0</v>
      </c>
      <c r="M655" s="1235">
        <f>+M656</f>
        <v>29999995</v>
      </c>
      <c r="N655" s="1235">
        <f>+N656</f>
        <v>20000000</v>
      </c>
      <c r="O655" s="3809"/>
    </row>
    <row r="656" spans="1:16" s="682" customFormat="1" thickBot="1">
      <c r="A656" s="3844"/>
      <c r="B656" s="389" t="s">
        <v>12</v>
      </c>
      <c r="C656" s="3835"/>
      <c r="D656" s="1353">
        <f>E656+F656+G656+H656+I656+J656+K656+L656</f>
        <v>29999995</v>
      </c>
      <c r="E656" s="1353">
        <v>0</v>
      </c>
      <c r="F656" s="1378">
        <f>10000000-5</f>
        <v>9999995</v>
      </c>
      <c r="G656" s="1378">
        <v>10000000</v>
      </c>
      <c r="H656" s="1378">
        <v>10000000</v>
      </c>
      <c r="I656" s="1378"/>
      <c r="J656" s="1633"/>
      <c r="K656" s="1385"/>
      <c r="L656" s="1378"/>
      <c r="M656" s="1380">
        <f>SUM(F656:K656)</f>
        <v>29999995</v>
      </c>
      <c r="N656" s="1380">
        <f>SUM(G656:L656)</f>
        <v>20000000</v>
      </c>
      <c r="O656" s="3810"/>
    </row>
    <row r="658" spans="2:13">
      <c r="B658" s="214" t="s">
        <v>481</v>
      </c>
    </row>
    <row r="659" spans="2:13">
      <c r="B659" s="214" t="s">
        <v>482</v>
      </c>
      <c r="D659" s="401">
        <f>D431+D446</f>
        <v>799122</v>
      </c>
      <c r="E659" s="401">
        <f t="shared" ref="E659:M659" si="392">E431+E446</f>
        <v>0</v>
      </c>
      <c r="F659" s="401">
        <f t="shared" si="392"/>
        <v>45734</v>
      </c>
      <c r="G659" s="401">
        <f t="shared" si="392"/>
        <v>259104</v>
      </c>
      <c r="H659" s="401">
        <f t="shared" si="392"/>
        <v>341780</v>
      </c>
      <c r="I659" s="401">
        <f t="shared" si="392"/>
        <v>152504</v>
      </c>
      <c r="J659" s="401">
        <f t="shared" si="392"/>
        <v>0</v>
      </c>
      <c r="K659" s="401">
        <f t="shared" si="392"/>
        <v>0</v>
      </c>
      <c r="L659" s="401">
        <f t="shared" si="392"/>
        <v>0</v>
      </c>
      <c r="M659" s="401" t="e">
        <f t="shared" si="392"/>
        <v>#VALUE!</v>
      </c>
    </row>
    <row r="660" spans="2:13">
      <c r="B660" s="214" t="s">
        <v>483</v>
      </c>
      <c r="D660" s="401">
        <f t="shared" ref="D660:M660" si="393">D22-D431-D446</f>
        <v>654875578</v>
      </c>
      <c r="E660" s="401">
        <f t="shared" si="393"/>
        <v>34852146</v>
      </c>
      <c r="F660" s="401">
        <f t="shared" si="393"/>
        <v>178866458</v>
      </c>
      <c r="G660" s="401">
        <f t="shared" si="393"/>
        <v>342647889</v>
      </c>
      <c r="H660" s="401">
        <f t="shared" si="393"/>
        <v>79139025</v>
      </c>
      <c r="I660" s="401">
        <f t="shared" si="393"/>
        <v>17452692</v>
      </c>
      <c r="J660" s="401">
        <f t="shared" si="393"/>
        <v>1917368</v>
      </c>
      <c r="K660" s="401">
        <f t="shared" si="393"/>
        <v>0</v>
      </c>
      <c r="L660" s="401">
        <f t="shared" si="393"/>
        <v>0</v>
      </c>
      <c r="M660" s="401" t="e">
        <f t="shared" si="393"/>
        <v>#VALUE!</v>
      </c>
    </row>
    <row r="661" spans="2:13">
      <c r="B661" s="214" t="s">
        <v>484</v>
      </c>
      <c r="D661" s="741">
        <f>D659+D660</f>
        <v>655674700</v>
      </c>
      <c r="E661" s="741">
        <f t="shared" ref="E661:L661" si="394">E659+E660</f>
        <v>34852146</v>
      </c>
      <c r="F661" s="741">
        <f t="shared" si="394"/>
        <v>178912192</v>
      </c>
      <c r="G661" s="741">
        <f t="shared" si="394"/>
        <v>342906993</v>
      </c>
      <c r="H661" s="741">
        <f t="shared" si="394"/>
        <v>79480805</v>
      </c>
      <c r="I661" s="741">
        <f t="shared" si="394"/>
        <v>17605196</v>
      </c>
      <c r="J661" s="741">
        <f t="shared" si="394"/>
        <v>1917368</v>
      </c>
      <c r="K661" s="741">
        <f t="shared" si="394"/>
        <v>0</v>
      </c>
      <c r="L661" s="741">
        <f t="shared" si="394"/>
        <v>0</v>
      </c>
    </row>
    <row r="662" spans="2:13" s="608" customFormat="1">
      <c r="B662" s="608" t="s">
        <v>42</v>
      </c>
      <c r="D662" s="605">
        <f t="shared" ref="D662:L662" si="395">D22-D661</f>
        <v>0</v>
      </c>
      <c r="E662" s="605">
        <f t="shared" si="395"/>
        <v>0</v>
      </c>
      <c r="F662" s="605">
        <f t="shared" si="395"/>
        <v>0</v>
      </c>
      <c r="G662" s="605">
        <f t="shared" si="395"/>
        <v>0</v>
      </c>
      <c r="H662" s="605">
        <f t="shared" si="395"/>
        <v>0</v>
      </c>
      <c r="I662" s="605">
        <f t="shared" si="395"/>
        <v>0</v>
      </c>
      <c r="J662" s="605">
        <f t="shared" si="395"/>
        <v>0</v>
      </c>
      <c r="K662" s="605">
        <f t="shared" si="395"/>
        <v>0</v>
      </c>
      <c r="L662" s="605">
        <f t="shared" si="395"/>
        <v>0</v>
      </c>
    </row>
    <row r="665" spans="2:13">
      <c r="B665" s="214" t="s">
        <v>589</v>
      </c>
    </row>
    <row r="666" spans="2:13">
      <c r="B666" s="214" t="s">
        <v>482</v>
      </c>
      <c r="D666" s="401">
        <f>D531+D593+D566+D638</f>
        <v>193667416</v>
      </c>
      <c r="E666" s="401">
        <f t="shared" ref="E666:L666" si="396">E531+E593+E566+E638</f>
        <v>56644776</v>
      </c>
      <c r="F666" s="401">
        <f t="shared" si="396"/>
        <v>47273283</v>
      </c>
      <c r="G666" s="401">
        <f t="shared" si="396"/>
        <v>29638187</v>
      </c>
      <c r="H666" s="401">
        <f t="shared" si="396"/>
        <v>30055585</v>
      </c>
      <c r="I666" s="401">
        <f t="shared" si="396"/>
        <v>30055585</v>
      </c>
      <c r="J666" s="401">
        <f t="shared" si="396"/>
        <v>0</v>
      </c>
      <c r="K666" s="401">
        <f t="shared" si="396"/>
        <v>0</v>
      </c>
      <c r="L666" s="401">
        <f t="shared" si="396"/>
        <v>0</v>
      </c>
    </row>
    <row r="667" spans="2:13">
      <c r="B667" s="214" t="s">
        <v>483</v>
      </c>
      <c r="D667" s="401">
        <f>D543+D646</f>
        <v>3057000</v>
      </c>
      <c r="E667" s="401">
        <f t="shared" ref="E667:L667" si="397">E543+E646</f>
        <v>0</v>
      </c>
      <c r="F667" s="401">
        <f t="shared" si="397"/>
        <v>2182000</v>
      </c>
      <c r="G667" s="401">
        <f t="shared" si="397"/>
        <v>875000</v>
      </c>
      <c r="H667" s="401">
        <f t="shared" si="397"/>
        <v>0</v>
      </c>
      <c r="I667" s="401">
        <f t="shared" si="397"/>
        <v>0</v>
      </c>
      <c r="J667" s="401">
        <f t="shared" si="397"/>
        <v>0</v>
      </c>
      <c r="K667" s="401">
        <f t="shared" si="397"/>
        <v>0</v>
      </c>
      <c r="L667" s="401">
        <f t="shared" si="397"/>
        <v>0</v>
      </c>
    </row>
    <row r="668" spans="2:13">
      <c r="B668" s="214" t="s">
        <v>484</v>
      </c>
      <c r="D668" s="741">
        <f>D666+D667</f>
        <v>196724416</v>
      </c>
      <c r="E668" s="741">
        <f t="shared" ref="E668:L668" si="398">E666+E667</f>
        <v>56644776</v>
      </c>
      <c r="F668" s="741">
        <f t="shared" si="398"/>
        <v>49455283</v>
      </c>
      <c r="G668" s="741">
        <f t="shared" si="398"/>
        <v>30513187</v>
      </c>
      <c r="H668" s="741">
        <f t="shared" si="398"/>
        <v>30055585</v>
      </c>
      <c r="I668" s="741">
        <f t="shared" si="398"/>
        <v>30055585</v>
      </c>
      <c r="J668" s="741">
        <f t="shared" si="398"/>
        <v>0</v>
      </c>
      <c r="K668" s="741">
        <f t="shared" si="398"/>
        <v>0</v>
      </c>
      <c r="L668" s="741">
        <f t="shared" si="398"/>
        <v>0</v>
      </c>
    </row>
    <row r="669" spans="2:13" s="608" customFormat="1">
      <c r="B669" s="608" t="s">
        <v>42</v>
      </c>
      <c r="D669" s="605">
        <f>D520-D668</f>
        <v>0</v>
      </c>
      <c r="E669" s="605">
        <f t="shared" ref="E669:L669" si="399">E520-E668</f>
        <v>0</v>
      </c>
      <c r="F669" s="605">
        <f t="shared" si="399"/>
        <v>0</v>
      </c>
      <c r="G669" s="605">
        <f t="shared" si="399"/>
        <v>0</v>
      </c>
      <c r="H669" s="605">
        <f t="shared" si="399"/>
        <v>0</v>
      </c>
      <c r="I669" s="605">
        <f t="shared" si="399"/>
        <v>0</v>
      </c>
      <c r="J669" s="605">
        <f t="shared" si="399"/>
        <v>0</v>
      </c>
      <c r="K669" s="605">
        <f t="shared" si="399"/>
        <v>0</v>
      </c>
      <c r="L669" s="605">
        <f t="shared" si="399"/>
        <v>0</v>
      </c>
    </row>
  </sheetData>
  <mergeCells count="366">
    <mergeCell ref="A534:A537"/>
    <mergeCell ref="A501:A509"/>
    <mergeCell ref="C532:C533"/>
    <mergeCell ref="M498:M500"/>
    <mergeCell ref="M507:M509"/>
    <mergeCell ref="M520:M525"/>
    <mergeCell ref="M531:M533"/>
    <mergeCell ref="C508:C509"/>
    <mergeCell ref="C447:C448"/>
    <mergeCell ref="N498:N500"/>
    <mergeCell ref="N507:N509"/>
    <mergeCell ref="N520:N525"/>
    <mergeCell ref="A492:A500"/>
    <mergeCell ref="A526:A533"/>
    <mergeCell ref="N531:N533"/>
    <mergeCell ref="N271:N275"/>
    <mergeCell ref="O271:O275"/>
    <mergeCell ref="C272:C275"/>
    <mergeCell ref="M368:M370"/>
    <mergeCell ref="M378:M382"/>
    <mergeCell ref="M389:M391"/>
    <mergeCell ref="N489:N491"/>
    <mergeCell ref="C417:C418"/>
    <mergeCell ref="O465:O481"/>
    <mergeCell ref="M431:M433"/>
    <mergeCell ref="C528:C529"/>
    <mergeCell ref="O295:O299"/>
    <mergeCell ref="N333:N337"/>
    <mergeCell ref="C334:C337"/>
    <mergeCell ref="M307:M311"/>
    <mergeCell ref="M346:M350"/>
    <mergeCell ref="O419:O427"/>
    <mergeCell ref="C436:C442"/>
    <mergeCell ref="O638:O640"/>
    <mergeCell ref="N638:N640"/>
    <mergeCell ref="O588:O596"/>
    <mergeCell ref="N593:N596"/>
    <mergeCell ref="N606:N608"/>
    <mergeCell ref="M559:M561"/>
    <mergeCell ref="M566:M568"/>
    <mergeCell ref="O584:O587"/>
    <mergeCell ref="C586:C587"/>
    <mergeCell ref="M593:M596"/>
    <mergeCell ref="M606:M608"/>
    <mergeCell ref="M614:M616"/>
    <mergeCell ref="M574:M576"/>
    <mergeCell ref="O574:O576"/>
    <mergeCell ref="C607:C608"/>
    <mergeCell ref="M581:M583"/>
    <mergeCell ref="C564:C565"/>
    <mergeCell ref="N581:N583"/>
    <mergeCell ref="A653:A656"/>
    <mergeCell ref="O653:O656"/>
    <mergeCell ref="C655:C656"/>
    <mergeCell ref="C611:C613"/>
    <mergeCell ref="A601:A608"/>
    <mergeCell ref="C590:C591"/>
    <mergeCell ref="N646:N648"/>
    <mergeCell ref="A625:A628"/>
    <mergeCell ref="M646:M648"/>
    <mergeCell ref="C639:C640"/>
    <mergeCell ref="A633:A640"/>
    <mergeCell ref="C635:C637"/>
    <mergeCell ref="O633:O637"/>
    <mergeCell ref="M638:M640"/>
    <mergeCell ref="A629:A632"/>
    <mergeCell ref="O629:O632"/>
    <mergeCell ref="C631:C632"/>
    <mergeCell ref="O617:O620"/>
    <mergeCell ref="C619:C620"/>
    <mergeCell ref="A588:A596"/>
    <mergeCell ref="O625:O628"/>
    <mergeCell ref="C627:C628"/>
    <mergeCell ref="A617:A620"/>
    <mergeCell ref="C594:C596"/>
    <mergeCell ref="M543:M545"/>
    <mergeCell ref="O577:O580"/>
    <mergeCell ref="C579:C580"/>
    <mergeCell ref="A609:A616"/>
    <mergeCell ref="O609:O616"/>
    <mergeCell ref="O601:O608"/>
    <mergeCell ref="C615:C616"/>
    <mergeCell ref="A597:A600"/>
    <mergeCell ref="N614:N616"/>
    <mergeCell ref="O597:O600"/>
    <mergeCell ref="C603:C605"/>
    <mergeCell ref="A584:A587"/>
    <mergeCell ref="O581:O583"/>
    <mergeCell ref="C582:C583"/>
    <mergeCell ref="A538:A545"/>
    <mergeCell ref="O538:O545"/>
    <mergeCell ref="C540:C542"/>
    <mergeCell ref="C544:C545"/>
    <mergeCell ref="N543:N545"/>
    <mergeCell ref="A546:A549"/>
    <mergeCell ref="A554:A561"/>
    <mergeCell ref="O559:O561"/>
    <mergeCell ref="C560:C561"/>
    <mergeCell ref="O562:O565"/>
    <mergeCell ref="A569:A576"/>
    <mergeCell ref="C575:C576"/>
    <mergeCell ref="O546:O549"/>
    <mergeCell ref="N559:N561"/>
    <mergeCell ref="N566:N568"/>
    <mergeCell ref="N574:N576"/>
    <mergeCell ref="C567:C568"/>
    <mergeCell ref="A562:A568"/>
    <mergeCell ref="O554:O557"/>
    <mergeCell ref="C556:C558"/>
    <mergeCell ref="A240:A251"/>
    <mergeCell ref="C176:C179"/>
    <mergeCell ref="A228:A239"/>
    <mergeCell ref="O300:O311"/>
    <mergeCell ref="A288:A299"/>
    <mergeCell ref="A419:A433"/>
    <mergeCell ref="C421:C427"/>
    <mergeCell ref="N431:N433"/>
    <mergeCell ref="M407:M409"/>
    <mergeCell ref="M416:M418"/>
    <mergeCell ref="O407:O409"/>
    <mergeCell ref="C408:C409"/>
    <mergeCell ref="N416:N418"/>
    <mergeCell ref="C403:C406"/>
    <mergeCell ref="O252:O258"/>
    <mergeCell ref="O259:O263"/>
    <mergeCell ref="N398:N400"/>
    <mergeCell ref="C399:C400"/>
    <mergeCell ref="O338:O344"/>
    <mergeCell ref="O410:O415"/>
    <mergeCell ref="N295:N299"/>
    <mergeCell ref="N368:N370"/>
    <mergeCell ref="A252:A263"/>
    <mergeCell ref="C254:C258"/>
    <mergeCell ref="M259:M263"/>
    <mergeCell ref="N259:N263"/>
    <mergeCell ref="C260:C263"/>
    <mergeCell ref="C490:C491"/>
    <mergeCell ref="N378:N382"/>
    <mergeCell ref="M295:M299"/>
    <mergeCell ref="M333:M337"/>
    <mergeCell ref="M489:M491"/>
    <mergeCell ref="C467:C470"/>
    <mergeCell ref="C296:C299"/>
    <mergeCell ref="C302:C306"/>
    <mergeCell ref="N307:N311"/>
    <mergeCell ref="C412:C415"/>
    <mergeCell ref="N446:N448"/>
    <mergeCell ref="C385:C388"/>
    <mergeCell ref="M446:M448"/>
    <mergeCell ref="M458:M464"/>
    <mergeCell ref="M474:M482"/>
    <mergeCell ref="A276:A287"/>
    <mergeCell ref="O276:O282"/>
    <mergeCell ref="C278:C282"/>
    <mergeCell ref="M283:M287"/>
    <mergeCell ref="N283:N287"/>
    <mergeCell ref="O283:O287"/>
    <mergeCell ref="A264:A275"/>
    <mergeCell ref="A156:A167"/>
    <mergeCell ref="A392:A400"/>
    <mergeCell ref="C394:C397"/>
    <mergeCell ref="N389:N391"/>
    <mergeCell ref="C390:C391"/>
    <mergeCell ref="A300:A311"/>
    <mergeCell ref="C373:C377"/>
    <mergeCell ref="A326:A337"/>
    <mergeCell ref="C328:C332"/>
    <mergeCell ref="A204:A215"/>
    <mergeCell ref="A192:A203"/>
    <mergeCell ref="A180:A191"/>
    <mergeCell ref="M398:M400"/>
    <mergeCell ref="M357:M359"/>
    <mergeCell ref="C314:C319"/>
    <mergeCell ref="C321:C325"/>
    <mergeCell ref="C379:C382"/>
    <mergeCell ref="M187:M191"/>
    <mergeCell ref="M163:M167"/>
    <mergeCell ref="A362:A370"/>
    <mergeCell ref="C369:C370"/>
    <mergeCell ref="A371:A382"/>
    <mergeCell ref="O228:O234"/>
    <mergeCell ref="C230:C234"/>
    <mergeCell ref="N175:N179"/>
    <mergeCell ref="C290:C294"/>
    <mergeCell ref="C236:C239"/>
    <mergeCell ref="C206:C210"/>
    <mergeCell ref="O193:O198"/>
    <mergeCell ref="C194:C198"/>
    <mergeCell ref="N199:N203"/>
    <mergeCell ref="O199:O203"/>
    <mergeCell ref="O187:O191"/>
    <mergeCell ref="M211:M215"/>
    <mergeCell ref="O181:O186"/>
    <mergeCell ref="C182:C186"/>
    <mergeCell ref="N187:N191"/>
    <mergeCell ref="N235:N239"/>
    <mergeCell ref="N211:N215"/>
    <mergeCell ref="C284:C287"/>
    <mergeCell ref="M175:M179"/>
    <mergeCell ref="M199:M203"/>
    <mergeCell ref="M223:M227"/>
    <mergeCell ref="O264:O270"/>
    <mergeCell ref="C266:C270"/>
    <mergeCell ref="M271:M275"/>
    <mergeCell ref="A3:O3"/>
    <mergeCell ref="C5:C6"/>
    <mergeCell ref="D5:D6"/>
    <mergeCell ref="O5:O6"/>
    <mergeCell ref="A8:A33"/>
    <mergeCell ref="N5:N6"/>
    <mergeCell ref="N22:N33"/>
    <mergeCell ref="N43:N51"/>
    <mergeCell ref="G5:L5"/>
    <mergeCell ref="F5:F6"/>
    <mergeCell ref="M5:M6"/>
    <mergeCell ref="M22:M33"/>
    <mergeCell ref="M43:M51"/>
    <mergeCell ref="A5:A6"/>
    <mergeCell ref="B5:B6"/>
    <mergeCell ref="C69:C72"/>
    <mergeCell ref="N86:N90"/>
    <mergeCell ref="M74:M78"/>
    <mergeCell ref="M86:M90"/>
    <mergeCell ref="M98:M102"/>
    <mergeCell ref="M109:M111"/>
    <mergeCell ref="M137:M143"/>
    <mergeCell ref="A113:A127"/>
    <mergeCell ref="O114:O120"/>
    <mergeCell ref="C115:C120"/>
    <mergeCell ref="A79:A90"/>
    <mergeCell ref="O80:O85"/>
    <mergeCell ref="C81:C85"/>
    <mergeCell ref="O86:O90"/>
    <mergeCell ref="C87:C90"/>
    <mergeCell ref="C93:C97"/>
    <mergeCell ref="O137:O143"/>
    <mergeCell ref="C138:C143"/>
    <mergeCell ref="A103:A111"/>
    <mergeCell ref="O104:O108"/>
    <mergeCell ref="C105:C108"/>
    <mergeCell ref="O109:O111"/>
    <mergeCell ref="C110:C111"/>
    <mergeCell ref="N121:N127"/>
    <mergeCell ref="A91:A102"/>
    <mergeCell ref="O92:O97"/>
    <mergeCell ref="O121:O127"/>
    <mergeCell ref="C122:C127"/>
    <mergeCell ref="M121:M127"/>
    <mergeCell ref="N109:N111"/>
    <mergeCell ref="A128:A143"/>
    <mergeCell ref="N151:N155"/>
    <mergeCell ref="N137:N143"/>
    <mergeCell ref="A144:A155"/>
    <mergeCell ref="C146:C150"/>
    <mergeCell ref="C152:C155"/>
    <mergeCell ref="O129:O136"/>
    <mergeCell ref="C130:C136"/>
    <mergeCell ref="O151:O155"/>
    <mergeCell ref="M151:M155"/>
    <mergeCell ref="O169:O174"/>
    <mergeCell ref="C170:C174"/>
    <mergeCell ref="O175:O179"/>
    <mergeCell ref="M235:M239"/>
    <mergeCell ref="M247:M251"/>
    <mergeCell ref="C358:C359"/>
    <mergeCell ref="C55:C60"/>
    <mergeCell ref="A67:A78"/>
    <mergeCell ref="O61:O66"/>
    <mergeCell ref="C62:C66"/>
    <mergeCell ref="O68:O73"/>
    <mergeCell ref="O74:O78"/>
    <mergeCell ref="N74:N78"/>
    <mergeCell ref="A53:A66"/>
    <mergeCell ref="N61:N66"/>
    <mergeCell ref="M61:M66"/>
    <mergeCell ref="O54:O60"/>
    <mergeCell ref="O157:O162"/>
    <mergeCell ref="C158:C162"/>
    <mergeCell ref="N163:N167"/>
    <mergeCell ref="O163:O167"/>
    <mergeCell ref="C164:C167"/>
    <mergeCell ref="A168:A179"/>
    <mergeCell ref="C75:C78"/>
    <mergeCell ref="O98:O102"/>
    <mergeCell ref="C99:C102"/>
    <mergeCell ref="N98:N102"/>
    <mergeCell ref="C200:C203"/>
    <mergeCell ref="N407:N409"/>
    <mergeCell ref="C188:C191"/>
    <mergeCell ref="O383:O388"/>
    <mergeCell ref="O416:O418"/>
    <mergeCell ref="O145:O150"/>
    <mergeCell ref="O211:O215"/>
    <mergeCell ref="C212:C215"/>
    <mergeCell ref="C242:C246"/>
    <mergeCell ref="O247:O251"/>
    <mergeCell ref="C248:C251"/>
    <mergeCell ref="O392:O397"/>
    <mergeCell ref="O398:O400"/>
    <mergeCell ref="N247:N251"/>
    <mergeCell ref="O288:O294"/>
    <mergeCell ref="O235:O239"/>
    <mergeCell ref="C308:C311"/>
    <mergeCell ref="O362:O367"/>
    <mergeCell ref="C364:C367"/>
    <mergeCell ref="O368:O370"/>
    <mergeCell ref="O240:O246"/>
    <mergeCell ref="O371:O377"/>
    <mergeCell ref="A401:A409"/>
    <mergeCell ref="O401:O406"/>
    <mergeCell ref="O378:O382"/>
    <mergeCell ref="O312:O325"/>
    <mergeCell ref="A312:A325"/>
    <mergeCell ref="O389:O391"/>
    <mergeCell ref="O326:O332"/>
    <mergeCell ref="O333:O337"/>
    <mergeCell ref="A338:A360"/>
    <mergeCell ref="N346:N360"/>
    <mergeCell ref="P114:P120"/>
    <mergeCell ref="P158:P162"/>
    <mergeCell ref="P170:P174"/>
    <mergeCell ref="A649:A652"/>
    <mergeCell ref="O649:O652"/>
    <mergeCell ref="C651:C652"/>
    <mergeCell ref="O526:O533"/>
    <mergeCell ref="O204:O210"/>
    <mergeCell ref="A216:A227"/>
    <mergeCell ref="O216:O222"/>
    <mergeCell ref="C218:C222"/>
    <mergeCell ref="N223:N227"/>
    <mergeCell ref="O223:O227"/>
    <mergeCell ref="C224:C227"/>
    <mergeCell ref="O483:O491"/>
    <mergeCell ref="C485:C488"/>
    <mergeCell ref="C353:C356"/>
    <mergeCell ref="A410:A418"/>
    <mergeCell ref="O569:O572"/>
    <mergeCell ref="C571:C573"/>
    <mergeCell ref="A483:A491"/>
    <mergeCell ref="A465:A482"/>
    <mergeCell ref="C647:C648"/>
    <mergeCell ref="A641:A648"/>
    <mergeCell ref="C643:C645"/>
    <mergeCell ref="O641:O648"/>
    <mergeCell ref="A383:A391"/>
    <mergeCell ref="A449:A464"/>
    <mergeCell ref="C432:C433"/>
    <mergeCell ref="C475:C482"/>
    <mergeCell ref="O501:O509"/>
    <mergeCell ref="C503:C506"/>
    <mergeCell ref="C548:C549"/>
    <mergeCell ref="A550:A553"/>
    <mergeCell ref="O550:O553"/>
    <mergeCell ref="C552:C553"/>
    <mergeCell ref="O534:O537"/>
    <mergeCell ref="C536:C537"/>
    <mergeCell ref="O492:O500"/>
    <mergeCell ref="A621:A624"/>
    <mergeCell ref="O621:O624"/>
    <mergeCell ref="C623:C624"/>
    <mergeCell ref="A511:A522"/>
    <mergeCell ref="O516:O525"/>
    <mergeCell ref="N458:N464"/>
    <mergeCell ref="N474:N482"/>
    <mergeCell ref="O449:O463"/>
    <mergeCell ref="A577:A583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67" firstPageNumber="16" orientation="landscape" useFirstPageNumber="1" r:id="rId1"/>
  <headerFooter alignWithMargins="0">
    <oddHeader>&amp;C&amp;"Arial,Kursywa"Wieloletnia prognoza finansowa  Województwa Zachodniopomorskiego&amp;"Arial,Normalny"
_______________________________________________________________________________________________________________________________</oddHeader>
    <oddFooter>&amp;C&amp;8&amp;P</oddFooter>
  </headerFooter>
  <rowBreaks count="7" manualBreakCount="7">
    <brk id="51" max="14" man="1"/>
    <brk id="179" max="14" man="1"/>
    <brk id="239" max="14" man="1"/>
    <brk id="299" max="14" man="1"/>
    <brk id="370" max="14" man="1"/>
    <brk id="509" max="14" man="1"/>
    <brk id="624" max="1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S289"/>
  <sheetViews>
    <sheetView showGridLines="0" view="pageBreakPreview" topLeftCell="A251" zoomScale="110" zoomScaleSheetLayoutView="110" workbookViewId="0">
      <selection activeCell="G24" sqref="G24"/>
    </sheetView>
  </sheetViews>
  <sheetFormatPr defaultColWidth="9.140625" defaultRowHeight="12.75"/>
  <cols>
    <col min="1" max="1" width="4" style="351" customWidth="1"/>
    <col min="2" max="2" width="53.42578125" style="352" customWidth="1"/>
    <col min="3" max="3" width="10.42578125" style="352" customWidth="1"/>
    <col min="4" max="4" width="14.5703125" style="352" customWidth="1"/>
    <col min="5" max="5" width="12.85546875" style="352" customWidth="1"/>
    <col min="6" max="6" width="10.42578125" style="352" customWidth="1"/>
    <col min="7" max="7" width="10.7109375" style="352" customWidth="1"/>
    <col min="8" max="8" width="11.140625" style="352" customWidth="1"/>
    <col min="9" max="9" width="11.5703125" style="352" customWidth="1"/>
    <col min="10" max="10" width="10" style="352" customWidth="1"/>
    <col min="11" max="11" width="10.85546875" style="352" customWidth="1"/>
    <col min="12" max="12" width="9.42578125" style="352" bestFit="1" customWidth="1"/>
    <col min="13" max="13" width="12.7109375" style="352" hidden="1" customWidth="1"/>
    <col min="14" max="14" width="12.7109375" style="352" customWidth="1"/>
    <col min="15" max="15" width="14.5703125" style="352" customWidth="1"/>
    <col min="16" max="16" width="14" style="352" customWidth="1"/>
    <col min="17" max="17" width="12.140625" style="352" customWidth="1"/>
    <col min="18" max="18" width="9.5703125" style="352" customWidth="1"/>
    <col min="19" max="19" width="14.28515625" style="352" customWidth="1"/>
    <col min="20" max="20" width="12" style="352" customWidth="1"/>
    <col min="21" max="22" width="9.140625" style="352"/>
    <col min="23" max="23" width="12.5703125" style="352" customWidth="1"/>
    <col min="24" max="16384" width="9.140625" style="352"/>
  </cols>
  <sheetData>
    <row r="1" spans="1:17" s="350" customFormat="1" ht="15" customHeight="1">
      <c r="A1" s="1258"/>
      <c r="B1" s="1258"/>
      <c r="C1" s="1258"/>
      <c r="D1" s="1258"/>
      <c r="E1" s="1258"/>
      <c r="F1" s="1258"/>
      <c r="G1" s="1258"/>
      <c r="H1" s="1258"/>
      <c r="I1" s="275" t="s">
        <v>662</v>
      </c>
      <c r="J1" s="275"/>
      <c r="K1" s="275"/>
      <c r="L1" s="275"/>
      <c r="M1" s="6"/>
      <c r="N1" s="6"/>
      <c r="O1" s="7"/>
      <c r="P1" s="368"/>
    </row>
    <row r="2" spans="1:17" ht="18.75">
      <c r="A2" s="1258"/>
      <c r="B2" s="1258"/>
      <c r="C2" s="1258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7"/>
      <c r="P2" s="369"/>
    </row>
    <row r="3" spans="1:17" ht="34.5" customHeight="1" thickBot="1">
      <c r="A3" s="4026" t="s">
        <v>117</v>
      </c>
      <c r="B3" s="4027"/>
      <c r="C3" s="4027"/>
      <c r="D3" s="4027"/>
      <c r="E3" s="4027"/>
      <c r="F3" s="4027"/>
      <c r="G3" s="4027"/>
      <c r="H3" s="4027"/>
      <c r="I3" s="4027"/>
      <c r="J3" s="4027"/>
      <c r="K3" s="4027"/>
      <c r="L3" s="4027"/>
      <c r="M3" s="4027"/>
      <c r="N3" s="4027"/>
      <c r="O3" s="4028"/>
      <c r="P3" s="351"/>
    </row>
    <row r="4" spans="1:17" ht="52.5" customHeight="1">
      <c r="A4" s="3929" t="s">
        <v>74</v>
      </c>
      <c r="B4" s="3931" t="s">
        <v>75</v>
      </c>
      <c r="C4" s="4029" t="s">
        <v>71</v>
      </c>
      <c r="D4" s="4029" t="s">
        <v>118</v>
      </c>
      <c r="E4" s="2066" t="s">
        <v>269</v>
      </c>
      <c r="F4" s="3927" t="s">
        <v>625</v>
      </c>
      <c r="G4" s="3924" t="s">
        <v>553</v>
      </c>
      <c r="H4" s="3925"/>
      <c r="I4" s="3925"/>
      <c r="J4" s="3925"/>
      <c r="K4" s="3925"/>
      <c r="L4" s="3926"/>
      <c r="M4" s="4034" t="s">
        <v>570</v>
      </c>
      <c r="N4" s="4034" t="s">
        <v>554</v>
      </c>
      <c r="O4" s="4032" t="s">
        <v>73</v>
      </c>
      <c r="P4" s="433"/>
    </row>
    <row r="5" spans="1:17" ht="16.5" customHeight="1">
      <c r="A5" s="3930"/>
      <c r="B5" s="3932"/>
      <c r="C5" s="4030"/>
      <c r="D5" s="4031"/>
      <c r="E5" s="1142" t="s">
        <v>739</v>
      </c>
      <c r="F5" s="4045"/>
      <c r="G5" s="2065" t="s">
        <v>6</v>
      </c>
      <c r="H5" s="2065" t="s">
        <v>214</v>
      </c>
      <c r="I5" s="2065" t="s">
        <v>216</v>
      </c>
      <c r="J5" s="2065" t="s">
        <v>260</v>
      </c>
      <c r="K5" s="2065" t="s">
        <v>261</v>
      </c>
      <c r="L5" s="2065" t="s">
        <v>259</v>
      </c>
      <c r="M5" s="4035"/>
      <c r="N5" s="4035"/>
      <c r="O5" s="4033"/>
      <c r="P5" s="433"/>
    </row>
    <row r="6" spans="1:17" ht="13.5" customHeight="1">
      <c r="A6" s="771">
        <v>1</v>
      </c>
      <c r="B6" s="772">
        <v>2</v>
      </c>
      <c r="C6" s="773" t="s">
        <v>119</v>
      </c>
      <c r="D6" s="773" t="s">
        <v>120</v>
      </c>
      <c r="E6" s="1158">
        <v>5</v>
      </c>
      <c r="F6" s="1158">
        <v>6</v>
      </c>
      <c r="G6" s="1158">
        <v>7</v>
      </c>
      <c r="H6" s="1158">
        <v>8</v>
      </c>
      <c r="I6" s="1158">
        <v>9</v>
      </c>
      <c r="J6" s="1158">
        <v>10</v>
      </c>
      <c r="K6" s="1158">
        <v>11</v>
      </c>
      <c r="L6" s="1158">
        <v>12</v>
      </c>
      <c r="M6" s="774">
        <v>13</v>
      </c>
      <c r="N6" s="774">
        <v>13</v>
      </c>
      <c r="O6" s="775">
        <v>14</v>
      </c>
      <c r="P6" s="433"/>
    </row>
    <row r="7" spans="1:17" ht="14.25" customHeight="1">
      <c r="A7" s="2100"/>
      <c r="B7" s="2101" t="s">
        <v>76</v>
      </c>
      <c r="C7" s="2101"/>
      <c r="D7" s="2102">
        <f>+D8+D9</f>
        <v>138416482</v>
      </c>
      <c r="E7" s="2102">
        <f t="shared" ref="E7:L7" si="0">+E8+E9</f>
        <v>10494544</v>
      </c>
      <c r="F7" s="2102">
        <f t="shared" si="0"/>
        <v>11954711</v>
      </c>
      <c r="G7" s="2102">
        <f t="shared" si="0"/>
        <v>29636028</v>
      </c>
      <c r="H7" s="2102">
        <f t="shared" si="0"/>
        <v>30567380</v>
      </c>
      <c r="I7" s="2102">
        <f t="shared" si="0"/>
        <v>22656712</v>
      </c>
      <c r="J7" s="2102">
        <f t="shared" si="0"/>
        <v>13854760</v>
      </c>
      <c r="K7" s="2102">
        <f t="shared" si="0"/>
        <v>10200659</v>
      </c>
      <c r="L7" s="2102">
        <f t="shared" si="0"/>
        <v>9051688</v>
      </c>
      <c r="M7" s="2103" t="e">
        <f t="shared" ref="M7" si="1">+M8+M9</f>
        <v>#REF!</v>
      </c>
      <c r="N7" s="2103">
        <f t="shared" ref="N7" si="2">+N8+N9</f>
        <v>101498192</v>
      </c>
      <c r="O7" s="2104"/>
      <c r="P7" s="434">
        <f>+N7-N10</f>
        <v>-14469035</v>
      </c>
      <c r="Q7" s="353"/>
    </row>
    <row r="8" spans="1:17" ht="11.25" customHeight="1">
      <c r="A8" s="2105"/>
      <c r="B8" s="2101" t="s">
        <v>77</v>
      </c>
      <c r="C8" s="2101"/>
      <c r="D8" s="2102">
        <f t="shared" ref="D8:L8" si="3">+D25+D45+D86+D62+D123+D136+D158+D188+D206+D221+D239+D265+D110-D114</f>
        <v>137687244</v>
      </c>
      <c r="E8" s="2102">
        <f t="shared" si="3"/>
        <v>10468589</v>
      </c>
      <c r="F8" s="2102">
        <f t="shared" si="3"/>
        <v>11874952</v>
      </c>
      <c r="G8" s="2102">
        <f t="shared" si="3"/>
        <v>29012504</v>
      </c>
      <c r="H8" s="2102">
        <f t="shared" si="3"/>
        <v>30567380</v>
      </c>
      <c r="I8" s="2102">
        <f t="shared" si="3"/>
        <v>22656712</v>
      </c>
      <c r="J8" s="2102">
        <f t="shared" si="3"/>
        <v>13854760</v>
      </c>
      <c r="K8" s="2102">
        <f t="shared" si="3"/>
        <v>10200659</v>
      </c>
      <c r="L8" s="2102">
        <f t="shared" si="3"/>
        <v>9051688</v>
      </c>
      <c r="M8" s="2102" t="e">
        <f>+M25+M45+M86+M62+M123+M136+M158+M188+M206+M221+M239</f>
        <v>#REF!</v>
      </c>
      <c r="N8" s="2103">
        <f>+N25+N45+N86+N62+N123+N136+N158+N188+N206+N221+N239</f>
        <v>100874668</v>
      </c>
      <c r="O8" s="2104"/>
      <c r="P8" s="434"/>
      <c r="Q8" s="353"/>
    </row>
    <row r="9" spans="1:17" ht="11.25" customHeight="1">
      <c r="A9" s="2105"/>
      <c r="B9" s="2106" t="s">
        <v>9</v>
      </c>
      <c r="C9" s="2107"/>
      <c r="D9" s="2108">
        <f t="shared" ref="D9:N9" si="4">+D74+D98+D148+D176+D254</f>
        <v>729238</v>
      </c>
      <c r="E9" s="2108">
        <f t="shared" si="4"/>
        <v>25955</v>
      </c>
      <c r="F9" s="2108">
        <f t="shared" si="4"/>
        <v>79759</v>
      </c>
      <c r="G9" s="2108">
        <f t="shared" si="4"/>
        <v>623524</v>
      </c>
      <c r="H9" s="2108">
        <f t="shared" si="4"/>
        <v>0</v>
      </c>
      <c r="I9" s="2108">
        <f t="shared" si="4"/>
        <v>0</v>
      </c>
      <c r="J9" s="2108">
        <f t="shared" si="4"/>
        <v>0</v>
      </c>
      <c r="K9" s="2108">
        <f t="shared" si="4"/>
        <v>0</v>
      </c>
      <c r="L9" s="2108">
        <f t="shared" si="4"/>
        <v>0</v>
      </c>
      <c r="M9" s="2108" t="e">
        <f t="shared" si="4"/>
        <v>#REF!</v>
      </c>
      <c r="N9" s="2103">
        <f t="shared" si="4"/>
        <v>623524</v>
      </c>
      <c r="O9" s="2104"/>
      <c r="P9" s="433"/>
    </row>
    <row r="10" spans="1:17" ht="12.75" customHeight="1">
      <c r="A10" s="2105"/>
      <c r="B10" s="711" t="s">
        <v>10</v>
      </c>
      <c r="C10" s="711"/>
      <c r="D10" s="776">
        <f>+D11+D15</f>
        <v>139052482</v>
      </c>
      <c r="E10" s="776">
        <f t="shared" ref="E10:L10" si="5">+E11+E15</f>
        <v>10494544</v>
      </c>
      <c r="F10" s="776">
        <f t="shared" si="5"/>
        <v>11954711</v>
      </c>
      <c r="G10" s="776">
        <f t="shared" si="5"/>
        <v>29703014</v>
      </c>
      <c r="H10" s="776">
        <f t="shared" si="5"/>
        <v>30878385</v>
      </c>
      <c r="I10" s="776">
        <f t="shared" si="5"/>
        <v>22914721</v>
      </c>
      <c r="J10" s="776">
        <f t="shared" si="5"/>
        <v>13854760</v>
      </c>
      <c r="K10" s="776">
        <f t="shared" si="5"/>
        <v>10200659</v>
      </c>
      <c r="L10" s="776">
        <f t="shared" si="5"/>
        <v>9051688</v>
      </c>
      <c r="M10" s="709">
        <f>M11+M15</f>
        <v>126279398</v>
      </c>
      <c r="N10" s="709">
        <f>N11+N15</f>
        <v>115967227</v>
      </c>
      <c r="O10" s="2109"/>
      <c r="P10" s="434"/>
      <c r="Q10" s="353"/>
    </row>
    <row r="11" spans="1:17" s="354" customFormat="1" ht="12.75" customHeight="1">
      <c r="A11" s="2105"/>
      <c r="B11" s="2110" t="s">
        <v>24</v>
      </c>
      <c r="C11" s="2110"/>
      <c r="D11" s="2111">
        <f>D12+D13+D14</f>
        <v>18577691</v>
      </c>
      <c r="E11" s="2111">
        <f t="shared" ref="E11:L11" si="6">E12+E13+E14</f>
        <v>1587046</v>
      </c>
      <c r="F11" s="2111">
        <f t="shared" si="6"/>
        <v>1762210</v>
      </c>
      <c r="G11" s="2111">
        <f t="shared" si="6"/>
        <v>2966198</v>
      </c>
      <c r="H11" s="2111">
        <f t="shared" si="6"/>
        <v>3980357</v>
      </c>
      <c r="I11" s="2111">
        <f t="shared" si="6"/>
        <v>3269251</v>
      </c>
      <c r="J11" s="2111">
        <f t="shared" si="6"/>
        <v>2108867</v>
      </c>
      <c r="K11" s="2111">
        <f t="shared" si="6"/>
        <v>1539628</v>
      </c>
      <c r="L11" s="2111">
        <f t="shared" si="6"/>
        <v>1364134</v>
      </c>
      <c r="M11" s="2112">
        <f>M12+M13</f>
        <v>14712105</v>
      </c>
      <c r="N11" s="2112">
        <f>N12+N13</f>
        <v>14592435</v>
      </c>
      <c r="O11" s="2104"/>
      <c r="P11" s="435"/>
    </row>
    <row r="12" spans="1:17" ht="13.5" customHeight="1">
      <c r="A12" s="2105"/>
      <c r="B12" s="2113" t="s">
        <v>12</v>
      </c>
      <c r="C12" s="2113"/>
      <c r="D12" s="2114">
        <f t="shared" ref="D12:L12" si="7">D47+D88+D64+D76+D27+D100+D112+D125+D160+D178+D190+D223</f>
        <v>14107386</v>
      </c>
      <c r="E12" s="2114">
        <f t="shared" si="7"/>
        <v>1587046</v>
      </c>
      <c r="F12" s="2114">
        <f t="shared" si="7"/>
        <v>1762210</v>
      </c>
      <c r="G12" s="2114">
        <f t="shared" si="7"/>
        <v>2349567</v>
      </c>
      <c r="H12" s="2114">
        <f t="shared" si="7"/>
        <v>2027232</v>
      </c>
      <c r="I12" s="2114">
        <f t="shared" si="7"/>
        <v>1814995</v>
      </c>
      <c r="J12" s="2114">
        <f t="shared" si="7"/>
        <v>1731310</v>
      </c>
      <c r="K12" s="2114">
        <f t="shared" si="7"/>
        <v>1470892</v>
      </c>
      <c r="L12" s="2114">
        <f t="shared" si="7"/>
        <v>1364134</v>
      </c>
      <c r="M12" s="777">
        <f>SUM(F12:L12)</f>
        <v>12520340</v>
      </c>
      <c r="N12" s="777">
        <f>SUM(G12:L12)</f>
        <v>10758130</v>
      </c>
      <c r="O12" s="2104"/>
      <c r="P12" s="434"/>
    </row>
    <row r="13" spans="1:17" ht="13.5" customHeight="1">
      <c r="A13" s="2105"/>
      <c r="B13" s="2115" t="s">
        <v>13</v>
      </c>
      <c r="C13" s="2113"/>
      <c r="D13" s="578">
        <f t="shared" ref="D13:L13" si="8">D50+D31+D77+D113+D163+D179+D193+D208+D226+D241+D256+D270</f>
        <v>3834305</v>
      </c>
      <c r="E13" s="578">
        <f t="shared" si="8"/>
        <v>0</v>
      </c>
      <c r="F13" s="578">
        <f t="shared" si="8"/>
        <v>0</v>
      </c>
      <c r="G13" s="578">
        <f t="shared" si="8"/>
        <v>549645</v>
      </c>
      <c r="H13" s="578">
        <f t="shared" si="8"/>
        <v>1642120</v>
      </c>
      <c r="I13" s="578">
        <f t="shared" si="8"/>
        <v>1196247</v>
      </c>
      <c r="J13" s="578">
        <f t="shared" si="8"/>
        <v>377557</v>
      </c>
      <c r="K13" s="578">
        <f t="shared" si="8"/>
        <v>68736</v>
      </c>
      <c r="L13" s="578">
        <f t="shared" si="8"/>
        <v>0</v>
      </c>
      <c r="M13" s="2116">
        <f>SUM(F13:H13)</f>
        <v>2191765</v>
      </c>
      <c r="N13" s="2116">
        <f>SUM(G13:L13)</f>
        <v>3834305</v>
      </c>
      <c r="O13" s="2104"/>
      <c r="P13" s="434">
        <f>D13-D20</f>
        <v>0</v>
      </c>
    </row>
    <row r="14" spans="1:17" s="1919" customFormat="1" ht="13.5" customHeight="1">
      <c r="A14" s="2105"/>
      <c r="B14" s="2117" t="s">
        <v>730</v>
      </c>
      <c r="C14" s="2118"/>
      <c r="D14" s="1310">
        <f>D114</f>
        <v>636000</v>
      </c>
      <c r="E14" s="1310">
        <f t="shared" ref="E14:L14" si="9">E114</f>
        <v>0</v>
      </c>
      <c r="F14" s="1310">
        <f t="shared" si="9"/>
        <v>0</v>
      </c>
      <c r="G14" s="1310">
        <f t="shared" si="9"/>
        <v>66986</v>
      </c>
      <c r="H14" s="1310">
        <f t="shared" si="9"/>
        <v>311005</v>
      </c>
      <c r="I14" s="1310">
        <f t="shared" si="9"/>
        <v>258009</v>
      </c>
      <c r="J14" s="1310">
        <f t="shared" si="9"/>
        <v>0</v>
      </c>
      <c r="K14" s="1310">
        <f t="shared" si="9"/>
        <v>0</v>
      </c>
      <c r="L14" s="1310">
        <f t="shared" si="9"/>
        <v>0</v>
      </c>
      <c r="M14" s="2119"/>
      <c r="N14" s="2119"/>
      <c r="O14" s="2120"/>
      <c r="P14" s="2026"/>
    </row>
    <row r="15" spans="1:17" s="354" customFormat="1" ht="13.5" customHeight="1">
      <c r="A15" s="2105"/>
      <c r="B15" s="2121" t="s">
        <v>18</v>
      </c>
      <c r="C15" s="2121"/>
      <c r="D15" s="2111">
        <f>D17+D16</f>
        <v>120474791</v>
      </c>
      <c r="E15" s="2111">
        <f t="shared" ref="E15:L15" si="10">E17+E16</f>
        <v>8907498</v>
      </c>
      <c r="F15" s="2111">
        <f t="shared" si="10"/>
        <v>10192501</v>
      </c>
      <c r="G15" s="2111">
        <f t="shared" si="10"/>
        <v>26736816</v>
      </c>
      <c r="H15" s="2111">
        <f t="shared" si="10"/>
        <v>26898028</v>
      </c>
      <c r="I15" s="2111">
        <f t="shared" si="10"/>
        <v>19645470</v>
      </c>
      <c r="J15" s="2111">
        <f t="shared" si="10"/>
        <v>11745893</v>
      </c>
      <c r="K15" s="2111">
        <f t="shared" si="10"/>
        <v>8661031</v>
      </c>
      <c r="L15" s="2111">
        <f t="shared" si="10"/>
        <v>7687554</v>
      </c>
      <c r="M15" s="2112">
        <f t="shared" ref="M15" si="11">M17+M16</f>
        <v>111567293</v>
      </c>
      <c r="N15" s="2112">
        <f t="shared" ref="N15" si="12">N17+N16</f>
        <v>101374792</v>
      </c>
      <c r="O15" s="2104"/>
      <c r="P15" s="435"/>
    </row>
    <row r="16" spans="1:17" s="408" customFormat="1" ht="13.5" customHeight="1">
      <c r="A16" s="2105"/>
      <c r="B16" s="2122" t="s">
        <v>20</v>
      </c>
      <c r="C16" s="2121"/>
      <c r="D16" s="2123">
        <f>+D33</f>
        <v>420817</v>
      </c>
      <c r="E16" s="2123">
        <f t="shared" ref="E16:L16" si="13">+E33</f>
        <v>45222</v>
      </c>
      <c r="F16" s="2123">
        <f t="shared" si="13"/>
        <v>172687</v>
      </c>
      <c r="G16" s="2123">
        <f t="shared" si="13"/>
        <v>144723</v>
      </c>
      <c r="H16" s="2123">
        <f t="shared" si="13"/>
        <v>44968</v>
      </c>
      <c r="I16" s="2123">
        <f t="shared" si="13"/>
        <v>13217</v>
      </c>
      <c r="J16" s="2123">
        <f t="shared" si="13"/>
        <v>0</v>
      </c>
      <c r="K16" s="2123">
        <f t="shared" si="13"/>
        <v>0</v>
      </c>
      <c r="L16" s="2123">
        <f t="shared" si="13"/>
        <v>0</v>
      </c>
      <c r="M16" s="777">
        <f>SUM(F16:L16)</f>
        <v>375595</v>
      </c>
      <c r="N16" s="777">
        <f>SUM(G16:L16)</f>
        <v>202908</v>
      </c>
      <c r="O16" s="2104"/>
      <c r="P16" s="435"/>
    </row>
    <row r="17" spans="1:17" ht="13.5" customHeight="1">
      <c r="A17" s="2105"/>
      <c r="B17" s="2124" t="s">
        <v>21</v>
      </c>
      <c r="C17" s="2113"/>
      <c r="D17" s="2125">
        <f t="shared" ref="D17:L17" si="14">+D52+D37+D91+D67+D79+D103+D116+D129+D138+D150+D167+D181+D197+D212+D230+D245+D258+D274</f>
        <v>120053974</v>
      </c>
      <c r="E17" s="2125">
        <f t="shared" si="14"/>
        <v>8862276</v>
      </c>
      <c r="F17" s="2125">
        <f t="shared" si="14"/>
        <v>10019814</v>
      </c>
      <c r="G17" s="2125">
        <f t="shared" si="14"/>
        <v>26592093</v>
      </c>
      <c r="H17" s="2125">
        <f t="shared" si="14"/>
        <v>26853060</v>
      </c>
      <c r="I17" s="2125">
        <f t="shared" si="14"/>
        <v>19632253</v>
      </c>
      <c r="J17" s="2125">
        <f t="shared" si="14"/>
        <v>11745893</v>
      </c>
      <c r="K17" s="2125">
        <f t="shared" si="14"/>
        <v>8661031</v>
      </c>
      <c r="L17" s="2125">
        <f t="shared" si="14"/>
        <v>7687554</v>
      </c>
      <c r="M17" s="777">
        <f>SUM(F17:L17)</f>
        <v>111191698</v>
      </c>
      <c r="N17" s="777">
        <f>SUM(G17:L17)</f>
        <v>101171884</v>
      </c>
      <c r="O17" s="2109"/>
      <c r="P17" s="434"/>
    </row>
    <row r="18" spans="1:17" ht="13.5" customHeight="1">
      <c r="A18" s="2105"/>
      <c r="B18" s="2126" t="s">
        <v>22</v>
      </c>
      <c r="C18" s="711"/>
      <c r="D18" s="776">
        <f>D19+D21</f>
        <v>124309096</v>
      </c>
      <c r="E18" s="776">
        <f>E19+E21</f>
        <v>8862276</v>
      </c>
      <c r="F18" s="776">
        <f t="shared" ref="F18:L18" si="15">F19+F21</f>
        <v>9935062</v>
      </c>
      <c r="G18" s="776">
        <f t="shared" si="15"/>
        <v>29805767</v>
      </c>
      <c r="H18" s="776">
        <f t="shared" si="15"/>
        <v>26863561</v>
      </c>
      <c r="I18" s="776">
        <f t="shared" si="15"/>
        <v>20301659</v>
      </c>
      <c r="J18" s="776">
        <f t="shared" si="15"/>
        <v>12123450</v>
      </c>
      <c r="K18" s="776">
        <f t="shared" si="15"/>
        <v>8729767</v>
      </c>
      <c r="L18" s="776">
        <f t="shared" si="15"/>
        <v>7687554</v>
      </c>
      <c r="M18" s="4042" t="s">
        <v>61</v>
      </c>
      <c r="N18" s="4042" t="s">
        <v>61</v>
      </c>
      <c r="O18" s="2104"/>
      <c r="P18" s="436">
        <f>+D7-D10</f>
        <v>-636000</v>
      </c>
    </row>
    <row r="19" spans="1:17" ht="13.5" customHeight="1">
      <c r="A19" s="2105"/>
      <c r="B19" s="2127" t="s">
        <v>24</v>
      </c>
      <c r="C19" s="2128"/>
      <c r="D19" s="2129">
        <f>D20</f>
        <v>3834305</v>
      </c>
      <c r="E19" s="2129">
        <f t="shared" ref="E19:L19" si="16">E20</f>
        <v>0</v>
      </c>
      <c r="F19" s="2129">
        <f t="shared" si="16"/>
        <v>0</v>
      </c>
      <c r="G19" s="2129">
        <f t="shared" si="16"/>
        <v>549645</v>
      </c>
      <c r="H19" s="2129">
        <f t="shared" si="16"/>
        <v>1642120</v>
      </c>
      <c r="I19" s="2129">
        <f t="shared" si="16"/>
        <v>1196247</v>
      </c>
      <c r="J19" s="2129">
        <f t="shared" si="16"/>
        <v>377557</v>
      </c>
      <c r="K19" s="2129">
        <f t="shared" si="16"/>
        <v>68736</v>
      </c>
      <c r="L19" s="2129">
        <f t="shared" si="16"/>
        <v>0</v>
      </c>
      <c r="M19" s="4042"/>
      <c r="N19" s="4042"/>
      <c r="O19" s="2104"/>
      <c r="P19" s="433"/>
    </row>
    <row r="20" spans="1:17" ht="13.5" customHeight="1">
      <c r="A20" s="2105"/>
      <c r="B20" s="2130" t="s">
        <v>13</v>
      </c>
      <c r="C20" s="2131"/>
      <c r="D20" s="2125">
        <f t="shared" ref="D20:L20" si="17">+D57+D40+D82+D119+D172+D184+D202+D217+D235+D250+D261+D279</f>
        <v>3834305</v>
      </c>
      <c r="E20" s="2125">
        <f t="shared" si="17"/>
        <v>0</v>
      </c>
      <c r="F20" s="2125">
        <f t="shared" si="17"/>
        <v>0</v>
      </c>
      <c r="G20" s="2125">
        <f t="shared" si="17"/>
        <v>549645</v>
      </c>
      <c r="H20" s="2125">
        <f t="shared" si="17"/>
        <v>1642120</v>
      </c>
      <c r="I20" s="2125">
        <f t="shared" si="17"/>
        <v>1196247</v>
      </c>
      <c r="J20" s="2125">
        <f t="shared" si="17"/>
        <v>377557</v>
      </c>
      <c r="K20" s="2125">
        <f t="shared" si="17"/>
        <v>68736</v>
      </c>
      <c r="L20" s="2125">
        <f t="shared" si="17"/>
        <v>0</v>
      </c>
      <c r="M20" s="4042"/>
      <c r="N20" s="4042"/>
      <c r="O20" s="2104"/>
      <c r="P20" s="433"/>
    </row>
    <row r="21" spans="1:17" s="356" customFormat="1" ht="13.5" customHeight="1">
      <c r="A21" s="2132"/>
      <c r="B21" s="2133" t="s">
        <v>18</v>
      </c>
      <c r="C21" s="2134"/>
      <c r="D21" s="2129">
        <f>D23+D22</f>
        <v>120474791</v>
      </c>
      <c r="E21" s="2129">
        <f t="shared" ref="E21:L21" si="18">E23+E22</f>
        <v>8862276</v>
      </c>
      <c r="F21" s="2129">
        <f t="shared" si="18"/>
        <v>9935062</v>
      </c>
      <c r="G21" s="2129">
        <f t="shared" si="18"/>
        <v>29256122</v>
      </c>
      <c r="H21" s="2129">
        <f t="shared" si="18"/>
        <v>25221441</v>
      </c>
      <c r="I21" s="2129">
        <f t="shared" si="18"/>
        <v>19105412</v>
      </c>
      <c r="J21" s="2129">
        <f t="shared" si="18"/>
        <v>11745893</v>
      </c>
      <c r="K21" s="2129">
        <f t="shared" si="18"/>
        <v>8661031</v>
      </c>
      <c r="L21" s="2129">
        <f t="shared" si="18"/>
        <v>7687554</v>
      </c>
      <c r="M21" s="4042"/>
      <c r="N21" s="4042"/>
      <c r="O21" s="2135"/>
      <c r="P21" s="437"/>
    </row>
    <row r="22" spans="1:17" s="407" customFormat="1" ht="13.5" customHeight="1">
      <c r="A22" s="2132"/>
      <c r="B22" s="2122" t="s">
        <v>20</v>
      </c>
      <c r="C22" s="2134"/>
      <c r="D22" s="2136">
        <f>+D42</f>
        <v>420817</v>
      </c>
      <c r="E22" s="2136">
        <f t="shared" ref="E22:L22" si="19">+E42</f>
        <v>0</v>
      </c>
      <c r="F22" s="2136">
        <f t="shared" si="19"/>
        <v>84212</v>
      </c>
      <c r="G22" s="2136">
        <f t="shared" si="19"/>
        <v>168662</v>
      </c>
      <c r="H22" s="2136">
        <f t="shared" si="19"/>
        <v>119784</v>
      </c>
      <c r="I22" s="2136">
        <f t="shared" si="19"/>
        <v>48159</v>
      </c>
      <c r="J22" s="2136">
        <f t="shared" si="19"/>
        <v>0</v>
      </c>
      <c r="K22" s="2136">
        <f t="shared" si="19"/>
        <v>0</v>
      </c>
      <c r="L22" s="2136">
        <f t="shared" si="19"/>
        <v>0</v>
      </c>
      <c r="M22" s="4043"/>
      <c r="N22" s="4043"/>
      <c r="O22" s="2137"/>
      <c r="P22" s="437"/>
    </row>
    <row r="23" spans="1:17" ht="13.5" customHeight="1" thickBot="1">
      <c r="A23" s="2138"/>
      <c r="B23" s="2139" t="s">
        <v>21</v>
      </c>
      <c r="C23" s="2139"/>
      <c r="D23" s="2140">
        <f t="shared" ref="D23:L23" si="20">+D59+D43+D60+D96+D72+D84+D108+D121+D134+D146+D156+D174+D186+D204+D219+D237+D252+D263+D281</f>
        <v>120053974</v>
      </c>
      <c r="E23" s="2140">
        <f t="shared" si="20"/>
        <v>8862276</v>
      </c>
      <c r="F23" s="2140">
        <f t="shared" si="20"/>
        <v>9850850</v>
      </c>
      <c r="G23" s="2140">
        <f t="shared" si="20"/>
        <v>29087460</v>
      </c>
      <c r="H23" s="2140">
        <f t="shared" si="20"/>
        <v>25101657</v>
      </c>
      <c r="I23" s="2140">
        <f t="shared" si="20"/>
        <v>19057253</v>
      </c>
      <c r="J23" s="2140">
        <f t="shared" si="20"/>
        <v>11745893</v>
      </c>
      <c r="K23" s="2140">
        <f t="shared" si="20"/>
        <v>8661031</v>
      </c>
      <c r="L23" s="2140">
        <f t="shared" si="20"/>
        <v>7687554</v>
      </c>
      <c r="M23" s="4044"/>
      <c r="N23" s="4044"/>
      <c r="O23" s="2141"/>
      <c r="P23" s="434">
        <f>D23-D17</f>
        <v>0</v>
      </c>
    </row>
    <row r="24" spans="1:17" ht="38.25" customHeight="1">
      <c r="A24" s="4036" t="s">
        <v>63</v>
      </c>
      <c r="B24" s="1634" t="s">
        <v>317</v>
      </c>
      <c r="C24" s="1635" t="s">
        <v>110</v>
      </c>
      <c r="D24" s="578"/>
      <c r="E24" s="1636"/>
      <c r="F24" s="1636"/>
      <c r="G24" s="1636"/>
      <c r="H24" s="1636"/>
      <c r="I24" s="1636"/>
      <c r="J24" s="1636"/>
      <c r="K24" s="1636"/>
      <c r="L24" s="1636"/>
      <c r="M24" s="709"/>
      <c r="N24" s="709"/>
      <c r="O24" s="3980" t="s">
        <v>327</v>
      </c>
      <c r="P24" s="433"/>
    </row>
    <row r="25" spans="1:17" s="356" customFormat="1">
      <c r="A25" s="4017"/>
      <c r="B25" s="710" t="s">
        <v>10</v>
      </c>
      <c r="C25" s="711"/>
      <c r="D25" s="561">
        <f t="shared" ref="D25:J25" si="21">+D26+D32</f>
        <v>499079</v>
      </c>
      <c r="E25" s="561">
        <f t="shared" ref="E25" si="22">+E26+E32</f>
        <v>53431</v>
      </c>
      <c r="F25" s="561">
        <f t="shared" si="21"/>
        <v>203738</v>
      </c>
      <c r="G25" s="561">
        <f t="shared" si="21"/>
        <v>171857</v>
      </c>
      <c r="H25" s="561">
        <f t="shared" si="21"/>
        <v>53703</v>
      </c>
      <c r="I25" s="561">
        <f t="shared" si="21"/>
        <v>16350</v>
      </c>
      <c r="J25" s="1427">
        <f t="shared" si="21"/>
        <v>0</v>
      </c>
      <c r="K25" s="1427">
        <v>0</v>
      </c>
      <c r="L25" s="1427">
        <v>0</v>
      </c>
      <c r="M25" s="712">
        <f>+M26+M32</f>
        <v>445648</v>
      </c>
      <c r="N25" s="712">
        <f>+N26+N32</f>
        <v>241910</v>
      </c>
      <c r="O25" s="3981"/>
      <c r="P25" s="1430"/>
      <c r="Q25" s="1431"/>
    </row>
    <row r="26" spans="1:17" s="356" customFormat="1" ht="13.5" customHeight="1">
      <c r="A26" s="4017"/>
      <c r="B26" s="1425" t="s">
        <v>24</v>
      </c>
      <c r="C26" s="3983" t="s">
        <v>397</v>
      </c>
      <c r="D26" s="582">
        <f t="shared" ref="D26" si="23">+D27+D31</f>
        <v>78262</v>
      </c>
      <c r="E26" s="582">
        <f t="shared" ref="E26" si="24">+E27+E31</f>
        <v>8209</v>
      </c>
      <c r="F26" s="582">
        <f>+F27+F31</f>
        <v>31051</v>
      </c>
      <c r="G26" s="582">
        <f>+G27+G31</f>
        <v>27134</v>
      </c>
      <c r="H26" s="582">
        <f>+H27+H31</f>
        <v>8735</v>
      </c>
      <c r="I26" s="582">
        <f>+I27</f>
        <v>3133</v>
      </c>
      <c r="J26" s="1428">
        <f>+J27</f>
        <v>0</v>
      </c>
      <c r="K26" s="1428">
        <v>0</v>
      </c>
      <c r="L26" s="1428">
        <v>0</v>
      </c>
      <c r="M26" s="778">
        <f>+M27+M31</f>
        <v>70053</v>
      </c>
      <c r="N26" s="778">
        <f>+N27+N31</f>
        <v>39002</v>
      </c>
      <c r="O26" s="3981"/>
      <c r="P26" s="437"/>
    </row>
    <row r="27" spans="1:17" s="356" customFormat="1" ht="11.25" customHeight="1">
      <c r="A27" s="4017"/>
      <c r="B27" s="739" t="s">
        <v>12</v>
      </c>
      <c r="C27" s="3984"/>
      <c r="D27" s="226">
        <f>E27+F27+G27+H27+I27+J27+K27+L27</f>
        <v>78262</v>
      </c>
      <c r="E27" s="249">
        <f>+E29+E30</f>
        <v>8209</v>
      </c>
      <c r="F27" s="574">
        <f t="shared" ref="F27:I27" si="25">+F29+F30</f>
        <v>31051</v>
      </c>
      <c r="G27" s="574">
        <f t="shared" si="25"/>
        <v>27134</v>
      </c>
      <c r="H27" s="574">
        <f t="shared" si="25"/>
        <v>8735</v>
      </c>
      <c r="I27" s="574">
        <f t="shared" si="25"/>
        <v>3133</v>
      </c>
      <c r="J27" s="577">
        <v>0</v>
      </c>
      <c r="K27" s="577">
        <v>0</v>
      </c>
      <c r="L27" s="577">
        <v>0</v>
      </c>
      <c r="M27" s="777">
        <f>SUM(F27:K27)</f>
        <v>70053</v>
      </c>
      <c r="N27" s="777">
        <f>SUM(G27:L27)</f>
        <v>39002</v>
      </c>
      <c r="O27" s="3981"/>
      <c r="P27" s="437"/>
    </row>
    <row r="28" spans="1:17" s="1432" customFormat="1" ht="13.5" hidden="1" customHeight="1">
      <c r="A28" s="4037"/>
      <c r="B28" s="1637" t="s">
        <v>150</v>
      </c>
      <c r="C28" s="4038"/>
      <c r="D28" s="716"/>
      <c r="E28" s="1638"/>
      <c r="F28" s="1639"/>
      <c r="G28" s="1639"/>
      <c r="H28" s="1639"/>
      <c r="I28" s="1639"/>
      <c r="J28" s="1638"/>
      <c r="K28" s="1638"/>
      <c r="L28" s="577"/>
      <c r="M28" s="715"/>
      <c r="N28" s="715"/>
      <c r="O28" s="3981"/>
      <c r="P28" s="437"/>
    </row>
    <row r="29" spans="1:17" s="1432" customFormat="1" ht="13.5" hidden="1" customHeight="1">
      <c r="A29" s="4037"/>
      <c r="B29" s="1637" t="s">
        <v>111</v>
      </c>
      <c r="C29" s="4038"/>
      <c r="D29" s="716">
        <f>+E29+F29+G29+H29+I29</f>
        <v>55839</v>
      </c>
      <c r="E29" s="1639">
        <v>3119</v>
      </c>
      <c r="F29" s="1639">
        <f>31679-1297-6985</f>
        <v>23397</v>
      </c>
      <c r="G29" s="1639">
        <f>12591-1089+6985</f>
        <v>18487</v>
      </c>
      <c r="H29" s="1639">
        <f>10929-2878-103</f>
        <v>7948</v>
      </c>
      <c r="I29" s="1639">
        <f>2920-32</f>
        <v>2888</v>
      </c>
      <c r="J29" s="1638"/>
      <c r="K29" s="1638"/>
      <c r="L29" s="577"/>
      <c r="M29" s="1426">
        <f t="shared" ref="M29:N31" si="26">SUM(E29:H29)</f>
        <v>52951</v>
      </c>
      <c r="N29" s="1426">
        <f>SUM(G29:I29)</f>
        <v>29323</v>
      </c>
      <c r="O29" s="3981"/>
      <c r="P29" s="437"/>
    </row>
    <row r="30" spans="1:17" s="1432" customFormat="1" ht="13.5" hidden="1" customHeight="1">
      <c r="A30" s="4037"/>
      <c r="B30" s="1637" t="s">
        <v>304</v>
      </c>
      <c r="C30" s="4038"/>
      <c r="D30" s="716">
        <f>+E30+F30+G30+H30+I30</f>
        <v>22423</v>
      </c>
      <c r="E30" s="1639">
        <f>4426+664</f>
        <v>5090</v>
      </c>
      <c r="F30" s="1639">
        <f>7322+633-301</f>
        <v>7654</v>
      </c>
      <c r="G30" s="1639">
        <f>6473+784+1089+301</f>
        <v>8647</v>
      </c>
      <c r="H30" s="1639">
        <f>599+85+103</f>
        <v>787</v>
      </c>
      <c r="I30" s="1639">
        <f>186+27+32</f>
        <v>245</v>
      </c>
      <c r="J30" s="1638"/>
      <c r="K30" s="1638"/>
      <c r="L30" s="577"/>
      <c r="M30" s="1426">
        <f t="shared" si="26"/>
        <v>22178</v>
      </c>
      <c r="N30" s="1426">
        <f>SUM(G30:I30)</f>
        <v>9679</v>
      </c>
      <c r="O30" s="3981"/>
      <c r="P30" s="437"/>
    </row>
    <row r="31" spans="1:17" s="356" customFormat="1" ht="14.25" hidden="1" customHeight="1">
      <c r="A31" s="4017"/>
      <c r="B31" s="739" t="s">
        <v>13</v>
      </c>
      <c r="C31" s="3984"/>
      <c r="D31" s="226">
        <f>E31+F31+G31+H31+I31+J31+K31+L31</f>
        <v>0</v>
      </c>
      <c r="E31" s="577">
        <v>0</v>
      </c>
      <c r="F31" s="574"/>
      <c r="G31" s="574"/>
      <c r="H31" s="574"/>
      <c r="I31" s="574"/>
      <c r="J31" s="577"/>
      <c r="K31" s="577"/>
      <c r="L31" s="577"/>
      <c r="M31" s="715">
        <f t="shared" si="26"/>
        <v>0</v>
      </c>
      <c r="N31" s="715">
        <f t="shared" si="26"/>
        <v>0</v>
      </c>
      <c r="O31" s="3981"/>
      <c r="P31" s="437"/>
    </row>
    <row r="32" spans="1:17" s="356" customFormat="1">
      <c r="A32" s="4017"/>
      <c r="B32" s="1640" t="s">
        <v>18</v>
      </c>
      <c r="C32" s="3984"/>
      <c r="D32" s="717">
        <f>+D37+D33</f>
        <v>420817</v>
      </c>
      <c r="E32" s="717">
        <f t="shared" ref="E32" si="27">+E37+E33</f>
        <v>45222</v>
      </c>
      <c r="F32" s="717">
        <f>+F37+F33</f>
        <v>172687</v>
      </c>
      <c r="G32" s="717">
        <f>+G37+G33</f>
        <v>144723</v>
      </c>
      <c r="H32" s="717">
        <f>+H37+H33</f>
        <v>44968</v>
      </c>
      <c r="I32" s="717">
        <f>+I33</f>
        <v>13217</v>
      </c>
      <c r="J32" s="735">
        <v>0</v>
      </c>
      <c r="K32" s="735">
        <v>0</v>
      </c>
      <c r="L32" s="735">
        <v>0</v>
      </c>
      <c r="M32" s="779">
        <f>+M37+M33</f>
        <v>375595</v>
      </c>
      <c r="N32" s="779">
        <f>+N37+N33</f>
        <v>202908</v>
      </c>
      <c r="O32" s="3981"/>
      <c r="P32" s="437"/>
    </row>
    <row r="33" spans="1:16" s="407" customFormat="1" ht="12" customHeight="1">
      <c r="A33" s="4017"/>
      <c r="B33" s="739" t="s">
        <v>20</v>
      </c>
      <c r="C33" s="3984"/>
      <c r="D33" s="226">
        <f>E33+F33+G33+H33+I33+J33+K33+L33</f>
        <v>420817</v>
      </c>
      <c r="E33" s="249">
        <f>+E35+E36</f>
        <v>45222</v>
      </c>
      <c r="F33" s="574">
        <f t="shared" ref="F33:I33" si="28">+F35+F36</f>
        <v>172687</v>
      </c>
      <c r="G33" s="574">
        <f t="shared" si="28"/>
        <v>144723</v>
      </c>
      <c r="H33" s="574">
        <f t="shared" si="28"/>
        <v>44968</v>
      </c>
      <c r="I33" s="574">
        <f t="shared" si="28"/>
        <v>13217</v>
      </c>
      <c r="J33" s="577">
        <v>0</v>
      </c>
      <c r="K33" s="577">
        <v>0</v>
      </c>
      <c r="L33" s="577">
        <v>0</v>
      </c>
      <c r="M33" s="777">
        <f>SUM(F33:K33)</f>
        <v>375595</v>
      </c>
      <c r="N33" s="777">
        <f>SUM(G33:L33)</f>
        <v>202908</v>
      </c>
      <c r="O33" s="3981"/>
      <c r="P33" s="1430">
        <f>D33-D42</f>
        <v>0</v>
      </c>
    </row>
    <row r="34" spans="1:16" s="1432" customFormat="1" ht="13.5" hidden="1" customHeight="1">
      <c r="A34" s="4017"/>
      <c r="B34" s="1637" t="s">
        <v>150</v>
      </c>
      <c r="C34" s="3984"/>
      <c r="D34" s="716"/>
      <c r="E34" s="577"/>
      <c r="F34" s="1639"/>
      <c r="G34" s="1639"/>
      <c r="H34" s="1639"/>
      <c r="I34" s="1639"/>
      <c r="J34" s="1638"/>
      <c r="K34" s="1638"/>
      <c r="L34" s="1638"/>
      <c r="M34" s="1426"/>
      <c r="N34" s="1426"/>
      <c r="O34" s="3981"/>
      <c r="P34" s="437"/>
    </row>
    <row r="35" spans="1:16" s="1432" customFormat="1" ht="13.5" hidden="1" customHeight="1">
      <c r="A35" s="4017"/>
      <c r="B35" s="1637" t="s">
        <v>111</v>
      </c>
      <c r="C35" s="3984"/>
      <c r="D35" s="716">
        <f>+E35+F35+G35+H35+I35</f>
        <v>293767</v>
      </c>
      <c r="E35" s="1639">
        <v>16375</v>
      </c>
      <c r="F35" s="1639">
        <f>1482+28167+1112+84605+3706+47478+5188-7334-35092</f>
        <v>129312</v>
      </c>
      <c r="G35" s="1639">
        <f>1482+13343+1112+47172+3706-6169+35092</f>
        <v>95738</v>
      </c>
      <c r="H35" s="1639">
        <f>1482+15195+1853+32381+6486-16307-582</f>
        <v>40508</v>
      </c>
      <c r="I35" s="1639">
        <f>3706+371+6085+1853-181</f>
        <v>11834</v>
      </c>
      <c r="J35" s="1638"/>
      <c r="K35" s="1638"/>
      <c r="L35" s="1638"/>
      <c r="M35" s="1426">
        <f t="shared" ref="M35:N37" si="29">SUM(E35:H35)</f>
        <v>281933</v>
      </c>
      <c r="N35" s="1426">
        <f>SUM(G35:I35)</f>
        <v>148080</v>
      </c>
      <c r="O35" s="3981"/>
      <c r="P35" s="437"/>
    </row>
    <row r="36" spans="1:16" s="1432" customFormat="1" ht="13.5" hidden="1" customHeight="1">
      <c r="A36" s="4017"/>
      <c r="B36" s="1637" t="s">
        <v>304</v>
      </c>
      <c r="C36" s="3984"/>
      <c r="D36" s="716">
        <f>+E36+F36+G36+H36+I36</f>
        <v>127050</v>
      </c>
      <c r="E36" s="1639">
        <f>25085+3762</f>
        <v>28847</v>
      </c>
      <c r="F36" s="1639">
        <f>28369+1756+4789+710+1512+4359+3572-1692</f>
        <v>43375</v>
      </c>
      <c r="G36" s="1639">
        <f>28654+2364+4931+731+4444+6169+1692</f>
        <v>48985</v>
      </c>
      <c r="H36" s="1639">
        <f>2663+220+445+67+483+582</f>
        <v>4460</v>
      </c>
      <c r="I36" s="1639">
        <f>672+222+138+21+149+181</f>
        <v>1383</v>
      </c>
      <c r="J36" s="1638"/>
      <c r="K36" s="1638"/>
      <c r="L36" s="1638"/>
      <c r="M36" s="1426">
        <f t="shared" si="29"/>
        <v>125667</v>
      </c>
      <c r="N36" s="1426">
        <f>SUM(G36:I36)</f>
        <v>54828</v>
      </c>
      <c r="O36" s="3981"/>
      <c r="P36" s="437"/>
    </row>
    <row r="37" spans="1:16" s="356" customFormat="1" ht="13.5" hidden="1" customHeight="1" collapsed="1">
      <c r="A37" s="4017"/>
      <c r="B37" s="739" t="s">
        <v>21</v>
      </c>
      <c r="C37" s="3984"/>
      <c r="D37" s="226">
        <f>E37+F37+G37+H37+I37+J37+K37+L37</f>
        <v>0</v>
      </c>
      <c r="E37" s="577">
        <v>0</v>
      </c>
      <c r="F37" s="574"/>
      <c r="G37" s="574"/>
      <c r="H37" s="574"/>
      <c r="I37" s="574"/>
      <c r="J37" s="577"/>
      <c r="K37" s="577"/>
      <c r="L37" s="577"/>
      <c r="M37" s="715">
        <f t="shared" si="29"/>
        <v>0</v>
      </c>
      <c r="N37" s="715">
        <f t="shared" si="29"/>
        <v>0</v>
      </c>
      <c r="O37" s="3982"/>
      <c r="P37" s="1430"/>
    </row>
    <row r="38" spans="1:16" s="356" customFormat="1">
      <c r="A38" s="4018"/>
      <c r="B38" s="710" t="s">
        <v>22</v>
      </c>
      <c r="C38" s="711"/>
      <c r="D38" s="570">
        <f>+D39+D41</f>
        <v>420817</v>
      </c>
      <c r="E38" s="576">
        <v>0</v>
      </c>
      <c r="F38" s="570">
        <f>+F39+F41</f>
        <v>84212</v>
      </c>
      <c r="G38" s="570">
        <f t="shared" ref="G38:J38" si="30">+G39+G41</f>
        <v>168662</v>
      </c>
      <c r="H38" s="570">
        <f t="shared" si="30"/>
        <v>119784</v>
      </c>
      <c r="I38" s="570">
        <f t="shared" si="30"/>
        <v>48159</v>
      </c>
      <c r="J38" s="576">
        <f t="shared" si="30"/>
        <v>0</v>
      </c>
      <c r="K38" s="576">
        <v>0</v>
      </c>
      <c r="L38" s="576">
        <v>0</v>
      </c>
      <c r="M38" s="4024" t="s">
        <v>61</v>
      </c>
      <c r="N38" s="4024" t="s">
        <v>61</v>
      </c>
      <c r="O38" s="2007"/>
      <c r="P38" s="1430">
        <f>G38-'[1]Tab. 6B Polit społ i rozwój prz'!$G$37</f>
        <v>-69130</v>
      </c>
    </row>
    <row r="39" spans="1:16" s="356" customFormat="1" ht="13.5" hidden="1" customHeight="1">
      <c r="A39" s="4018"/>
      <c r="B39" s="1425" t="s">
        <v>24</v>
      </c>
      <c r="C39" s="4039" t="s">
        <v>318</v>
      </c>
      <c r="D39" s="717">
        <f>+D40</f>
        <v>0</v>
      </c>
      <c r="E39" s="735">
        <v>0</v>
      </c>
      <c r="F39" s="717"/>
      <c r="G39" s="717"/>
      <c r="H39" s="717"/>
      <c r="I39" s="717"/>
      <c r="J39" s="735"/>
      <c r="K39" s="735"/>
      <c r="L39" s="735"/>
      <c r="M39" s="4024"/>
      <c r="N39" s="4024"/>
      <c r="O39" s="2007"/>
      <c r="P39" s="437"/>
    </row>
    <row r="40" spans="1:16" s="356" customFormat="1" ht="13.5" hidden="1" customHeight="1">
      <c r="A40" s="4018"/>
      <c r="B40" s="739" t="s">
        <v>13</v>
      </c>
      <c r="C40" s="3984"/>
      <c r="D40" s="226">
        <f>E40+F40+G40+H40+I40+J40+K40+L40</f>
        <v>0</v>
      </c>
      <c r="E40" s="1352"/>
      <c r="F40" s="716"/>
      <c r="G40" s="716"/>
      <c r="H40" s="716"/>
      <c r="I40" s="716"/>
      <c r="J40" s="1352"/>
      <c r="K40" s="1352"/>
      <c r="L40" s="1352"/>
      <c r="M40" s="4024"/>
      <c r="N40" s="4024"/>
      <c r="O40" s="2007"/>
      <c r="P40" s="437"/>
    </row>
    <row r="41" spans="1:16" s="356" customFormat="1">
      <c r="A41" s="4018"/>
      <c r="B41" s="1640" t="s">
        <v>18</v>
      </c>
      <c r="C41" s="4040"/>
      <c r="D41" s="717">
        <f>+D43+D42</f>
        <v>420817</v>
      </c>
      <c r="E41" s="735">
        <v>0</v>
      </c>
      <c r="F41" s="717">
        <f t="shared" ref="F41:J41" si="31">+F43+F42</f>
        <v>84212</v>
      </c>
      <c r="G41" s="717">
        <f t="shared" si="31"/>
        <v>168662</v>
      </c>
      <c r="H41" s="717">
        <f>+H43+H42</f>
        <v>119784</v>
      </c>
      <c r="I41" s="717">
        <f t="shared" si="31"/>
        <v>48159</v>
      </c>
      <c r="J41" s="735">
        <f t="shared" si="31"/>
        <v>0</v>
      </c>
      <c r="K41" s="735">
        <v>0</v>
      </c>
      <c r="L41" s="735">
        <v>0</v>
      </c>
      <c r="M41" s="4024"/>
      <c r="N41" s="4024"/>
      <c r="O41" s="2059" t="s">
        <v>111</v>
      </c>
      <c r="P41" s="437"/>
    </row>
    <row r="42" spans="1:16" s="407" customFormat="1" ht="15.75" customHeight="1" thickBot="1">
      <c r="A42" s="4018"/>
      <c r="B42" s="739" t="s">
        <v>20</v>
      </c>
      <c r="C42" s="4040"/>
      <c r="D42" s="226">
        <f>E42+F42+G42+H42+I42+J42+K42+L42</f>
        <v>420817</v>
      </c>
      <c r="E42" s="1641">
        <v>0</v>
      </c>
      <c r="F42" s="574">
        <f>88766-60286+55732</f>
        <v>84212</v>
      </c>
      <c r="G42" s="574">
        <f>154696+9365+11231+62500-69130</f>
        <v>168662</v>
      </c>
      <c r="H42" s="574">
        <f>103495-26700+4444-33621+72166</f>
        <v>119784</v>
      </c>
      <c r="I42" s="574">
        <f>60792+32027-15824-25800-3036</f>
        <v>48159</v>
      </c>
      <c r="J42" s="577">
        <f>13068+45594+149-58811</f>
        <v>0</v>
      </c>
      <c r="K42" s="577">
        <v>0</v>
      </c>
      <c r="L42" s="577">
        <v>0</v>
      </c>
      <c r="M42" s="4024"/>
      <c r="N42" s="4024"/>
      <c r="O42" s="2007"/>
      <c r="P42" s="437"/>
    </row>
    <row r="43" spans="1:16" ht="13.5" hidden="1" customHeight="1" thickBot="1">
      <c r="A43" s="3995"/>
      <c r="B43" s="1642" t="s">
        <v>21</v>
      </c>
      <c r="C43" s="4041"/>
      <c r="D43" s="226">
        <f>E43+F43+G43+H43+I43+J43+K43+L43</f>
        <v>0</v>
      </c>
      <c r="E43" s="736">
        <v>0</v>
      </c>
      <c r="F43" s="425"/>
      <c r="G43" s="425"/>
      <c r="H43" s="425"/>
      <c r="I43" s="425"/>
      <c r="J43" s="425"/>
      <c r="K43" s="425"/>
      <c r="L43" s="425"/>
      <c r="M43" s="4000"/>
      <c r="N43" s="4000"/>
      <c r="O43" s="2008"/>
      <c r="P43" s="433"/>
    </row>
    <row r="44" spans="1:16" ht="24" customHeight="1">
      <c r="A44" s="4016" t="s">
        <v>321</v>
      </c>
      <c r="B44" s="1088" t="s">
        <v>606</v>
      </c>
      <c r="C44" s="1089" t="s">
        <v>110</v>
      </c>
      <c r="D44" s="58"/>
      <c r="E44" s="518"/>
      <c r="F44" s="40"/>
      <c r="G44" s="40"/>
      <c r="H44" s="40"/>
      <c r="I44" s="40"/>
      <c r="J44" s="40"/>
      <c r="K44" s="40"/>
      <c r="L44" s="40"/>
      <c r="M44" s="531"/>
      <c r="N44" s="531"/>
      <c r="O44" s="3980" t="s">
        <v>328</v>
      </c>
      <c r="P44" s="433"/>
    </row>
    <row r="45" spans="1:16">
      <c r="A45" s="4017"/>
      <c r="B45" s="710" t="s">
        <v>10</v>
      </c>
      <c r="C45" s="1090"/>
      <c r="D45" s="776">
        <f t="shared" ref="D45" si="32">+D46+D51</f>
        <v>1324368</v>
      </c>
      <c r="E45" s="1427">
        <f t="shared" ref="E45" si="33">+E46+E51</f>
        <v>0</v>
      </c>
      <c r="F45" s="1427">
        <f t="shared" ref="F45:H45" si="34">+F46+F51</f>
        <v>0</v>
      </c>
      <c r="G45" s="561">
        <f t="shared" si="34"/>
        <v>689604</v>
      </c>
      <c r="H45" s="561">
        <f t="shared" si="34"/>
        <v>634764</v>
      </c>
      <c r="I45" s="1427">
        <f t="shared" ref="I45:L45" si="35">+I46+I51</f>
        <v>0</v>
      </c>
      <c r="J45" s="1427">
        <f t="shared" si="35"/>
        <v>0</v>
      </c>
      <c r="K45" s="1427">
        <f t="shared" si="35"/>
        <v>0</v>
      </c>
      <c r="L45" s="1427">
        <f t="shared" si="35"/>
        <v>0</v>
      </c>
      <c r="M45" s="712">
        <f>+M46+M51</f>
        <v>1324368</v>
      </c>
      <c r="N45" s="712">
        <f>+N46+N51</f>
        <v>1324368</v>
      </c>
      <c r="O45" s="3981"/>
      <c r="P45" s="434"/>
    </row>
    <row r="46" spans="1:16" ht="12.75" customHeight="1">
      <c r="A46" s="4017"/>
      <c r="B46" s="713" t="s">
        <v>24</v>
      </c>
      <c r="C46" s="4019" t="s">
        <v>324</v>
      </c>
      <c r="D46" s="582">
        <f t="shared" ref="D46:N46" si="36">+D47+D50</f>
        <v>198655</v>
      </c>
      <c r="E46" s="1428">
        <f t="shared" ref="E46" si="37">+E47+E50</f>
        <v>0</v>
      </c>
      <c r="F46" s="1428">
        <f t="shared" si="36"/>
        <v>0</v>
      </c>
      <c r="G46" s="582">
        <f t="shared" si="36"/>
        <v>103441</v>
      </c>
      <c r="H46" s="582">
        <f t="shared" si="36"/>
        <v>95214</v>
      </c>
      <c r="I46" s="1428">
        <f t="shared" ref="I46:L46" si="38">+I47+I50</f>
        <v>0</v>
      </c>
      <c r="J46" s="1428">
        <f t="shared" si="38"/>
        <v>0</v>
      </c>
      <c r="K46" s="1428">
        <f t="shared" si="38"/>
        <v>0</v>
      </c>
      <c r="L46" s="1428">
        <f t="shared" si="38"/>
        <v>0</v>
      </c>
      <c r="M46" s="778">
        <f t="shared" ref="M46" si="39">+M47+M50</f>
        <v>198655</v>
      </c>
      <c r="N46" s="778">
        <f t="shared" si="36"/>
        <v>198655</v>
      </c>
      <c r="O46" s="3981"/>
      <c r="P46" s="433"/>
    </row>
    <row r="47" spans="1:16" ht="12" customHeight="1">
      <c r="A47" s="4017"/>
      <c r="B47" s="714" t="s">
        <v>12</v>
      </c>
      <c r="C47" s="4020"/>
      <c r="D47" s="226">
        <f>E47+F47+G47+H47+I47+J47+K47+L47</f>
        <v>198655</v>
      </c>
      <c r="E47" s="1433">
        <f t="shared" ref="E47:H47" si="40">+E48+E49</f>
        <v>0</v>
      </c>
      <c r="F47" s="1433">
        <f t="shared" si="40"/>
        <v>0</v>
      </c>
      <c r="G47" s="574">
        <f t="shared" si="40"/>
        <v>103441</v>
      </c>
      <c r="H47" s="574">
        <f t="shared" si="40"/>
        <v>95214</v>
      </c>
      <c r="I47" s="1433">
        <f t="shared" ref="I47:L47" si="41">+I48+I49</f>
        <v>0</v>
      </c>
      <c r="J47" s="1433">
        <f t="shared" si="41"/>
        <v>0</v>
      </c>
      <c r="K47" s="1433">
        <f t="shared" si="41"/>
        <v>0</v>
      </c>
      <c r="L47" s="1433">
        <f t="shared" si="41"/>
        <v>0</v>
      </c>
      <c r="M47" s="777">
        <f>SUM(F47:K47)</f>
        <v>198655</v>
      </c>
      <c r="N47" s="759">
        <f>SUM(G47:L47)</f>
        <v>198655</v>
      </c>
      <c r="O47" s="3981"/>
      <c r="P47" s="433"/>
    </row>
    <row r="48" spans="1:16" s="1439" customFormat="1" ht="13.5" hidden="1" customHeight="1">
      <c r="A48" s="4017"/>
      <c r="B48" s="1434" t="s">
        <v>304</v>
      </c>
      <c r="C48" s="4020"/>
      <c r="D48" s="1435">
        <f>SUM(E48:L48)</f>
        <v>101173</v>
      </c>
      <c r="E48" s="1436">
        <v>0</v>
      </c>
      <c r="F48" s="1437">
        <v>0</v>
      </c>
      <c r="G48" s="1438">
        <v>51272</v>
      </c>
      <c r="H48" s="1438">
        <v>49901</v>
      </c>
      <c r="I48" s="1437">
        <v>0</v>
      </c>
      <c r="J48" s="1437">
        <v>0</v>
      </c>
      <c r="K48" s="1437">
        <v>0</v>
      </c>
      <c r="L48" s="1437">
        <v>0</v>
      </c>
      <c r="M48" s="715"/>
      <c r="N48" s="777">
        <f t="shared" ref="N48:N49" si="42">SUM(G48:L48)</f>
        <v>101173</v>
      </c>
      <c r="O48" s="3981"/>
      <c r="P48" s="433"/>
    </row>
    <row r="49" spans="1:16" s="1439" customFormat="1" ht="13.5" hidden="1" customHeight="1">
      <c r="A49" s="4017"/>
      <c r="B49" s="1440" t="s">
        <v>322</v>
      </c>
      <c r="C49" s="4020"/>
      <c r="D49" s="1441">
        <f>SUM(E49:L49)</f>
        <v>97482</v>
      </c>
      <c r="E49" s="1442">
        <v>0</v>
      </c>
      <c r="F49" s="1443">
        <v>0</v>
      </c>
      <c r="G49" s="1444">
        <v>52169</v>
      </c>
      <c r="H49" s="1444">
        <v>45313</v>
      </c>
      <c r="I49" s="1443">
        <v>0</v>
      </c>
      <c r="J49" s="1443">
        <v>0</v>
      </c>
      <c r="K49" s="1443">
        <v>0</v>
      </c>
      <c r="L49" s="1443">
        <v>0</v>
      </c>
      <c r="M49" s="715"/>
      <c r="N49" s="777">
        <f t="shared" si="42"/>
        <v>97482</v>
      </c>
      <c r="O49" s="3981"/>
      <c r="P49" s="433"/>
    </row>
    <row r="50" spans="1:16" ht="12.75" hidden="1" customHeight="1">
      <c r="A50" s="4017"/>
      <c r="B50" s="714" t="s">
        <v>13</v>
      </c>
      <c r="C50" s="4020"/>
      <c r="D50" s="716">
        <f>SUM(E50:G50)</f>
        <v>0</v>
      </c>
      <c r="E50" s="577">
        <v>0</v>
      </c>
      <c r="F50" s="577"/>
      <c r="G50" s="574"/>
      <c r="H50" s="574"/>
      <c r="I50" s="577"/>
      <c r="J50" s="577"/>
      <c r="K50" s="577"/>
      <c r="L50" s="577"/>
      <c r="M50" s="715">
        <f>SUM(E50:K50)</f>
        <v>0</v>
      </c>
      <c r="N50" s="1426">
        <f>SUM(F50:L50)</f>
        <v>0</v>
      </c>
      <c r="O50" s="3981"/>
      <c r="P50" s="433"/>
    </row>
    <row r="51" spans="1:16" ht="12" customHeight="1">
      <c r="A51" s="4017"/>
      <c r="B51" s="713" t="s">
        <v>18</v>
      </c>
      <c r="C51" s="4020"/>
      <c r="D51" s="717">
        <f>+D52</f>
        <v>1125713</v>
      </c>
      <c r="E51" s="735">
        <f t="shared" ref="E51:L51" si="43">+E52</f>
        <v>0</v>
      </c>
      <c r="F51" s="735">
        <f t="shared" si="43"/>
        <v>0</v>
      </c>
      <c r="G51" s="717">
        <f t="shared" si="43"/>
        <v>586163</v>
      </c>
      <c r="H51" s="717">
        <f t="shared" si="43"/>
        <v>539550</v>
      </c>
      <c r="I51" s="735">
        <f t="shared" si="43"/>
        <v>0</v>
      </c>
      <c r="J51" s="735">
        <f t="shared" si="43"/>
        <v>0</v>
      </c>
      <c r="K51" s="735">
        <f t="shared" si="43"/>
        <v>0</v>
      </c>
      <c r="L51" s="735">
        <f t="shared" si="43"/>
        <v>0</v>
      </c>
      <c r="M51" s="779">
        <f>+M52</f>
        <v>1125713</v>
      </c>
      <c r="N51" s="779">
        <f>+N52</f>
        <v>1125713</v>
      </c>
      <c r="O51" s="3981"/>
      <c r="P51" s="433"/>
    </row>
    <row r="52" spans="1:16" ht="12" customHeight="1" collapsed="1">
      <c r="A52" s="4017"/>
      <c r="B52" s="714" t="s">
        <v>21</v>
      </c>
      <c r="C52" s="4020"/>
      <c r="D52" s="226">
        <f>E52+F52+G52+H52+I52+J52+K52+L52</f>
        <v>1125713</v>
      </c>
      <c r="E52" s="577">
        <f t="shared" ref="E52:H52" si="44">+E53+E54</f>
        <v>0</v>
      </c>
      <c r="F52" s="577">
        <f t="shared" si="44"/>
        <v>0</v>
      </c>
      <c r="G52" s="574">
        <f t="shared" si="44"/>
        <v>586163</v>
      </c>
      <c r="H52" s="574">
        <f t="shared" si="44"/>
        <v>539550</v>
      </c>
      <c r="I52" s="577">
        <f t="shared" ref="I52:L52" si="45">+I53+I54</f>
        <v>0</v>
      </c>
      <c r="J52" s="577">
        <f t="shared" si="45"/>
        <v>0</v>
      </c>
      <c r="K52" s="577">
        <f t="shared" si="45"/>
        <v>0</v>
      </c>
      <c r="L52" s="577">
        <f t="shared" si="45"/>
        <v>0</v>
      </c>
      <c r="M52" s="777">
        <f>SUM(F52:K52)</f>
        <v>1125713</v>
      </c>
      <c r="N52" s="777">
        <f>SUM(G52:L52)</f>
        <v>1125713</v>
      </c>
      <c r="O52" s="3982"/>
      <c r="P52" s="433"/>
    </row>
    <row r="53" spans="1:16" s="1439" customFormat="1" ht="13.5" hidden="1" customHeight="1">
      <c r="A53" s="4017"/>
      <c r="B53" s="1445" t="s">
        <v>304</v>
      </c>
      <c r="C53" s="740"/>
      <c r="D53" s="1446">
        <f>SUM(E53:L53)</f>
        <v>573315</v>
      </c>
      <c r="E53" s="1447">
        <v>0</v>
      </c>
      <c r="F53" s="1448">
        <v>0</v>
      </c>
      <c r="G53" s="1449">
        <v>290542</v>
      </c>
      <c r="H53" s="1449">
        <v>282773</v>
      </c>
      <c r="I53" s="1448">
        <v>0</v>
      </c>
      <c r="J53" s="1448">
        <v>0</v>
      </c>
      <c r="K53" s="1448">
        <v>0</v>
      </c>
      <c r="L53" s="1448">
        <v>0</v>
      </c>
      <c r="M53" s="715"/>
      <c r="N53" s="715"/>
      <c r="O53" s="1564"/>
      <c r="P53" s="433"/>
    </row>
    <row r="54" spans="1:16" s="1439" customFormat="1" ht="12.75" hidden="1" customHeight="1">
      <c r="A54" s="4017"/>
      <c r="B54" s="1450" t="s">
        <v>322</v>
      </c>
      <c r="C54" s="1451"/>
      <c r="D54" s="1452">
        <f>SUM(E54:L54)</f>
        <v>552398</v>
      </c>
      <c r="E54" s="1453">
        <v>0</v>
      </c>
      <c r="F54" s="1454">
        <v>0</v>
      </c>
      <c r="G54" s="1455">
        <v>295621</v>
      </c>
      <c r="H54" s="1455">
        <v>256777</v>
      </c>
      <c r="I54" s="1454">
        <v>0</v>
      </c>
      <c r="J54" s="1454">
        <v>0</v>
      </c>
      <c r="K54" s="1454">
        <v>0</v>
      </c>
      <c r="L54" s="1454">
        <v>0</v>
      </c>
      <c r="M54" s="715"/>
      <c r="N54" s="715"/>
      <c r="O54" s="1564"/>
      <c r="P54" s="433"/>
    </row>
    <row r="55" spans="1:16">
      <c r="A55" s="4018"/>
      <c r="B55" s="710" t="s">
        <v>22</v>
      </c>
      <c r="C55" s="711"/>
      <c r="D55" s="718">
        <f t="shared" ref="D55:H55" si="46">+D56+D58</f>
        <v>1125713</v>
      </c>
      <c r="E55" s="1456">
        <f t="shared" ref="E55" si="47">+E56+E58</f>
        <v>0</v>
      </c>
      <c r="F55" s="1456">
        <f t="shared" si="46"/>
        <v>0</v>
      </c>
      <c r="G55" s="718">
        <f t="shared" si="46"/>
        <v>586163</v>
      </c>
      <c r="H55" s="718">
        <f t="shared" si="46"/>
        <v>539550</v>
      </c>
      <c r="I55" s="1456">
        <f t="shared" ref="I55:L55" si="48">+I56+I58</f>
        <v>0</v>
      </c>
      <c r="J55" s="1456">
        <f t="shared" si="48"/>
        <v>0</v>
      </c>
      <c r="K55" s="1456">
        <f t="shared" si="48"/>
        <v>0</v>
      </c>
      <c r="L55" s="1456">
        <f t="shared" si="48"/>
        <v>0</v>
      </c>
      <c r="M55" s="4024" t="s">
        <v>61</v>
      </c>
      <c r="N55" s="4024" t="s">
        <v>61</v>
      </c>
      <c r="O55" s="4002" t="s">
        <v>322</v>
      </c>
      <c r="P55" s="434">
        <f>G55-'[1]Tab. 6B Polit społ i rozwój prz'!$G$54</f>
        <v>0</v>
      </c>
    </row>
    <row r="56" spans="1:16" ht="13.5" hidden="1" customHeight="1">
      <c r="A56" s="4018"/>
      <c r="B56" s="713" t="s">
        <v>24</v>
      </c>
      <c r="C56" s="4021" t="s">
        <v>323</v>
      </c>
      <c r="D56" s="717">
        <f>+D57</f>
        <v>0</v>
      </c>
      <c r="E56" s="735">
        <f t="shared" ref="E56:L56" si="49">+E57</f>
        <v>0</v>
      </c>
      <c r="F56" s="735">
        <f t="shared" si="49"/>
        <v>0</v>
      </c>
      <c r="G56" s="717">
        <f t="shared" si="49"/>
        <v>0</v>
      </c>
      <c r="H56" s="717">
        <f t="shared" si="49"/>
        <v>0</v>
      </c>
      <c r="I56" s="735">
        <f t="shared" si="49"/>
        <v>0</v>
      </c>
      <c r="J56" s="735">
        <f t="shared" si="49"/>
        <v>0</v>
      </c>
      <c r="K56" s="735">
        <f t="shared" si="49"/>
        <v>0</v>
      </c>
      <c r="L56" s="735">
        <f t="shared" si="49"/>
        <v>0</v>
      </c>
      <c r="M56" s="4024"/>
      <c r="N56" s="4024"/>
      <c r="O56" s="4002"/>
      <c r="P56" s="433"/>
    </row>
    <row r="57" spans="1:16" ht="13.5" hidden="1" customHeight="1">
      <c r="A57" s="4018"/>
      <c r="B57" s="714" t="s">
        <v>13</v>
      </c>
      <c r="C57" s="4022"/>
      <c r="D57" s="716">
        <f>SUM(E57:G57)</f>
        <v>0</v>
      </c>
      <c r="E57" s="1352"/>
      <c r="F57" s="1352"/>
      <c r="G57" s="716"/>
      <c r="H57" s="716"/>
      <c r="I57" s="1352"/>
      <c r="J57" s="1352"/>
      <c r="K57" s="1352"/>
      <c r="L57" s="1352"/>
      <c r="M57" s="4024"/>
      <c r="N57" s="4024"/>
      <c r="O57" s="4002"/>
      <c r="P57" s="433"/>
    </row>
    <row r="58" spans="1:16" ht="12.75" customHeight="1">
      <c r="A58" s="4018"/>
      <c r="B58" s="713" t="s">
        <v>18</v>
      </c>
      <c r="C58" s="4022"/>
      <c r="D58" s="717">
        <f t="shared" ref="D58:L58" si="50">+D59</f>
        <v>1125713</v>
      </c>
      <c r="E58" s="735">
        <f t="shared" si="50"/>
        <v>0</v>
      </c>
      <c r="F58" s="735">
        <f t="shared" si="50"/>
        <v>0</v>
      </c>
      <c r="G58" s="717">
        <f t="shared" si="50"/>
        <v>586163</v>
      </c>
      <c r="H58" s="717">
        <f t="shared" si="50"/>
        <v>539550</v>
      </c>
      <c r="I58" s="735">
        <f t="shared" si="50"/>
        <v>0</v>
      </c>
      <c r="J58" s="735">
        <f t="shared" si="50"/>
        <v>0</v>
      </c>
      <c r="K58" s="735">
        <f t="shared" si="50"/>
        <v>0</v>
      </c>
      <c r="L58" s="735">
        <f t="shared" si="50"/>
        <v>0</v>
      </c>
      <c r="M58" s="4024"/>
      <c r="N58" s="4024"/>
      <c r="O58" s="4002"/>
      <c r="P58" s="433"/>
    </row>
    <row r="59" spans="1:16" ht="11.25" customHeight="1" thickBot="1">
      <c r="A59" s="3995"/>
      <c r="B59" s="532" t="s">
        <v>21</v>
      </c>
      <c r="C59" s="4023"/>
      <c r="D59" s="700">
        <f>E59+F59+G59+H59+I59+J59+K59+L59</f>
        <v>1125713</v>
      </c>
      <c r="E59" s="514">
        <v>0</v>
      </c>
      <c r="F59" s="736">
        <v>0</v>
      </c>
      <c r="G59" s="425">
        <v>586163</v>
      </c>
      <c r="H59" s="425">
        <v>539550</v>
      </c>
      <c r="I59" s="736">
        <v>0</v>
      </c>
      <c r="J59" s="736">
        <v>0</v>
      </c>
      <c r="K59" s="736">
        <v>0</v>
      </c>
      <c r="L59" s="736">
        <v>0</v>
      </c>
      <c r="M59" s="4000"/>
      <c r="N59" s="4000"/>
      <c r="O59" s="4003"/>
      <c r="P59" s="433"/>
    </row>
    <row r="60" spans="1:16" ht="0.6" customHeight="1">
      <c r="A60" s="2062"/>
      <c r="B60" s="739" t="s">
        <v>21</v>
      </c>
      <c r="C60" s="2064"/>
      <c r="D60" s="716">
        <f>SUM(E60:G60)</f>
        <v>0</v>
      </c>
      <c r="E60" s="574">
        <v>0</v>
      </c>
      <c r="F60" s="574"/>
      <c r="G60" s="574"/>
      <c r="H60" s="574"/>
      <c r="I60" s="574"/>
      <c r="J60" s="574"/>
      <c r="K60" s="574"/>
      <c r="L60" s="574"/>
      <c r="M60" s="2063"/>
      <c r="N60" s="2063"/>
      <c r="O60" s="1583"/>
      <c r="P60" s="433"/>
    </row>
    <row r="61" spans="1:16" ht="27" customHeight="1">
      <c r="A61" s="4010" t="s">
        <v>65</v>
      </c>
      <c r="B61" s="1643" t="s">
        <v>648</v>
      </c>
      <c r="C61" s="1644" t="s">
        <v>110</v>
      </c>
      <c r="D61" s="1310"/>
      <c r="E61" s="1645"/>
      <c r="F61" s="1645"/>
      <c r="G61" s="1645"/>
      <c r="H61" s="1645"/>
      <c r="I61" s="1645"/>
      <c r="J61" s="1645"/>
      <c r="K61" s="1645"/>
      <c r="L61" s="1645"/>
      <c r="M61" s="1282"/>
      <c r="N61" s="1282"/>
      <c r="O61" s="4025" t="s">
        <v>561</v>
      </c>
      <c r="P61" s="433"/>
    </row>
    <row r="62" spans="1:16" ht="12" customHeight="1">
      <c r="A62" s="4010"/>
      <c r="B62" s="1646" t="s">
        <v>10</v>
      </c>
      <c r="C62" s="1313"/>
      <c r="D62" s="1281">
        <f t="shared" ref="D62:L62" si="51">+D63+D66</f>
        <v>12441351</v>
      </c>
      <c r="E62" s="1281">
        <f t="shared" ref="E62" si="52">+E63+E66</f>
        <v>1741141</v>
      </c>
      <c r="F62" s="1281">
        <f t="shared" si="51"/>
        <v>1271441</v>
      </c>
      <c r="G62" s="1281">
        <f t="shared" si="51"/>
        <v>2030017</v>
      </c>
      <c r="H62" s="1281">
        <f t="shared" si="51"/>
        <v>1885382</v>
      </c>
      <c r="I62" s="1281">
        <f t="shared" si="51"/>
        <v>1885382</v>
      </c>
      <c r="J62" s="1281">
        <f t="shared" si="51"/>
        <v>1855719</v>
      </c>
      <c r="K62" s="1281">
        <f t="shared" si="51"/>
        <v>886134</v>
      </c>
      <c r="L62" s="1281">
        <f t="shared" si="51"/>
        <v>886135</v>
      </c>
      <c r="M62" s="1233">
        <f>+M63+M66</f>
        <v>9814075</v>
      </c>
      <c r="N62" s="1233">
        <f>+N63+N66</f>
        <v>9428769</v>
      </c>
      <c r="O62" s="3981"/>
      <c r="P62" s="433"/>
    </row>
    <row r="63" spans="1:16" ht="12" customHeight="1">
      <c r="A63" s="4010"/>
      <c r="B63" s="1647" t="s">
        <v>24</v>
      </c>
      <c r="C63" s="4012" t="s">
        <v>121</v>
      </c>
      <c r="D63" s="1358">
        <f t="shared" ref="D63:L63" si="53">+D64+D65</f>
        <v>1955780</v>
      </c>
      <c r="E63" s="1358">
        <f t="shared" ref="E63" si="54">+E64+E65</f>
        <v>273708</v>
      </c>
      <c r="F63" s="1358">
        <f t="shared" si="53"/>
        <v>199870</v>
      </c>
      <c r="G63" s="1358">
        <f t="shared" si="53"/>
        <v>319119</v>
      </c>
      <c r="H63" s="1358">
        <f t="shared" si="53"/>
        <v>296382</v>
      </c>
      <c r="I63" s="1358">
        <f t="shared" si="53"/>
        <v>296382</v>
      </c>
      <c r="J63" s="1358">
        <f t="shared" si="53"/>
        <v>291719</v>
      </c>
      <c r="K63" s="1358">
        <f t="shared" si="53"/>
        <v>139300</v>
      </c>
      <c r="L63" s="1358">
        <f t="shared" si="53"/>
        <v>139300</v>
      </c>
      <c r="M63" s="1369">
        <f>+M64+M65</f>
        <v>1542772</v>
      </c>
      <c r="N63" s="1369">
        <f>+N64+N65</f>
        <v>1482202</v>
      </c>
      <c r="O63" s="3981"/>
      <c r="P63" s="433"/>
    </row>
    <row r="64" spans="1:16" ht="12" customHeight="1">
      <c r="A64" s="4010"/>
      <c r="B64" s="1648" t="s">
        <v>12</v>
      </c>
      <c r="C64" s="3985"/>
      <c r="D64" s="1159">
        <f>E64+F64+G64+H64+I64+J64+K64+L64</f>
        <v>1955780</v>
      </c>
      <c r="E64" s="1206">
        <v>273708</v>
      </c>
      <c r="F64" s="1239">
        <f>219137+39195+186-30030-28618</f>
        <v>199870</v>
      </c>
      <c r="G64" s="1239">
        <f>219137+40716-186+30030+29422</f>
        <v>319119</v>
      </c>
      <c r="H64" s="1239">
        <f>354390-58008</f>
        <v>296382</v>
      </c>
      <c r="I64" s="1239">
        <f>354390-58008</f>
        <v>296382</v>
      </c>
      <c r="J64" s="1239">
        <v>291719</v>
      </c>
      <c r="K64" s="1239">
        <v>139300</v>
      </c>
      <c r="L64" s="1239">
        <v>139300</v>
      </c>
      <c r="M64" s="1381">
        <f>SUM(F64:K64)</f>
        <v>1542772</v>
      </c>
      <c r="N64" s="1381">
        <f>SUM(G64:L64)</f>
        <v>1482202</v>
      </c>
      <c r="O64" s="3981"/>
      <c r="P64" s="433"/>
    </row>
    <row r="65" spans="1:16" ht="12" hidden="1" customHeight="1">
      <c r="A65" s="4010"/>
      <c r="B65" s="1648" t="s">
        <v>13</v>
      </c>
      <c r="C65" s="3985"/>
      <c r="D65" s="1247"/>
      <c r="E65" s="1239"/>
      <c r="F65" s="1239"/>
      <c r="G65" s="1239"/>
      <c r="H65" s="1239"/>
      <c r="I65" s="1239"/>
      <c r="J65" s="1239"/>
      <c r="K65" s="1239"/>
      <c r="L65" s="1239"/>
      <c r="M65" s="1381">
        <f>SUM(F65:K65)</f>
        <v>0</v>
      </c>
      <c r="N65" s="1381">
        <f>SUM(G65:L65)</f>
        <v>0</v>
      </c>
      <c r="O65" s="3981"/>
      <c r="P65" s="433"/>
    </row>
    <row r="66" spans="1:16" ht="12" customHeight="1">
      <c r="A66" s="4010"/>
      <c r="B66" s="1649" t="s">
        <v>18</v>
      </c>
      <c r="C66" s="3985"/>
      <c r="D66" s="1238">
        <f>+D67</f>
        <v>10485571</v>
      </c>
      <c r="E66" s="1238">
        <f t="shared" ref="E66:L66" si="55">+E67</f>
        <v>1467433</v>
      </c>
      <c r="F66" s="1238">
        <f t="shared" si="55"/>
        <v>1071571</v>
      </c>
      <c r="G66" s="1238">
        <f t="shared" si="55"/>
        <v>1710898</v>
      </c>
      <c r="H66" s="1238">
        <f t="shared" si="55"/>
        <v>1589000</v>
      </c>
      <c r="I66" s="1238">
        <f t="shared" si="55"/>
        <v>1589000</v>
      </c>
      <c r="J66" s="1238">
        <f t="shared" si="55"/>
        <v>1564000</v>
      </c>
      <c r="K66" s="1238">
        <f t="shared" si="55"/>
        <v>746834</v>
      </c>
      <c r="L66" s="1238">
        <f t="shared" si="55"/>
        <v>746835</v>
      </c>
      <c r="M66" s="1312">
        <f>+M67</f>
        <v>8271303</v>
      </c>
      <c r="N66" s="1312">
        <f>+N67</f>
        <v>7946567</v>
      </c>
      <c r="O66" s="3981"/>
      <c r="P66" s="433"/>
    </row>
    <row r="67" spans="1:16" ht="11.25" customHeight="1">
      <c r="A67" s="4010"/>
      <c r="B67" s="1648" t="s">
        <v>21</v>
      </c>
      <c r="C67" s="3985"/>
      <c r="D67" s="1159">
        <f>E67+F67+G67+H67+I67+J67+K67+L67</f>
        <v>10485571</v>
      </c>
      <c r="E67" s="1206">
        <v>1467433</v>
      </c>
      <c r="F67" s="1239">
        <f>1174863+210137+1000-161000-153429</f>
        <v>1071571</v>
      </c>
      <c r="G67" s="1239">
        <f>1174863+218294-1000+161000+157741</f>
        <v>1710898</v>
      </c>
      <c r="H67" s="1239">
        <f>1900000-311000</f>
        <v>1589000</v>
      </c>
      <c r="I67" s="1239">
        <f>1900000-311000</f>
        <v>1589000</v>
      </c>
      <c r="J67" s="1239">
        <v>1564000</v>
      </c>
      <c r="K67" s="1239">
        <v>746834</v>
      </c>
      <c r="L67" s="1239">
        <v>746835</v>
      </c>
      <c r="M67" s="1381">
        <f>SUM(F67:K67)</f>
        <v>8271303</v>
      </c>
      <c r="N67" s="1381">
        <f>SUM(G67:L67)</f>
        <v>7946567</v>
      </c>
      <c r="O67" s="3982"/>
      <c r="P67" s="433"/>
    </row>
    <row r="68" spans="1:16">
      <c r="A68" s="4010"/>
      <c r="B68" s="1646" t="s">
        <v>22</v>
      </c>
      <c r="C68" s="1313"/>
      <c r="D68" s="1382">
        <f t="shared" ref="D68" si="56">+D69+D71</f>
        <v>10485571</v>
      </c>
      <c r="E68" s="1382">
        <f t="shared" ref="E68" si="57">+E69+E71</f>
        <v>1467433</v>
      </c>
      <c r="F68" s="1382">
        <f>+F69+F71</f>
        <v>1071571</v>
      </c>
      <c r="G68" s="1382">
        <f>+G69+G71</f>
        <v>1710898</v>
      </c>
      <c r="H68" s="1382">
        <f t="shared" ref="H68:L68" si="58">+H69+H71</f>
        <v>1589000</v>
      </c>
      <c r="I68" s="1382">
        <f t="shared" si="58"/>
        <v>1589000</v>
      </c>
      <c r="J68" s="1382">
        <f t="shared" si="58"/>
        <v>1564000</v>
      </c>
      <c r="K68" s="1382">
        <f t="shared" si="58"/>
        <v>746834</v>
      </c>
      <c r="L68" s="1382">
        <f t="shared" si="58"/>
        <v>746835</v>
      </c>
      <c r="M68" s="3986" t="s">
        <v>61</v>
      </c>
      <c r="N68" s="3986" t="s">
        <v>61</v>
      </c>
      <c r="O68" s="2009"/>
      <c r="P68" s="1144">
        <f>'[2]Tab. 6B Polit społ i rozwój prz'!$M$162+'[2]Tab. 6B Polit społ i rozwój prz'!$P$162-E68</f>
        <v>0</v>
      </c>
    </row>
    <row r="69" spans="1:16" ht="12" hidden="1" customHeight="1">
      <c r="A69" s="4010"/>
      <c r="B69" s="1647" t="s">
        <v>24</v>
      </c>
      <c r="C69" s="4013" t="s">
        <v>121</v>
      </c>
      <c r="D69" s="1238">
        <f t="shared" ref="D69:L69" si="59">+D70</f>
        <v>0</v>
      </c>
      <c r="E69" s="1238">
        <f t="shared" si="59"/>
        <v>0</v>
      </c>
      <c r="F69" s="1238">
        <f t="shared" si="59"/>
        <v>0</v>
      </c>
      <c r="G69" s="1238">
        <f t="shared" si="59"/>
        <v>0</v>
      </c>
      <c r="H69" s="1238">
        <f t="shared" si="59"/>
        <v>0</v>
      </c>
      <c r="I69" s="1238">
        <f t="shared" si="59"/>
        <v>0</v>
      </c>
      <c r="J69" s="1238">
        <f t="shared" si="59"/>
        <v>0</v>
      </c>
      <c r="K69" s="1238">
        <f t="shared" si="59"/>
        <v>0</v>
      </c>
      <c r="L69" s="1238">
        <f t="shared" si="59"/>
        <v>0</v>
      </c>
      <c r="M69" s="3986"/>
      <c r="N69" s="3986"/>
      <c r="O69" s="2009"/>
      <c r="P69" s="433"/>
    </row>
    <row r="70" spans="1:16" ht="12" hidden="1" customHeight="1">
      <c r="A70" s="4010"/>
      <c r="B70" s="1648" t="s">
        <v>13</v>
      </c>
      <c r="C70" s="3985"/>
      <c r="D70" s="1247"/>
      <c r="E70" s="1247">
        <v>0</v>
      </c>
      <c r="F70" s="1247"/>
      <c r="G70" s="1247"/>
      <c r="H70" s="1247"/>
      <c r="I70" s="1247"/>
      <c r="J70" s="1247"/>
      <c r="K70" s="1247"/>
      <c r="L70" s="1247"/>
      <c r="M70" s="3986"/>
      <c r="N70" s="3986"/>
      <c r="O70" s="2009"/>
      <c r="P70" s="433"/>
    </row>
    <row r="71" spans="1:16" ht="12" customHeight="1">
      <c r="A71" s="4010"/>
      <c r="B71" s="1649" t="s">
        <v>18</v>
      </c>
      <c r="C71" s="4014"/>
      <c r="D71" s="1238">
        <f t="shared" ref="D71:L71" si="60">+D72</f>
        <v>10485571</v>
      </c>
      <c r="E71" s="1238">
        <f t="shared" si="60"/>
        <v>1467433</v>
      </c>
      <c r="F71" s="1238">
        <f t="shared" si="60"/>
        <v>1071571</v>
      </c>
      <c r="G71" s="1238">
        <f t="shared" si="60"/>
        <v>1710898</v>
      </c>
      <c r="H71" s="1238">
        <f t="shared" si="60"/>
        <v>1589000</v>
      </c>
      <c r="I71" s="1238">
        <f t="shared" si="60"/>
        <v>1589000</v>
      </c>
      <c r="J71" s="1238">
        <f t="shared" si="60"/>
        <v>1564000</v>
      </c>
      <c r="K71" s="1238">
        <f t="shared" si="60"/>
        <v>746834</v>
      </c>
      <c r="L71" s="1238">
        <f t="shared" si="60"/>
        <v>746835</v>
      </c>
      <c r="M71" s="3986"/>
      <c r="N71" s="3986"/>
      <c r="O71" s="2011" t="s">
        <v>713</v>
      </c>
      <c r="P71" s="434">
        <f>G68-'[1]Tab. 6B Polit społ i rozwój prz'!$G$67</f>
        <v>157741</v>
      </c>
    </row>
    <row r="72" spans="1:16" ht="12" customHeight="1" thickBot="1">
      <c r="A72" s="4011"/>
      <c r="B72" s="1650" t="s">
        <v>21</v>
      </c>
      <c r="C72" s="4015"/>
      <c r="D72" s="1319">
        <f>E72+F72+G72+H72+I72+J72+K72+L72</f>
        <v>10485571</v>
      </c>
      <c r="E72" s="1319">
        <v>1467433</v>
      </c>
      <c r="F72" s="1371">
        <f>1174863+210137+1000-161000-153429</f>
        <v>1071571</v>
      </c>
      <c r="G72" s="1371">
        <f>1174863+218294-1000+161000+157741</f>
        <v>1710898</v>
      </c>
      <c r="H72" s="1371">
        <f>1900000-311000</f>
        <v>1589000</v>
      </c>
      <c r="I72" s="1371">
        <f>1900000-311000</f>
        <v>1589000</v>
      </c>
      <c r="J72" s="1371">
        <v>1564000</v>
      </c>
      <c r="K72" s="1371">
        <v>746834</v>
      </c>
      <c r="L72" s="1371">
        <v>746835</v>
      </c>
      <c r="M72" s="3987"/>
      <c r="N72" s="3987"/>
      <c r="O72" s="2010"/>
      <c r="P72" s="433"/>
    </row>
    <row r="73" spans="1:16" ht="25.5" customHeight="1">
      <c r="A73" s="4054" t="s">
        <v>66</v>
      </c>
      <c r="B73" s="1651" t="s">
        <v>706</v>
      </c>
      <c r="C73" s="1652" t="s">
        <v>82</v>
      </c>
      <c r="D73" s="82"/>
      <c r="E73" s="1653"/>
      <c r="F73" s="1653"/>
      <c r="G73" s="1653"/>
      <c r="H73" s="1653"/>
      <c r="I73" s="1653"/>
      <c r="J73" s="1653"/>
      <c r="K73" s="1653"/>
      <c r="L73" s="1653"/>
      <c r="M73" s="1654"/>
      <c r="N73" s="1654"/>
      <c r="O73" s="3980" t="s">
        <v>562</v>
      </c>
      <c r="P73" s="433"/>
    </row>
    <row r="74" spans="1:16" ht="14.25" customHeight="1">
      <c r="A74" s="4055"/>
      <c r="B74" s="710" t="s">
        <v>10</v>
      </c>
      <c r="C74" s="711"/>
      <c r="D74" s="561">
        <f t="shared" ref="D74:F74" si="61">+D75+D78</f>
        <v>31387</v>
      </c>
      <c r="E74" s="561">
        <f t="shared" ref="E74" si="62">+E75+E78</f>
        <v>18705</v>
      </c>
      <c r="F74" s="561">
        <f t="shared" si="61"/>
        <v>12682</v>
      </c>
      <c r="G74" s="561"/>
      <c r="H74" s="561"/>
      <c r="I74" s="561"/>
      <c r="J74" s="561"/>
      <c r="K74" s="561"/>
      <c r="L74" s="561"/>
      <c r="M74" s="712">
        <f>+M75+M78</f>
        <v>12682</v>
      </c>
      <c r="N74" s="712">
        <f>+N75+N78</f>
        <v>0</v>
      </c>
      <c r="O74" s="3981"/>
      <c r="P74" s="433"/>
    </row>
    <row r="75" spans="1:16" ht="12" customHeight="1">
      <c r="A75" s="4055"/>
      <c r="B75" s="713" t="s">
        <v>24</v>
      </c>
      <c r="C75" s="3983" t="s">
        <v>121</v>
      </c>
      <c r="D75" s="582">
        <f t="shared" ref="D75:F75" si="63">+D76+D77</f>
        <v>4934</v>
      </c>
      <c r="E75" s="582">
        <f t="shared" ref="E75" si="64">+E76+E77</f>
        <v>2940</v>
      </c>
      <c r="F75" s="582">
        <f t="shared" si="63"/>
        <v>1994</v>
      </c>
      <c r="G75" s="582"/>
      <c r="H75" s="582"/>
      <c r="I75" s="582"/>
      <c r="J75" s="582"/>
      <c r="K75" s="582"/>
      <c r="L75" s="582"/>
      <c r="M75" s="580">
        <f>+M76+M77</f>
        <v>1994</v>
      </c>
      <c r="N75" s="580">
        <f>+N76+N77</f>
        <v>0</v>
      </c>
      <c r="O75" s="3981"/>
      <c r="P75" s="433"/>
    </row>
    <row r="76" spans="1:16" ht="12" customHeight="1">
      <c r="A76" s="4055"/>
      <c r="B76" s="714" t="s">
        <v>12</v>
      </c>
      <c r="C76" s="3984"/>
      <c r="D76" s="226">
        <f>E76+F76+G76+H76+I76+J76+K76+L76</f>
        <v>4934</v>
      </c>
      <c r="E76" s="249">
        <v>2940</v>
      </c>
      <c r="F76" s="574">
        <f>2798-804</f>
        <v>1994</v>
      </c>
      <c r="G76" s="574"/>
      <c r="H76" s="574"/>
      <c r="I76" s="574"/>
      <c r="J76" s="574"/>
      <c r="K76" s="574"/>
      <c r="L76" s="574"/>
      <c r="M76" s="777">
        <f>SUM(F76:K76)</f>
        <v>1994</v>
      </c>
      <c r="N76" s="777">
        <f>SUM(G76:L76)</f>
        <v>0</v>
      </c>
      <c r="O76" s="3981"/>
      <c r="P76" s="433"/>
    </row>
    <row r="77" spans="1:16" ht="12" hidden="1" customHeight="1">
      <c r="A77" s="4055"/>
      <c r="B77" s="714" t="s">
        <v>13</v>
      </c>
      <c r="C77" s="3984"/>
      <c r="D77" s="716"/>
      <c r="E77" s="574"/>
      <c r="F77" s="574"/>
      <c r="G77" s="574"/>
      <c r="H77" s="574"/>
      <c r="I77" s="574"/>
      <c r="J77" s="574"/>
      <c r="K77" s="574"/>
      <c r="L77" s="574"/>
      <c r="M77" s="777">
        <f>SUM(F77:K77)</f>
        <v>0</v>
      </c>
      <c r="N77" s="777">
        <f>SUM(G77:L77)</f>
        <v>0</v>
      </c>
      <c r="O77" s="3981"/>
      <c r="P77" s="433"/>
    </row>
    <row r="78" spans="1:16" ht="12" customHeight="1">
      <c r="A78" s="4055"/>
      <c r="B78" s="1655" t="s">
        <v>18</v>
      </c>
      <c r="C78" s="3984"/>
      <c r="D78" s="717">
        <f>+D79</f>
        <v>26453</v>
      </c>
      <c r="E78" s="717">
        <f t="shared" ref="E78:F78" si="65">+E79</f>
        <v>15765</v>
      </c>
      <c r="F78" s="717">
        <f t="shared" si="65"/>
        <v>10688</v>
      </c>
      <c r="G78" s="717"/>
      <c r="H78" s="717"/>
      <c r="I78" s="717"/>
      <c r="J78" s="717"/>
      <c r="K78" s="717"/>
      <c r="L78" s="717"/>
      <c r="M78" s="1656">
        <f>+M79</f>
        <v>10688</v>
      </c>
      <c r="N78" s="1656">
        <f>+N79</f>
        <v>0</v>
      </c>
      <c r="O78" s="3981"/>
      <c r="P78" s="433"/>
    </row>
    <row r="79" spans="1:16" ht="12" customHeight="1">
      <c r="A79" s="4055"/>
      <c r="B79" s="714" t="s">
        <v>21</v>
      </c>
      <c r="C79" s="3984"/>
      <c r="D79" s="226">
        <f>E79+F79+G79+H79+I79+J79+K79+L79</f>
        <v>26453</v>
      </c>
      <c r="E79" s="249">
        <v>15765</v>
      </c>
      <c r="F79" s="574">
        <f>15000-4312</f>
        <v>10688</v>
      </c>
      <c r="G79" s="574"/>
      <c r="H79" s="574"/>
      <c r="I79" s="574"/>
      <c r="J79" s="574"/>
      <c r="K79" s="574"/>
      <c r="L79" s="574"/>
      <c r="M79" s="777">
        <f>SUM(F79:K79)</f>
        <v>10688</v>
      </c>
      <c r="N79" s="777">
        <f>SUM(G79:L79)</f>
        <v>0</v>
      </c>
      <c r="O79" s="3982"/>
      <c r="P79" s="433"/>
    </row>
    <row r="80" spans="1:16">
      <c r="A80" s="4055"/>
      <c r="B80" s="710" t="s">
        <v>22</v>
      </c>
      <c r="C80" s="711"/>
      <c r="D80" s="718">
        <f t="shared" ref="D80" si="66">+D81+D83</f>
        <v>26453</v>
      </c>
      <c r="E80" s="718">
        <f t="shared" ref="E80" si="67">+E81+E83</f>
        <v>15765</v>
      </c>
      <c r="F80" s="718">
        <f>+F81+F83</f>
        <v>10688</v>
      </c>
      <c r="G80" s="718"/>
      <c r="H80" s="718"/>
      <c r="I80" s="718"/>
      <c r="J80" s="718"/>
      <c r="K80" s="718"/>
      <c r="L80" s="718"/>
      <c r="M80" s="4024" t="s">
        <v>61</v>
      </c>
      <c r="N80" s="4024" t="s">
        <v>61</v>
      </c>
      <c r="O80" s="2009"/>
      <c r="P80" s="433"/>
    </row>
    <row r="81" spans="1:19" ht="12" hidden="1" customHeight="1">
      <c r="A81" s="4055"/>
      <c r="B81" s="713" t="s">
        <v>24</v>
      </c>
      <c r="C81" s="4039" t="s">
        <v>121</v>
      </c>
      <c r="D81" s="717">
        <f t="shared" ref="D81:E81" si="68">+D82</f>
        <v>0</v>
      </c>
      <c r="E81" s="717">
        <f t="shared" si="68"/>
        <v>0</v>
      </c>
      <c r="F81" s="717"/>
      <c r="G81" s="717"/>
      <c r="H81" s="717"/>
      <c r="I81" s="717"/>
      <c r="J81" s="717"/>
      <c r="K81" s="717"/>
      <c r="L81" s="717"/>
      <c r="M81" s="4024"/>
      <c r="N81" s="4024"/>
      <c r="O81" s="2009"/>
      <c r="P81" s="433"/>
    </row>
    <row r="82" spans="1:19" ht="12" hidden="1" customHeight="1">
      <c r="A82" s="4055"/>
      <c r="B82" s="714" t="s">
        <v>13</v>
      </c>
      <c r="C82" s="3984"/>
      <c r="D82" s="716"/>
      <c r="E82" s="716">
        <v>0</v>
      </c>
      <c r="F82" s="716"/>
      <c r="G82" s="716"/>
      <c r="H82" s="716"/>
      <c r="I82" s="716"/>
      <c r="J82" s="716"/>
      <c r="K82" s="716"/>
      <c r="L82" s="716"/>
      <c r="M82" s="4024"/>
      <c r="N82" s="4024"/>
      <c r="O82" s="2009"/>
      <c r="P82" s="433"/>
    </row>
    <row r="83" spans="1:19" ht="12" customHeight="1">
      <c r="A83" s="4055"/>
      <c r="B83" s="1655" t="s">
        <v>18</v>
      </c>
      <c r="C83" s="4040"/>
      <c r="D83" s="717">
        <f t="shared" ref="D83:F83" si="69">+D84</f>
        <v>26453</v>
      </c>
      <c r="E83" s="717">
        <f t="shared" si="69"/>
        <v>15765</v>
      </c>
      <c r="F83" s="717">
        <f t="shared" si="69"/>
        <v>10688</v>
      </c>
      <c r="G83" s="717"/>
      <c r="H83" s="717"/>
      <c r="I83" s="717"/>
      <c r="J83" s="717"/>
      <c r="K83" s="717"/>
      <c r="L83" s="717"/>
      <c r="M83" s="4024"/>
      <c r="N83" s="4024"/>
      <c r="O83" s="2011" t="s">
        <v>713</v>
      </c>
      <c r="P83" s="433"/>
    </row>
    <row r="84" spans="1:19" ht="12" customHeight="1" thickBot="1">
      <c r="A84" s="4011"/>
      <c r="B84" s="1657" t="s">
        <v>21</v>
      </c>
      <c r="C84" s="4041"/>
      <c r="D84" s="700">
        <f>E84+F84+G84+H84+I84+J84+K84+L84</f>
        <v>26453</v>
      </c>
      <c r="E84" s="700">
        <v>15765</v>
      </c>
      <c r="F84" s="425">
        <f>15000-4312</f>
        <v>10688</v>
      </c>
      <c r="G84" s="425"/>
      <c r="H84" s="425"/>
      <c r="I84" s="425"/>
      <c r="J84" s="425"/>
      <c r="K84" s="425"/>
      <c r="L84" s="425"/>
      <c r="M84" s="4000"/>
      <c r="N84" s="4000"/>
      <c r="O84" s="2010"/>
      <c r="P84" s="433"/>
    </row>
    <row r="85" spans="1:19" ht="18" customHeight="1">
      <c r="A85" s="4055" t="s">
        <v>67</v>
      </c>
      <c r="B85" s="1658" t="s">
        <v>313</v>
      </c>
      <c r="C85" s="1659" t="s">
        <v>110</v>
      </c>
      <c r="D85" s="1660"/>
      <c r="E85" s="1661"/>
      <c r="F85" s="1661"/>
      <c r="G85" s="1661"/>
      <c r="H85" s="1661"/>
      <c r="I85" s="1661"/>
      <c r="J85" s="1661"/>
      <c r="K85" s="1661"/>
      <c r="L85" s="1661"/>
      <c r="M85" s="1662"/>
      <c r="N85" s="1662"/>
      <c r="O85" s="3980" t="s">
        <v>712</v>
      </c>
      <c r="P85" s="433"/>
      <c r="S85" s="355"/>
    </row>
    <row r="86" spans="1:19" ht="12" customHeight="1">
      <c r="A86" s="4055"/>
      <c r="B86" s="1663" t="s">
        <v>10</v>
      </c>
      <c r="C86" s="1664"/>
      <c r="D86" s="1665">
        <f>+D87+D90</f>
        <v>75114155</v>
      </c>
      <c r="E86" s="1665">
        <f t="shared" ref="E86" si="70">+E87+E90</f>
        <v>8674017</v>
      </c>
      <c r="F86" s="1665">
        <f t="shared" ref="F86:N86" si="71">+F87+F90</f>
        <v>9469610</v>
      </c>
      <c r="G86" s="1665">
        <f t="shared" si="71"/>
        <v>10487875</v>
      </c>
      <c r="H86" s="1665">
        <f t="shared" si="71"/>
        <v>10141275</v>
      </c>
      <c r="I86" s="1665">
        <f t="shared" si="71"/>
        <v>9701275</v>
      </c>
      <c r="J86" s="1665">
        <f t="shared" si="71"/>
        <v>9597275</v>
      </c>
      <c r="K86" s="1665">
        <f t="shared" si="71"/>
        <v>8877275</v>
      </c>
      <c r="L86" s="1665">
        <f t="shared" si="71"/>
        <v>8165553</v>
      </c>
      <c r="M86" s="1666">
        <f t="shared" ref="M86" si="72">+M87+M90</f>
        <v>66440138</v>
      </c>
      <c r="N86" s="1666">
        <f t="shared" si="71"/>
        <v>56970528</v>
      </c>
      <c r="O86" s="3981"/>
      <c r="P86" s="434"/>
      <c r="Q86" s="353"/>
      <c r="R86" s="353"/>
      <c r="S86" s="353"/>
    </row>
    <row r="87" spans="1:19" ht="14.25" customHeight="1">
      <c r="A87" s="4055"/>
      <c r="B87" s="1667" t="s">
        <v>24</v>
      </c>
      <c r="C87" s="4007" t="s">
        <v>121</v>
      </c>
      <c r="D87" s="1057">
        <f t="shared" ref="D87" si="73">+D88+D89</f>
        <v>11267123</v>
      </c>
      <c r="E87" s="1057">
        <f t="shared" ref="E87" si="74">+E88+E89</f>
        <v>1301102</v>
      </c>
      <c r="F87" s="1057">
        <f t="shared" ref="F87:N87" si="75">+F88+F89</f>
        <v>1420442</v>
      </c>
      <c r="G87" s="1057">
        <f t="shared" si="75"/>
        <v>1573180</v>
      </c>
      <c r="H87" s="1057">
        <f t="shared" si="75"/>
        <v>1521191</v>
      </c>
      <c r="I87" s="1057">
        <f t="shared" si="75"/>
        <v>1455191</v>
      </c>
      <c r="J87" s="1057">
        <f t="shared" si="75"/>
        <v>1439591</v>
      </c>
      <c r="K87" s="1057">
        <f t="shared" si="75"/>
        <v>1331592</v>
      </c>
      <c r="L87" s="1057">
        <f t="shared" si="75"/>
        <v>1224834</v>
      </c>
      <c r="M87" s="1058">
        <f t="shared" ref="M87" si="76">+M88+M89</f>
        <v>9966021</v>
      </c>
      <c r="N87" s="1058">
        <f t="shared" si="75"/>
        <v>8545579</v>
      </c>
      <c r="O87" s="3981"/>
      <c r="P87" s="433"/>
    </row>
    <row r="88" spans="1:19" ht="13.5" customHeight="1">
      <c r="A88" s="4055"/>
      <c r="B88" s="1668" t="s">
        <v>12</v>
      </c>
      <c r="C88" s="4008"/>
      <c r="D88" s="226">
        <f>E88+F88+G88+H88+I88+J88+K88+L88</f>
        <v>11267123</v>
      </c>
      <c r="E88" s="249">
        <v>1301102</v>
      </c>
      <c r="F88" s="1669">
        <f>1467941+1868-1500+27303+9532-84702</f>
        <v>1420442</v>
      </c>
      <c r="G88" s="1669">
        <f>1467941+12137+74749+18353</f>
        <v>1573180</v>
      </c>
      <c r="H88" s="1669">
        <f>1452191+69000</f>
        <v>1521191</v>
      </c>
      <c r="I88" s="1669">
        <v>1455191</v>
      </c>
      <c r="J88" s="1669">
        <v>1439591</v>
      </c>
      <c r="K88" s="1669">
        <v>1331592</v>
      </c>
      <c r="L88" s="1669">
        <f>1299583-74749</f>
        <v>1224834</v>
      </c>
      <c r="M88" s="777">
        <f>SUM(F88:L88)</f>
        <v>9966021</v>
      </c>
      <c r="N88" s="777">
        <f>SUM(G88:L88)</f>
        <v>8545579</v>
      </c>
      <c r="O88" s="3981"/>
      <c r="P88" s="434">
        <f>+N88-D88</f>
        <v>-2721544</v>
      </c>
    </row>
    <row r="89" spans="1:19" ht="13.5" hidden="1" customHeight="1">
      <c r="A89" s="4055"/>
      <c r="B89" s="1668" t="s">
        <v>13</v>
      </c>
      <c r="C89" s="4008"/>
      <c r="D89" s="226">
        <f>E89+F89+G89+H89+I89+J89+K89+L89</f>
        <v>0</v>
      </c>
      <c r="E89" s="1670">
        <v>0</v>
      </c>
      <c r="F89" s="1670"/>
      <c r="G89" s="1670"/>
      <c r="H89" s="1670"/>
      <c r="I89" s="1670"/>
      <c r="J89" s="1670"/>
      <c r="K89" s="1670"/>
      <c r="L89" s="1670"/>
      <c r="M89" s="777">
        <f>SUM(F89:K89)</f>
        <v>0</v>
      </c>
      <c r="N89" s="777">
        <f>SUM(G89:L89)</f>
        <v>0</v>
      </c>
      <c r="O89" s="3981"/>
      <c r="P89" s="433"/>
    </row>
    <row r="90" spans="1:19" ht="13.5" customHeight="1">
      <c r="A90" s="4055"/>
      <c r="B90" s="1671" t="s">
        <v>18</v>
      </c>
      <c r="C90" s="4008"/>
      <c r="D90" s="1672">
        <f>+D91</f>
        <v>63847032</v>
      </c>
      <c r="E90" s="1672">
        <f t="shared" ref="E90:N90" si="77">+E91</f>
        <v>7372915</v>
      </c>
      <c r="F90" s="1672">
        <f t="shared" si="77"/>
        <v>8049168</v>
      </c>
      <c r="G90" s="1672">
        <f t="shared" si="77"/>
        <v>8914695</v>
      </c>
      <c r="H90" s="1672">
        <f t="shared" si="77"/>
        <v>8620084</v>
      </c>
      <c r="I90" s="1672">
        <f t="shared" si="77"/>
        <v>8246084</v>
      </c>
      <c r="J90" s="1672">
        <f t="shared" si="77"/>
        <v>8157684</v>
      </c>
      <c r="K90" s="1672">
        <f t="shared" si="77"/>
        <v>7545683</v>
      </c>
      <c r="L90" s="1672">
        <f t="shared" si="77"/>
        <v>6940719</v>
      </c>
      <c r="M90" s="1673">
        <f t="shared" si="77"/>
        <v>56474117</v>
      </c>
      <c r="N90" s="1673">
        <f t="shared" si="77"/>
        <v>48424949</v>
      </c>
      <c r="O90" s="3981"/>
      <c r="P90" s="434">
        <f>+N90-D90</f>
        <v>-15422083</v>
      </c>
    </row>
    <row r="91" spans="1:19" ht="13.5" customHeight="1">
      <c r="A91" s="4055"/>
      <c r="B91" s="1668" t="s">
        <v>21</v>
      </c>
      <c r="C91" s="4008"/>
      <c r="D91" s="226">
        <f>E91+F91+G91+H91+I91+J91+K91+L91</f>
        <v>63847032</v>
      </c>
      <c r="E91" s="249">
        <v>7372915</v>
      </c>
      <c r="F91" s="1674">
        <f>8318334+10585-8500+154719+54018-479988</f>
        <v>8049168</v>
      </c>
      <c r="G91" s="1675">
        <f>8318334+68767+423581+104013</f>
        <v>8914695</v>
      </c>
      <c r="H91" s="1675">
        <f>8229084+391000</f>
        <v>8620084</v>
      </c>
      <c r="I91" s="1675">
        <v>8246084</v>
      </c>
      <c r="J91" s="1675">
        <v>8157684</v>
      </c>
      <c r="K91" s="1675">
        <v>7545683</v>
      </c>
      <c r="L91" s="1675">
        <f>7364300-423581</f>
        <v>6940719</v>
      </c>
      <c r="M91" s="777">
        <f>SUM(F91:L91)</f>
        <v>56474117</v>
      </c>
      <c r="N91" s="777">
        <f>SUM(G91:L91)</f>
        <v>48424949</v>
      </c>
      <c r="O91" s="3982"/>
      <c r="P91" s="433"/>
    </row>
    <row r="92" spans="1:19" s="356" customFormat="1" ht="13.5" customHeight="1">
      <c r="A92" s="4055"/>
      <c r="B92" s="1663" t="s">
        <v>22</v>
      </c>
      <c r="C92" s="1664"/>
      <c r="D92" s="1079">
        <f t="shared" ref="D92" si="78">+D93+D95</f>
        <v>63847032</v>
      </c>
      <c r="E92" s="1079">
        <f t="shared" ref="E92" si="79">+E93+E95</f>
        <v>7372915</v>
      </c>
      <c r="F92" s="1079">
        <f>+F93+F95</f>
        <v>8049168</v>
      </c>
      <c r="G92" s="1079">
        <f t="shared" ref="G92:L92" si="80">+G93+G95</f>
        <v>8914695</v>
      </c>
      <c r="H92" s="1079">
        <f t="shared" si="80"/>
        <v>8620084</v>
      </c>
      <c r="I92" s="1079">
        <f t="shared" si="80"/>
        <v>8246084</v>
      </c>
      <c r="J92" s="1079">
        <f t="shared" si="80"/>
        <v>8157684</v>
      </c>
      <c r="K92" s="1079">
        <f t="shared" si="80"/>
        <v>7545683</v>
      </c>
      <c r="L92" s="1079">
        <f t="shared" si="80"/>
        <v>6940719</v>
      </c>
      <c r="M92" s="4009" t="s">
        <v>61</v>
      </c>
      <c r="N92" s="4009" t="s">
        <v>61</v>
      </c>
      <c r="O92" s="2009"/>
      <c r="P92" s="1430">
        <f>G92-'[1]Tab. 6B Polit społ i rozwój prz'!$G$91</f>
        <v>104013</v>
      </c>
    </row>
    <row r="93" spans="1:19" ht="11.25" hidden="1" customHeight="1">
      <c r="A93" s="4055"/>
      <c r="B93" s="1667" t="s">
        <v>24</v>
      </c>
      <c r="C93" s="4056" t="s">
        <v>251</v>
      </c>
      <c r="D93" s="1672">
        <f t="shared" ref="D93:L93" si="81">+D94</f>
        <v>0</v>
      </c>
      <c r="E93" s="1672">
        <f t="shared" si="81"/>
        <v>0</v>
      </c>
      <c r="F93" s="1672">
        <f t="shared" si="81"/>
        <v>0</v>
      </c>
      <c r="G93" s="1672">
        <f t="shared" si="81"/>
        <v>0</v>
      </c>
      <c r="H93" s="1672">
        <f t="shared" si="81"/>
        <v>0</v>
      </c>
      <c r="I93" s="1672">
        <f t="shared" si="81"/>
        <v>0</v>
      </c>
      <c r="J93" s="1672">
        <f t="shared" si="81"/>
        <v>0</v>
      </c>
      <c r="K93" s="1672">
        <f t="shared" si="81"/>
        <v>0</v>
      </c>
      <c r="L93" s="1672">
        <f t="shared" si="81"/>
        <v>0</v>
      </c>
      <c r="M93" s="4009"/>
      <c r="N93" s="4009"/>
      <c r="O93" s="2009"/>
      <c r="P93" s="433"/>
    </row>
    <row r="94" spans="1:19" ht="11.25" hidden="1" customHeight="1">
      <c r="A94" s="4055"/>
      <c r="B94" s="1668" t="s">
        <v>13</v>
      </c>
      <c r="C94" s="4056"/>
      <c r="D94" s="226">
        <f>E94+F94+G94+H94+I94+J94+K94+L94</f>
        <v>0</v>
      </c>
      <c r="E94" s="1676"/>
      <c r="F94" s="1676"/>
      <c r="G94" s="1676"/>
      <c r="H94" s="1676"/>
      <c r="I94" s="1676"/>
      <c r="J94" s="1676"/>
      <c r="K94" s="1676"/>
      <c r="L94" s="1676"/>
      <c r="M94" s="4009"/>
      <c r="N94" s="4009"/>
      <c r="O94" s="2009"/>
      <c r="P94" s="433"/>
    </row>
    <row r="95" spans="1:19" ht="13.5" customHeight="1">
      <c r="A95" s="4055"/>
      <c r="B95" s="1671" t="s">
        <v>18</v>
      </c>
      <c r="C95" s="4056"/>
      <c r="D95" s="1672">
        <f t="shared" ref="D95:L95" si="82">+D96</f>
        <v>63847032</v>
      </c>
      <c r="E95" s="1672">
        <f t="shared" si="82"/>
        <v>7372915</v>
      </c>
      <c r="F95" s="1672">
        <f t="shared" si="82"/>
        <v>8049168</v>
      </c>
      <c r="G95" s="1672">
        <f t="shared" si="82"/>
        <v>8914695</v>
      </c>
      <c r="H95" s="1672">
        <f t="shared" si="82"/>
        <v>8620084</v>
      </c>
      <c r="I95" s="1672">
        <f t="shared" si="82"/>
        <v>8246084</v>
      </c>
      <c r="J95" s="1672">
        <f t="shared" si="82"/>
        <v>8157684</v>
      </c>
      <c r="K95" s="1672">
        <f t="shared" si="82"/>
        <v>7545683</v>
      </c>
      <c r="L95" s="1672">
        <f t="shared" si="82"/>
        <v>6940719</v>
      </c>
      <c r="M95" s="4009"/>
      <c r="N95" s="4009"/>
      <c r="O95" s="2011" t="s">
        <v>330</v>
      </c>
      <c r="P95" s="433"/>
    </row>
    <row r="96" spans="1:19" ht="15" customHeight="1" thickBot="1">
      <c r="A96" s="4011"/>
      <c r="B96" s="532" t="s">
        <v>21</v>
      </c>
      <c r="C96" s="4057"/>
      <c r="D96" s="700">
        <f>E96+F96+G96+H96+I96+J96+K96+L96</f>
        <v>63847032</v>
      </c>
      <c r="E96" s="700">
        <v>7372915</v>
      </c>
      <c r="F96" s="533">
        <f>8318334+10585-8500+154719+54018-479988</f>
        <v>8049168</v>
      </c>
      <c r="G96" s="533">
        <f>8318334+68767+423581+104013</f>
        <v>8914695</v>
      </c>
      <c r="H96" s="533">
        <f>8229084+391000</f>
        <v>8620084</v>
      </c>
      <c r="I96" s="533">
        <v>8246084</v>
      </c>
      <c r="J96" s="533">
        <v>8157684</v>
      </c>
      <c r="K96" s="533">
        <v>7545683</v>
      </c>
      <c r="L96" s="533">
        <f>7364300-423581</f>
        <v>6940719</v>
      </c>
      <c r="M96" s="4000"/>
      <c r="N96" s="4000"/>
      <c r="O96" s="2010"/>
      <c r="P96" s="433"/>
    </row>
    <row r="97" spans="1:16" ht="24" customHeight="1">
      <c r="A97" s="4054" t="s">
        <v>116</v>
      </c>
      <c r="B97" s="1651" t="s">
        <v>385</v>
      </c>
      <c r="C97" s="1652" t="s">
        <v>82</v>
      </c>
      <c r="D97" s="82"/>
      <c r="E97" s="1653"/>
      <c r="F97" s="1653"/>
      <c r="G97" s="1653"/>
      <c r="H97" s="1653"/>
      <c r="I97" s="1653"/>
      <c r="J97" s="1653"/>
      <c r="K97" s="1653"/>
      <c r="L97" s="1653"/>
      <c r="M97" s="1654"/>
      <c r="N97" s="1654"/>
      <c r="O97" s="3980" t="s">
        <v>712</v>
      </c>
      <c r="P97" s="433"/>
    </row>
    <row r="98" spans="1:16">
      <c r="A98" s="4055"/>
      <c r="B98" s="710" t="s">
        <v>10</v>
      </c>
      <c r="C98" s="711"/>
      <c r="D98" s="561">
        <f t="shared" ref="D98:N98" si="83">+D99+D102</f>
        <v>65574</v>
      </c>
      <c r="E98" s="561">
        <f t="shared" ref="E98" si="84">+E99+E102</f>
        <v>7250</v>
      </c>
      <c r="F98" s="561">
        <f t="shared" si="83"/>
        <v>58324</v>
      </c>
      <c r="G98" s="561">
        <f t="shared" si="83"/>
        <v>0</v>
      </c>
      <c r="H98" s="561">
        <f t="shared" si="83"/>
        <v>0</v>
      </c>
      <c r="I98" s="561">
        <f t="shared" si="83"/>
        <v>0</v>
      </c>
      <c r="J98" s="561">
        <f t="shared" si="83"/>
        <v>0</v>
      </c>
      <c r="K98" s="561">
        <f t="shared" si="83"/>
        <v>0</v>
      </c>
      <c r="L98" s="561">
        <f t="shared" si="83"/>
        <v>0</v>
      </c>
      <c r="M98" s="712">
        <f t="shared" ref="M98" si="85">+M99+M102</f>
        <v>58324</v>
      </c>
      <c r="N98" s="712">
        <f t="shared" si="83"/>
        <v>0</v>
      </c>
      <c r="O98" s="3981"/>
      <c r="P98" s="433"/>
    </row>
    <row r="99" spans="1:16">
      <c r="A99" s="4055"/>
      <c r="B99" s="713" t="s">
        <v>24</v>
      </c>
      <c r="C99" s="3983" t="s">
        <v>121</v>
      </c>
      <c r="D99" s="582">
        <f t="shared" ref="D99:N99" si="86">+D100+D101</f>
        <v>9836</v>
      </c>
      <c r="E99" s="582">
        <f t="shared" ref="E99" si="87">+E100+E101</f>
        <v>1087</v>
      </c>
      <c r="F99" s="582">
        <f t="shared" si="86"/>
        <v>8749</v>
      </c>
      <c r="G99" s="582">
        <f t="shared" si="86"/>
        <v>0</v>
      </c>
      <c r="H99" s="582">
        <f t="shared" si="86"/>
        <v>0</v>
      </c>
      <c r="I99" s="582">
        <f t="shared" si="86"/>
        <v>0</v>
      </c>
      <c r="J99" s="582">
        <f t="shared" si="86"/>
        <v>0</v>
      </c>
      <c r="K99" s="582">
        <f t="shared" si="86"/>
        <v>0</v>
      </c>
      <c r="L99" s="582">
        <f t="shared" si="86"/>
        <v>0</v>
      </c>
      <c r="M99" s="580">
        <f t="shared" ref="M99" si="88">+M100+M101</f>
        <v>8749</v>
      </c>
      <c r="N99" s="580">
        <f t="shared" si="86"/>
        <v>0</v>
      </c>
      <c r="O99" s="3981"/>
      <c r="P99" s="433"/>
    </row>
    <row r="100" spans="1:16">
      <c r="A100" s="4055"/>
      <c r="B100" s="714" t="s">
        <v>12</v>
      </c>
      <c r="C100" s="3984"/>
      <c r="D100" s="226">
        <f>E100+F100+G100+H100+I100+J100+K100+L100</f>
        <v>9836</v>
      </c>
      <c r="E100" s="249">
        <v>1087</v>
      </c>
      <c r="F100" s="539">
        <f>1500+9900-2651</f>
        <v>8749</v>
      </c>
      <c r="G100" s="539"/>
      <c r="H100" s="539"/>
      <c r="I100" s="539"/>
      <c r="J100" s="539"/>
      <c r="K100" s="539"/>
      <c r="L100" s="539"/>
      <c r="M100" s="777">
        <f>SUM(F100:K100)</f>
        <v>8749</v>
      </c>
      <c r="N100" s="777">
        <f>SUM(G100:L100)</f>
        <v>0</v>
      </c>
      <c r="O100" s="3981"/>
      <c r="P100" s="433"/>
    </row>
    <row r="101" spans="1:16" ht="12.75" hidden="1" customHeight="1">
      <c r="A101" s="4055"/>
      <c r="B101" s="714" t="s">
        <v>13</v>
      </c>
      <c r="C101" s="3984"/>
      <c r="D101" s="226">
        <f>E101+F101+G101+H101+I101+J101+K101+L101</f>
        <v>0</v>
      </c>
      <c r="E101" s="574">
        <v>0</v>
      </c>
      <c r="F101" s="574"/>
      <c r="G101" s="574"/>
      <c r="H101" s="574"/>
      <c r="I101" s="574"/>
      <c r="J101" s="574"/>
      <c r="K101" s="574"/>
      <c r="L101" s="574"/>
      <c r="M101" s="777">
        <f>SUM(F101:K101)</f>
        <v>0</v>
      </c>
      <c r="N101" s="777">
        <f>SUM(G101:L101)</f>
        <v>0</v>
      </c>
      <c r="O101" s="3981"/>
      <c r="P101" s="433"/>
    </row>
    <row r="102" spans="1:16">
      <c r="A102" s="4010"/>
      <c r="B102" s="1649" t="s">
        <v>18</v>
      </c>
      <c r="C102" s="3985"/>
      <c r="D102" s="1238">
        <f>+D103</f>
        <v>55738</v>
      </c>
      <c r="E102" s="1238">
        <f t="shared" ref="E102:N102" si="89">+E103</f>
        <v>6163</v>
      </c>
      <c r="F102" s="1238">
        <f t="shared" si="89"/>
        <v>49575</v>
      </c>
      <c r="G102" s="1238">
        <f t="shared" si="89"/>
        <v>0</v>
      </c>
      <c r="H102" s="1238">
        <f t="shared" si="89"/>
        <v>0</v>
      </c>
      <c r="I102" s="1238">
        <f t="shared" si="89"/>
        <v>0</v>
      </c>
      <c r="J102" s="1238">
        <f t="shared" si="89"/>
        <v>0</v>
      </c>
      <c r="K102" s="1238">
        <f t="shared" si="89"/>
        <v>0</v>
      </c>
      <c r="L102" s="1238">
        <f t="shared" si="89"/>
        <v>0</v>
      </c>
      <c r="M102" s="1312">
        <f t="shared" si="89"/>
        <v>49575</v>
      </c>
      <c r="N102" s="1312">
        <f t="shared" si="89"/>
        <v>0</v>
      </c>
      <c r="O102" s="3981"/>
      <c r="P102" s="433"/>
    </row>
    <row r="103" spans="1:16">
      <c r="A103" s="4010"/>
      <c r="B103" s="1648" t="s">
        <v>21</v>
      </c>
      <c r="C103" s="3985"/>
      <c r="D103" s="704">
        <f>E103+F103+G103+H103+I103+J103+K103+L103</f>
        <v>55738</v>
      </c>
      <c r="E103" s="1206">
        <v>6163</v>
      </c>
      <c r="F103" s="1921">
        <f>8500+56100-15025</f>
        <v>49575</v>
      </c>
      <c r="G103" s="1712"/>
      <c r="H103" s="1712"/>
      <c r="I103" s="1712"/>
      <c r="J103" s="1712"/>
      <c r="K103" s="1712"/>
      <c r="L103" s="1712"/>
      <c r="M103" s="1381">
        <f>SUM(F103:K103)</f>
        <v>49575</v>
      </c>
      <c r="N103" s="1381">
        <f>SUM(G103:L103)</f>
        <v>0</v>
      </c>
      <c r="O103" s="3982"/>
      <c r="P103" s="433"/>
    </row>
    <row r="104" spans="1:16">
      <c r="A104" s="4010"/>
      <c r="B104" s="1646" t="s">
        <v>22</v>
      </c>
      <c r="C104" s="1313"/>
      <c r="D104" s="1284">
        <f t="shared" ref="D104" si="90">+D105+D107</f>
        <v>55738</v>
      </c>
      <c r="E104" s="1284">
        <f t="shared" ref="E104" si="91">+E105+E107</f>
        <v>6163</v>
      </c>
      <c r="F104" s="1284">
        <f>+F105+F107</f>
        <v>49575</v>
      </c>
      <c r="G104" s="1284">
        <f t="shared" ref="G104:L104" si="92">+G105+G107</f>
        <v>0</v>
      </c>
      <c r="H104" s="1284">
        <f t="shared" si="92"/>
        <v>0</v>
      </c>
      <c r="I104" s="1284">
        <f t="shared" si="92"/>
        <v>0</v>
      </c>
      <c r="J104" s="1284">
        <f t="shared" si="92"/>
        <v>0</v>
      </c>
      <c r="K104" s="1284">
        <f t="shared" si="92"/>
        <v>0</v>
      </c>
      <c r="L104" s="1284">
        <f t="shared" si="92"/>
        <v>0</v>
      </c>
      <c r="M104" s="3986" t="s">
        <v>61</v>
      </c>
      <c r="N104" s="3986" t="s">
        <v>61</v>
      </c>
      <c r="O104" s="2009"/>
      <c r="P104" s="433"/>
    </row>
    <row r="105" spans="1:16" ht="12.75" hidden="1" customHeight="1">
      <c r="A105" s="4010"/>
      <c r="B105" s="1647" t="s">
        <v>24</v>
      </c>
      <c r="C105" s="3988" t="s">
        <v>251</v>
      </c>
      <c r="D105" s="1238">
        <f t="shared" ref="D105:L105" si="93">+D106</f>
        <v>0</v>
      </c>
      <c r="E105" s="1238">
        <f t="shared" si="93"/>
        <v>0</v>
      </c>
      <c r="F105" s="1238">
        <f t="shared" si="93"/>
        <v>0</v>
      </c>
      <c r="G105" s="1238">
        <f t="shared" si="93"/>
        <v>0</v>
      </c>
      <c r="H105" s="1238">
        <f t="shared" si="93"/>
        <v>0</v>
      </c>
      <c r="I105" s="1238">
        <f t="shared" si="93"/>
        <v>0</v>
      </c>
      <c r="J105" s="1238">
        <f t="shared" si="93"/>
        <v>0</v>
      </c>
      <c r="K105" s="1238">
        <f t="shared" si="93"/>
        <v>0</v>
      </c>
      <c r="L105" s="1238">
        <f t="shared" si="93"/>
        <v>0</v>
      </c>
      <c r="M105" s="3986"/>
      <c r="N105" s="3986"/>
      <c r="O105" s="2009"/>
      <c r="P105" s="433"/>
    </row>
    <row r="106" spans="1:16" ht="12.75" hidden="1" customHeight="1">
      <c r="A106" s="4010"/>
      <c r="B106" s="1648" t="s">
        <v>13</v>
      </c>
      <c r="C106" s="3988"/>
      <c r="D106" s="704">
        <f>E106+F106+G106+H106+I106+J106+K106+L106</f>
        <v>0</v>
      </c>
      <c r="E106" s="1247"/>
      <c r="F106" s="1247"/>
      <c r="G106" s="1247"/>
      <c r="H106" s="1247"/>
      <c r="I106" s="1247"/>
      <c r="J106" s="1247"/>
      <c r="K106" s="1247"/>
      <c r="L106" s="1247"/>
      <c r="M106" s="3986"/>
      <c r="N106" s="3986"/>
      <c r="O106" s="2009"/>
      <c r="P106" s="433"/>
    </row>
    <row r="107" spans="1:16">
      <c r="A107" s="4010"/>
      <c r="B107" s="1649" t="s">
        <v>18</v>
      </c>
      <c r="C107" s="3988"/>
      <c r="D107" s="1238">
        <f t="shared" ref="D107:L107" si="94">+D108</f>
        <v>55738</v>
      </c>
      <c r="E107" s="1238">
        <f t="shared" si="94"/>
        <v>6163</v>
      </c>
      <c r="F107" s="1238">
        <f t="shared" si="94"/>
        <v>49575</v>
      </c>
      <c r="G107" s="1238">
        <f t="shared" si="94"/>
        <v>0</v>
      </c>
      <c r="H107" s="1238">
        <f t="shared" si="94"/>
        <v>0</v>
      </c>
      <c r="I107" s="1238">
        <f t="shared" si="94"/>
        <v>0</v>
      </c>
      <c r="J107" s="1238">
        <f t="shared" si="94"/>
        <v>0</v>
      </c>
      <c r="K107" s="1238">
        <f t="shared" si="94"/>
        <v>0</v>
      </c>
      <c r="L107" s="1238">
        <f t="shared" si="94"/>
        <v>0</v>
      </c>
      <c r="M107" s="3986"/>
      <c r="N107" s="3986"/>
      <c r="O107" s="2011" t="s">
        <v>330</v>
      </c>
      <c r="P107" s="433"/>
    </row>
    <row r="108" spans="1:16" ht="13.5" thickBot="1">
      <c r="A108" s="4011"/>
      <c r="B108" s="1922" t="s">
        <v>21</v>
      </c>
      <c r="C108" s="3989"/>
      <c r="D108" s="1353">
        <f>E108+F108+G108+H108+I108+J108+K108+L108</f>
        <v>55738</v>
      </c>
      <c r="E108" s="1896">
        <v>6163</v>
      </c>
      <c r="F108" s="1323">
        <f>8500+56100-15025</f>
        <v>49575</v>
      </c>
      <c r="G108" s="1323"/>
      <c r="H108" s="1323"/>
      <c r="I108" s="1323"/>
      <c r="J108" s="1323"/>
      <c r="K108" s="1323"/>
      <c r="L108" s="1323"/>
      <c r="M108" s="3987"/>
      <c r="N108" s="3987"/>
      <c r="O108" s="2010"/>
      <c r="P108" s="433"/>
    </row>
    <row r="109" spans="1:16" s="1919" customFormat="1" ht="24">
      <c r="A109" s="4054" t="s">
        <v>88</v>
      </c>
      <c r="B109" s="1651" t="s">
        <v>729</v>
      </c>
      <c r="C109" s="1652" t="s">
        <v>110</v>
      </c>
      <c r="D109" s="82">
        <f>D110-D114</f>
        <v>13356000</v>
      </c>
      <c r="E109" s="1653"/>
      <c r="F109" s="1653"/>
      <c r="G109" s="1653">
        <f>G110-G114</f>
        <v>1463600</v>
      </c>
      <c r="H109" s="1653">
        <f t="shared" ref="H109:I109" si="95">H110-H114</f>
        <v>6500000</v>
      </c>
      <c r="I109" s="1653">
        <f t="shared" si="95"/>
        <v>5392400</v>
      </c>
      <c r="J109" s="1653"/>
      <c r="K109" s="1653"/>
      <c r="L109" s="1653"/>
      <c r="M109" s="1654"/>
      <c r="N109" s="1654"/>
      <c r="O109" s="3980" t="s">
        <v>712</v>
      </c>
      <c r="P109" s="2025"/>
    </row>
    <row r="110" spans="1:16" s="1919" customFormat="1">
      <c r="A110" s="4055"/>
      <c r="B110" s="710" t="s">
        <v>10</v>
      </c>
      <c r="C110" s="711"/>
      <c r="D110" s="561">
        <f t="shared" ref="D110:N110" si="96">+D111+D115</f>
        <v>13992000</v>
      </c>
      <c r="E110" s="561">
        <f t="shared" si="96"/>
        <v>0</v>
      </c>
      <c r="F110" s="561">
        <f t="shared" si="96"/>
        <v>0</v>
      </c>
      <c r="G110" s="561">
        <f t="shared" si="96"/>
        <v>1530586</v>
      </c>
      <c r="H110" s="561">
        <f t="shared" si="96"/>
        <v>6811005</v>
      </c>
      <c r="I110" s="561">
        <f t="shared" si="96"/>
        <v>5650409</v>
      </c>
      <c r="J110" s="561">
        <f t="shared" si="96"/>
        <v>0</v>
      </c>
      <c r="K110" s="561">
        <f t="shared" si="96"/>
        <v>0</v>
      </c>
      <c r="L110" s="561">
        <f t="shared" si="96"/>
        <v>0</v>
      </c>
      <c r="M110" s="712">
        <f t="shared" si="96"/>
        <v>13356000</v>
      </c>
      <c r="N110" s="712">
        <f t="shared" si="96"/>
        <v>13356000</v>
      </c>
      <c r="O110" s="3981"/>
      <c r="P110" s="2025"/>
    </row>
    <row r="111" spans="1:16" s="1919" customFormat="1" ht="12.75" customHeight="1">
      <c r="A111" s="4055"/>
      <c r="B111" s="713" t="s">
        <v>24</v>
      </c>
      <c r="C111" s="3983" t="s">
        <v>629</v>
      </c>
      <c r="D111" s="582">
        <f>+D112+D113+D114</f>
        <v>2098800</v>
      </c>
      <c r="E111" s="582">
        <f t="shared" ref="E111:L111" si="97">+E112+E113+E114</f>
        <v>0</v>
      </c>
      <c r="F111" s="582">
        <f t="shared" si="97"/>
        <v>0</v>
      </c>
      <c r="G111" s="582">
        <f t="shared" si="97"/>
        <v>278006</v>
      </c>
      <c r="H111" s="582">
        <f t="shared" si="97"/>
        <v>995455</v>
      </c>
      <c r="I111" s="582">
        <f t="shared" si="97"/>
        <v>825339</v>
      </c>
      <c r="J111" s="582">
        <f t="shared" si="97"/>
        <v>0</v>
      </c>
      <c r="K111" s="582">
        <f t="shared" si="97"/>
        <v>0</v>
      </c>
      <c r="L111" s="582">
        <f t="shared" si="97"/>
        <v>0</v>
      </c>
      <c r="M111" s="580">
        <f t="shared" ref="M111:N111" si="98">+M112+M113</f>
        <v>1462800</v>
      </c>
      <c r="N111" s="580">
        <f t="shared" si="98"/>
        <v>1462800</v>
      </c>
      <c r="O111" s="3981"/>
      <c r="P111" s="2025"/>
    </row>
    <row r="112" spans="1:16" s="1919" customFormat="1">
      <c r="A112" s="4055"/>
      <c r="B112" s="714" t="s">
        <v>12</v>
      </c>
      <c r="C112" s="3984"/>
      <c r="D112" s="226">
        <f>E112+F112+G112+H112+I112+J112+K112+L112</f>
        <v>63600</v>
      </c>
      <c r="E112" s="249"/>
      <c r="F112" s="539"/>
      <c r="G112" s="539">
        <v>63600</v>
      </c>
      <c r="H112" s="539">
        <v>0</v>
      </c>
      <c r="I112" s="539">
        <v>0</v>
      </c>
      <c r="J112" s="539"/>
      <c r="K112" s="539"/>
      <c r="L112" s="539"/>
      <c r="M112" s="777">
        <f>SUM(F112:K112)</f>
        <v>63600</v>
      </c>
      <c r="N112" s="777">
        <f>SUM(G112:L112)</f>
        <v>63600</v>
      </c>
      <c r="O112" s="3981"/>
      <c r="P112" s="2025"/>
    </row>
    <row r="113" spans="1:16" s="1919" customFormat="1">
      <c r="A113" s="4055"/>
      <c r="B113" s="714" t="s">
        <v>13</v>
      </c>
      <c r="C113" s="3984"/>
      <c r="D113" s="226">
        <f>E113+F113+G113+H113+I113+J113+K113+L113</f>
        <v>1399200</v>
      </c>
      <c r="E113" s="574">
        <v>0</v>
      </c>
      <c r="F113" s="574"/>
      <c r="G113" s="574">
        <v>147420</v>
      </c>
      <c r="H113" s="574">
        <v>684450</v>
      </c>
      <c r="I113" s="574">
        <v>567330</v>
      </c>
      <c r="J113" s="574"/>
      <c r="K113" s="574"/>
      <c r="L113" s="574"/>
      <c r="M113" s="777">
        <f>SUM(F113:K113)</f>
        <v>1399200</v>
      </c>
      <c r="N113" s="777">
        <f>SUM(G113:L113)</f>
        <v>1399200</v>
      </c>
      <c r="O113" s="3981"/>
      <c r="P113" s="2025"/>
    </row>
    <row r="114" spans="1:16" s="1919" customFormat="1">
      <c r="A114" s="4010"/>
      <c r="B114" s="1648" t="s">
        <v>730</v>
      </c>
      <c r="C114" s="3985"/>
      <c r="D114" s="226">
        <f>E114+F114+G114+H114+I114+J114+K114+L114</f>
        <v>636000</v>
      </c>
      <c r="E114" s="1239"/>
      <c r="F114" s="1239"/>
      <c r="G114" s="1239">
        <v>66986</v>
      </c>
      <c r="H114" s="1239">
        <v>311005</v>
      </c>
      <c r="I114" s="1239">
        <v>258009</v>
      </c>
      <c r="J114" s="1239"/>
      <c r="K114" s="1239"/>
      <c r="L114" s="1239"/>
      <c r="M114" s="1381"/>
      <c r="N114" s="2142">
        <v>0</v>
      </c>
      <c r="O114" s="3981"/>
      <c r="P114" s="2025"/>
    </row>
    <row r="115" spans="1:16" s="1919" customFormat="1">
      <c r="A115" s="4010"/>
      <c r="B115" s="1649" t="s">
        <v>18</v>
      </c>
      <c r="C115" s="3985"/>
      <c r="D115" s="1238">
        <f>+D116</f>
        <v>11893200</v>
      </c>
      <c r="E115" s="1238">
        <f t="shared" ref="E115:N115" si="99">+E116</f>
        <v>0</v>
      </c>
      <c r="F115" s="1238">
        <f t="shared" si="99"/>
        <v>0</v>
      </c>
      <c r="G115" s="1238">
        <f t="shared" si="99"/>
        <v>1252580</v>
      </c>
      <c r="H115" s="1238">
        <f t="shared" si="99"/>
        <v>5815550</v>
      </c>
      <c r="I115" s="1238">
        <f t="shared" si="99"/>
        <v>4825070</v>
      </c>
      <c r="J115" s="1238">
        <f t="shared" si="99"/>
        <v>0</v>
      </c>
      <c r="K115" s="1238">
        <f t="shared" si="99"/>
        <v>0</v>
      </c>
      <c r="L115" s="1238">
        <f t="shared" si="99"/>
        <v>0</v>
      </c>
      <c r="M115" s="1312">
        <f t="shared" si="99"/>
        <v>11893200</v>
      </c>
      <c r="N115" s="1312">
        <f t="shared" si="99"/>
        <v>11893200</v>
      </c>
      <c r="O115" s="3981"/>
      <c r="P115" s="2025"/>
    </row>
    <row r="116" spans="1:16" s="1919" customFormat="1">
      <c r="A116" s="4010"/>
      <c r="B116" s="1648" t="s">
        <v>21</v>
      </c>
      <c r="C116" s="3985"/>
      <c r="D116" s="704">
        <f>E116+F116+G116+H116+I116+J116+K116+L116</f>
        <v>11893200</v>
      </c>
      <c r="E116" s="1206"/>
      <c r="F116" s="1921"/>
      <c r="G116" s="1712">
        <v>1252580</v>
      </c>
      <c r="H116" s="1712">
        <v>5815550</v>
      </c>
      <c r="I116" s="1712">
        <v>4825070</v>
      </c>
      <c r="J116" s="1712"/>
      <c r="K116" s="1712"/>
      <c r="L116" s="1712"/>
      <c r="M116" s="1381">
        <f>SUM(F116:K116)</f>
        <v>11893200</v>
      </c>
      <c r="N116" s="1381">
        <f>SUM(G116:L116)</f>
        <v>11893200</v>
      </c>
      <c r="O116" s="3982"/>
      <c r="P116" s="2025"/>
    </row>
    <row r="117" spans="1:16" s="1919" customFormat="1">
      <c r="A117" s="4010"/>
      <c r="B117" s="1646" t="s">
        <v>22</v>
      </c>
      <c r="C117" s="1313"/>
      <c r="D117" s="1284">
        <f t="shared" ref="D117:E117" si="100">+D118+D120</f>
        <v>13292400</v>
      </c>
      <c r="E117" s="1284">
        <f t="shared" si="100"/>
        <v>0</v>
      </c>
      <c r="F117" s="1284">
        <f>+F118+F120</f>
        <v>0</v>
      </c>
      <c r="G117" s="1284">
        <f t="shared" ref="G117:L117" si="101">+G118+G120</f>
        <v>1400000</v>
      </c>
      <c r="H117" s="1284">
        <f t="shared" si="101"/>
        <v>6500000</v>
      </c>
      <c r="I117" s="1284">
        <f t="shared" si="101"/>
        <v>5392400</v>
      </c>
      <c r="J117" s="1284">
        <f t="shared" si="101"/>
        <v>0</v>
      </c>
      <c r="K117" s="1284">
        <f t="shared" si="101"/>
        <v>0</v>
      </c>
      <c r="L117" s="1284">
        <f t="shared" si="101"/>
        <v>0</v>
      </c>
      <c r="M117" s="3986" t="s">
        <v>61</v>
      </c>
      <c r="N117" s="3986" t="s">
        <v>61</v>
      </c>
      <c r="O117" s="2009"/>
      <c r="P117" s="2025"/>
    </row>
    <row r="118" spans="1:16" s="1919" customFormat="1">
      <c r="A118" s="4010"/>
      <c r="B118" s="1647" t="s">
        <v>24</v>
      </c>
      <c r="C118" s="3988" t="s">
        <v>251</v>
      </c>
      <c r="D118" s="1238">
        <f t="shared" ref="D118:L118" si="102">+D119</f>
        <v>1399200</v>
      </c>
      <c r="E118" s="1238">
        <f t="shared" si="102"/>
        <v>0</v>
      </c>
      <c r="F118" s="1238">
        <f t="shared" si="102"/>
        <v>0</v>
      </c>
      <c r="G118" s="1238">
        <f t="shared" si="102"/>
        <v>147420</v>
      </c>
      <c r="H118" s="1238">
        <f t="shared" si="102"/>
        <v>684450</v>
      </c>
      <c r="I118" s="1238">
        <f t="shared" si="102"/>
        <v>567330</v>
      </c>
      <c r="J118" s="1238">
        <f t="shared" si="102"/>
        <v>0</v>
      </c>
      <c r="K118" s="1238">
        <f t="shared" si="102"/>
        <v>0</v>
      </c>
      <c r="L118" s="1238">
        <f t="shared" si="102"/>
        <v>0</v>
      </c>
      <c r="M118" s="3986"/>
      <c r="N118" s="3986"/>
      <c r="O118" s="2009"/>
      <c r="P118" s="2025"/>
    </row>
    <row r="119" spans="1:16" s="1919" customFormat="1">
      <c r="A119" s="4010"/>
      <c r="B119" s="1648" t="s">
        <v>13</v>
      </c>
      <c r="C119" s="3988"/>
      <c r="D119" s="704">
        <f>E119+F119+G119+H119+I119+J119+K119+L119</f>
        <v>1399200</v>
      </c>
      <c r="E119" s="1247"/>
      <c r="F119" s="1247"/>
      <c r="G119" s="1247">
        <v>147420</v>
      </c>
      <c r="H119" s="1247">
        <v>684450</v>
      </c>
      <c r="I119" s="1247">
        <v>567330</v>
      </c>
      <c r="J119" s="1247"/>
      <c r="K119" s="1247"/>
      <c r="L119" s="1247"/>
      <c r="M119" s="3986"/>
      <c r="N119" s="3986"/>
      <c r="O119" s="2009"/>
      <c r="P119" s="2025"/>
    </row>
    <row r="120" spans="1:16" s="1919" customFormat="1">
      <c r="A120" s="4010"/>
      <c r="B120" s="1649" t="s">
        <v>18</v>
      </c>
      <c r="C120" s="3988"/>
      <c r="D120" s="1238">
        <f t="shared" ref="D120:L120" si="103">+D121</f>
        <v>11893200</v>
      </c>
      <c r="E120" s="1238">
        <f t="shared" si="103"/>
        <v>0</v>
      </c>
      <c r="F120" s="1238">
        <f t="shared" si="103"/>
        <v>0</v>
      </c>
      <c r="G120" s="1238">
        <f t="shared" si="103"/>
        <v>1252580</v>
      </c>
      <c r="H120" s="1238">
        <f t="shared" si="103"/>
        <v>5815550</v>
      </c>
      <c r="I120" s="1238">
        <f t="shared" si="103"/>
        <v>4825070</v>
      </c>
      <c r="J120" s="1238">
        <f t="shared" si="103"/>
        <v>0</v>
      </c>
      <c r="K120" s="1238">
        <f t="shared" si="103"/>
        <v>0</v>
      </c>
      <c r="L120" s="1238">
        <f t="shared" si="103"/>
        <v>0</v>
      </c>
      <c r="M120" s="3986"/>
      <c r="N120" s="3986"/>
      <c r="O120" s="2011" t="s">
        <v>330</v>
      </c>
      <c r="P120" s="2025"/>
    </row>
    <row r="121" spans="1:16" s="1919" customFormat="1" ht="12.75" customHeight="1" thickBot="1">
      <c r="A121" s="4011"/>
      <c r="B121" s="1922" t="s">
        <v>21</v>
      </c>
      <c r="C121" s="3989"/>
      <c r="D121" s="704">
        <f>E121+F121+G121+H121+I121+J121+K121+L121</f>
        <v>11893200</v>
      </c>
      <c r="E121" s="1206"/>
      <c r="F121" s="1323"/>
      <c r="G121" s="1323">
        <v>1252580</v>
      </c>
      <c r="H121" s="1323">
        <v>5815550</v>
      </c>
      <c r="I121" s="1323">
        <v>4825070</v>
      </c>
      <c r="J121" s="1323"/>
      <c r="K121" s="1323"/>
      <c r="L121" s="1323"/>
      <c r="M121" s="3987"/>
      <c r="N121" s="3987"/>
      <c r="O121" s="2010"/>
      <c r="P121" s="2025"/>
    </row>
    <row r="122" spans="1:16" ht="36" customHeight="1">
      <c r="A122" s="4016" t="s">
        <v>89</v>
      </c>
      <c r="B122" s="1088" t="s">
        <v>466</v>
      </c>
      <c r="C122" s="1089" t="s">
        <v>110</v>
      </c>
      <c r="D122" s="58"/>
      <c r="E122" s="40"/>
      <c r="F122" s="40"/>
      <c r="G122" s="40"/>
      <c r="H122" s="40"/>
      <c r="I122" s="40"/>
      <c r="J122" s="40"/>
      <c r="K122" s="40"/>
      <c r="L122" s="40"/>
      <c r="M122" s="531"/>
      <c r="N122" s="531"/>
      <c r="O122" s="3980" t="s">
        <v>328</v>
      </c>
    </row>
    <row r="123" spans="1:16">
      <c r="A123" s="3992"/>
      <c r="B123" s="1646" t="s">
        <v>10</v>
      </c>
      <c r="C123" s="1090"/>
      <c r="D123" s="1677">
        <f t="shared" ref="D123:N123" si="104">+D124+D128</f>
        <v>1698344</v>
      </c>
      <c r="E123" s="1281">
        <f t="shared" ref="E123" si="105">+E124+E128</f>
        <v>0</v>
      </c>
      <c r="F123" s="1281">
        <f t="shared" si="104"/>
        <v>667359</v>
      </c>
      <c r="G123" s="1281">
        <f t="shared" si="104"/>
        <v>1030985</v>
      </c>
      <c r="H123" s="1281">
        <f t="shared" si="104"/>
        <v>0</v>
      </c>
      <c r="I123" s="1281">
        <f t="shared" si="104"/>
        <v>0</v>
      </c>
      <c r="J123" s="1281">
        <f t="shared" si="104"/>
        <v>0</v>
      </c>
      <c r="K123" s="1281">
        <f t="shared" si="104"/>
        <v>0</v>
      </c>
      <c r="L123" s="1281">
        <f t="shared" si="104"/>
        <v>0</v>
      </c>
      <c r="M123" s="1233">
        <f t="shared" ref="M123" si="106">+M124+M128</f>
        <v>1698344</v>
      </c>
      <c r="N123" s="1233">
        <f t="shared" si="104"/>
        <v>1030985</v>
      </c>
      <c r="O123" s="3981"/>
    </row>
    <row r="124" spans="1:16">
      <c r="A124" s="3992"/>
      <c r="B124" s="1647" t="s">
        <v>24</v>
      </c>
      <c r="C124" s="4053" t="s">
        <v>324</v>
      </c>
      <c r="D124" s="1358">
        <f>+D125</f>
        <v>254752</v>
      </c>
      <c r="E124" s="1358">
        <f t="shared" ref="E124" si="107">+E125</f>
        <v>0</v>
      </c>
      <c r="F124" s="1358">
        <f t="shared" ref="F124:N124" si="108">+F125</f>
        <v>100104</v>
      </c>
      <c r="G124" s="1358">
        <f t="shared" si="108"/>
        <v>154648</v>
      </c>
      <c r="H124" s="1358">
        <f t="shared" si="108"/>
        <v>0</v>
      </c>
      <c r="I124" s="1358">
        <f t="shared" si="108"/>
        <v>0</v>
      </c>
      <c r="J124" s="1358">
        <f t="shared" si="108"/>
        <v>0</v>
      </c>
      <c r="K124" s="1358">
        <f t="shared" si="108"/>
        <v>0</v>
      </c>
      <c r="L124" s="1358">
        <f t="shared" si="108"/>
        <v>0</v>
      </c>
      <c r="M124" s="1923">
        <f t="shared" si="108"/>
        <v>254752</v>
      </c>
      <c r="N124" s="1923">
        <f t="shared" si="108"/>
        <v>154648</v>
      </c>
      <c r="O124" s="3981"/>
    </row>
    <row r="125" spans="1:16">
      <c r="A125" s="3992"/>
      <c r="B125" s="1648" t="s">
        <v>12</v>
      </c>
      <c r="C125" s="3998"/>
      <c r="D125" s="704">
        <f>E125+F125+G125+H125+I125+J125+K125+L125</f>
        <v>254752</v>
      </c>
      <c r="E125" s="1206">
        <v>0</v>
      </c>
      <c r="F125" s="1384">
        <f t="shared" ref="F125:L125" si="109">+F126+F127</f>
        <v>100104</v>
      </c>
      <c r="G125" s="1384">
        <f t="shared" si="109"/>
        <v>154648</v>
      </c>
      <c r="H125" s="1239">
        <f t="shared" si="109"/>
        <v>0</v>
      </c>
      <c r="I125" s="1239">
        <f t="shared" si="109"/>
        <v>0</v>
      </c>
      <c r="J125" s="1239">
        <f t="shared" si="109"/>
        <v>0</v>
      </c>
      <c r="K125" s="1239">
        <f t="shared" si="109"/>
        <v>0</v>
      </c>
      <c r="L125" s="1239">
        <f t="shared" si="109"/>
        <v>0</v>
      </c>
      <c r="M125" s="1381">
        <f>SUM(F125:K125)</f>
        <v>254752</v>
      </c>
      <c r="N125" s="1381">
        <f>SUM(G125:L125)</f>
        <v>154648</v>
      </c>
      <c r="O125" s="3981"/>
    </row>
    <row r="126" spans="1:16" ht="12.75" hidden="1" customHeight="1">
      <c r="A126" s="3992"/>
      <c r="B126" s="1924" t="s">
        <v>304</v>
      </c>
      <c r="C126" s="3998"/>
      <c r="D126" s="1925">
        <f>SUM(E126:L126)</f>
        <v>66119</v>
      </c>
      <c r="E126" s="1926">
        <v>0</v>
      </c>
      <c r="F126" s="1927">
        <f>31970-5265</f>
        <v>26705</v>
      </c>
      <c r="G126" s="1927">
        <f>34149+5265</f>
        <v>39414</v>
      </c>
      <c r="H126" s="1926"/>
      <c r="I126" s="1926"/>
      <c r="J126" s="1926"/>
      <c r="K126" s="1926"/>
      <c r="L126" s="1926"/>
      <c r="M126" s="1928"/>
      <c r="N126" s="1928"/>
      <c r="O126" s="3981"/>
    </row>
    <row r="127" spans="1:16" ht="12.75" hidden="1" customHeight="1">
      <c r="A127" s="3992"/>
      <c r="B127" s="1929" t="s">
        <v>322</v>
      </c>
      <c r="C127" s="3998"/>
      <c r="D127" s="1930">
        <f>SUM(E127:L127)</f>
        <v>188633</v>
      </c>
      <c r="E127" s="1931">
        <v>0</v>
      </c>
      <c r="F127" s="1932">
        <f>86239-12840</f>
        <v>73399</v>
      </c>
      <c r="G127" s="1932">
        <f>102394+12840</f>
        <v>115234</v>
      </c>
      <c r="H127" s="1931"/>
      <c r="I127" s="1931"/>
      <c r="J127" s="1931"/>
      <c r="K127" s="1931"/>
      <c r="L127" s="1931"/>
      <c r="M127" s="1928"/>
      <c r="N127" s="1928"/>
      <c r="O127" s="3981"/>
    </row>
    <row r="128" spans="1:16">
      <c r="A128" s="3992"/>
      <c r="B128" s="1647" t="s">
        <v>18</v>
      </c>
      <c r="C128" s="3998"/>
      <c r="D128" s="1238">
        <f>+D129</f>
        <v>1443592</v>
      </c>
      <c r="E128" s="1238">
        <f t="shared" ref="E128:L128" si="110">+E129</f>
        <v>0</v>
      </c>
      <c r="F128" s="1238">
        <f t="shared" si="110"/>
        <v>567255</v>
      </c>
      <c r="G128" s="1238">
        <f t="shared" si="110"/>
        <v>876337</v>
      </c>
      <c r="H128" s="1238">
        <f t="shared" si="110"/>
        <v>0</v>
      </c>
      <c r="I128" s="1238">
        <f t="shared" si="110"/>
        <v>0</v>
      </c>
      <c r="J128" s="1238">
        <f t="shared" si="110"/>
        <v>0</v>
      </c>
      <c r="K128" s="1238">
        <f t="shared" si="110"/>
        <v>0</v>
      </c>
      <c r="L128" s="1238">
        <f t="shared" si="110"/>
        <v>0</v>
      </c>
      <c r="M128" s="1383">
        <f>+M129</f>
        <v>1443592</v>
      </c>
      <c r="N128" s="1383">
        <f>+N129</f>
        <v>876337</v>
      </c>
      <c r="O128" s="3981"/>
    </row>
    <row r="129" spans="1:16">
      <c r="A129" s="3992"/>
      <c r="B129" s="1648" t="s">
        <v>21</v>
      </c>
      <c r="C129" s="3998"/>
      <c r="D129" s="704">
        <f>E129+F129+G129+H129+I129+J129+K129+L129</f>
        <v>1443592</v>
      </c>
      <c r="E129" s="1206">
        <v>0</v>
      </c>
      <c r="F129" s="1239">
        <f t="shared" ref="F129:L129" si="111">+F130+F131</f>
        <v>567255</v>
      </c>
      <c r="G129" s="1239">
        <f t="shared" si="111"/>
        <v>876337</v>
      </c>
      <c r="H129" s="1239">
        <f t="shared" si="111"/>
        <v>0</v>
      </c>
      <c r="I129" s="1239">
        <f t="shared" si="111"/>
        <v>0</v>
      </c>
      <c r="J129" s="1239">
        <f t="shared" si="111"/>
        <v>0</v>
      </c>
      <c r="K129" s="1239">
        <f t="shared" si="111"/>
        <v>0</v>
      </c>
      <c r="L129" s="1239">
        <f t="shared" si="111"/>
        <v>0</v>
      </c>
      <c r="M129" s="1381">
        <f>SUM(F129:K129)</f>
        <v>1443592</v>
      </c>
      <c r="N129" s="1381">
        <f>SUM(G129:L129)</f>
        <v>876337</v>
      </c>
      <c r="O129" s="3982"/>
    </row>
    <row r="130" spans="1:16" ht="12.75" hidden="1" customHeight="1">
      <c r="A130" s="3992"/>
      <c r="B130" s="1924" t="s">
        <v>304</v>
      </c>
      <c r="C130" s="2061"/>
      <c r="D130" s="1925">
        <f>SUM(E130:L130)</f>
        <v>374677</v>
      </c>
      <c r="E130" s="1926">
        <v>0</v>
      </c>
      <c r="F130" s="1926">
        <f>181163-29833</f>
        <v>151330</v>
      </c>
      <c r="G130" s="1926">
        <f>193514+29833</f>
        <v>223347</v>
      </c>
      <c r="H130" s="1926"/>
      <c r="I130" s="1926"/>
      <c r="J130" s="1926"/>
      <c r="K130" s="1926"/>
      <c r="L130" s="1926"/>
      <c r="M130" s="1928"/>
      <c r="N130" s="1928"/>
      <c r="O130" s="1564"/>
    </row>
    <row r="131" spans="1:16" ht="12.75" hidden="1" customHeight="1">
      <c r="A131" s="3992"/>
      <c r="B131" s="1929" t="s">
        <v>322</v>
      </c>
      <c r="C131" s="1933"/>
      <c r="D131" s="1930">
        <f>SUM(E131:L131)</f>
        <v>1068915</v>
      </c>
      <c r="E131" s="1931">
        <v>0</v>
      </c>
      <c r="F131" s="1931">
        <f>488685-72760</f>
        <v>415925</v>
      </c>
      <c r="G131" s="1931">
        <f>580230+72760</f>
        <v>652990</v>
      </c>
      <c r="H131" s="1931"/>
      <c r="I131" s="1931"/>
      <c r="J131" s="1931"/>
      <c r="K131" s="1931"/>
      <c r="L131" s="1931"/>
      <c r="M131" s="1928"/>
      <c r="N131" s="1928"/>
      <c r="O131" s="1564"/>
    </row>
    <row r="132" spans="1:16">
      <c r="A132" s="3994"/>
      <c r="B132" s="1646" t="s">
        <v>22</v>
      </c>
      <c r="C132" s="1313"/>
      <c r="D132" s="1382">
        <f>D133</f>
        <v>1443592</v>
      </c>
      <c r="E132" s="1382">
        <f>+E133</f>
        <v>0</v>
      </c>
      <c r="F132" s="1382">
        <f>+F133</f>
        <v>669848</v>
      </c>
      <c r="G132" s="1382">
        <f>+G133</f>
        <v>773744</v>
      </c>
      <c r="H132" s="1382">
        <f>+H133</f>
        <v>0</v>
      </c>
      <c r="I132" s="1382">
        <f>I133</f>
        <v>0</v>
      </c>
      <c r="J132" s="1382">
        <f>+J133</f>
        <v>0</v>
      </c>
      <c r="K132" s="1382">
        <f>+K133</f>
        <v>0</v>
      </c>
      <c r="L132" s="1382">
        <f>L133</f>
        <v>0</v>
      </c>
      <c r="M132" s="3986" t="s">
        <v>61</v>
      </c>
      <c r="N132" s="3986" t="s">
        <v>61</v>
      </c>
      <c r="O132" s="4002" t="s">
        <v>322</v>
      </c>
    </row>
    <row r="133" spans="1:16">
      <c r="A133" s="3994"/>
      <c r="B133" s="1647" t="s">
        <v>18</v>
      </c>
      <c r="C133" s="4048" t="s">
        <v>467</v>
      </c>
      <c r="D133" s="1238">
        <f t="shared" ref="D133:L133" si="112">+D134</f>
        <v>1443592</v>
      </c>
      <c r="E133" s="1238">
        <f t="shared" si="112"/>
        <v>0</v>
      </c>
      <c r="F133" s="1238">
        <f t="shared" si="112"/>
        <v>669848</v>
      </c>
      <c r="G133" s="1238">
        <f t="shared" si="112"/>
        <v>773744</v>
      </c>
      <c r="H133" s="1238">
        <f t="shared" si="112"/>
        <v>0</v>
      </c>
      <c r="I133" s="1238">
        <f t="shared" si="112"/>
        <v>0</v>
      </c>
      <c r="J133" s="1238">
        <f t="shared" si="112"/>
        <v>0</v>
      </c>
      <c r="K133" s="1238">
        <f t="shared" si="112"/>
        <v>0</v>
      </c>
      <c r="L133" s="1238">
        <f t="shared" si="112"/>
        <v>0</v>
      </c>
      <c r="M133" s="3986"/>
      <c r="N133" s="3986"/>
      <c r="O133" s="4002"/>
    </row>
    <row r="134" spans="1:16" ht="13.5" thickBot="1">
      <c r="A134" s="3995"/>
      <c r="B134" s="1922" t="s">
        <v>21</v>
      </c>
      <c r="C134" s="4049"/>
      <c r="D134" s="1896">
        <f>E134+F134+G134+H134+I134+J134+K134+L134</f>
        <v>1443592</v>
      </c>
      <c r="E134" s="1896">
        <v>0</v>
      </c>
      <c r="F134" s="1371">
        <v>669848</v>
      </c>
      <c r="G134" s="1371">
        <v>773744</v>
      </c>
      <c r="H134" s="1371">
        <v>0</v>
      </c>
      <c r="I134" s="1371">
        <v>0</v>
      </c>
      <c r="J134" s="1371">
        <v>0</v>
      </c>
      <c r="K134" s="1371">
        <v>0</v>
      </c>
      <c r="L134" s="1371">
        <v>0</v>
      </c>
      <c r="M134" s="3987"/>
      <c r="N134" s="3987"/>
      <c r="O134" s="4003"/>
    </row>
    <row r="135" spans="1:16" ht="37.5" customHeight="1">
      <c r="A135" s="4016" t="s">
        <v>90</v>
      </c>
      <c r="B135" s="1088" t="s">
        <v>575</v>
      </c>
      <c r="C135" s="1089" t="s">
        <v>110</v>
      </c>
      <c r="D135" s="58"/>
      <c r="E135" s="40"/>
      <c r="F135" s="40"/>
      <c r="G135" s="40"/>
      <c r="H135" s="40"/>
      <c r="I135" s="40"/>
      <c r="J135" s="40"/>
      <c r="K135" s="40"/>
      <c r="L135" s="40"/>
      <c r="M135" s="531"/>
      <c r="N135" s="531"/>
      <c r="O135" s="3980" t="s">
        <v>555</v>
      </c>
    </row>
    <row r="136" spans="1:16" ht="16.149999999999999" customHeight="1">
      <c r="A136" s="3992"/>
      <c r="B136" s="1646" t="s">
        <v>10</v>
      </c>
      <c r="C136" s="1090"/>
      <c r="D136" s="1677">
        <f>+D137</f>
        <v>13580221</v>
      </c>
      <c r="E136" s="1281">
        <f t="shared" ref="E136" si="113">+E137</f>
        <v>0</v>
      </c>
      <c r="F136" s="1281">
        <f t="shared" ref="F136:H136" si="114">+F137</f>
        <v>262804</v>
      </c>
      <c r="G136" s="1281">
        <f t="shared" si="114"/>
        <v>9114930</v>
      </c>
      <c r="H136" s="1281">
        <f t="shared" si="114"/>
        <v>3627487</v>
      </c>
      <c r="I136" s="1281">
        <f t="shared" ref="I136" si="115">+I137</f>
        <v>575000</v>
      </c>
      <c r="J136" s="1281">
        <f t="shared" ref="J136" si="116">+J137</f>
        <v>0</v>
      </c>
      <c r="K136" s="1281">
        <f t="shared" ref="K136" si="117">+K137</f>
        <v>0</v>
      </c>
      <c r="L136" s="1281">
        <f t="shared" ref="L136" si="118">+L137</f>
        <v>0</v>
      </c>
      <c r="M136" s="1233">
        <f>+M137</f>
        <v>13580221</v>
      </c>
      <c r="N136" s="1233">
        <f>+N137</f>
        <v>13317417</v>
      </c>
      <c r="O136" s="3981"/>
      <c r="P136" s="353">
        <f>G136-'[1]Tab. 6B Polit społ i rozwój prz'!$G$122</f>
        <v>1295230</v>
      </c>
    </row>
    <row r="137" spans="1:16" ht="15" customHeight="1">
      <c r="A137" s="3992"/>
      <c r="B137" s="1678" t="s">
        <v>18</v>
      </c>
      <c r="C137" s="4004" t="s">
        <v>471</v>
      </c>
      <c r="D137" s="1238">
        <f>+D138</f>
        <v>13580221</v>
      </c>
      <c r="E137" s="1238">
        <f>+E138</f>
        <v>0</v>
      </c>
      <c r="F137" s="1238">
        <f>+F138</f>
        <v>262804</v>
      </c>
      <c r="G137" s="1238">
        <f t="shared" ref="G137:L137" si="119">+G138</f>
        <v>9114930</v>
      </c>
      <c r="H137" s="1238">
        <f t="shared" si="119"/>
        <v>3627487</v>
      </c>
      <c r="I137" s="1238">
        <f t="shared" si="119"/>
        <v>575000</v>
      </c>
      <c r="J137" s="1238">
        <f t="shared" si="119"/>
        <v>0</v>
      </c>
      <c r="K137" s="1238">
        <f t="shared" si="119"/>
        <v>0</v>
      </c>
      <c r="L137" s="1238">
        <f t="shared" si="119"/>
        <v>0</v>
      </c>
      <c r="M137" s="1383">
        <f>+M138</f>
        <v>13580221</v>
      </c>
      <c r="N137" s="1383">
        <f>+N138</f>
        <v>13317417</v>
      </c>
      <c r="O137" s="3981"/>
    </row>
    <row r="138" spans="1:16" ht="22.5" customHeight="1" thickBot="1">
      <c r="A138" s="4050"/>
      <c r="B138" s="1679" t="s">
        <v>21</v>
      </c>
      <c r="C138" s="4006"/>
      <c r="D138" s="1896">
        <f>E138+F138+G138+H138+I138+J138+K138+L138</f>
        <v>13580221</v>
      </c>
      <c r="E138" s="1896">
        <v>0</v>
      </c>
      <c r="F138" s="1371">
        <f>+F139+F140+F141+F142+F143</f>
        <v>262804</v>
      </c>
      <c r="G138" s="1371">
        <f t="shared" ref="G138:H138" si="120">+G139+G140+G141+G142+G143</f>
        <v>9114930</v>
      </c>
      <c r="H138" s="1371">
        <f t="shared" si="120"/>
        <v>3627487</v>
      </c>
      <c r="I138" s="1371">
        <f t="shared" ref="I138" si="121">+I139+I140+I141+I142+I143</f>
        <v>575000</v>
      </c>
      <c r="J138" s="1371">
        <f t="shared" ref="J138" si="122">+J139+J140+J141+J142+J143</f>
        <v>0</v>
      </c>
      <c r="K138" s="1371">
        <f t="shared" ref="K138" si="123">+K139+K140+K141+K142+K143</f>
        <v>0</v>
      </c>
      <c r="L138" s="1371">
        <f t="shared" ref="L138" si="124">+L139+L140+L141+L142+L143</f>
        <v>0</v>
      </c>
      <c r="M138" s="1934">
        <f>SUM(F138:K138)</f>
        <v>13580221</v>
      </c>
      <c r="N138" s="1934">
        <f>SUM(G138:L138)</f>
        <v>13317417</v>
      </c>
      <c r="O138" s="3981"/>
    </row>
    <row r="139" spans="1:16" s="354" customFormat="1" ht="12.75" hidden="1" customHeight="1">
      <c r="A139" s="4051"/>
      <c r="B139" s="1909" t="s">
        <v>469</v>
      </c>
      <c r="C139" s="4005"/>
      <c r="D139" s="1910">
        <f>SUM(E139:L139)</f>
        <v>9576521</v>
      </c>
      <c r="E139" s="1911">
        <v>0</v>
      </c>
      <c r="F139" s="1911">
        <f>2700000-2610000</f>
        <v>90000</v>
      </c>
      <c r="G139" s="1911">
        <f>3169000+2619500+1103984</f>
        <v>6892484</v>
      </c>
      <c r="H139" s="1911">
        <f>2044159+946725-929847</f>
        <v>2061037</v>
      </c>
      <c r="I139" s="1911">
        <f>0+537137-4137</f>
        <v>533000</v>
      </c>
      <c r="J139" s="1911">
        <v>0</v>
      </c>
      <c r="K139" s="1911">
        <v>0</v>
      </c>
      <c r="L139" s="1911">
        <v>0</v>
      </c>
      <c r="M139" s="1912"/>
      <c r="N139" s="1912"/>
      <c r="O139" s="1564"/>
    </row>
    <row r="140" spans="1:16" s="354" customFormat="1" ht="12.75" hidden="1" customHeight="1">
      <c r="A140" s="3992"/>
      <c r="B140" s="2012" t="s">
        <v>470</v>
      </c>
      <c r="C140" s="4005"/>
      <c r="D140" s="2013">
        <f>SUM(E140:L140)</f>
        <v>1008500</v>
      </c>
      <c r="E140" s="1560">
        <v>0</v>
      </c>
      <c r="F140" s="1560">
        <f>293500-190200-8805</f>
        <v>94495</v>
      </c>
      <c r="G140" s="1560">
        <f>483000-13800+130805</f>
        <v>600005</v>
      </c>
      <c r="H140" s="1560">
        <f>378000-92000+28000</f>
        <v>314000</v>
      </c>
      <c r="I140" s="1560">
        <v>0</v>
      </c>
      <c r="J140" s="1560">
        <v>0</v>
      </c>
      <c r="K140" s="1560">
        <v>0</v>
      </c>
      <c r="L140" s="1560">
        <v>0</v>
      </c>
      <c r="M140" s="1475"/>
      <c r="N140" s="1475"/>
      <c r="O140" s="1564"/>
    </row>
    <row r="141" spans="1:16" s="1561" customFormat="1" ht="12.75" hidden="1" customHeight="1">
      <c r="A141" s="3992"/>
      <c r="B141" s="2012" t="s">
        <v>111</v>
      </c>
      <c r="C141" s="4005"/>
      <c r="D141" s="2013">
        <f>SUM(E141:L141)</f>
        <v>603500</v>
      </c>
      <c r="E141" s="1560">
        <v>0</v>
      </c>
      <c r="F141" s="1560">
        <f>174000-30000-144000</f>
        <v>0</v>
      </c>
      <c r="G141" s="1560">
        <f>453000-110000</f>
        <v>343000</v>
      </c>
      <c r="H141" s="1560">
        <f>228000+32500</f>
        <v>260500</v>
      </c>
      <c r="I141" s="1560">
        <v>0</v>
      </c>
      <c r="J141" s="1560">
        <v>0</v>
      </c>
      <c r="K141" s="1560">
        <v>0</v>
      </c>
      <c r="L141" s="1560">
        <v>0</v>
      </c>
      <c r="M141" s="1475"/>
      <c r="N141" s="1475"/>
      <c r="O141" s="1564"/>
    </row>
    <row r="142" spans="1:16" s="1561" customFormat="1" ht="12.75" hidden="1" customHeight="1">
      <c r="A142" s="3992"/>
      <c r="B142" s="2012" t="s">
        <v>231</v>
      </c>
      <c r="C142" s="4005"/>
      <c r="D142" s="2013">
        <f>SUM(E142:L142)</f>
        <v>1894000</v>
      </c>
      <c r="E142" s="1560">
        <v>0</v>
      </c>
      <c r="F142" s="1560">
        <f>1015500-784500-231000</f>
        <v>0</v>
      </c>
      <c r="G142" s="1560">
        <f>926500+110500+47050</f>
        <v>1084050</v>
      </c>
      <c r="H142" s="1560">
        <f>342000+284000+183950</f>
        <v>809950</v>
      </c>
      <c r="I142" s="1560">
        <v>0</v>
      </c>
      <c r="J142" s="1560">
        <v>0</v>
      </c>
      <c r="K142" s="1560">
        <v>0</v>
      </c>
      <c r="L142" s="1560">
        <v>0</v>
      </c>
      <c r="M142" s="1475"/>
      <c r="N142" s="1475"/>
      <c r="O142" s="1564"/>
    </row>
    <row r="143" spans="1:16" s="1561" customFormat="1" ht="12.75" hidden="1" customHeight="1">
      <c r="A143" s="3992"/>
      <c r="B143" s="2012" t="s">
        <v>304</v>
      </c>
      <c r="C143" s="4052"/>
      <c r="D143" s="2013">
        <f>SUM(E143:L143)</f>
        <v>497700</v>
      </c>
      <c r="E143" s="1560">
        <v>0</v>
      </c>
      <c r="F143" s="1560">
        <f>140000-48300-13391</f>
        <v>78309</v>
      </c>
      <c r="G143" s="1560">
        <f>260000-78000+13391</f>
        <v>195391</v>
      </c>
      <c r="H143" s="1560">
        <f>260000-78000</f>
        <v>182000</v>
      </c>
      <c r="I143" s="1560">
        <f>0+42000</f>
        <v>42000</v>
      </c>
      <c r="J143" s="1560">
        <v>0</v>
      </c>
      <c r="K143" s="1560">
        <v>0</v>
      </c>
      <c r="L143" s="1560">
        <v>0</v>
      </c>
      <c r="M143" s="1475"/>
      <c r="N143" s="1475"/>
      <c r="O143" s="1564"/>
    </row>
    <row r="144" spans="1:16">
      <c r="A144" s="3994"/>
      <c r="B144" s="1646" t="s">
        <v>22</v>
      </c>
      <c r="C144" s="1313"/>
      <c r="D144" s="1382">
        <f>D145</f>
        <v>13580221</v>
      </c>
      <c r="E144" s="1382">
        <f>+E145</f>
        <v>0</v>
      </c>
      <c r="F144" s="1382">
        <f>+F145</f>
        <v>0</v>
      </c>
      <c r="G144" s="1382">
        <f>+G145</f>
        <v>11704137</v>
      </c>
      <c r="H144" s="1382">
        <f>+H145</f>
        <v>1876084</v>
      </c>
      <c r="I144" s="1382">
        <f>I145</f>
        <v>0</v>
      </c>
      <c r="J144" s="1382">
        <f>+J145</f>
        <v>0</v>
      </c>
      <c r="K144" s="1382">
        <f>+K145</f>
        <v>0</v>
      </c>
      <c r="L144" s="1382">
        <f>L145</f>
        <v>0</v>
      </c>
      <c r="M144" s="3986" t="s">
        <v>61</v>
      </c>
      <c r="N144" s="3986" t="s">
        <v>61</v>
      </c>
      <c r="O144" s="4001" t="s">
        <v>469</v>
      </c>
      <c r="P144" s="353">
        <f>G144-'[1]Tab. 6B Polit społ i rozwój prz'!$G$130</f>
        <v>3368437</v>
      </c>
    </row>
    <row r="145" spans="1:16" s="356" customFormat="1" ht="13.5" customHeight="1">
      <c r="A145" s="3994"/>
      <c r="B145" s="1678" t="s">
        <v>18</v>
      </c>
      <c r="C145" s="4004" t="s">
        <v>468</v>
      </c>
      <c r="D145" s="1238">
        <f t="shared" ref="D145:L145" si="125">+D146</f>
        <v>13580221</v>
      </c>
      <c r="E145" s="1238">
        <f t="shared" si="125"/>
        <v>0</v>
      </c>
      <c r="F145" s="1238">
        <f t="shared" si="125"/>
        <v>0</v>
      </c>
      <c r="G145" s="1238">
        <f t="shared" si="125"/>
        <v>11704137</v>
      </c>
      <c r="H145" s="1238">
        <f t="shared" si="125"/>
        <v>1876084</v>
      </c>
      <c r="I145" s="1238">
        <f t="shared" si="125"/>
        <v>0</v>
      </c>
      <c r="J145" s="1238">
        <f t="shared" si="125"/>
        <v>0</v>
      </c>
      <c r="K145" s="1238">
        <f t="shared" si="125"/>
        <v>0</v>
      </c>
      <c r="L145" s="1238">
        <f t="shared" si="125"/>
        <v>0</v>
      </c>
      <c r="M145" s="3986"/>
      <c r="N145" s="3986"/>
      <c r="O145" s="4002"/>
    </row>
    <row r="146" spans="1:16" s="356" customFormat="1" ht="15" customHeight="1" thickBot="1">
      <c r="A146" s="3995"/>
      <c r="B146" s="1679" t="s">
        <v>21</v>
      </c>
      <c r="C146" s="4006"/>
      <c r="D146" s="1896">
        <f>E146+F146+G146+H146+I146+J146+K146+L146</f>
        <v>13580221</v>
      </c>
      <c r="E146" s="1353">
        <v>0</v>
      </c>
      <c r="F146" s="1385">
        <f>4323000-30000-4293000</f>
        <v>0</v>
      </c>
      <c r="G146" s="1385">
        <f>5291500+3044200+3368437</f>
        <v>11704137</v>
      </c>
      <c r="H146" s="1371">
        <f>3252159+1093225-2469300</f>
        <v>1876084</v>
      </c>
      <c r="I146" s="1371">
        <f>0+579137-579137</f>
        <v>0</v>
      </c>
      <c r="J146" s="1371">
        <v>0</v>
      </c>
      <c r="K146" s="1371">
        <v>0</v>
      </c>
      <c r="L146" s="1371">
        <v>0</v>
      </c>
      <c r="M146" s="3987"/>
      <c r="N146" s="3987"/>
      <c r="O146" s="4003"/>
      <c r="P146" s="1431">
        <f>D146-'[3]Tab. 6B Polit społ i rozwój prz'!$D$258</f>
        <v>743562</v>
      </c>
    </row>
    <row r="147" spans="1:16" ht="39" customHeight="1">
      <c r="A147" s="4016" t="s">
        <v>91</v>
      </c>
      <c r="B147" s="1088" t="s">
        <v>576</v>
      </c>
      <c r="C147" s="1089" t="s">
        <v>82</v>
      </c>
      <c r="D147" s="58"/>
      <c r="E147" s="40"/>
      <c r="F147" s="40"/>
      <c r="G147" s="40"/>
      <c r="H147" s="40"/>
      <c r="I147" s="40"/>
      <c r="J147" s="40"/>
      <c r="K147" s="40"/>
      <c r="L147" s="40"/>
      <c r="M147" s="531"/>
      <c r="N147" s="531"/>
      <c r="O147" s="3980" t="s">
        <v>748</v>
      </c>
    </row>
    <row r="148" spans="1:16">
      <c r="A148" s="3991"/>
      <c r="B148" s="1163" t="s">
        <v>10</v>
      </c>
      <c r="C148" s="1090"/>
      <c r="D148" s="1164">
        <f>+D149</f>
        <v>35876</v>
      </c>
      <c r="E148" s="1165">
        <f t="shared" ref="E148" si="126">E149</f>
        <v>0</v>
      </c>
      <c r="F148" s="1165">
        <f t="shared" ref="F148:L148" si="127">F149</f>
        <v>8753</v>
      </c>
      <c r="G148" s="1165">
        <f t="shared" si="127"/>
        <v>27123</v>
      </c>
      <c r="H148" s="1165">
        <f t="shared" si="127"/>
        <v>0</v>
      </c>
      <c r="I148" s="1165">
        <f t="shared" si="127"/>
        <v>0</v>
      </c>
      <c r="J148" s="1165">
        <f t="shared" si="127"/>
        <v>0</v>
      </c>
      <c r="K148" s="1165">
        <f t="shared" si="127"/>
        <v>0</v>
      </c>
      <c r="L148" s="1165">
        <f t="shared" si="127"/>
        <v>0</v>
      </c>
      <c r="M148" s="1166">
        <f>M149</f>
        <v>35876</v>
      </c>
      <c r="N148" s="1166">
        <f>N149</f>
        <v>27123</v>
      </c>
      <c r="O148" s="3981"/>
    </row>
    <row r="149" spans="1:16" ht="13.15" customHeight="1">
      <c r="A149" s="3991"/>
      <c r="B149" s="1167" t="s">
        <v>18</v>
      </c>
      <c r="C149" s="4046" t="s">
        <v>472</v>
      </c>
      <c r="D149" s="1176">
        <f>+D150</f>
        <v>35876</v>
      </c>
      <c r="E149" s="1176">
        <f t="shared" ref="E149:L149" si="128">+E150</f>
        <v>0</v>
      </c>
      <c r="F149" s="1176">
        <f t="shared" si="128"/>
        <v>8753</v>
      </c>
      <c r="G149" s="1176">
        <f t="shared" si="128"/>
        <v>27123</v>
      </c>
      <c r="H149" s="1176">
        <f t="shared" si="128"/>
        <v>0</v>
      </c>
      <c r="I149" s="1176">
        <f t="shared" si="128"/>
        <v>0</v>
      </c>
      <c r="J149" s="1176">
        <f t="shared" si="128"/>
        <v>0</v>
      </c>
      <c r="K149" s="1176">
        <f t="shared" si="128"/>
        <v>0</v>
      </c>
      <c r="L149" s="1176">
        <f t="shared" si="128"/>
        <v>0</v>
      </c>
      <c r="M149" s="1177">
        <f>+M150</f>
        <v>35876</v>
      </c>
      <c r="N149" s="1177">
        <f>+N150</f>
        <v>27123</v>
      </c>
      <c r="O149" s="3981"/>
    </row>
    <row r="150" spans="1:16">
      <c r="A150" s="3991"/>
      <c r="B150" s="1170" t="s">
        <v>21</v>
      </c>
      <c r="C150" s="4047"/>
      <c r="D150" s="1159">
        <f>E150+F150+G150+H150+I150+J150+K150+L150</f>
        <v>35876</v>
      </c>
      <c r="E150" s="1171">
        <v>0</v>
      </c>
      <c r="F150" s="1173">
        <f>+F151+F152+F153</f>
        <v>8753</v>
      </c>
      <c r="G150" s="1173">
        <f t="shared" ref="G150:K150" si="129">+G151+G152+G153</f>
        <v>27123</v>
      </c>
      <c r="H150" s="1173">
        <f t="shared" si="129"/>
        <v>0</v>
      </c>
      <c r="I150" s="1173">
        <f t="shared" si="129"/>
        <v>0</v>
      </c>
      <c r="J150" s="1173">
        <f t="shared" si="129"/>
        <v>0</v>
      </c>
      <c r="K150" s="1173">
        <f t="shared" si="129"/>
        <v>0</v>
      </c>
      <c r="L150" s="1173">
        <f t="shared" ref="L150" si="130">+L151+L152</f>
        <v>0</v>
      </c>
      <c r="M150" s="777">
        <f>SUM(F150:K150)</f>
        <v>35876</v>
      </c>
      <c r="N150" s="777">
        <f>SUM(G150:L150)</f>
        <v>27123</v>
      </c>
      <c r="O150" s="3981"/>
    </row>
    <row r="151" spans="1:16" ht="12" hidden="1" customHeight="1">
      <c r="A151" s="3991"/>
      <c r="B151" s="1680" t="s">
        <v>469</v>
      </c>
      <c r="C151" s="1388"/>
      <c r="D151" s="1175">
        <f>SUM(E151:L151)</f>
        <v>0</v>
      </c>
      <c r="E151" s="1173">
        <v>0</v>
      </c>
      <c r="F151" s="1173">
        <f>30000-30000</f>
        <v>0</v>
      </c>
      <c r="G151" s="1173">
        <f>500000-398000-102000</f>
        <v>0</v>
      </c>
      <c r="H151" s="1173">
        <f>100000-49000-51000</f>
        <v>0</v>
      </c>
      <c r="I151" s="1173">
        <f>0+17000-17000</f>
        <v>0</v>
      </c>
      <c r="J151" s="1173">
        <v>0</v>
      </c>
      <c r="K151" s="1173">
        <v>0</v>
      </c>
      <c r="L151" s="1173">
        <v>0</v>
      </c>
      <c r="M151" s="1174"/>
      <c r="N151" s="1174"/>
      <c r="O151" s="1564"/>
      <c r="P151" s="353">
        <f>D150-D156</f>
        <v>0</v>
      </c>
    </row>
    <row r="152" spans="1:16" ht="12" hidden="1" customHeight="1">
      <c r="A152" s="3991"/>
      <c r="B152" s="1680" t="s">
        <v>470</v>
      </c>
      <c r="C152" s="2060"/>
      <c r="D152" s="1175">
        <f>SUM(E152:L152)</f>
        <v>0</v>
      </c>
      <c r="E152" s="1173">
        <v>0</v>
      </c>
      <c r="F152" s="1173">
        <f>80000-80000</f>
        <v>0</v>
      </c>
      <c r="G152" s="1173">
        <f>130000-130000</f>
        <v>0</v>
      </c>
      <c r="H152" s="1173">
        <f>20000-20000</f>
        <v>0</v>
      </c>
      <c r="I152" s="1173">
        <v>0</v>
      </c>
      <c r="J152" s="1173">
        <v>0</v>
      </c>
      <c r="K152" s="1173">
        <v>0</v>
      </c>
      <c r="L152" s="1173">
        <v>0</v>
      </c>
      <c r="M152" s="1174"/>
      <c r="N152" s="1174"/>
      <c r="O152" s="1564"/>
    </row>
    <row r="153" spans="1:16" s="1269" customFormat="1" ht="12" hidden="1" customHeight="1">
      <c r="A153" s="3991"/>
      <c r="B153" s="1680" t="s">
        <v>111</v>
      </c>
      <c r="C153" s="2060"/>
      <c r="D153" s="1175">
        <f>SUM(E153:L153)</f>
        <v>35876</v>
      </c>
      <c r="E153" s="1173"/>
      <c r="F153" s="1173">
        <f>30000-21247</f>
        <v>8753</v>
      </c>
      <c r="G153" s="1173">
        <f>0+27123</f>
        <v>27123</v>
      </c>
      <c r="H153" s="1173">
        <v>0</v>
      </c>
      <c r="I153" s="1173">
        <v>0</v>
      </c>
      <c r="J153" s="1173">
        <v>0</v>
      </c>
      <c r="K153" s="1173">
        <v>0</v>
      </c>
      <c r="L153" s="1173">
        <v>0</v>
      </c>
      <c r="M153" s="1174"/>
      <c r="N153" s="1174"/>
      <c r="O153" s="1564"/>
    </row>
    <row r="154" spans="1:16">
      <c r="A154" s="3993"/>
      <c r="B154" s="1163" t="s">
        <v>22</v>
      </c>
      <c r="C154" s="1178"/>
      <c r="D154" s="1179">
        <f>D155</f>
        <v>35876</v>
      </c>
      <c r="E154" s="1179">
        <f>+E155</f>
        <v>0</v>
      </c>
      <c r="F154" s="1179">
        <f>+F155</f>
        <v>0</v>
      </c>
      <c r="G154" s="1179">
        <f>+G155</f>
        <v>35876</v>
      </c>
      <c r="H154" s="1179">
        <f>+H155</f>
        <v>0</v>
      </c>
      <c r="I154" s="1179">
        <f>I155</f>
        <v>0</v>
      </c>
      <c r="J154" s="1179">
        <f>+J155</f>
        <v>0</v>
      </c>
      <c r="K154" s="1179">
        <f>+K155</f>
        <v>0</v>
      </c>
      <c r="L154" s="1179">
        <f>L155</f>
        <v>0</v>
      </c>
      <c r="M154" s="3999" t="s">
        <v>61</v>
      </c>
      <c r="N154" s="3999" t="s">
        <v>61</v>
      </c>
      <c r="O154" s="4001" t="s">
        <v>469</v>
      </c>
    </row>
    <row r="155" spans="1:16">
      <c r="A155" s="3993"/>
      <c r="B155" s="1167" t="s">
        <v>18</v>
      </c>
      <c r="C155" s="4048" t="s">
        <v>468</v>
      </c>
      <c r="D155" s="1176">
        <f t="shared" ref="D155:L155" si="131">+D156</f>
        <v>35876</v>
      </c>
      <c r="E155" s="1176">
        <f t="shared" si="131"/>
        <v>0</v>
      </c>
      <c r="F155" s="1176">
        <f t="shared" si="131"/>
        <v>0</v>
      </c>
      <c r="G155" s="1176">
        <f t="shared" si="131"/>
        <v>35876</v>
      </c>
      <c r="H155" s="1176">
        <f t="shared" si="131"/>
        <v>0</v>
      </c>
      <c r="I155" s="1176">
        <f t="shared" si="131"/>
        <v>0</v>
      </c>
      <c r="J155" s="1176">
        <f t="shared" si="131"/>
        <v>0</v>
      </c>
      <c r="K155" s="1176">
        <f t="shared" si="131"/>
        <v>0</v>
      </c>
      <c r="L155" s="1176">
        <f t="shared" si="131"/>
        <v>0</v>
      </c>
      <c r="M155" s="3999"/>
      <c r="N155" s="3999"/>
      <c r="O155" s="4002"/>
    </row>
    <row r="156" spans="1:16" ht="13.5" thickBot="1">
      <c r="A156" s="3995"/>
      <c r="B156" s="532" t="s">
        <v>21</v>
      </c>
      <c r="C156" s="4049"/>
      <c r="D156" s="701">
        <f>E156+F156+G156+H156+I156+J156+K156+L156</f>
        <v>35876</v>
      </c>
      <c r="E156" s="701">
        <v>0</v>
      </c>
      <c r="F156" s="425">
        <f>110000+30000-140000</f>
        <v>0</v>
      </c>
      <c r="G156" s="425">
        <f>520000-252124-232000</f>
        <v>35876</v>
      </c>
      <c r="H156" s="425">
        <f>120000-49000-71000</f>
        <v>0</v>
      </c>
      <c r="I156" s="425">
        <f>0+17000-17000</f>
        <v>0</v>
      </c>
      <c r="J156" s="425">
        <v>0</v>
      </c>
      <c r="K156" s="425">
        <v>0</v>
      </c>
      <c r="L156" s="425">
        <v>0</v>
      </c>
      <c r="M156" s="4000"/>
      <c r="N156" s="4000"/>
      <c r="O156" s="4003"/>
      <c r="P156" s="353"/>
    </row>
    <row r="157" spans="1:16" ht="30" customHeight="1">
      <c r="A157" s="4016" t="s">
        <v>92</v>
      </c>
      <c r="B157" s="1088" t="s">
        <v>600</v>
      </c>
      <c r="C157" s="1089" t="s">
        <v>110</v>
      </c>
      <c r="D157" s="58"/>
      <c r="E157" s="40"/>
      <c r="F157" s="40"/>
      <c r="G157" s="40"/>
      <c r="H157" s="40"/>
      <c r="I157" s="40"/>
      <c r="J157" s="40"/>
      <c r="K157" s="40"/>
      <c r="L157" s="40"/>
      <c r="M157" s="531"/>
      <c r="N157" s="531"/>
      <c r="O157" s="3980" t="s">
        <v>328</v>
      </c>
      <c r="P157" s="353">
        <f>D158+D176</f>
        <v>1213780</v>
      </c>
    </row>
    <row r="158" spans="1:16" ht="14.25" customHeight="1">
      <c r="A158" s="3991"/>
      <c r="B158" s="1163" t="s">
        <v>10</v>
      </c>
      <c r="C158" s="1090"/>
      <c r="D158" s="1164">
        <f>+D159+D166</f>
        <v>1154280</v>
      </c>
      <c r="E158" s="1457">
        <f t="shared" ref="E158:N158" si="132">+E159+E166</f>
        <v>0</v>
      </c>
      <c r="F158" s="1457">
        <f t="shared" si="132"/>
        <v>0</v>
      </c>
      <c r="G158" s="1165">
        <f t="shared" si="132"/>
        <v>624754</v>
      </c>
      <c r="H158" s="1165">
        <f t="shared" si="132"/>
        <v>529526</v>
      </c>
      <c r="I158" s="1457">
        <f t="shared" si="132"/>
        <v>0</v>
      </c>
      <c r="J158" s="1457">
        <f t="shared" si="132"/>
        <v>0</v>
      </c>
      <c r="K158" s="1457">
        <f t="shared" si="132"/>
        <v>0</v>
      </c>
      <c r="L158" s="1457">
        <f t="shared" si="132"/>
        <v>0</v>
      </c>
      <c r="M158" s="1166">
        <f t="shared" si="132"/>
        <v>1033852</v>
      </c>
      <c r="N158" s="1166">
        <f t="shared" si="132"/>
        <v>1154280</v>
      </c>
      <c r="O158" s="3981"/>
    </row>
    <row r="159" spans="1:16">
      <c r="A159" s="3991"/>
      <c r="B159" s="1167" t="s">
        <v>24</v>
      </c>
      <c r="C159" s="3996" t="s">
        <v>599</v>
      </c>
      <c r="D159" s="1168">
        <f>+D160+D163</f>
        <v>173142</v>
      </c>
      <c r="E159" s="1458">
        <f t="shared" ref="E159:L159" si="133">+E160+E163</f>
        <v>0</v>
      </c>
      <c r="F159" s="1458">
        <f t="shared" si="133"/>
        <v>0</v>
      </c>
      <c r="G159" s="1168">
        <f t="shared" si="133"/>
        <v>93713</v>
      </c>
      <c r="H159" s="1168">
        <f t="shared" si="133"/>
        <v>79429</v>
      </c>
      <c r="I159" s="1458">
        <f t="shared" si="133"/>
        <v>0</v>
      </c>
      <c r="J159" s="1458">
        <f t="shared" si="133"/>
        <v>0</v>
      </c>
      <c r="K159" s="1458">
        <f t="shared" si="133"/>
        <v>0</v>
      </c>
      <c r="L159" s="1458">
        <f t="shared" si="133"/>
        <v>0</v>
      </c>
      <c r="M159" s="1169">
        <f t="shared" ref="M159" si="134">+M160</f>
        <v>52714</v>
      </c>
      <c r="N159" s="1169">
        <f>+N160+N163</f>
        <v>173142</v>
      </c>
      <c r="O159" s="3981"/>
    </row>
    <row r="160" spans="1:16">
      <c r="A160" s="3991"/>
      <c r="B160" s="1170" t="s">
        <v>12</v>
      </c>
      <c r="C160" s="3997"/>
      <c r="D160" s="1159">
        <f>E160+F160+G160+H160+I160+J160+K160+L160</f>
        <v>52714</v>
      </c>
      <c r="E160" s="1459">
        <v>0</v>
      </c>
      <c r="F160" s="1460">
        <v>0</v>
      </c>
      <c r="G160" s="1172">
        <f>G161+G162</f>
        <v>28419</v>
      </c>
      <c r="H160" s="1172">
        <f t="shared" ref="H160:L160" si="135">H161+H162</f>
        <v>24295</v>
      </c>
      <c r="I160" s="1460">
        <f t="shared" si="135"/>
        <v>0</v>
      </c>
      <c r="J160" s="1460">
        <f t="shared" si="135"/>
        <v>0</v>
      </c>
      <c r="K160" s="1460">
        <f t="shared" si="135"/>
        <v>0</v>
      </c>
      <c r="L160" s="1460">
        <f t="shared" si="135"/>
        <v>0</v>
      </c>
      <c r="M160" s="759">
        <f>SUM(F160:K160)</f>
        <v>52714</v>
      </c>
      <c r="N160" s="759">
        <f>SUM(G160:L160)</f>
        <v>52714</v>
      </c>
      <c r="O160" s="3981"/>
    </row>
    <row r="161" spans="1:16" s="354" customFormat="1" hidden="1">
      <c r="A161" s="3991"/>
      <c r="B161" s="1461" t="s">
        <v>304</v>
      </c>
      <c r="C161" s="3997"/>
      <c r="D161" s="1462">
        <f>SUM(E161:L161)</f>
        <v>28440</v>
      </c>
      <c r="E161" s="1463">
        <v>0</v>
      </c>
      <c r="F161" s="1464">
        <v>0</v>
      </c>
      <c r="G161" s="1465">
        <v>14220</v>
      </c>
      <c r="H161" s="1465">
        <v>14220</v>
      </c>
      <c r="I161" s="1463">
        <v>0</v>
      </c>
      <c r="J161" s="1463">
        <v>0</v>
      </c>
      <c r="K161" s="1463">
        <v>0</v>
      </c>
      <c r="L161" s="1463">
        <v>0</v>
      </c>
      <c r="M161" s="1466"/>
      <c r="N161" s="1467">
        <f>SUM(G161:L161)</f>
        <v>28440</v>
      </c>
      <c r="O161" s="3981"/>
    </row>
    <row r="162" spans="1:16" s="354" customFormat="1" hidden="1">
      <c r="A162" s="3991"/>
      <c r="B162" s="1468" t="s">
        <v>322</v>
      </c>
      <c r="C162" s="3997"/>
      <c r="D162" s="1469">
        <f>SUM(E162:L162)</f>
        <v>24274</v>
      </c>
      <c r="E162" s="1470">
        <v>0</v>
      </c>
      <c r="F162" s="1471">
        <v>0</v>
      </c>
      <c r="G162" s="1472">
        <v>14199</v>
      </c>
      <c r="H162" s="1472">
        <v>10075</v>
      </c>
      <c r="I162" s="1470">
        <v>0</v>
      </c>
      <c r="J162" s="1470">
        <v>0</v>
      </c>
      <c r="K162" s="1470">
        <v>0</v>
      </c>
      <c r="L162" s="1470">
        <v>0</v>
      </c>
      <c r="M162" s="1466"/>
      <c r="N162" s="1467">
        <f>SUM(G162:L162)</f>
        <v>24274</v>
      </c>
      <c r="O162" s="3981"/>
    </row>
    <row r="163" spans="1:16" s="1474" customFormat="1">
      <c r="A163" s="3992"/>
      <c r="B163" s="739" t="s">
        <v>13</v>
      </c>
      <c r="C163" s="3998"/>
      <c r="D163" s="1159">
        <f>E163+F163+G163+H163+I163+J163+K163+L163</f>
        <v>120428</v>
      </c>
      <c r="E163" s="1459">
        <v>0</v>
      </c>
      <c r="F163" s="1460">
        <v>0</v>
      </c>
      <c r="G163" s="1172">
        <f>G164+G165</f>
        <v>65294</v>
      </c>
      <c r="H163" s="1172">
        <f t="shared" ref="H163:L163" si="136">H164+H165</f>
        <v>55134</v>
      </c>
      <c r="I163" s="1460">
        <f t="shared" si="136"/>
        <v>0</v>
      </c>
      <c r="J163" s="1460">
        <f t="shared" si="136"/>
        <v>0</v>
      </c>
      <c r="K163" s="1460">
        <f t="shared" si="136"/>
        <v>0</v>
      </c>
      <c r="L163" s="1460">
        <f t="shared" si="136"/>
        <v>0</v>
      </c>
      <c r="M163" s="1473"/>
      <c r="N163" s="759">
        <f t="shared" ref="N163:N165" si="137">SUM(G163:L163)</f>
        <v>120428</v>
      </c>
      <c r="O163" s="3981"/>
    </row>
    <row r="164" spans="1:16" s="1474" customFormat="1" hidden="1">
      <c r="A164" s="3992"/>
      <c r="B164" s="1461" t="s">
        <v>304</v>
      </c>
      <c r="C164" s="3998"/>
      <c r="D164" s="1462">
        <f>SUM(E164:L164)</f>
        <v>71880</v>
      </c>
      <c r="E164" s="1463">
        <v>0</v>
      </c>
      <c r="F164" s="1464">
        <v>0</v>
      </c>
      <c r="G164" s="1465">
        <v>36896</v>
      </c>
      <c r="H164" s="1465">
        <v>34984</v>
      </c>
      <c r="I164" s="1463">
        <v>0</v>
      </c>
      <c r="J164" s="1463">
        <v>0</v>
      </c>
      <c r="K164" s="1463">
        <v>0</v>
      </c>
      <c r="L164" s="1463">
        <v>0</v>
      </c>
      <c r="M164" s="1475"/>
      <c r="N164" s="777">
        <f t="shared" si="137"/>
        <v>71880</v>
      </c>
      <c r="O164" s="3981"/>
    </row>
    <row r="165" spans="1:16" s="1474" customFormat="1" hidden="1">
      <c r="A165" s="3992"/>
      <c r="B165" s="1468" t="s">
        <v>322</v>
      </c>
      <c r="C165" s="3998"/>
      <c r="D165" s="1469">
        <f>SUM(E165:L165)</f>
        <v>48548</v>
      </c>
      <c r="E165" s="1470">
        <v>0</v>
      </c>
      <c r="F165" s="1471">
        <v>0</v>
      </c>
      <c r="G165" s="1472">
        <v>28398</v>
      </c>
      <c r="H165" s="1472">
        <v>20150</v>
      </c>
      <c r="I165" s="1470">
        <v>0</v>
      </c>
      <c r="J165" s="1470">
        <v>0</v>
      </c>
      <c r="K165" s="1470">
        <v>0</v>
      </c>
      <c r="L165" s="1470">
        <v>0</v>
      </c>
      <c r="M165" s="1475"/>
      <c r="N165" s="777">
        <f t="shared" si="137"/>
        <v>48548</v>
      </c>
      <c r="O165" s="3981"/>
    </row>
    <row r="166" spans="1:16">
      <c r="A166" s="3991"/>
      <c r="B166" s="1167" t="s">
        <v>18</v>
      </c>
      <c r="C166" s="3997"/>
      <c r="D166" s="1176">
        <f>+D167</f>
        <v>981138</v>
      </c>
      <c r="E166" s="1387">
        <f t="shared" ref="E166:L166" si="138">+E167</f>
        <v>0</v>
      </c>
      <c r="F166" s="1387">
        <f t="shared" si="138"/>
        <v>0</v>
      </c>
      <c r="G166" s="1176">
        <f t="shared" si="138"/>
        <v>531041</v>
      </c>
      <c r="H166" s="1176">
        <f t="shared" si="138"/>
        <v>450097</v>
      </c>
      <c r="I166" s="1387">
        <f t="shared" si="138"/>
        <v>0</v>
      </c>
      <c r="J166" s="1387">
        <f t="shared" si="138"/>
        <v>0</v>
      </c>
      <c r="K166" s="1387">
        <f t="shared" si="138"/>
        <v>0</v>
      </c>
      <c r="L166" s="1387">
        <f t="shared" si="138"/>
        <v>0</v>
      </c>
      <c r="M166" s="1177">
        <f>+M167</f>
        <v>981138</v>
      </c>
      <c r="N166" s="1177">
        <f>+N167</f>
        <v>981138</v>
      </c>
      <c r="O166" s="3981"/>
    </row>
    <row r="167" spans="1:16">
      <c r="A167" s="3991"/>
      <c r="B167" s="1170" t="s">
        <v>21</v>
      </c>
      <c r="C167" s="3997"/>
      <c r="D167" s="1159">
        <f>E167+F167+G167+H167+I167+J167+K167+L167</f>
        <v>981138</v>
      </c>
      <c r="E167" s="1459">
        <v>0</v>
      </c>
      <c r="F167" s="1476">
        <v>0</v>
      </c>
      <c r="G167" s="1173">
        <f>G168+G169</f>
        <v>531041</v>
      </c>
      <c r="H167" s="1173">
        <f t="shared" ref="H167" si="139">H168+H169</f>
        <v>450097</v>
      </c>
      <c r="I167" s="1476">
        <f t="shared" ref="I167" si="140">I168+I169</f>
        <v>0</v>
      </c>
      <c r="J167" s="1476">
        <f t="shared" ref="J167" si="141">J168+J169</f>
        <v>0</v>
      </c>
      <c r="K167" s="1476">
        <f t="shared" ref="K167" si="142">K168+K169</f>
        <v>0</v>
      </c>
      <c r="L167" s="1476">
        <f t="shared" ref="L167" si="143">L168+L169</f>
        <v>0</v>
      </c>
      <c r="M167" s="777">
        <f>SUM(F167:K167)</f>
        <v>981138</v>
      </c>
      <c r="N167" s="777">
        <f>SUM(G167:L167)</f>
        <v>981138</v>
      </c>
      <c r="O167" s="3981"/>
    </row>
    <row r="168" spans="1:16" s="354" customFormat="1" hidden="1">
      <c r="A168" s="3991"/>
      <c r="B168" s="1461" t="s">
        <v>304</v>
      </c>
      <c r="C168" s="1477"/>
      <c r="D168" s="1462">
        <f>SUM(E168:L168)</f>
        <v>568480</v>
      </c>
      <c r="E168" s="1463">
        <v>0</v>
      </c>
      <c r="F168" s="1463">
        <v>0</v>
      </c>
      <c r="G168" s="1465">
        <v>289658</v>
      </c>
      <c r="H168" s="1465">
        <v>278822</v>
      </c>
      <c r="I168" s="1463">
        <v>0</v>
      </c>
      <c r="J168" s="1463">
        <v>0</v>
      </c>
      <c r="K168" s="1463">
        <v>0</v>
      </c>
      <c r="L168" s="1463">
        <v>0</v>
      </c>
      <c r="M168" s="1466"/>
      <c r="N168" s="1467">
        <f>SUM(G168:L168)</f>
        <v>568480</v>
      </c>
      <c r="O168" s="3981"/>
    </row>
    <row r="169" spans="1:16" s="354" customFormat="1" hidden="1">
      <c r="A169" s="3991"/>
      <c r="B169" s="1468" t="s">
        <v>322</v>
      </c>
      <c r="C169" s="1478"/>
      <c r="D169" s="1469">
        <f>SUM(E169:L169)</f>
        <v>412658</v>
      </c>
      <c r="E169" s="1470">
        <v>0</v>
      </c>
      <c r="F169" s="1470">
        <v>0</v>
      </c>
      <c r="G169" s="1472">
        <v>241383</v>
      </c>
      <c r="H169" s="1472">
        <v>171275</v>
      </c>
      <c r="I169" s="1470">
        <v>0</v>
      </c>
      <c r="J169" s="1470">
        <v>0</v>
      </c>
      <c r="K169" s="1470">
        <v>0</v>
      </c>
      <c r="L169" s="1470">
        <v>0</v>
      </c>
      <c r="M169" s="1466"/>
      <c r="N169" s="1467">
        <f>SUM(G169:L169)</f>
        <v>412658</v>
      </c>
      <c r="O169" s="3982"/>
    </row>
    <row r="170" spans="1:16">
      <c r="A170" s="3993"/>
      <c r="B170" s="1163" t="s">
        <v>22</v>
      </c>
      <c r="C170" s="1163"/>
      <c r="D170" s="1179">
        <f>D173+D171</f>
        <v>1101566</v>
      </c>
      <c r="E170" s="1479">
        <f t="shared" ref="E170:L170" si="144">E173+E171</f>
        <v>0</v>
      </c>
      <c r="F170" s="1479">
        <f t="shared" si="144"/>
        <v>0</v>
      </c>
      <c r="G170" s="1179">
        <f t="shared" si="144"/>
        <v>596335</v>
      </c>
      <c r="H170" s="1179">
        <f t="shared" si="144"/>
        <v>505231</v>
      </c>
      <c r="I170" s="1479">
        <f t="shared" si="144"/>
        <v>0</v>
      </c>
      <c r="J170" s="1479">
        <f t="shared" si="144"/>
        <v>0</v>
      </c>
      <c r="K170" s="1479">
        <f t="shared" si="144"/>
        <v>0</v>
      </c>
      <c r="L170" s="1479">
        <f t="shared" si="144"/>
        <v>0</v>
      </c>
      <c r="M170" s="3999" t="s">
        <v>61</v>
      </c>
      <c r="N170" s="3999" t="s">
        <v>61</v>
      </c>
      <c r="O170" s="4001" t="s">
        <v>679</v>
      </c>
    </row>
    <row r="171" spans="1:16" s="1480" customFormat="1">
      <c r="A171" s="3994"/>
      <c r="B171" s="1425" t="s">
        <v>24</v>
      </c>
      <c r="C171" s="4004" t="s">
        <v>467</v>
      </c>
      <c r="D171" s="1176">
        <f t="shared" ref="D171:L173" si="145">+D172</f>
        <v>120428</v>
      </c>
      <c r="E171" s="1387">
        <f t="shared" si="145"/>
        <v>0</v>
      </c>
      <c r="F171" s="1387">
        <f t="shared" si="145"/>
        <v>0</v>
      </c>
      <c r="G171" s="1176">
        <f t="shared" si="145"/>
        <v>65294</v>
      </c>
      <c r="H171" s="1176">
        <f t="shared" si="145"/>
        <v>55134</v>
      </c>
      <c r="I171" s="1387">
        <f t="shared" si="145"/>
        <v>0</v>
      </c>
      <c r="J171" s="1387">
        <f t="shared" si="145"/>
        <v>0</v>
      </c>
      <c r="K171" s="1387">
        <f t="shared" si="145"/>
        <v>0</v>
      </c>
      <c r="L171" s="1387">
        <f t="shared" si="145"/>
        <v>0</v>
      </c>
      <c r="M171" s="3986"/>
      <c r="N171" s="3986"/>
      <c r="O171" s="4002"/>
    </row>
    <row r="172" spans="1:16" s="1480" customFormat="1">
      <c r="A172" s="3994"/>
      <c r="B172" s="739" t="s">
        <v>13</v>
      </c>
      <c r="C172" s="4005"/>
      <c r="D172" s="1213">
        <f>E172+F172+G172+H172+I172+J172+K172+L172</f>
        <v>120428</v>
      </c>
      <c r="E172" s="1481">
        <v>0</v>
      </c>
      <c r="F172" s="1481">
        <v>0</v>
      </c>
      <c r="G172" s="1482">
        <v>65294</v>
      </c>
      <c r="H172" s="1482">
        <v>55134</v>
      </c>
      <c r="I172" s="1481">
        <v>0</v>
      </c>
      <c r="J172" s="1481">
        <v>0</v>
      </c>
      <c r="K172" s="1481">
        <v>0</v>
      </c>
      <c r="L172" s="1481">
        <v>0</v>
      </c>
      <c r="M172" s="3986"/>
      <c r="N172" s="3986"/>
      <c r="O172" s="4002"/>
      <c r="P172" s="1483">
        <f>D172-D163</f>
        <v>0</v>
      </c>
    </row>
    <row r="173" spans="1:16" ht="12.75" customHeight="1">
      <c r="A173" s="3993"/>
      <c r="B173" s="1167" t="s">
        <v>18</v>
      </c>
      <c r="C173" s="4005"/>
      <c r="D173" s="1411">
        <f t="shared" si="145"/>
        <v>981138</v>
      </c>
      <c r="E173" s="1387">
        <f t="shared" si="145"/>
        <v>0</v>
      </c>
      <c r="F173" s="1387">
        <f t="shared" si="145"/>
        <v>0</v>
      </c>
      <c r="G173" s="1176">
        <f t="shared" si="145"/>
        <v>531041</v>
      </c>
      <c r="H173" s="1176">
        <f t="shared" si="145"/>
        <v>450097</v>
      </c>
      <c r="I173" s="1387">
        <f t="shared" si="145"/>
        <v>0</v>
      </c>
      <c r="J173" s="1387">
        <f t="shared" si="145"/>
        <v>0</v>
      </c>
      <c r="K173" s="1387">
        <f t="shared" si="145"/>
        <v>0</v>
      </c>
      <c r="L173" s="1387">
        <f t="shared" si="145"/>
        <v>0</v>
      </c>
      <c r="M173" s="3999"/>
      <c r="N173" s="3999"/>
      <c r="O173" s="4002"/>
    </row>
    <row r="174" spans="1:16" ht="13.5" thickBot="1">
      <c r="A174" s="3995"/>
      <c r="B174" s="532" t="s">
        <v>21</v>
      </c>
      <c r="C174" s="4006"/>
      <c r="D174" s="701">
        <f>E174+F174+G174+H174+I174+J174+K174+L174</f>
        <v>981138</v>
      </c>
      <c r="E174" s="546">
        <v>0</v>
      </c>
      <c r="F174" s="736">
        <v>0</v>
      </c>
      <c r="G174" s="425">
        <v>531041</v>
      </c>
      <c r="H174" s="425">
        <v>450097</v>
      </c>
      <c r="I174" s="736">
        <v>0</v>
      </c>
      <c r="J174" s="736">
        <v>0</v>
      </c>
      <c r="K174" s="736">
        <v>0</v>
      </c>
      <c r="L174" s="736">
        <v>0</v>
      </c>
      <c r="M174" s="4000"/>
      <c r="N174" s="4000"/>
      <c r="O174" s="4003"/>
      <c r="P174" s="353">
        <f>D174-D167</f>
        <v>0</v>
      </c>
    </row>
    <row r="175" spans="1:16" ht="27.75" customHeight="1">
      <c r="A175" s="4016" t="s">
        <v>93</v>
      </c>
      <c r="B175" s="1088" t="s">
        <v>601</v>
      </c>
      <c r="C175" s="1089" t="s">
        <v>82</v>
      </c>
      <c r="D175" s="58"/>
      <c r="E175" s="40"/>
      <c r="F175" s="40"/>
      <c r="G175" s="40"/>
      <c r="H175" s="40"/>
      <c r="I175" s="40"/>
      <c r="J175" s="40"/>
      <c r="K175" s="40"/>
      <c r="L175" s="40"/>
      <c r="M175" s="531"/>
      <c r="N175" s="531"/>
      <c r="O175" s="3980" t="s">
        <v>322</v>
      </c>
    </row>
    <row r="176" spans="1:16">
      <c r="A176" s="3992"/>
      <c r="B176" s="1163" t="s">
        <v>10</v>
      </c>
      <c r="C176" s="1090"/>
      <c r="D176" s="1164">
        <f t="shared" ref="D176:N176" si="146">+D177+D180</f>
        <v>59500</v>
      </c>
      <c r="E176" s="1457">
        <f t="shared" si="146"/>
        <v>0</v>
      </c>
      <c r="F176" s="1457">
        <f t="shared" si="146"/>
        <v>0</v>
      </c>
      <c r="G176" s="1165">
        <f t="shared" si="146"/>
        <v>59500</v>
      </c>
      <c r="H176" s="1457">
        <f t="shared" si="146"/>
        <v>0</v>
      </c>
      <c r="I176" s="1457">
        <f t="shared" si="146"/>
        <v>0</v>
      </c>
      <c r="J176" s="1457">
        <f t="shared" si="146"/>
        <v>0</v>
      </c>
      <c r="K176" s="1457">
        <f t="shared" si="146"/>
        <v>0</v>
      </c>
      <c r="L176" s="1457">
        <f t="shared" si="146"/>
        <v>0</v>
      </c>
      <c r="M176" s="1166">
        <f t="shared" si="146"/>
        <v>53550</v>
      </c>
      <c r="N176" s="1166">
        <f t="shared" si="146"/>
        <v>59500</v>
      </c>
      <c r="O176" s="3981"/>
    </row>
    <row r="177" spans="1:16">
      <c r="A177" s="3992"/>
      <c r="B177" s="1167" t="s">
        <v>24</v>
      </c>
      <c r="C177" s="3996" t="s">
        <v>602</v>
      </c>
      <c r="D177" s="1168">
        <f t="shared" ref="D177:L177" si="147">+D178+D179</f>
        <v>8925</v>
      </c>
      <c r="E177" s="1458">
        <f t="shared" si="147"/>
        <v>0</v>
      </c>
      <c r="F177" s="1458">
        <f t="shared" si="147"/>
        <v>0</v>
      </c>
      <c r="G177" s="1168">
        <f t="shared" si="147"/>
        <v>8925</v>
      </c>
      <c r="H177" s="1458">
        <f t="shared" si="147"/>
        <v>0</v>
      </c>
      <c r="I177" s="1458">
        <f t="shared" si="147"/>
        <v>0</v>
      </c>
      <c r="J177" s="1458">
        <f t="shared" si="147"/>
        <v>0</v>
      </c>
      <c r="K177" s="1458">
        <f t="shared" si="147"/>
        <v>0</v>
      </c>
      <c r="L177" s="1458">
        <f t="shared" si="147"/>
        <v>0</v>
      </c>
      <c r="M177" s="1169">
        <f t="shared" ref="M177" si="148">+M178</f>
        <v>2975</v>
      </c>
      <c r="N177" s="1169">
        <f>+N178+N179</f>
        <v>8925</v>
      </c>
      <c r="O177" s="3981"/>
    </row>
    <row r="178" spans="1:16">
      <c r="A178" s="3992"/>
      <c r="B178" s="1170" t="s">
        <v>12</v>
      </c>
      <c r="C178" s="3997"/>
      <c r="D178" s="1159">
        <f>E178+F178+G178+H178+I178+J178+K178+L178</f>
        <v>2975</v>
      </c>
      <c r="E178" s="1459">
        <v>0</v>
      </c>
      <c r="F178" s="1460">
        <v>0</v>
      </c>
      <c r="G178" s="1172">
        <v>2975</v>
      </c>
      <c r="H178" s="1460">
        <v>0</v>
      </c>
      <c r="I178" s="1460">
        <v>0</v>
      </c>
      <c r="J178" s="1460">
        <v>0</v>
      </c>
      <c r="K178" s="1460">
        <v>0</v>
      </c>
      <c r="L178" s="1460">
        <v>0</v>
      </c>
      <c r="M178" s="759">
        <f>SUM(F178:K178)</f>
        <v>2975</v>
      </c>
      <c r="N178" s="759">
        <f>SUM(G178:L178)</f>
        <v>2975</v>
      </c>
      <c r="O178" s="3981"/>
    </row>
    <row r="179" spans="1:16" s="1474" customFormat="1">
      <c r="A179" s="3992"/>
      <c r="B179" s="739" t="s">
        <v>13</v>
      </c>
      <c r="C179" s="3998"/>
      <c r="D179" s="1159">
        <f>E179+F179+G179+H179+I179+J179+K179+L179</f>
        <v>5950</v>
      </c>
      <c r="E179" s="1459">
        <v>0</v>
      </c>
      <c r="F179" s="1460">
        <v>0</v>
      </c>
      <c r="G179" s="1172">
        <v>5950</v>
      </c>
      <c r="H179" s="1460">
        <v>0</v>
      </c>
      <c r="I179" s="1460">
        <v>0</v>
      </c>
      <c r="J179" s="1460">
        <v>0</v>
      </c>
      <c r="K179" s="1460">
        <v>0</v>
      </c>
      <c r="L179" s="1460">
        <v>0</v>
      </c>
      <c r="M179" s="1473"/>
      <c r="N179" s="759">
        <f t="shared" ref="N179" si="149">SUM(G179:L179)</f>
        <v>5950</v>
      </c>
      <c r="O179" s="3981"/>
    </row>
    <row r="180" spans="1:16">
      <c r="A180" s="3992"/>
      <c r="B180" s="1167" t="s">
        <v>18</v>
      </c>
      <c r="C180" s="3997"/>
      <c r="D180" s="1176">
        <f>+D181</f>
        <v>50575</v>
      </c>
      <c r="E180" s="1387">
        <f t="shared" ref="E180:L180" si="150">+E181</f>
        <v>0</v>
      </c>
      <c r="F180" s="1387">
        <f t="shared" si="150"/>
        <v>0</v>
      </c>
      <c r="G180" s="1176">
        <f t="shared" si="150"/>
        <v>50575</v>
      </c>
      <c r="H180" s="1387">
        <f t="shared" si="150"/>
        <v>0</v>
      </c>
      <c r="I180" s="1387">
        <f t="shared" si="150"/>
        <v>0</v>
      </c>
      <c r="J180" s="1387">
        <f t="shared" si="150"/>
        <v>0</v>
      </c>
      <c r="K180" s="1387">
        <f t="shared" si="150"/>
        <v>0</v>
      </c>
      <c r="L180" s="1387">
        <f t="shared" si="150"/>
        <v>0</v>
      </c>
      <c r="M180" s="1177">
        <f>+M181</f>
        <v>50575</v>
      </c>
      <c r="N180" s="1177">
        <f>+N181</f>
        <v>50575</v>
      </c>
      <c r="O180" s="3981"/>
    </row>
    <row r="181" spans="1:16">
      <c r="A181" s="3992"/>
      <c r="B181" s="1170" t="s">
        <v>21</v>
      </c>
      <c r="C181" s="3997"/>
      <c r="D181" s="1159">
        <f>E181+F181+G181+H181+I181+J181+K181+L181</f>
        <v>50575</v>
      </c>
      <c r="E181" s="1459">
        <v>0</v>
      </c>
      <c r="F181" s="1476">
        <v>0</v>
      </c>
      <c r="G181" s="1173">
        <v>50575</v>
      </c>
      <c r="H181" s="1476">
        <v>0</v>
      </c>
      <c r="I181" s="1476">
        <v>0</v>
      </c>
      <c r="J181" s="1476">
        <v>0</v>
      </c>
      <c r="K181" s="1476">
        <v>0</v>
      </c>
      <c r="L181" s="1476">
        <v>0</v>
      </c>
      <c r="M181" s="777">
        <f>SUM(F181:K181)</f>
        <v>50575</v>
      </c>
      <c r="N181" s="777">
        <f>SUM(G181:L181)</f>
        <v>50575</v>
      </c>
      <c r="O181" s="3981"/>
    </row>
    <row r="182" spans="1:16">
      <c r="A182" s="3992"/>
      <c r="B182" s="1163" t="s">
        <v>22</v>
      </c>
      <c r="C182" s="1163"/>
      <c r="D182" s="1179">
        <f>D185+D183</f>
        <v>56525</v>
      </c>
      <c r="E182" s="1479">
        <f t="shared" ref="E182" si="151">E185+E183</f>
        <v>0</v>
      </c>
      <c r="F182" s="1479">
        <f t="shared" ref="F182" si="152">F185+F183</f>
        <v>0</v>
      </c>
      <c r="G182" s="1179">
        <f t="shared" ref="G182" si="153">G185+G183</f>
        <v>56525</v>
      </c>
      <c r="H182" s="1479">
        <f t="shared" ref="H182" si="154">H185+H183</f>
        <v>0</v>
      </c>
      <c r="I182" s="1479">
        <f t="shared" ref="I182" si="155">I185+I183</f>
        <v>0</v>
      </c>
      <c r="J182" s="1479">
        <f t="shared" ref="J182" si="156">J185+J183</f>
        <v>0</v>
      </c>
      <c r="K182" s="1479">
        <f t="shared" ref="K182" si="157">K185+K183</f>
        <v>0</v>
      </c>
      <c r="L182" s="1479">
        <f t="shared" ref="L182" si="158">L185+L183</f>
        <v>0</v>
      </c>
      <c r="M182" s="3999" t="s">
        <v>61</v>
      </c>
      <c r="N182" s="3999" t="s">
        <v>61</v>
      </c>
      <c r="O182" s="4001" t="s">
        <v>679</v>
      </c>
    </row>
    <row r="183" spans="1:16" s="1480" customFormat="1">
      <c r="A183" s="3992"/>
      <c r="B183" s="1425" t="s">
        <v>24</v>
      </c>
      <c r="C183" s="4058" t="s">
        <v>467</v>
      </c>
      <c r="D183" s="1176">
        <f t="shared" ref="D183:L185" si="159">+D184</f>
        <v>5950</v>
      </c>
      <c r="E183" s="1387">
        <f t="shared" si="159"/>
        <v>0</v>
      </c>
      <c r="F183" s="1387">
        <f t="shared" si="159"/>
        <v>0</v>
      </c>
      <c r="G183" s="1176">
        <f t="shared" si="159"/>
        <v>5950</v>
      </c>
      <c r="H183" s="1387">
        <f t="shared" si="159"/>
        <v>0</v>
      </c>
      <c r="I183" s="1387">
        <f t="shared" si="159"/>
        <v>0</v>
      </c>
      <c r="J183" s="1387">
        <f t="shared" si="159"/>
        <v>0</v>
      </c>
      <c r="K183" s="1387">
        <f t="shared" si="159"/>
        <v>0</v>
      </c>
      <c r="L183" s="1387">
        <f t="shared" si="159"/>
        <v>0</v>
      </c>
      <c r="M183" s="3986"/>
      <c r="N183" s="3986"/>
      <c r="O183" s="4002"/>
    </row>
    <row r="184" spans="1:16" s="1480" customFormat="1">
      <c r="A184" s="3992"/>
      <c r="B184" s="739" t="s">
        <v>13</v>
      </c>
      <c r="C184" s="4005"/>
      <c r="D184" s="1213">
        <f>E184+F184+G184+H184+I184+J184+K184+L184</f>
        <v>5950</v>
      </c>
      <c r="E184" s="1481">
        <v>0</v>
      </c>
      <c r="F184" s="1481">
        <v>0</v>
      </c>
      <c r="G184" s="1482">
        <v>5950</v>
      </c>
      <c r="H184" s="1484">
        <v>0</v>
      </c>
      <c r="I184" s="1484">
        <v>0</v>
      </c>
      <c r="J184" s="1484">
        <v>0</v>
      </c>
      <c r="K184" s="1484">
        <v>0</v>
      </c>
      <c r="L184" s="1484">
        <v>0</v>
      </c>
      <c r="M184" s="3986"/>
      <c r="N184" s="3986"/>
      <c r="O184" s="4002"/>
      <c r="P184" s="1483">
        <f>D184-D179</f>
        <v>0</v>
      </c>
    </row>
    <row r="185" spans="1:16" ht="12.75" customHeight="1">
      <c r="A185" s="3992"/>
      <c r="B185" s="1167" t="s">
        <v>18</v>
      </c>
      <c r="C185" s="4005"/>
      <c r="D185" s="1411">
        <f t="shared" si="159"/>
        <v>50575</v>
      </c>
      <c r="E185" s="1387">
        <f t="shared" si="159"/>
        <v>0</v>
      </c>
      <c r="F185" s="1387">
        <f t="shared" si="159"/>
        <v>0</v>
      </c>
      <c r="G185" s="1176">
        <f t="shared" si="159"/>
        <v>50575</v>
      </c>
      <c r="H185" s="1387">
        <f t="shared" si="159"/>
        <v>0</v>
      </c>
      <c r="I185" s="1387">
        <f t="shared" si="159"/>
        <v>0</v>
      </c>
      <c r="J185" s="1387">
        <f t="shared" si="159"/>
        <v>0</v>
      </c>
      <c r="K185" s="1387">
        <f t="shared" si="159"/>
        <v>0</v>
      </c>
      <c r="L185" s="1387">
        <f t="shared" si="159"/>
        <v>0</v>
      </c>
      <c r="M185" s="3999"/>
      <c r="N185" s="3999"/>
      <c r="O185" s="4002"/>
    </row>
    <row r="186" spans="1:16" ht="13.5" thickBot="1">
      <c r="A186" s="3992"/>
      <c r="B186" s="532" t="s">
        <v>21</v>
      </c>
      <c r="C186" s="4006"/>
      <c r="D186" s="701">
        <f>E186+F186+G186+H186+I186+J186+K186+L186</f>
        <v>50575</v>
      </c>
      <c r="E186" s="546">
        <v>0</v>
      </c>
      <c r="F186" s="736">
        <v>0</v>
      </c>
      <c r="G186" s="425">
        <v>50575</v>
      </c>
      <c r="H186" s="736">
        <v>0</v>
      </c>
      <c r="I186" s="736">
        <v>0</v>
      </c>
      <c r="J186" s="736">
        <v>0</v>
      </c>
      <c r="K186" s="736">
        <v>0</v>
      </c>
      <c r="L186" s="736">
        <v>0</v>
      </c>
      <c r="M186" s="4000"/>
      <c r="N186" s="4000"/>
      <c r="O186" s="4003"/>
      <c r="P186" s="353">
        <f>D186-D181</f>
        <v>0</v>
      </c>
    </row>
    <row r="187" spans="1:16" s="1563" customFormat="1" ht="25.5" customHeight="1">
      <c r="A187" s="3990" t="s">
        <v>94</v>
      </c>
      <c r="B187" s="1088" t="s">
        <v>651</v>
      </c>
      <c r="C187" s="1089" t="s">
        <v>110</v>
      </c>
      <c r="D187" s="58"/>
      <c r="E187" s="40"/>
      <c r="F187" s="40"/>
      <c r="G187" s="40"/>
      <c r="H187" s="40"/>
      <c r="I187" s="40"/>
      <c r="J187" s="40"/>
      <c r="K187" s="40"/>
      <c r="L187" s="40"/>
      <c r="M187" s="531"/>
      <c r="N187" s="531"/>
      <c r="O187" s="3980" t="s">
        <v>328</v>
      </c>
      <c r="P187" s="1562"/>
    </row>
    <row r="188" spans="1:16" s="1563" customFormat="1">
      <c r="A188" s="3991"/>
      <c r="B188" s="1163" t="s">
        <v>10</v>
      </c>
      <c r="C188" s="1090"/>
      <c r="D188" s="1164">
        <f>+D189+D196</f>
        <v>828175</v>
      </c>
      <c r="E188" s="1457">
        <f t="shared" ref="E188:N188" si="160">+E189+E196</f>
        <v>0</v>
      </c>
      <c r="F188" s="1457">
        <f t="shared" si="160"/>
        <v>0</v>
      </c>
      <c r="G188" s="1165">
        <f t="shared" si="160"/>
        <v>407100</v>
      </c>
      <c r="H188" s="1165">
        <f t="shared" si="160"/>
        <v>421075</v>
      </c>
      <c r="I188" s="1457">
        <f t="shared" si="160"/>
        <v>0</v>
      </c>
      <c r="J188" s="1457">
        <f t="shared" si="160"/>
        <v>0</v>
      </c>
      <c r="K188" s="1457">
        <f t="shared" si="160"/>
        <v>0</v>
      </c>
      <c r="L188" s="1457">
        <f t="shared" si="160"/>
        <v>0</v>
      </c>
      <c r="M188" s="1166">
        <f t="shared" si="160"/>
        <v>745358</v>
      </c>
      <c r="N188" s="1166">
        <f t="shared" si="160"/>
        <v>828175</v>
      </c>
      <c r="O188" s="3981"/>
      <c r="P188" s="1562"/>
    </row>
    <row r="189" spans="1:16" s="1563" customFormat="1">
      <c r="A189" s="3991"/>
      <c r="B189" s="1167" t="s">
        <v>24</v>
      </c>
      <c r="C189" s="3996" t="s">
        <v>628</v>
      </c>
      <c r="D189" s="1168">
        <f>+D190+D193</f>
        <v>124226</v>
      </c>
      <c r="E189" s="1458">
        <f t="shared" ref="E189:L189" si="161">+E190+E193</f>
        <v>0</v>
      </c>
      <c r="F189" s="1458">
        <f t="shared" si="161"/>
        <v>0</v>
      </c>
      <c r="G189" s="1168">
        <f t="shared" si="161"/>
        <v>61065</v>
      </c>
      <c r="H189" s="1168">
        <f t="shared" si="161"/>
        <v>63161</v>
      </c>
      <c r="I189" s="1458">
        <f t="shared" si="161"/>
        <v>0</v>
      </c>
      <c r="J189" s="1458">
        <f t="shared" si="161"/>
        <v>0</v>
      </c>
      <c r="K189" s="1458">
        <f t="shared" si="161"/>
        <v>0</v>
      </c>
      <c r="L189" s="1458">
        <f t="shared" si="161"/>
        <v>0</v>
      </c>
      <c r="M189" s="1169">
        <f t="shared" ref="M189" si="162">+M190</f>
        <v>41409</v>
      </c>
      <c r="N189" s="1169">
        <f>+N190+N193</f>
        <v>124226</v>
      </c>
      <c r="O189" s="3981"/>
      <c r="P189" s="1562"/>
    </row>
    <row r="190" spans="1:16" s="1563" customFormat="1">
      <c r="A190" s="3991"/>
      <c r="B190" s="1170" t="s">
        <v>12</v>
      </c>
      <c r="C190" s="3997"/>
      <c r="D190" s="1159">
        <f>E190+F190+G190+H190+I190+J190+K190+L190</f>
        <v>41409</v>
      </c>
      <c r="E190" s="1459">
        <v>0</v>
      </c>
      <c r="F190" s="1460">
        <v>0</v>
      </c>
      <c r="G190" s="1172">
        <f>G191+G192</f>
        <v>20355</v>
      </c>
      <c r="H190" s="1172">
        <f t="shared" ref="H190:L190" si="163">H191+H192</f>
        <v>21054</v>
      </c>
      <c r="I190" s="1460">
        <f t="shared" si="163"/>
        <v>0</v>
      </c>
      <c r="J190" s="1460">
        <f t="shared" si="163"/>
        <v>0</v>
      </c>
      <c r="K190" s="1460">
        <f t="shared" si="163"/>
        <v>0</v>
      </c>
      <c r="L190" s="1460">
        <f t="shared" si="163"/>
        <v>0</v>
      </c>
      <c r="M190" s="759">
        <f>SUM(F190:K190)</f>
        <v>41409</v>
      </c>
      <c r="N190" s="759">
        <f>SUM(G190:L190)</f>
        <v>41409</v>
      </c>
      <c r="O190" s="3981"/>
      <c r="P190" s="1562"/>
    </row>
    <row r="191" spans="1:16" s="1563" customFormat="1" hidden="1">
      <c r="A191" s="3991"/>
      <c r="B191" s="1461" t="s">
        <v>304</v>
      </c>
      <c r="C191" s="3997"/>
      <c r="D191" s="1462">
        <f>SUM(E191:L191)</f>
        <v>16432</v>
      </c>
      <c r="E191" s="1463">
        <v>0</v>
      </c>
      <c r="F191" s="1464">
        <v>0</v>
      </c>
      <c r="G191" s="1465">
        <v>7931</v>
      </c>
      <c r="H191" s="1465">
        <v>8501</v>
      </c>
      <c r="I191" s="1463">
        <v>0</v>
      </c>
      <c r="J191" s="1463">
        <v>0</v>
      </c>
      <c r="K191" s="1463">
        <v>0</v>
      </c>
      <c r="L191" s="1463">
        <v>0</v>
      </c>
      <c r="M191" s="1466"/>
      <c r="N191" s="1467">
        <f>SUM(G191:L191)</f>
        <v>16432</v>
      </c>
      <c r="O191" s="3981"/>
      <c r="P191" s="1562"/>
    </row>
    <row r="192" spans="1:16" s="1563" customFormat="1" hidden="1">
      <c r="A192" s="3991"/>
      <c r="B192" s="1468" t="s">
        <v>322</v>
      </c>
      <c r="C192" s="3997"/>
      <c r="D192" s="1469">
        <f>SUM(E192:L192)</f>
        <v>24977</v>
      </c>
      <c r="E192" s="1470">
        <v>0</v>
      </c>
      <c r="F192" s="1471">
        <v>0</v>
      </c>
      <c r="G192" s="1472">
        <v>12424</v>
      </c>
      <c r="H192" s="1472">
        <v>12553</v>
      </c>
      <c r="I192" s="1470">
        <v>0</v>
      </c>
      <c r="J192" s="1470">
        <v>0</v>
      </c>
      <c r="K192" s="1470">
        <v>0</v>
      </c>
      <c r="L192" s="1470">
        <v>0</v>
      </c>
      <c r="M192" s="1466"/>
      <c r="N192" s="1467">
        <f>SUM(G192:L192)</f>
        <v>24977</v>
      </c>
      <c r="O192" s="3981"/>
      <c r="P192" s="1562"/>
    </row>
    <row r="193" spans="1:16" s="1563" customFormat="1">
      <c r="A193" s="3992"/>
      <c r="B193" s="739" t="s">
        <v>13</v>
      </c>
      <c r="C193" s="3998"/>
      <c r="D193" s="1159">
        <f>E193+F193+G193+H193+I193+J193+K193+L193</f>
        <v>82817</v>
      </c>
      <c r="E193" s="1459">
        <v>0</v>
      </c>
      <c r="F193" s="1460">
        <v>0</v>
      </c>
      <c r="G193" s="1172">
        <f>G194+G195</f>
        <v>40710</v>
      </c>
      <c r="H193" s="1172">
        <f t="shared" ref="H193:L193" si="164">H194+H195</f>
        <v>42107</v>
      </c>
      <c r="I193" s="1460">
        <f t="shared" si="164"/>
        <v>0</v>
      </c>
      <c r="J193" s="1460">
        <f t="shared" si="164"/>
        <v>0</v>
      </c>
      <c r="K193" s="1460">
        <f t="shared" si="164"/>
        <v>0</v>
      </c>
      <c r="L193" s="1460">
        <f t="shared" si="164"/>
        <v>0</v>
      </c>
      <c r="M193" s="1473"/>
      <c r="N193" s="759">
        <f t="shared" ref="N193:N195" si="165">SUM(G193:L193)</f>
        <v>82817</v>
      </c>
      <c r="O193" s="3981"/>
      <c r="P193" s="1562"/>
    </row>
    <row r="194" spans="1:16" s="1563" customFormat="1" hidden="1">
      <c r="A194" s="3992"/>
      <c r="B194" s="1461" t="s">
        <v>304</v>
      </c>
      <c r="C194" s="3998"/>
      <c r="D194" s="1462">
        <f>SUM(E194:L194)</f>
        <v>32863</v>
      </c>
      <c r="E194" s="1463">
        <v>0</v>
      </c>
      <c r="F194" s="1464">
        <v>0</v>
      </c>
      <c r="G194" s="1465">
        <v>15862</v>
      </c>
      <c r="H194" s="1465">
        <v>17001</v>
      </c>
      <c r="I194" s="1463">
        <v>0</v>
      </c>
      <c r="J194" s="1463">
        <v>0</v>
      </c>
      <c r="K194" s="1463">
        <v>0</v>
      </c>
      <c r="L194" s="1463">
        <v>0</v>
      </c>
      <c r="M194" s="1475"/>
      <c r="N194" s="777">
        <f t="shared" si="165"/>
        <v>32863</v>
      </c>
      <c r="O194" s="3981"/>
      <c r="P194" s="1562"/>
    </row>
    <row r="195" spans="1:16" s="1563" customFormat="1" hidden="1">
      <c r="A195" s="3992"/>
      <c r="B195" s="1468" t="s">
        <v>322</v>
      </c>
      <c r="C195" s="3998"/>
      <c r="D195" s="1469">
        <f>SUM(E195:L195)</f>
        <v>49954</v>
      </c>
      <c r="E195" s="1470">
        <v>0</v>
      </c>
      <c r="F195" s="1471">
        <v>0</v>
      </c>
      <c r="G195" s="1472">
        <v>24848</v>
      </c>
      <c r="H195" s="1472">
        <v>25106</v>
      </c>
      <c r="I195" s="1470">
        <v>0</v>
      </c>
      <c r="J195" s="1470">
        <v>0</v>
      </c>
      <c r="K195" s="1470">
        <v>0</v>
      </c>
      <c r="L195" s="1470">
        <v>0</v>
      </c>
      <c r="M195" s="1475"/>
      <c r="N195" s="777">
        <f t="shared" si="165"/>
        <v>49954</v>
      </c>
      <c r="O195" s="3981"/>
      <c r="P195" s="1562"/>
    </row>
    <row r="196" spans="1:16" s="1563" customFormat="1">
      <c r="A196" s="3991"/>
      <c r="B196" s="1167" t="s">
        <v>18</v>
      </c>
      <c r="C196" s="3997"/>
      <c r="D196" s="1176">
        <f>+D197</f>
        <v>703949</v>
      </c>
      <c r="E196" s="1387">
        <f t="shared" ref="E196:L196" si="166">+E197</f>
        <v>0</v>
      </c>
      <c r="F196" s="1387">
        <f t="shared" si="166"/>
        <v>0</v>
      </c>
      <c r="G196" s="1176">
        <f t="shared" si="166"/>
        <v>346035</v>
      </c>
      <c r="H196" s="1176">
        <f t="shared" si="166"/>
        <v>357914</v>
      </c>
      <c r="I196" s="1387">
        <f t="shared" si="166"/>
        <v>0</v>
      </c>
      <c r="J196" s="1387">
        <f t="shared" si="166"/>
        <v>0</v>
      </c>
      <c r="K196" s="1387">
        <f t="shared" si="166"/>
        <v>0</v>
      </c>
      <c r="L196" s="1387">
        <f t="shared" si="166"/>
        <v>0</v>
      </c>
      <c r="M196" s="1177">
        <f>+M197</f>
        <v>703949</v>
      </c>
      <c r="N196" s="1177">
        <f>+N197</f>
        <v>703949</v>
      </c>
      <c r="O196" s="3981"/>
      <c r="P196" s="1562"/>
    </row>
    <row r="197" spans="1:16" s="1563" customFormat="1">
      <c r="A197" s="3991"/>
      <c r="B197" s="1170" t="s">
        <v>21</v>
      </c>
      <c r="C197" s="3997"/>
      <c r="D197" s="1159">
        <f>E197+F197+G197+H197+I197+J197+K197+L197</f>
        <v>703949</v>
      </c>
      <c r="E197" s="1459">
        <v>0</v>
      </c>
      <c r="F197" s="1476">
        <v>0</v>
      </c>
      <c r="G197" s="1173">
        <f>G198+G199</f>
        <v>346035</v>
      </c>
      <c r="H197" s="1173">
        <f t="shared" ref="H197:L197" si="167">H198+H199</f>
        <v>357914</v>
      </c>
      <c r="I197" s="1476">
        <f t="shared" si="167"/>
        <v>0</v>
      </c>
      <c r="J197" s="1476">
        <f t="shared" si="167"/>
        <v>0</v>
      </c>
      <c r="K197" s="1476">
        <f t="shared" si="167"/>
        <v>0</v>
      </c>
      <c r="L197" s="1476">
        <f t="shared" si="167"/>
        <v>0</v>
      </c>
      <c r="M197" s="777">
        <f>SUM(F197:K197)</f>
        <v>703949</v>
      </c>
      <c r="N197" s="777">
        <f>SUM(G197:L197)</f>
        <v>703949</v>
      </c>
      <c r="O197" s="3981"/>
      <c r="P197" s="1562"/>
    </row>
    <row r="198" spans="1:16" s="1563" customFormat="1" hidden="1">
      <c r="A198" s="3991"/>
      <c r="B198" s="1461" t="s">
        <v>304</v>
      </c>
      <c r="C198" s="1477"/>
      <c r="D198" s="1462">
        <f>SUM(E198:L198)</f>
        <v>279340</v>
      </c>
      <c r="E198" s="1463">
        <v>0</v>
      </c>
      <c r="F198" s="1463">
        <v>0</v>
      </c>
      <c r="G198" s="1465">
        <v>134827</v>
      </c>
      <c r="H198" s="1465">
        <v>144513</v>
      </c>
      <c r="I198" s="1463">
        <v>0</v>
      </c>
      <c r="J198" s="1463">
        <v>0</v>
      </c>
      <c r="K198" s="1463">
        <v>0</v>
      </c>
      <c r="L198" s="1463">
        <v>0</v>
      </c>
      <c r="M198" s="1466"/>
      <c r="N198" s="1467">
        <f>SUM(G198:L198)</f>
        <v>279340</v>
      </c>
      <c r="O198" s="3981"/>
      <c r="P198" s="1562"/>
    </row>
    <row r="199" spans="1:16" s="1563" customFormat="1" hidden="1">
      <c r="A199" s="3991"/>
      <c r="B199" s="1468" t="s">
        <v>322</v>
      </c>
      <c r="C199" s="1478"/>
      <c r="D199" s="1469">
        <f>SUM(E199:L199)</f>
        <v>424609</v>
      </c>
      <c r="E199" s="1470">
        <v>0</v>
      </c>
      <c r="F199" s="1470">
        <v>0</v>
      </c>
      <c r="G199" s="1472">
        <v>211208</v>
      </c>
      <c r="H199" s="1472">
        <v>213401</v>
      </c>
      <c r="I199" s="1470">
        <v>0</v>
      </c>
      <c r="J199" s="1470">
        <v>0</v>
      </c>
      <c r="K199" s="1470">
        <v>0</v>
      </c>
      <c r="L199" s="1470">
        <v>0</v>
      </c>
      <c r="M199" s="1466"/>
      <c r="N199" s="1467">
        <f>SUM(G199:L199)</f>
        <v>424609</v>
      </c>
      <c r="O199" s="3982"/>
      <c r="P199" s="1562"/>
    </row>
    <row r="200" spans="1:16" s="1563" customFormat="1">
      <c r="A200" s="3993"/>
      <c r="B200" s="1163" t="s">
        <v>22</v>
      </c>
      <c r="C200" s="1163"/>
      <c r="D200" s="1179">
        <f>D203+D201</f>
        <v>786766</v>
      </c>
      <c r="E200" s="1479">
        <f t="shared" ref="E200:L200" si="168">E203+E201</f>
        <v>0</v>
      </c>
      <c r="F200" s="1479">
        <f t="shared" si="168"/>
        <v>0</v>
      </c>
      <c r="G200" s="1179">
        <f t="shared" si="168"/>
        <v>386745</v>
      </c>
      <c r="H200" s="1179">
        <f t="shared" si="168"/>
        <v>400021</v>
      </c>
      <c r="I200" s="1479">
        <f t="shared" si="168"/>
        <v>0</v>
      </c>
      <c r="J200" s="1479">
        <f t="shared" si="168"/>
        <v>0</v>
      </c>
      <c r="K200" s="1479">
        <f t="shared" si="168"/>
        <v>0</v>
      </c>
      <c r="L200" s="1479">
        <f t="shared" si="168"/>
        <v>0</v>
      </c>
      <c r="M200" s="3999" t="s">
        <v>61</v>
      </c>
      <c r="N200" s="3999" t="s">
        <v>61</v>
      </c>
      <c r="O200" s="4001" t="s">
        <v>627</v>
      </c>
      <c r="P200" s="1562"/>
    </row>
    <row r="201" spans="1:16" s="1563" customFormat="1">
      <c r="A201" s="3994"/>
      <c r="B201" s="1425" t="s">
        <v>24</v>
      </c>
      <c r="C201" s="4004" t="s">
        <v>467</v>
      </c>
      <c r="D201" s="1176">
        <f t="shared" ref="D201:L203" si="169">+D202</f>
        <v>82817</v>
      </c>
      <c r="E201" s="1387">
        <f t="shared" si="169"/>
        <v>0</v>
      </c>
      <c r="F201" s="1387">
        <f t="shared" si="169"/>
        <v>0</v>
      </c>
      <c r="G201" s="1176">
        <f t="shared" si="169"/>
        <v>40710</v>
      </c>
      <c r="H201" s="1176">
        <f t="shared" si="169"/>
        <v>42107</v>
      </c>
      <c r="I201" s="1387">
        <f t="shared" si="169"/>
        <v>0</v>
      </c>
      <c r="J201" s="1387">
        <f t="shared" si="169"/>
        <v>0</v>
      </c>
      <c r="K201" s="1387">
        <f t="shared" si="169"/>
        <v>0</v>
      </c>
      <c r="L201" s="1387">
        <f t="shared" si="169"/>
        <v>0</v>
      </c>
      <c r="M201" s="3986"/>
      <c r="N201" s="3986"/>
      <c r="O201" s="4002"/>
      <c r="P201" s="1562"/>
    </row>
    <row r="202" spans="1:16" s="1563" customFormat="1">
      <c r="A202" s="3994"/>
      <c r="B202" s="739" t="s">
        <v>13</v>
      </c>
      <c r="C202" s="4005"/>
      <c r="D202" s="1213">
        <f>E202+F202+G202+H202+I202+J202+K202+L202</f>
        <v>82817</v>
      </c>
      <c r="E202" s="1481">
        <v>0</v>
      </c>
      <c r="F202" s="1481">
        <v>0</v>
      </c>
      <c r="G202" s="1482">
        <v>40710</v>
      </c>
      <c r="H202" s="1482">
        <v>42107</v>
      </c>
      <c r="I202" s="1481">
        <v>0</v>
      </c>
      <c r="J202" s="1481">
        <v>0</v>
      </c>
      <c r="K202" s="1481">
        <v>0</v>
      </c>
      <c r="L202" s="1481">
        <v>0</v>
      </c>
      <c r="M202" s="3986"/>
      <c r="N202" s="3986"/>
      <c r="O202" s="4002"/>
      <c r="P202" s="1562"/>
    </row>
    <row r="203" spans="1:16" s="1563" customFormat="1">
      <c r="A203" s="3993"/>
      <c r="B203" s="1167" t="s">
        <v>18</v>
      </c>
      <c r="C203" s="4005"/>
      <c r="D203" s="1411">
        <f t="shared" si="169"/>
        <v>703949</v>
      </c>
      <c r="E203" s="1387">
        <f t="shared" si="169"/>
        <v>0</v>
      </c>
      <c r="F203" s="1387">
        <f t="shared" si="169"/>
        <v>0</v>
      </c>
      <c r="G203" s="1176">
        <f t="shared" si="169"/>
        <v>346035</v>
      </c>
      <c r="H203" s="1176">
        <f t="shared" si="169"/>
        <v>357914</v>
      </c>
      <c r="I203" s="1387">
        <f t="shared" si="169"/>
        <v>0</v>
      </c>
      <c r="J203" s="1387">
        <f t="shared" si="169"/>
        <v>0</v>
      </c>
      <c r="K203" s="1387">
        <f t="shared" si="169"/>
        <v>0</v>
      </c>
      <c r="L203" s="1387">
        <f t="shared" si="169"/>
        <v>0</v>
      </c>
      <c r="M203" s="3999"/>
      <c r="N203" s="3999"/>
      <c r="O203" s="4002"/>
      <c r="P203" s="1562"/>
    </row>
    <row r="204" spans="1:16" s="1563" customFormat="1" ht="13.5" thickBot="1">
      <c r="A204" s="3995"/>
      <c r="B204" s="532" t="s">
        <v>21</v>
      </c>
      <c r="C204" s="4006"/>
      <c r="D204" s="701">
        <f>E204+F204+G204+H204+I204+J204+K204+L204</f>
        <v>703949</v>
      </c>
      <c r="E204" s="546">
        <v>0</v>
      </c>
      <c r="F204" s="736">
        <v>0</v>
      </c>
      <c r="G204" s="425">
        <v>346035</v>
      </c>
      <c r="H204" s="425">
        <v>357914</v>
      </c>
      <c r="I204" s="736">
        <v>0</v>
      </c>
      <c r="J204" s="736">
        <v>0</v>
      </c>
      <c r="K204" s="736">
        <v>0</v>
      </c>
      <c r="L204" s="736">
        <v>0</v>
      </c>
      <c r="M204" s="4000"/>
      <c r="N204" s="4000"/>
      <c r="O204" s="4003"/>
      <c r="P204" s="1562"/>
    </row>
    <row r="205" spans="1:16" s="1563" customFormat="1" ht="24.75" customHeight="1">
      <c r="A205" s="3990" t="s">
        <v>95</v>
      </c>
      <c r="B205" s="1088" t="s">
        <v>649</v>
      </c>
      <c r="C205" s="1089" t="s">
        <v>110</v>
      </c>
      <c r="D205" s="58"/>
      <c r="E205" s="40"/>
      <c r="F205" s="40"/>
      <c r="G205" s="40"/>
      <c r="H205" s="40"/>
      <c r="I205" s="40"/>
      <c r="J205" s="40"/>
      <c r="K205" s="40"/>
      <c r="L205" s="40"/>
      <c r="M205" s="531"/>
      <c r="N205" s="531"/>
      <c r="O205" s="3980" t="s">
        <v>328</v>
      </c>
      <c r="P205" s="1562"/>
    </row>
    <row r="206" spans="1:16" s="1563" customFormat="1">
      <c r="A206" s="3991"/>
      <c r="B206" s="1163" t="s">
        <v>10</v>
      </c>
      <c r="C206" s="1090"/>
      <c r="D206" s="1164">
        <f t="shared" ref="D206:N206" si="170">+D207+D211</f>
        <v>10175942</v>
      </c>
      <c r="E206" s="1457">
        <f t="shared" si="170"/>
        <v>0</v>
      </c>
      <c r="F206" s="1457">
        <f t="shared" si="170"/>
        <v>0</v>
      </c>
      <c r="G206" s="1165">
        <f t="shared" si="170"/>
        <v>550000</v>
      </c>
      <c r="H206" s="1165">
        <f t="shared" si="170"/>
        <v>4122312</v>
      </c>
      <c r="I206" s="1165">
        <f t="shared" si="170"/>
        <v>2739330</v>
      </c>
      <c r="J206" s="1165">
        <f t="shared" si="170"/>
        <v>2327050</v>
      </c>
      <c r="K206" s="1165">
        <f t="shared" si="170"/>
        <v>437250</v>
      </c>
      <c r="L206" s="1457">
        <f t="shared" si="170"/>
        <v>0</v>
      </c>
      <c r="M206" s="1166" t="e">
        <f t="shared" si="170"/>
        <v>#REF!</v>
      </c>
      <c r="N206" s="1166">
        <f t="shared" si="170"/>
        <v>10175942</v>
      </c>
      <c r="O206" s="3981"/>
      <c r="P206" s="1562"/>
    </row>
    <row r="207" spans="1:16" s="1563" customFormat="1">
      <c r="A207" s="3991"/>
      <c r="B207" s="1167" t="s">
        <v>24</v>
      </c>
      <c r="C207" s="3996" t="s">
        <v>324</v>
      </c>
      <c r="D207" s="1168">
        <f>+D208</f>
        <v>1599658</v>
      </c>
      <c r="E207" s="1458">
        <f t="shared" ref="E207:L207" si="171">+E208</f>
        <v>0</v>
      </c>
      <c r="F207" s="1458">
        <f t="shared" si="171"/>
        <v>0</v>
      </c>
      <c r="G207" s="1168">
        <f t="shared" si="171"/>
        <v>86460</v>
      </c>
      <c r="H207" s="1168">
        <f t="shared" si="171"/>
        <v>648027</v>
      </c>
      <c r="I207" s="1168">
        <f t="shared" si="171"/>
        <v>430623</v>
      </c>
      <c r="J207" s="1168">
        <f t="shared" si="171"/>
        <v>365812</v>
      </c>
      <c r="K207" s="1168">
        <f t="shared" si="171"/>
        <v>68736</v>
      </c>
      <c r="L207" s="1458">
        <f t="shared" si="171"/>
        <v>0</v>
      </c>
      <c r="M207" s="1169" t="e">
        <f>+#REF!</f>
        <v>#REF!</v>
      </c>
      <c r="N207" s="1169">
        <f>+N208</f>
        <v>1599658</v>
      </c>
      <c r="O207" s="3981"/>
      <c r="P207" s="1562"/>
    </row>
    <row r="208" spans="1:16" s="1563" customFormat="1">
      <c r="A208" s="3992"/>
      <c r="B208" s="739" t="s">
        <v>13</v>
      </c>
      <c r="C208" s="3998"/>
      <c r="D208" s="1159">
        <f>E208+F208+G208+H208+I208+J208+K208+L208</f>
        <v>1599658</v>
      </c>
      <c r="E208" s="1459">
        <v>0</v>
      </c>
      <c r="F208" s="1460">
        <v>0</v>
      </c>
      <c r="G208" s="1172">
        <f>G209+G210</f>
        <v>86460</v>
      </c>
      <c r="H208" s="1172">
        <f t="shared" ref="H208:L208" si="172">H209+H210</f>
        <v>648027</v>
      </c>
      <c r="I208" s="1172">
        <f t="shared" si="172"/>
        <v>430623</v>
      </c>
      <c r="J208" s="1172">
        <f t="shared" si="172"/>
        <v>365812</v>
      </c>
      <c r="K208" s="1172">
        <f t="shared" si="172"/>
        <v>68736</v>
      </c>
      <c r="L208" s="1460">
        <f t="shared" si="172"/>
        <v>0</v>
      </c>
      <c r="M208" s="1473"/>
      <c r="N208" s="759">
        <f>SUM(G208:L208)</f>
        <v>1599658</v>
      </c>
      <c r="O208" s="3981"/>
      <c r="P208" s="1562">
        <f>D208-D217</f>
        <v>0</v>
      </c>
    </row>
    <row r="209" spans="1:16" s="1563" customFormat="1" hidden="1">
      <c r="A209" s="3992"/>
      <c r="B209" s="1461" t="s">
        <v>304</v>
      </c>
      <c r="C209" s="3998"/>
      <c r="D209" s="1462">
        <f>SUM(E209:L209)</f>
        <v>157767</v>
      </c>
      <c r="E209" s="1463">
        <v>0</v>
      </c>
      <c r="F209" s="1464">
        <v>0</v>
      </c>
      <c r="G209" s="1465">
        <v>14831</v>
      </c>
      <c r="H209" s="1465">
        <v>54829</v>
      </c>
      <c r="I209" s="1465">
        <v>41576</v>
      </c>
      <c r="J209" s="1465">
        <v>37625</v>
      </c>
      <c r="K209" s="1465">
        <v>8906</v>
      </c>
      <c r="L209" s="1463">
        <v>0</v>
      </c>
      <c r="M209" s="1475"/>
      <c r="N209" s="777">
        <f t="shared" ref="N209:N210" si="173">SUM(G209:L209)</f>
        <v>157767</v>
      </c>
      <c r="O209" s="3981"/>
      <c r="P209" s="1562"/>
    </row>
    <row r="210" spans="1:16" s="1563" customFormat="1" hidden="1">
      <c r="A210" s="3992"/>
      <c r="B210" s="1468" t="s">
        <v>322</v>
      </c>
      <c r="C210" s="3998"/>
      <c r="D210" s="1469">
        <f>SUM(E210:L210)</f>
        <v>1441891</v>
      </c>
      <c r="E210" s="1470">
        <v>0</v>
      </c>
      <c r="F210" s="1471">
        <v>0</v>
      </c>
      <c r="G210" s="1472">
        <v>71629</v>
      </c>
      <c r="H210" s="1472">
        <v>593198</v>
      </c>
      <c r="I210" s="1472">
        <v>389047</v>
      </c>
      <c r="J210" s="1472">
        <v>328187</v>
      </c>
      <c r="K210" s="1472">
        <v>59830</v>
      </c>
      <c r="L210" s="1470">
        <v>0</v>
      </c>
      <c r="M210" s="1475"/>
      <c r="N210" s="777">
        <f t="shared" si="173"/>
        <v>1441891</v>
      </c>
      <c r="O210" s="3981"/>
      <c r="P210" s="1562"/>
    </row>
    <row r="211" spans="1:16" s="1563" customFormat="1">
      <c r="A211" s="3991"/>
      <c r="B211" s="1167" t="s">
        <v>18</v>
      </c>
      <c r="C211" s="3997"/>
      <c r="D211" s="1176">
        <f>+D212</f>
        <v>8576284</v>
      </c>
      <c r="E211" s="1387">
        <f t="shared" ref="E211:L211" si="174">+E212</f>
        <v>0</v>
      </c>
      <c r="F211" s="1387">
        <f t="shared" si="174"/>
        <v>0</v>
      </c>
      <c r="G211" s="1176">
        <f t="shared" si="174"/>
        <v>463540</v>
      </c>
      <c r="H211" s="1176">
        <f t="shared" si="174"/>
        <v>3474285</v>
      </c>
      <c r="I211" s="1176">
        <f t="shared" si="174"/>
        <v>2308707</v>
      </c>
      <c r="J211" s="1176">
        <f t="shared" si="174"/>
        <v>1961238</v>
      </c>
      <c r="K211" s="1176">
        <f t="shared" si="174"/>
        <v>368514</v>
      </c>
      <c r="L211" s="1387">
        <f t="shared" si="174"/>
        <v>0</v>
      </c>
      <c r="M211" s="1177">
        <f>+M212</f>
        <v>8576284</v>
      </c>
      <c r="N211" s="1177">
        <f>+N212</f>
        <v>8576284</v>
      </c>
      <c r="O211" s="3981"/>
      <c r="P211" s="1562"/>
    </row>
    <row r="212" spans="1:16" s="1563" customFormat="1">
      <c r="A212" s="3991"/>
      <c r="B212" s="1170" t="s">
        <v>21</v>
      </c>
      <c r="C212" s="3997"/>
      <c r="D212" s="1159">
        <f>E212+F212+G212+H212+I212+J212+K212+L212</f>
        <v>8576284</v>
      </c>
      <c r="E212" s="1459">
        <v>0</v>
      </c>
      <c r="F212" s="1476">
        <v>0</v>
      </c>
      <c r="G212" s="1173">
        <f>G213+G214</f>
        <v>463540</v>
      </c>
      <c r="H212" s="1173">
        <f t="shared" ref="H212:L212" si="175">H213+H214</f>
        <v>3474285</v>
      </c>
      <c r="I212" s="1173">
        <f t="shared" si="175"/>
        <v>2308707</v>
      </c>
      <c r="J212" s="1173">
        <f t="shared" si="175"/>
        <v>1961238</v>
      </c>
      <c r="K212" s="1173">
        <f t="shared" si="175"/>
        <v>368514</v>
      </c>
      <c r="L212" s="1476">
        <f t="shared" si="175"/>
        <v>0</v>
      </c>
      <c r="M212" s="777">
        <f>SUM(F212:K212)</f>
        <v>8576284</v>
      </c>
      <c r="N212" s="777">
        <f>SUM(G212:L212)</f>
        <v>8576284</v>
      </c>
      <c r="O212" s="3981"/>
      <c r="P212" s="1562">
        <f>D212-D219</f>
        <v>0</v>
      </c>
    </row>
    <row r="213" spans="1:16" s="1563" customFormat="1" hidden="1">
      <c r="A213" s="3991"/>
      <c r="B213" s="1461" t="s">
        <v>304</v>
      </c>
      <c r="C213" s="1477"/>
      <c r="D213" s="1462">
        <f>SUM(E213:L213)</f>
        <v>845836</v>
      </c>
      <c r="E213" s="1463">
        <v>0</v>
      </c>
      <c r="F213" s="1463">
        <v>0</v>
      </c>
      <c r="G213" s="1465">
        <v>79510</v>
      </c>
      <c r="H213" s="1465">
        <v>293952</v>
      </c>
      <c r="I213" s="1465">
        <v>222904</v>
      </c>
      <c r="J213" s="1465">
        <v>201723</v>
      </c>
      <c r="K213" s="1465">
        <v>47747</v>
      </c>
      <c r="L213" s="1463">
        <v>0</v>
      </c>
      <c r="M213" s="1466"/>
      <c r="N213" s="1467">
        <f>SUM(G213:L213)</f>
        <v>845836</v>
      </c>
      <c r="O213" s="3981"/>
      <c r="P213" s="1562"/>
    </row>
    <row r="214" spans="1:16" s="1563" customFormat="1" hidden="1">
      <c r="A214" s="3991"/>
      <c r="B214" s="1468" t="s">
        <v>322</v>
      </c>
      <c r="C214" s="1478"/>
      <c r="D214" s="1469">
        <f>SUM(E214:L214)</f>
        <v>7730448</v>
      </c>
      <c r="E214" s="1470">
        <v>0</v>
      </c>
      <c r="F214" s="1470">
        <v>0</v>
      </c>
      <c r="G214" s="1472">
        <v>384030</v>
      </c>
      <c r="H214" s="1472">
        <v>3180333</v>
      </c>
      <c r="I214" s="1472">
        <v>2085803</v>
      </c>
      <c r="J214" s="1472">
        <v>1759515</v>
      </c>
      <c r="K214" s="1472">
        <v>320767</v>
      </c>
      <c r="L214" s="1470">
        <v>0</v>
      </c>
      <c r="M214" s="1466"/>
      <c r="N214" s="1467">
        <f>SUM(G214:L214)</f>
        <v>7730448</v>
      </c>
      <c r="O214" s="3982"/>
      <c r="P214" s="1562"/>
    </row>
    <row r="215" spans="1:16" s="1563" customFormat="1">
      <c r="A215" s="3993"/>
      <c r="B215" s="1163" t="s">
        <v>22</v>
      </c>
      <c r="C215" s="1163"/>
      <c r="D215" s="1179">
        <f>D218+D216</f>
        <v>10175942</v>
      </c>
      <c r="E215" s="1479">
        <f t="shared" ref="E215:L215" si="176">E218+E216</f>
        <v>0</v>
      </c>
      <c r="F215" s="1479">
        <f t="shared" si="176"/>
        <v>0</v>
      </c>
      <c r="G215" s="1179">
        <f t="shared" si="176"/>
        <v>550000</v>
      </c>
      <c r="H215" s="1179">
        <f t="shared" si="176"/>
        <v>4122312</v>
      </c>
      <c r="I215" s="1179">
        <f t="shared" si="176"/>
        <v>2739330</v>
      </c>
      <c r="J215" s="1179">
        <f t="shared" si="176"/>
        <v>2327050</v>
      </c>
      <c r="K215" s="1179">
        <f t="shared" si="176"/>
        <v>437250</v>
      </c>
      <c r="L215" s="1479">
        <f t="shared" si="176"/>
        <v>0</v>
      </c>
      <c r="M215" s="3999" t="s">
        <v>61</v>
      </c>
      <c r="N215" s="3999" t="s">
        <v>61</v>
      </c>
      <c r="O215" s="4001" t="s">
        <v>679</v>
      </c>
      <c r="P215" s="1562"/>
    </row>
    <row r="216" spans="1:16" s="1563" customFormat="1">
      <c r="A216" s="3994"/>
      <c r="B216" s="1425" t="s">
        <v>24</v>
      </c>
      <c r="C216" s="4004" t="s">
        <v>629</v>
      </c>
      <c r="D216" s="1176">
        <f t="shared" ref="D216:L218" si="177">+D217</f>
        <v>1599658</v>
      </c>
      <c r="E216" s="1387">
        <f t="shared" si="177"/>
        <v>0</v>
      </c>
      <c r="F216" s="1387">
        <f t="shared" si="177"/>
        <v>0</v>
      </c>
      <c r="G216" s="1176">
        <f t="shared" si="177"/>
        <v>86460</v>
      </c>
      <c r="H216" s="1176">
        <f t="shared" si="177"/>
        <v>648027</v>
      </c>
      <c r="I216" s="1176">
        <f t="shared" si="177"/>
        <v>430623</v>
      </c>
      <c r="J216" s="1176">
        <f t="shared" si="177"/>
        <v>365812</v>
      </c>
      <c r="K216" s="1176">
        <f t="shared" si="177"/>
        <v>68736</v>
      </c>
      <c r="L216" s="1387">
        <f t="shared" si="177"/>
        <v>0</v>
      </c>
      <c r="M216" s="3986"/>
      <c r="N216" s="3986"/>
      <c r="O216" s="4002"/>
      <c r="P216" s="1562"/>
    </row>
    <row r="217" spans="1:16" s="1563" customFormat="1">
      <c r="A217" s="3994"/>
      <c r="B217" s="739" t="s">
        <v>13</v>
      </c>
      <c r="C217" s="4005"/>
      <c r="D217" s="1213">
        <f>E217+F217+G217+H217+I217+J217+K217+L217</f>
        <v>1599658</v>
      </c>
      <c r="E217" s="1481">
        <v>0</v>
      </c>
      <c r="F217" s="1481">
        <v>0</v>
      </c>
      <c r="G217" s="1482">
        <v>86460</v>
      </c>
      <c r="H217" s="1482">
        <v>648027</v>
      </c>
      <c r="I217" s="1482">
        <v>430623</v>
      </c>
      <c r="J217" s="1482">
        <v>365812</v>
      </c>
      <c r="K217" s="1482">
        <v>68736</v>
      </c>
      <c r="L217" s="1481">
        <v>0</v>
      </c>
      <c r="M217" s="3986"/>
      <c r="N217" s="3986"/>
      <c r="O217" s="4002"/>
      <c r="P217" s="1562"/>
    </row>
    <row r="218" spans="1:16" s="1563" customFormat="1">
      <c r="A218" s="3993"/>
      <c r="B218" s="1167" t="s">
        <v>18</v>
      </c>
      <c r="C218" s="4005"/>
      <c r="D218" s="1411">
        <f t="shared" si="177"/>
        <v>8576284</v>
      </c>
      <c r="E218" s="1387">
        <f t="shared" si="177"/>
        <v>0</v>
      </c>
      <c r="F218" s="1387">
        <f t="shared" si="177"/>
        <v>0</v>
      </c>
      <c r="G218" s="1176">
        <f t="shared" si="177"/>
        <v>463540</v>
      </c>
      <c r="H218" s="1176">
        <f t="shared" si="177"/>
        <v>3474285</v>
      </c>
      <c r="I218" s="1176">
        <f t="shared" si="177"/>
        <v>2308707</v>
      </c>
      <c r="J218" s="1176">
        <f t="shared" si="177"/>
        <v>1961238</v>
      </c>
      <c r="K218" s="1176">
        <f t="shared" si="177"/>
        <v>368514</v>
      </c>
      <c r="L218" s="1387">
        <f t="shared" si="177"/>
        <v>0</v>
      </c>
      <c r="M218" s="3999"/>
      <c r="N218" s="3999"/>
      <c r="O218" s="4002"/>
      <c r="P218" s="1562"/>
    </row>
    <row r="219" spans="1:16" s="1563" customFormat="1" ht="13.5" thickBot="1">
      <c r="A219" s="3995"/>
      <c r="B219" s="532" t="s">
        <v>21</v>
      </c>
      <c r="C219" s="4006"/>
      <c r="D219" s="701">
        <f>E219+F219+G219+H219+I219+J219+K219+L219</f>
        <v>8576284</v>
      </c>
      <c r="E219" s="546">
        <v>0</v>
      </c>
      <c r="F219" s="736">
        <v>0</v>
      </c>
      <c r="G219" s="425">
        <v>463540</v>
      </c>
      <c r="H219" s="425">
        <v>3474285</v>
      </c>
      <c r="I219" s="425">
        <v>2308707</v>
      </c>
      <c r="J219" s="425">
        <v>1961238</v>
      </c>
      <c r="K219" s="425">
        <v>368514</v>
      </c>
      <c r="L219" s="736">
        <v>0</v>
      </c>
      <c r="M219" s="4000"/>
      <c r="N219" s="4000"/>
      <c r="O219" s="4003"/>
      <c r="P219" s="1562"/>
    </row>
    <row r="220" spans="1:16" s="1563" customFormat="1" ht="15.75" customHeight="1">
      <c r="A220" s="3990" t="s">
        <v>96</v>
      </c>
      <c r="B220" s="1088" t="s">
        <v>650</v>
      </c>
      <c r="C220" s="1089" t="s">
        <v>110</v>
      </c>
      <c r="D220" s="58"/>
      <c r="E220" s="40"/>
      <c r="F220" s="40"/>
      <c r="G220" s="40"/>
      <c r="H220" s="40"/>
      <c r="I220" s="40"/>
      <c r="J220" s="40"/>
      <c r="K220" s="40"/>
      <c r="L220" s="40"/>
      <c r="M220" s="531"/>
      <c r="N220" s="531"/>
      <c r="O220" s="3980" t="s">
        <v>328</v>
      </c>
      <c r="P220" s="1562"/>
    </row>
    <row r="221" spans="1:16" s="1563" customFormat="1">
      <c r="A221" s="3991"/>
      <c r="B221" s="1163" t="s">
        <v>10</v>
      </c>
      <c r="C221" s="1090"/>
      <c r="D221" s="1164">
        <f>+D222+D229</f>
        <v>3546922</v>
      </c>
      <c r="E221" s="1457">
        <f t="shared" ref="E221:N221" si="178">+E222+E229</f>
        <v>0</v>
      </c>
      <c r="F221" s="1457">
        <f t="shared" si="178"/>
        <v>0</v>
      </c>
      <c r="G221" s="1165">
        <f t="shared" si="178"/>
        <v>1133912</v>
      </c>
      <c r="H221" s="1165">
        <f t="shared" si="178"/>
        <v>1207224</v>
      </c>
      <c r="I221" s="1165">
        <f t="shared" si="178"/>
        <v>1205786</v>
      </c>
      <c r="J221" s="1457">
        <f t="shared" si="178"/>
        <v>0</v>
      </c>
      <c r="K221" s="1457">
        <f t="shared" si="178"/>
        <v>0</v>
      </c>
      <c r="L221" s="1457">
        <f t="shared" si="178"/>
        <v>0</v>
      </c>
      <c r="M221" s="1166">
        <f t="shared" si="178"/>
        <v>3192230</v>
      </c>
      <c r="N221" s="1166">
        <f t="shared" si="178"/>
        <v>3546922</v>
      </c>
      <c r="O221" s="3981"/>
      <c r="P221" s="1562"/>
    </row>
    <row r="222" spans="1:16" s="1563" customFormat="1" ht="12.75" customHeight="1">
      <c r="A222" s="3991"/>
      <c r="B222" s="1167" t="s">
        <v>24</v>
      </c>
      <c r="C222" s="3996" t="s">
        <v>628</v>
      </c>
      <c r="D222" s="1168">
        <f>+D223+D226</f>
        <v>532038</v>
      </c>
      <c r="E222" s="1458">
        <f t="shared" ref="E222:L222" si="179">+E223+E226</f>
        <v>0</v>
      </c>
      <c r="F222" s="1458">
        <f t="shared" si="179"/>
        <v>0</v>
      </c>
      <c r="G222" s="1168">
        <f t="shared" si="179"/>
        <v>170087</v>
      </c>
      <c r="H222" s="1168">
        <f t="shared" si="179"/>
        <v>181083</v>
      </c>
      <c r="I222" s="1168">
        <f t="shared" si="179"/>
        <v>180868</v>
      </c>
      <c r="J222" s="1458">
        <f t="shared" si="179"/>
        <v>0</v>
      </c>
      <c r="K222" s="1458">
        <f t="shared" si="179"/>
        <v>0</v>
      </c>
      <c r="L222" s="1458">
        <f t="shared" si="179"/>
        <v>0</v>
      </c>
      <c r="M222" s="1169">
        <f t="shared" ref="M222" si="180">+M223</f>
        <v>177346</v>
      </c>
      <c r="N222" s="1169">
        <f>+N223+N226</f>
        <v>532038</v>
      </c>
      <c r="O222" s="3981"/>
      <c r="P222" s="1562"/>
    </row>
    <row r="223" spans="1:16" s="1563" customFormat="1">
      <c r="A223" s="3991"/>
      <c r="B223" s="1170" t="s">
        <v>12</v>
      </c>
      <c r="C223" s="3997"/>
      <c r="D223" s="1159">
        <f>E223+F223+G223+H223+I223+J223+K223+L223</f>
        <v>177346</v>
      </c>
      <c r="E223" s="1459">
        <v>0</v>
      </c>
      <c r="F223" s="1460">
        <v>0</v>
      </c>
      <c r="G223" s="1172">
        <f>G224+G225</f>
        <v>56696</v>
      </c>
      <c r="H223" s="1172">
        <f t="shared" ref="H223:L223" si="181">H224+H225</f>
        <v>60361</v>
      </c>
      <c r="I223" s="1172">
        <f t="shared" si="181"/>
        <v>60289</v>
      </c>
      <c r="J223" s="1460">
        <f t="shared" si="181"/>
        <v>0</v>
      </c>
      <c r="K223" s="1460">
        <f t="shared" si="181"/>
        <v>0</v>
      </c>
      <c r="L223" s="1460">
        <f t="shared" si="181"/>
        <v>0</v>
      </c>
      <c r="M223" s="759">
        <f>SUM(F223:K223)</f>
        <v>177346</v>
      </c>
      <c r="N223" s="759">
        <f>SUM(G223:L223)</f>
        <v>177346</v>
      </c>
      <c r="O223" s="3981"/>
      <c r="P223" s="1562"/>
    </row>
    <row r="224" spans="1:16" s="1563" customFormat="1" hidden="1">
      <c r="A224" s="3991"/>
      <c r="B224" s="1461" t="s">
        <v>304</v>
      </c>
      <c r="C224" s="3997"/>
      <c r="D224" s="1462">
        <f>SUM(E224:L224)</f>
        <v>61066</v>
      </c>
      <c r="E224" s="1463">
        <v>0</v>
      </c>
      <c r="F224" s="1464">
        <v>0</v>
      </c>
      <c r="G224" s="1465">
        <v>19284</v>
      </c>
      <c r="H224" s="1465">
        <v>20891</v>
      </c>
      <c r="I224" s="1465">
        <v>20891</v>
      </c>
      <c r="J224" s="1463">
        <v>0</v>
      </c>
      <c r="K224" s="1463">
        <v>0</v>
      </c>
      <c r="L224" s="1463">
        <v>0</v>
      </c>
      <c r="M224" s="1466"/>
      <c r="N224" s="1467">
        <f>SUM(G224:L224)</f>
        <v>61066</v>
      </c>
      <c r="O224" s="3981"/>
      <c r="P224" s="1562"/>
    </row>
    <row r="225" spans="1:16" s="1563" customFormat="1" hidden="1">
      <c r="A225" s="3991"/>
      <c r="B225" s="1468" t="s">
        <v>322</v>
      </c>
      <c r="C225" s="3997"/>
      <c r="D225" s="1469">
        <f>SUM(E225:L225)</f>
        <v>116280</v>
      </c>
      <c r="E225" s="1470">
        <v>0</v>
      </c>
      <c r="F225" s="1471">
        <v>0</v>
      </c>
      <c r="G225" s="1472">
        <v>37412</v>
      </c>
      <c r="H225" s="1472">
        <v>39470</v>
      </c>
      <c r="I225" s="1472">
        <v>39398</v>
      </c>
      <c r="J225" s="1470">
        <v>0</v>
      </c>
      <c r="K225" s="1470">
        <v>0</v>
      </c>
      <c r="L225" s="1470">
        <v>0</v>
      </c>
      <c r="M225" s="1466"/>
      <c r="N225" s="1467">
        <f>SUM(G225:L225)</f>
        <v>116280</v>
      </c>
      <c r="O225" s="3981"/>
      <c r="P225" s="1562"/>
    </row>
    <row r="226" spans="1:16" s="1563" customFormat="1">
      <c r="A226" s="3992"/>
      <c r="B226" s="739" t="s">
        <v>13</v>
      </c>
      <c r="C226" s="3998"/>
      <c r="D226" s="1159">
        <f>E226+F226+G226+H226+I226+J226+K226+L226</f>
        <v>354692</v>
      </c>
      <c r="E226" s="1459">
        <v>0</v>
      </c>
      <c r="F226" s="1460">
        <v>0</v>
      </c>
      <c r="G226" s="1172">
        <f>G227+G228</f>
        <v>113391</v>
      </c>
      <c r="H226" s="1172">
        <f t="shared" ref="H226:L226" si="182">H227+H228</f>
        <v>120722</v>
      </c>
      <c r="I226" s="1172">
        <f t="shared" si="182"/>
        <v>120579</v>
      </c>
      <c r="J226" s="1460">
        <f t="shared" si="182"/>
        <v>0</v>
      </c>
      <c r="K226" s="1460">
        <f t="shared" si="182"/>
        <v>0</v>
      </c>
      <c r="L226" s="1460">
        <f t="shared" si="182"/>
        <v>0</v>
      </c>
      <c r="M226" s="1473"/>
      <c r="N226" s="759">
        <f t="shared" ref="N226:N228" si="183">SUM(G226:L226)</f>
        <v>354692</v>
      </c>
      <c r="O226" s="3981"/>
      <c r="P226" s="1562">
        <f>D226-D235</f>
        <v>0</v>
      </c>
    </row>
    <row r="227" spans="1:16" s="1563" customFormat="1" hidden="1">
      <c r="A227" s="3992"/>
      <c r="B227" s="1461" t="s">
        <v>304</v>
      </c>
      <c r="C227" s="3998"/>
      <c r="D227" s="1462">
        <f>SUM(E227:L227)</f>
        <v>122132</v>
      </c>
      <c r="E227" s="1463">
        <v>0</v>
      </c>
      <c r="F227" s="1464">
        <v>0</v>
      </c>
      <c r="G227" s="1465">
        <v>38568</v>
      </c>
      <c r="H227" s="1465">
        <v>41782</v>
      </c>
      <c r="I227" s="1465">
        <v>41782</v>
      </c>
      <c r="J227" s="1463">
        <v>0</v>
      </c>
      <c r="K227" s="1463">
        <v>0</v>
      </c>
      <c r="L227" s="1463">
        <v>0</v>
      </c>
      <c r="M227" s="1475"/>
      <c r="N227" s="777">
        <f t="shared" si="183"/>
        <v>122132</v>
      </c>
      <c r="O227" s="3981"/>
      <c r="P227" s="1562"/>
    </row>
    <row r="228" spans="1:16" s="1563" customFormat="1" hidden="1">
      <c r="A228" s="3992"/>
      <c r="B228" s="1468" t="s">
        <v>322</v>
      </c>
      <c r="C228" s="3998"/>
      <c r="D228" s="1469">
        <f>SUM(E228:L228)</f>
        <v>232560</v>
      </c>
      <c r="E228" s="1470">
        <v>0</v>
      </c>
      <c r="F228" s="1471">
        <v>0</v>
      </c>
      <c r="G228" s="1472">
        <v>74823</v>
      </c>
      <c r="H228" s="1472">
        <v>78940</v>
      </c>
      <c r="I228" s="1472">
        <v>78797</v>
      </c>
      <c r="J228" s="1470">
        <v>0</v>
      </c>
      <c r="K228" s="1470">
        <v>0</v>
      </c>
      <c r="L228" s="1470">
        <v>0</v>
      </c>
      <c r="M228" s="1475"/>
      <c r="N228" s="777">
        <f t="shared" si="183"/>
        <v>232560</v>
      </c>
      <c r="O228" s="3981"/>
      <c r="P228" s="1562"/>
    </row>
    <row r="229" spans="1:16" s="1563" customFormat="1">
      <c r="A229" s="3991"/>
      <c r="B229" s="1167" t="s">
        <v>18</v>
      </c>
      <c r="C229" s="3997"/>
      <c r="D229" s="1176">
        <f>+D230</f>
        <v>3014884</v>
      </c>
      <c r="E229" s="1387">
        <f t="shared" ref="E229:L229" si="184">+E230</f>
        <v>0</v>
      </c>
      <c r="F229" s="1387">
        <f t="shared" si="184"/>
        <v>0</v>
      </c>
      <c r="G229" s="1176">
        <f t="shared" si="184"/>
        <v>963825</v>
      </c>
      <c r="H229" s="1176">
        <f t="shared" si="184"/>
        <v>1026141</v>
      </c>
      <c r="I229" s="1176">
        <f t="shared" si="184"/>
        <v>1024918</v>
      </c>
      <c r="J229" s="1387">
        <f t="shared" si="184"/>
        <v>0</v>
      </c>
      <c r="K229" s="1387">
        <f t="shared" si="184"/>
        <v>0</v>
      </c>
      <c r="L229" s="1387">
        <f t="shared" si="184"/>
        <v>0</v>
      </c>
      <c r="M229" s="1177">
        <f>+M230</f>
        <v>3014884</v>
      </c>
      <c r="N229" s="1177">
        <f>+N230</f>
        <v>3014884</v>
      </c>
      <c r="O229" s="3981"/>
      <c r="P229" s="1562">
        <f>D229-D236</f>
        <v>0</v>
      </c>
    </row>
    <row r="230" spans="1:16" s="1563" customFormat="1">
      <c r="A230" s="3991"/>
      <c r="B230" s="1170" t="s">
        <v>21</v>
      </c>
      <c r="C230" s="3997"/>
      <c r="D230" s="1159">
        <f>E230+F230+G230+H230+I230+J230+K230+L230</f>
        <v>3014884</v>
      </c>
      <c r="E230" s="1459">
        <v>0</v>
      </c>
      <c r="F230" s="1476">
        <v>0</v>
      </c>
      <c r="G230" s="1173">
        <f>G231+G232</f>
        <v>963825</v>
      </c>
      <c r="H230" s="1173">
        <f t="shared" ref="H230:L230" si="185">H231+H232</f>
        <v>1026141</v>
      </c>
      <c r="I230" s="1173">
        <f t="shared" si="185"/>
        <v>1024918</v>
      </c>
      <c r="J230" s="1476">
        <f t="shared" si="185"/>
        <v>0</v>
      </c>
      <c r="K230" s="1476">
        <f t="shared" si="185"/>
        <v>0</v>
      </c>
      <c r="L230" s="1476">
        <f t="shared" si="185"/>
        <v>0</v>
      </c>
      <c r="M230" s="777">
        <f>SUM(F230:K230)</f>
        <v>3014884</v>
      </c>
      <c r="N230" s="777">
        <f>SUM(G230:L230)</f>
        <v>3014884</v>
      </c>
      <c r="O230" s="3981"/>
      <c r="P230" s="1562"/>
    </row>
    <row r="231" spans="1:16" s="1563" customFormat="1" ht="12.75" hidden="1" customHeight="1">
      <c r="A231" s="3991"/>
      <c r="B231" s="1461" t="s">
        <v>304</v>
      </c>
      <c r="C231" s="1477"/>
      <c r="D231" s="1462">
        <f>SUM(E231:L231)</f>
        <v>1038122</v>
      </c>
      <c r="E231" s="1463">
        <v>0</v>
      </c>
      <c r="F231" s="1463">
        <v>0</v>
      </c>
      <c r="G231" s="1465">
        <v>327828</v>
      </c>
      <c r="H231" s="1465">
        <v>355147</v>
      </c>
      <c r="I231" s="1465">
        <v>355147</v>
      </c>
      <c r="J231" s="1463">
        <v>0</v>
      </c>
      <c r="K231" s="1463">
        <v>0</v>
      </c>
      <c r="L231" s="1463">
        <v>0</v>
      </c>
      <c r="M231" s="1466"/>
      <c r="N231" s="1467">
        <f>SUM(G231:L231)</f>
        <v>1038122</v>
      </c>
      <c r="O231" s="3981"/>
      <c r="P231" s="1562"/>
    </row>
    <row r="232" spans="1:16" s="1563" customFormat="1" hidden="1">
      <c r="A232" s="3991"/>
      <c r="B232" s="1468" t="s">
        <v>322</v>
      </c>
      <c r="C232" s="1478"/>
      <c r="D232" s="1469">
        <f>SUM(E232:L232)</f>
        <v>1976762</v>
      </c>
      <c r="E232" s="1470">
        <v>0</v>
      </c>
      <c r="F232" s="1470">
        <v>0</v>
      </c>
      <c r="G232" s="1472">
        <v>635997</v>
      </c>
      <c r="H232" s="1472">
        <v>670994</v>
      </c>
      <c r="I232" s="1472">
        <v>669771</v>
      </c>
      <c r="J232" s="1470">
        <v>0</v>
      </c>
      <c r="K232" s="1470">
        <v>0</v>
      </c>
      <c r="L232" s="1470">
        <v>0</v>
      </c>
      <c r="M232" s="1466"/>
      <c r="N232" s="1467">
        <f>SUM(G232:L232)</f>
        <v>1976762</v>
      </c>
      <c r="O232" s="3982"/>
      <c r="P232" s="1562"/>
    </row>
    <row r="233" spans="1:16" s="1563" customFormat="1">
      <c r="A233" s="3993"/>
      <c r="B233" s="1163" t="s">
        <v>22</v>
      </c>
      <c r="C233" s="1163"/>
      <c r="D233" s="1179">
        <f>D236+D234</f>
        <v>3369576</v>
      </c>
      <c r="E233" s="1479">
        <f t="shared" ref="E233:L233" si="186">E236+E234</f>
        <v>0</v>
      </c>
      <c r="F233" s="1479">
        <f t="shared" si="186"/>
        <v>0</v>
      </c>
      <c r="G233" s="1179">
        <f t="shared" si="186"/>
        <v>1077216</v>
      </c>
      <c r="H233" s="1179">
        <f t="shared" si="186"/>
        <v>1146863</v>
      </c>
      <c r="I233" s="1179">
        <f t="shared" si="186"/>
        <v>1145497</v>
      </c>
      <c r="J233" s="1479">
        <f t="shared" si="186"/>
        <v>0</v>
      </c>
      <c r="K233" s="1479">
        <f t="shared" si="186"/>
        <v>0</v>
      </c>
      <c r="L233" s="1479">
        <f t="shared" si="186"/>
        <v>0</v>
      </c>
      <c r="M233" s="3999" t="s">
        <v>61</v>
      </c>
      <c r="N233" s="3999" t="s">
        <v>61</v>
      </c>
      <c r="O233" s="4001" t="s">
        <v>627</v>
      </c>
      <c r="P233" s="1562"/>
    </row>
    <row r="234" spans="1:16" s="1563" customFormat="1">
      <c r="A234" s="3994"/>
      <c r="B234" s="1425" t="s">
        <v>24</v>
      </c>
      <c r="C234" s="4004" t="s">
        <v>467</v>
      </c>
      <c r="D234" s="1176">
        <f t="shared" ref="D234:L236" si="187">+D235</f>
        <v>354692</v>
      </c>
      <c r="E234" s="1387">
        <f t="shared" si="187"/>
        <v>0</v>
      </c>
      <c r="F234" s="1387">
        <f t="shared" si="187"/>
        <v>0</v>
      </c>
      <c r="G234" s="1176">
        <f t="shared" si="187"/>
        <v>113391</v>
      </c>
      <c r="H234" s="1176">
        <f t="shared" si="187"/>
        <v>120722</v>
      </c>
      <c r="I234" s="1176">
        <f t="shared" si="187"/>
        <v>120579</v>
      </c>
      <c r="J234" s="1387">
        <f t="shared" si="187"/>
        <v>0</v>
      </c>
      <c r="K234" s="1387">
        <f t="shared" si="187"/>
        <v>0</v>
      </c>
      <c r="L234" s="1387">
        <f t="shared" si="187"/>
        <v>0</v>
      </c>
      <c r="M234" s="3986"/>
      <c r="N234" s="3986"/>
      <c r="O234" s="4002"/>
      <c r="P234" s="1562"/>
    </row>
    <row r="235" spans="1:16" s="1563" customFormat="1">
      <c r="A235" s="3994"/>
      <c r="B235" s="739" t="s">
        <v>13</v>
      </c>
      <c r="C235" s="4005"/>
      <c r="D235" s="1159">
        <f>E235+F235+G235+H235+I235+J235+K235+L235</f>
        <v>354692</v>
      </c>
      <c r="E235" s="1481">
        <v>0</v>
      </c>
      <c r="F235" s="1481">
        <v>0</v>
      </c>
      <c r="G235" s="1482">
        <v>113391</v>
      </c>
      <c r="H235" s="1482">
        <v>120722</v>
      </c>
      <c r="I235" s="1482">
        <v>120579</v>
      </c>
      <c r="J235" s="1481">
        <v>0</v>
      </c>
      <c r="K235" s="1481">
        <v>0</v>
      </c>
      <c r="L235" s="1481">
        <v>0</v>
      </c>
      <c r="M235" s="3986"/>
      <c r="N235" s="3986"/>
      <c r="O235" s="4002"/>
      <c r="P235" s="1562"/>
    </row>
    <row r="236" spans="1:16" s="1563" customFormat="1">
      <c r="A236" s="3993"/>
      <c r="B236" s="1167" t="s">
        <v>18</v>
      </c>
      <c r="C236" s="4005"/>
      <c r="D236" s="1411">
        <f t="shared" si="187"/>
        <v>3014884</v>
      </c>
      <c r="E236" s="1387">
        <f t="shared" si="187"/>
        <v>0</v>
      </c>
      <c r="F236" s="1387">
        <f t="shared" si="187"/>
        <v>0</v>
      </c>
      <c r="G236" s="1176">
        <f t="shared" si="187"/>
        <v>963825</v>
      </c>
      <c r="H236" s="1176">
        <f t="shared" si="187"/>
        <v>1026141</v>
      </c>
      <c r="I236" s="1176">
        <f t="shared" si="187"/>
        <v>1024918</v>
      </c>
      <c r="J236" s="1387">
        <f t="shared" si="187"/>
        <v>0</v>
      </c>
      <c r="K236" s="1387">
        <f t="shared" si="187"/>
        <v>0</v>
      </c>
      <c r="L236" s="1387">
        <f t="shared" si="187"/>
        <v>0</v>
      </c>
      <c r="M236" s="3999"/>
      <c r="N236" s="3999"/>
      <c r="O236" s="4002"/>
      <c r="P236" s="1562"/>
    </row>
    <row r="237" spans="1:16" s="1563" customFormat="1" ht="13.5" thickBot="1">
      <c r="A237" s="3995"/>
      <c r="B237" s="532" t="s">
        <v>21</v>
      </c>
      <c r="C237" s="4006"/>
      <c r="D237" s="701">
        <f>E237+F237+G237+H237+I237+J237+K237+L237</f>
        <v>3014884</v>
      </c>
      <c r="E237" s="546">
        <v>0</v>
      </c>
      <c r="F237" s="736">
        <v>0</v>
      </c>
      <c r="G237" s="425">
        <v>963825</v>
      </c>
      <c r="H237" s="425">
        <v>1026141</v>
      </c>
      <c r="I237" s="425">
        <v>1024918</v>
      </c>
      <c r="J237" s="736">
        <v>0</v>
      </c>
      <c r="K237" s="736">
        <v>0</v>
      </c>
      <c r="L237" s="736">
        <v>0</v>
      </c>
      <c r="M237" s="4000"/>
      <c r="N237" s="4000"/>
      <c r="O237" s="4003"/>
      <c r="P237" s="1562"/>
    </row>
    <row r="238" spans="1:16" s="1563" customFormat="1" ht="27" customHeight="1">
      <c r="A238" s="3990" t="s">
        <v>97</v>
      </c>
      <c r="B238" s="1088" t="s">
        <v>726</v>
      </c>
      <c r="C238" s="1089" t="s">
        <v>110</v>
      </c>
      <c r="D238" s="58"/>
      <c r="E238" s="40"/>
      <c r="F238" s="40"/>
      <c r="G238" s="40"/>
      <c r="H238" s="40"/>
      <c r="I238" s="40"/>
      <c r="J238" s="40"/>
      <c r="K238" s="40"/>
      <c r="L238" s="40"/>
      <c r="M238" s="531"/>
      <c r="N238" s="531"/>
      <c r="O238" s="3980" t="s">
        <v>328</v>
      </c>
      <c r="P238" s="1562"/>
    </row>
    <row r="239" spans="1:16" s="1563" customFormat="1">
      <c r="A239" s="3991"/>
      <c r="B239" s="1163" t="s">
        <v>10</v>
      </c>
      <c r="C239" s="1090"/>
      <c r="D239" s="1164">
        <f t="shared" ref="D239:N239" si="188">+D240+D244</f>
        <v>2855372</v>
      </c>
      <c r="E239" s="1457">
        <f t="shared" si="188"/>
        <v>0</v>
      </c>
      <c r="F239" s="1457">
        <f t="shared" si="188"/>
        <v>0</v>
      </c>
      <c r="G239" s="1165">
        <f t="shared" si="188"/>
        <v>1013826</v>
      </c>
      <c r="H239" s="1165">
        <f t="shared" si="188"/>
        <v>1052185</v>
      </c>
      <c r="I239" s="1165">
        <f t="shared" si="188"/>
        <v>789361</v>
      </c>
      <c r="J239" s="1165">
        <f t="shared" si="188"/>
        <v>0</v>
      </c>
      <c r="K239" s="1165">
        <f t="shared" si="188"/>
        <v>0</v>
      </c>
      <c r="L239" s="1457">
        <f t="shared" si="188"/>
        <v>0</v>
      </c>
      <c r="M239" s="1166" t="e">
        <f t="shared" si="188"/>
        <v>#REF!</v>
      </c>
      <c r="N239" s="1166">
        <f t="shared" si="188"/>
        <v>2855372</v>
      </c>
      <c r="O239" s="3981"/>
      <c r="P239" s="1562">
        <f>D239+D254</f>
        <v>3392273</v>
      </c>
    </row>
    <row r="240" spans="1:16" s="1563" customFormat="1">
      <c r="A240" s="3991"/>
      <c r="B240" s="1167" t="s">
        <v>24</v>
      </c>
      <c r="C240" s="3996" t="s">
        <v>628</v>
      </c>
      <c r="D240" s="1168">
        <f>+D241</f>
        <v>81289</v>
      </c>
      <c r="E240" s="1458">
        <f t="shared" ref="E240:L240" si="189">+E241</f>
        <v>0</v>
      </c>
      <c r="F240" s="1458">
        <f t="shared" si="189"/>
        <v>0</v>
      </c>
      <c r="G240" s="1168">
        <f t="shared" si="189"/>
        <v>28894</v>
      </c>
      <c r="H240" s="1168">
        <f t="shared" si="189"/>
        <v>29987</v>
      </c>
      <c r="I240" s="1168">
        <f t="shared" si="189"/>
        <v>22408</v>
      </c>
      <c r="J240" s="1168">
        <f t="shared" si="189"/>
        <v>0</v>
      </c>
      <c r="K240" s="1168">
        <f t="shared" si="189"/>
        <v>0</v>
      </c>
      <c r="L240" s="1168">
        <f t="shared" si="189"/>
        <v>0</v>
      </c>
      <c r="M240" s="1169" t="e">
        <f>+#REF!</f>
        <v>#REF!</v>
      </c>
      <c r="N240" s="1169">
        <f>+N241</f>
        <v>81289</v>
      </c>
      <c r="O240" s="3981"/>
      <c r="P240" s="1562"/>
    </row>
    <row r="241" spans="1:16" s="1563" customFormat="1">
      <c r="A241" s="3992"/>
      <c r="B241" s="739" t="s">
        <v>13</v>
      </c>
      <c r="C241" s="3998"/>
      <c r="D241" s="1159">
        <f>E241+F241+G241+H241+I241+J241+K241+L241</f>
        <v>81289</v>
      </c>
      <c r="E241" s="1459">
        <v>0</v>
      </c>
      <c r="F241" s="1460">
        <v>0</v>
      </c>
      <c r="G241" s="1172">
        <f>G242+G243</f>
        <v>28894</v>
      </c>
      <c r="H241" s="1172">
        <f t="shared" ref="H241:L241" si="190">H242+H243</f>
        <v>29987</v>
      </c>
      <c r="I241" s="1172">
        <f t="shared" si="190"/>
        <v>22408</v>
      </c>
      <c r="J241" s="1172">
        <f t="shared" si="190"/>
        <v>0</v>
      </c>
      <c r="K241" s="1172">
        <f t="shared" si="190"/>
        <v>0</v>
      </c>
      <c r="L241" s="1460">
        <f t="shared" si="190"/>
        <v>0</v>
      </c>
      <c r="M241" s="1473"/>
      <c r="N241" s="759">
        <f>SUM(G241:L241)</f>
        <v>81289</v>
      </c>
      <c r="O241" s="3981"/>
      <c r="P241" s="1562">
        <f>D241-D250</f>
        <v>0</v>
      </c>
    </row>
    <row r="242" spans="1:16" s="1563" customFormat="1" hidden="1">
      <c r="A242" s="3992"/>
      <c r="B242" s="1461" t="s">
        <v>304</v>
      </c>
      <c r="C242" s="3998"/>
      <c r="D242" s="1462">
        <f>SUM(E242:L242)</f>
        <v>17859</v>
      </c>
      <c r="E242" s="1463">
        <v>0</v>
      </c>
      <c r="F242" s="1464">
        <v>0</v>
      </c>
      <c r="G242" s="1465">
        <v>7649</v>
      </c>
      <c r="H242" s="1465">
        <v>5437</v>
      </c>
      <c r="I242" s="1465">
        <v>4773</v>
      </c>
      <c r="J242" s="1465"/>
      <c r="K242" s="1465"/>
      <c r="L242" s="1463">
        <v>0</v>
      </c>
      <c r="M242" s="1475"/>
      <c r="N242" s="777">
        <f t="shared" ref="N242:N243" si="191">SUM(G242:L242)</f>
        <v>17859</v>
      </c>
      <c r="O242" s="3981"/>
      <c r="P242" s="1562"/>
    </row>
    <row r="243" spans="1:16" s="1563" customFormat="1" hidden="1">
      <c r="A243" s="3992"/>
      <c r="B243" s="1468" t="s">
        <v>322</v>
      </c>
      <c r="C243" s="3998"/>
      <c r="D243" s="1469">
        <f>SUM(E243:L243)</f>
        <v>63430</v>
      </c>
      <c r="E243" s="1470">
        <v>0</v>
      </c>
      <c r="F243" s="1471">
        <v>0</v>
      </c>
      <c r="G243" s="1472">
        <v>21245</v>
      </c>
      <c r="H243" s="1472">
        <v>24550</v>
      </c>
      <c r="I243" s="1472">
        <v>17635</v>
      </c>
      <c r="J243" s="1472"/>
      <c r="K243" s="1472"/>
      <c r="L243" s="1470">
        <v>0</v>
      </c>
      <c r="M243" s="1475"/>
      <c r="N243" s="777">
        <f t="shared" si="191"/>
        <v>63430</v>
      </c>
      <c r="O243" s="3981"/>
      <c r="P243" s="1562"/>
    </row>
    <row r="244" spans="1:16" s="1563" customFormat="1">
      <c r="A244" s="3991"/>
      <c r="B244" s="1167" t="s">
        <v>18</v>
      </c>
      <c r="C244" s="3997"/>
      <c r="D244" s="1176">
        <f>+D245</f>
        <v>2774083</v>
      </c>
      <c r="E244" s="1387">
        <f t="shared" ref="E244:L244" si="192">+E245</f>
        <v>0</v>
      </c>
      <c r="F244" s="1387">
        <f t="shared" si="192"/>
        <v>0</v>
      </c>
      <c r="G244" s="1176">
        <f t="shared" si="192"/>
        <v>984932</v>
      </c>
      <c r="H244" s="1176">
        <f t="shared" si="192"/>
        <v>1022198</v>
      </c>
      <c r="I244" s="1176">
        <f t="shared" si="192"/>
        <v>766953</v>
      </c>
      <c r="J244" s="1176">
        <f t="shared" si="192"/>
        <v>0</v>
      </c>
      <c r="K244" s="1176">
        <f t="shared" si="192"/>
        <v>0</v>
      </c>
      <c r="L244" s="1387">
        <f t="shared" si="192"/>
        <v>0</v>
      </c>
      <c r="M244" s="1177">
        <f>+M245</f>
        <v>2774083</v>
      </c>
      <c r="N244" s="1177">
        <f>+N245</f>
        <v>2774083</v>
      </c>
      <c r="O244" s="3981"/>
      <c r="P244" s="1562">
        <f>D244-D251</f>
        <v>0</v>
      </c>
    </row>
    <row r="245" spans="1:16" s="1563" customFormat="1">
      <c r="A245" s="3991"/>
      <c r="B245" s="1170" t="s">
        <v>21</v>
      </c>
      <c r="C245" s="3997"/>
      <c r="D245" s="1159">
        <f>E245+F245+G245+H245+I245+J245+K245+L245</f>
        <v>2774083</v>
      </c>
      <c r="E245" s="1459">
        <v>0</v>
      </c>
      <c r="F245" s="1476">
        <v>0</v>
      </c>
      <c r="G245" s="1173">
        <f>G246+G247</f>
        <v>984932</v>
      </c>
      <c r="H245" s="1173">
        <f t="shared" ref="H245:L245" si="193">H246+H247</f>
        <v>1022198</v>
      </c>
      <c r="I245" s="1173">
        <f t="shared" si="193"/>
        <v>766953</v>
      </c>
      <c r="J245" s="1173">
        <f t="shared" si="193"/>
        <v>0</v>
      </c>
      <c r="K245" s="1173">
        <f t="shared" si="193"/>
        <v>0</v>
      </c>
      <c r="L245" s="1476">
        <f t="shared" si="193"/>
        <v>0</v>
      </c>
      <c r="M245" s="777">
        <f>SUM(F245:K245)</f>
        <v>2774083</v>
      </c>
      <c r="N245" s="777">
        <f>SUM(G245:L245)</f>
        <v>2774083</v>
      </c>
      <c r="O245" s="3981"/>
      <c r="P245" s="1562"/>
    </row>
    <row r="246" spans="1:16" s="1563" customFormat="1" hidden="1">
      <c r="A246" s="3991"/>
      <c r="B246" s="1461" t="s">
        <v>304</v>
      </c>
      <c r="C246" s="1477"/>
      <c r="D246" s="1462">
        <f>SUM(E246:L246)</f>
        <v>608761</v>
      </c>
      <c r="E246" s="1463">
        <v>0</v>
      </c>
      <c r="F246" s="1463">
        <v>0</v>
      </c>
      <c r="G246" s="1465">
        <v>260714</v>
      </c>
      <c r="H246" s="1465">
        <v>185342</v>
      </c>
      <c r="I246" s="1465">
        <v>162705</v>
      </c>
      <c r="J246" s="1465">
        <v>0</v>
      </c>
      <c r="K246" s="1465">
        <v>0</v>
      </c>
      <c r="L246" s="1463">
        <v>0</v>
      </c>
      <c r="M246" s="1466"/>
      <c r="N246" s="1467">
        <f>SUM(G246:L246)</f>
        <v>608761</v>
      </c>
      <c r="O246" s="3981"/>
      <c r="P246" s="1562"/>
    </row>
    <row r="247" spans="1:16" s="1563" customFormat="1" hidden="1">
      <c r="A247" s="3991"/>
      <c r="B247" s="1468" t="s">
        <v>322</v>
      </c>
      <c r="C247" s="1478"/>
      <c r="D247" s="1469">
        <f>SUM(E247:L247)</f>
        <v>2165322</v>
      </c>
      <c r="E247" s="1470">
        <v>0</v>
      </c>
      <c r="F247" s="1470">
        <v>0</v>
      </c>
      <c r="G247" s="1472">
        <v>724218</v>
      </c>
      <c r="H247" s="1472">
        <v>836856</v>
      </c>
      <c r="I247" s="1472">
        <v>604248</v>
      </c>
      <c r="J247" s="1472"/>
      <c r="K247" s="1472"/>
      <c r="L247" s="1470">
        <v>0</v>
      </c>
      <c r="M247" s="1466"/>
      <c r="N247" s="1467">
        <f>SUM(G247:L247)</f>
        <v>2165322</v>
      </c>
      <c r="O247" s="3982"/>
      <c r="P247" s="1562"/>
    </row>
    <row r="248" spans="1:16" s="1563" customFormat="1">
      <c r="A248" s="3993"/>
      <c r="B248" s="1163" t="s">
        <v>22</v>
      </c>
      <c r="C248" s="1163"/>
      <c r="D248" s="1179">
        <f>D251+D249</f>
        <v>2855372</v>
      </c>
      <c r="E248" s="1479">
        <f t="shared" ref="E248:L248" si="194">E251+E249</f>
        <v>0</v>
      </c>
      <c r="F248" s="1479">
        <f t="shared" si="194"/>
        <v>0</v>
      </c>
      <c r="G248" s="1179">
        <f t="shared" si="194"/>
        <v>1013826</v>
      </c>
      <c r="H248" s="1179">
        <f t="shared" si="194"/>
        <v>1052185</v>
      </c>
      <c r="I248" s="1179">
        <f t="shared" si="194"/>
        <v>789361</v>
      </c>
      <c r="J248" s="1179">
        <f t="shared" si="194"/>
        <v>0</v>
      </c>
      <c r="K248" s="1179">
        <f t="shared" si="194"/>
        <v>0</v>
      </c>
      <c r="L248" s="1479">
        <f t="shared" si="194"/>
        <v>0</v>
      </c>
      <c r="M248" s="3999" t="s">
        <v>61</v>
      </c>
      <c r="N248" s="3999" t="s">
        <v>61</v>
      </c>
      <c r="O248" s="4001" t="s">
        <v>627</v>
      </c>
      <c r="P248" s="1562"/>
    </row>
    <row r="249" spans="1:16" s="1563" customFormat="1" ht="12.75" customHeight="1">
      <c r="A249" s="3994"/>
      <c r="B249" s="1425" t="s">
        <v>24</v>
      </c>
      <c r="C249" s="4004" t="s">
        <v>467</v>
      </c>
      <c r="D249" s="1176">
        <f t="shared" ref="D249:L251" si="195">+D250</f>
        <v>81289</v>
      </c>
      <c r="E249" s="1387">
        <f t="shared" si="195"/>
        <v>0</v>
      </c>
      <c r="F249" s="1387">
        <f t="shared" si="195"/>
        <v>0</v>
      </c>
      <c r="G249" s="1176">
        <f t="shared" si="195"/>
        <v>28894</v>
      </c>
      <c r="H249" s="1176">
        <f t="shared" si="195"/>
        <v>29987</v>
      </c>
      <c r="I249" s="1176">
        <f t="shared" si="195"/>
        <v>22408</v>
      </c>
      <c r="J249" s="1176">
        <f t="shared" si="195"/>
        <v>0</v>
      </c>
      <c r="K249" s="1176">
        <f t="shared" si="195"/>
        <v>0</v>
      </c>
      <c r="L249" s="1387">
        <f t="shared" si="195"/>
        <v>0</v>
      </c>
      <c r="M249" s="3986"/>
      <c r="N249" s="3986"/>
      <c r="O249" s="4002"/>
      <c r="P249" s="1562"/>
    </row>
    <row r="250" spans="1:16" s="1563" customFormat="1">
      <c r="A250" s="3994"/>
      <c r="B250" s="739" t="s">
        <v>13</v>
      </c>
      <c r="C250" s="4005"/>
      <c r="D250" s="1213">
        <f>E250+F250+G250+H250+I250+J250+K250+L250</f>
        <v>81289</v>
      </c>
      <c r="E250" s="1481">
        <v>0</v>
      </c>
      <c r="F250" s="1481">
        <v>0</v>
      </c>
      <c r="G250" s="1482">
        <v>28894</v>
      </c>
      <c r="H250" s="1482">
        <v>29987</v>
      </c>
      <c r="I250" s="1482">
        <v>22408</v>
      </c>
      <c r="J250" s="1482"/>
      <c r="K250" s="1482"/>
      <c r="L250" s="1481">
        <v>0</v>
      </c>
      <c r="M250" s="3986"/>
      <c r="N250" s="3986"/>
      <c r="O250" s="4002"/>
      <c r="P250" s="1562"/>
    </row>
    <row r="251" spans="1:16" s="1563" customFormat="1">
      <c r="A251" s="3993"/>
      <c r="B251" s="1167" t="s">
        <v>18</v>
      </c>
      <c r="C251" s="4005"/>
      <c r="D251" s="1411">
        <f t="shared" si="195"/>
        <v>2774083</v>
      </c>
      <c r="E251" s="1387">
        <f t="shared" si="195"/>
        <v>0</v>
      </c>
      <c r="F251" s="1387">
        <f t="shared" si="195"/>
        <v>0</v>
      </c>
      <c r="G251" s="1176">
        <f t="shared" si="195"/>
        <v>984932</v>
      </c>
      <c r="H251" s="1176">
        <f t="shared" si="195"/>
        <v>1022198</v>
      </c>
      <c r="I251" s="1176">
        <f t="shared" si="195"/>
        <v>766953</v>
      </c>
      <c r="J251" s="1176">
        <f t="shared" si="195"/>
        <v>0</v>
      </c>
      <c r="K251" s="1176">
        <f t="shared" si="195"/>
        <v>0</v>
      </c>
      <c r="L251" s="1387">
        <f t="shared" si="195"/>
        <v>0</v>
      </c>
      <c r="M251" s="3999"/>
      <c r="N251" s="3999"/>
      <c r="O251" s="4002"/>
      <c r="P251" s="1562"/>
    </row>
    <row r="252" spans="1:16" s="1563" customFormat="1" ht="13.5" thickBot="1">
      <c r="A252" s="3995"/>
      <c r="B252" s="532" t="s">
        <v>21</v>
      </c>
      <c r="C252" s="4006"/>
      <c r="D252" s="701">
        <f>E252+F252+G252+H252+I252+J252+K252+L252</f>
        <v>2774083</v>
      </c>
      <c r="E252" s="546">
        <v>0</v>
      </c>
      <c r="F252" s="736">
        <v>0</v>
      </c>
      <c r="G252" s="425">
        <v>984932</v>
      </c>
      <c r="H252" s="425">
        <v>1022198</v>
      </c>
      <c r="I252" s="425">
        <v>766953</v>
      </c>
      <c r="J252" s="425"/>
      <c r="K252" s="425"/>
      <c r="L252" s="736">
        <v>0</v>
      </c>
      <c r="M252" s="4000"/>
      <c r="N252" s="4000"/>
      <c r="O252" s="4003"/>
      <c r="P252" s="1562"/>
    </row>
    <row r="253" spans="1:16" s="1563" customFormat="1" ht="27" customHeight="1">
      <c r="A253" s="3990" t="s">
        <v>98</v>
      </c>
      <c r="B253" s="1088" t="s">
        <v>727</v>
      </c>
      <c r="C253" s="1089" t="s">
        <v>82</v>
      </c>
      <c r="D253" s="58"/>
      <c r="E253" s="40"/>
      <c r="F253" s="40"/>
      <c r="G253" s="40"/>
      <c r="H253" s="40"/>
      <c r="I253" s="40"/>
      <c r="J253" s="40"/>
      <c r="K253" s="40"/>
      <c r="L253" s="40"/>
      <c r="M253" s="531"/>
      <c r="N253" s="531"/>
      <c r="O253" s="3980" t="s">
        <v>634</v>
      </c>
      <c r="P253" s="1562"/>
    </row>
    <row r="254" spans="1:16" s="1563" customFormat="1">
      <c r="A254" s="3991"/>
      <c r="B254" s="1163" t="s">
        <v>10</v>
      </c>
      <c r="C254" s="1090"/>
      <c r="D254" s="1164">
        <f t="shared" ref="D254:N254" si="196">+D255+D257</f>
        <v>536901</v>
      </c>
      <c r="E254" s="1457">
        <f t="shared" si="196"/>
        <v>0</v>
      </c>
      <c r="F254" s="1457">
        <f t="shared" si="196"/>
        <v>0</v>
      </c>
      <c r="G254" s="1165">
        <f t="shared" si="196"/>
        <v>536901</v>
      </c>
      <c r="H254" s="1165">
        <f t="shared" si="196"/>
        <v>0</v>
      </c>
      <c r="I254" s="1165">
        <f t="shared" si="196"/>
        <v>0</v>
      </c>
      <c r="J254" s="1165">
        <f t="shared" si="196"/>
        <v>0</v>
      </c>
      <c r="K254" s="1165">
        <f t="shared" si="196"/>
        <v>0</v>
      </c>
      <c r="L254" s="1457">
        <f t="shared" si="196"/>
        <v>0</v>
      </c>
      <c r="M254" s="1166" t="e">
        <f t="shared" si="196"/>
        <v>#REF!</v>
      </c>
      <c r="N254" s="1166">
        <f t="shared" si="196"/>
        <v>536901</v>
      </c>
      <c r="O254" s="3981"/>
      <c r="P254" s="1562"/>
    </row>
    <row r="255" spans="1:16" s="1563" customFormat="1">
      <c r="A255" s="3991"/>
      <c r="B255" s="1167" t="s">
        <v>24</v>
      </c>
      <c r="C255" s="3996" t="s">
        <v>635</v>
      </c>
      <c r="D255" s="1168">
        <f>+D256</f>
        <v>15302</v>
      </c>
      <c r="E255" s="1458">
        <f t="shared" ref="E255:L255" si="197">+E256</f>
        <v>0</v>
      </c>
      <c r="F255" s="1458">
        <f t="shared" si="197"/>
        <v>0</v>
      </c>
      <c r="G255" s="1168">
        <f t="shared" si="197"/>
        <v>15302</v>
      </c>
      <c r="H255" s="1168">
        <f t="shared" si="197"/>
        <v>0</v>
      </c>
      <c r="I255" s="1168">
        <f t="shared" si="197"/>
        <v>0</v>
      </c>
      <c r="J255" s="1168">
        <f t="shared" si="197"/>
        <v>0</v>
      </c>
      <c r="K255" s="1168">
        <f t="shared" si="197"/>
        <v>0</v>
      </c>
      <c r="L255" s="1168">
        <f t="shared" si="197"/>
        <v>0</v>
      </c>
      <c r="M255" s="1169" t="e">
        <f>+#REF!</f>
        <v>#REF!</v>
      </c>
      <c r="N255" s="1169">
        <f>+N256</f>
        <v>15302</v>
      </c>
      <c r="O255" s="3981"/>
      <c r="P255" s="1562"/>
    </row>
    <row r="256" spans="1:16" s="1563" customFormat="1">
      <c r="A256" s="3992"/>
      <c r="B256" s="739" t="s">
        <v>13</v>
      </c>
      <c r="C256" s="3998"/>
      <c r="D256" s="1159">
        <f>E256+F256+G256+H256+I256+J256+K256+L256</f>
        <v>15302</v>
      </c>
      <c r="E256" s="1459">
        <v>0</v>
      </c>
      <c r="F256" s="1460">
        <v>0</v>
      </c>
      <c r="G256" s="1172">
        <v>15302</v>
      </c>
      <c r="H256" s="1172"/>
      <c r="I256" s="1172"/>
      <c r="J256" s="1172"/>
      <c r="K256" s="1172"/>
      <c r="L256" s="1460"/>
      <c r="M256" s="1473"/>
      <c r="N256" s="759">
        <f>SUM(G256:L256)</f>
        <v>15302</v>
      </c>
      <c r="O256" s="3981"/>
      <c r="P256" s="1562"/>
    </row>
    <row r="257" spans="1:16" s="1563" customFormat="1">
      <c r="A257" s="3991"/>
      <c r="B257" s="1167" t="s">
        <v>18</v>
      </c>
      <c r="C257" s="3997"/>
      <c r="D257" s="1176">
        <f>+D258</f>
        <v>521599</v>
      </c>
      <c r="E257" s="1387">
        <f t="shared" ref="E257:L257" si="198">+E258</f>
        <v>0</v>
      </c>
      <c r="F257" s="1387">
        <f t="shared" si="198"/>
        <v>0</v>
      </c>
      <c r="G257" s="1176">
        <f t="shared" si="198"/>
        <v>521599</v>
      </c>
      <c r="H257" s="1176">
        <f t="shared" si="198"/>
        <v>0</v>
      </c>
      <c r="I257" s="1176">
        <f t="shared" si="198"/>
        <v>0</v>
      </c>
      <c r="J257" s="1176">
        <f t="shared" si="198"/>
        <v>0</v>
      </c>
      <c r="K257" s="1176">
        <f t="shared" si="198"/>
        <v>0</v>
      </c>
      <c r="L257" s="1387">
        <f t="shared" si="198"/>
        <v>0</v>
      </c>
      <c r="M257" s="1177">
        <f>+M258</f>
        <v>521599</v>
      </c>
      <c r="N257" s="1177">
        <f>+N258</f>
        <v>521599</v>
      </c>
      <c r="O257" s="3981"/>
      <c r="P257" s="1562"/>
    </row>
    <row r="258" spans="1:16" s="1563" customFormat="1">
      <c r="A258" s="3991"/>
      <c r="B258" s="1170" t="s">
        <v>21</v>
      </c>
      <c r="C258" s="3997"/>
      <c r="D258" s="1159">
        <f>E258+F258+G258+H258+I258+J258+K258+L258</f>
        <v>521599</v>
      </c>
      <c r="E258" s="1459">
        <v>0</v>
      </c>
      <c r="F258" s="1476">
        <v>0</v>
      </c>
      <c r="G258" s="1173">
        <v>521599</v>
      </c>
      <c r="H258" s="1173"/>
      <c r="I258" s="1173"/>
      <c r="J258" s="1173"/>
      <c r="K258" s="1173"/>
      <c r="L258" s="1476"/>
      <c r="M258" s="777">
        <f>SUM(F258:K258)</f>
        <v>521599</v>
      </c>
      <c r="N258" s="777">
        <f>SUM(G258:L258)</f>
        <v>521599</v>
      </c>
      <c r="O258" s="3981"/>
      <c r="P258" s="1562"/>
    </row>
    <row r="259" spans="1:16" s="1563" customFormat="1">
      <c r="A259" s="3993"/>
      <c r="B259" s="1163" t="s">
        <v>22</v>
      </c>
      <c r="C259" s="1163"/>
      <c r="D259" s="1179">
        <f>D262+D260</f>
        <v>536901</v>
      </c>
      <c r="E259" s="1479">
        <f t="shared" ref="E259:L259" si="199">E262+E260</f>
        <v>0</v>
      </c>
      <c r="F259" s="1479">
        <f t="shared" si="199"/>
        <v>0</v>
      </c>
      <c r="G259" s="1179">
        <f t="shared" si="199"/>
        <v>536901</v>
      </c>
      <c r="H259" s="1179">
        <f t="shared" si="199"/>
        <v>0</v>
      </c>
      <c r="I259" s="1179">
        <f t="shared" si="199"/>
        <v>0</v>
      </c>
      <c r="J259" s="1179">
        <f t="shared" si="199"/>
        <v>0</v>
      </c>
      <c r="K259" s="1179">
        <f t="shared" si="199"/>
        <v>0</v>
      </c>
      <c r="L259" s="1479">
        <f t="shared" si="199"/>
        <v>0</v>
      </c>
      <c r="M259" s="3999" t="s">
        <v>61</v>
      </c>
      <c r="N259" s="3999" t="s">
        <v>61</v>
      </c>
      <c r="O259" s="4001" t="s">
        <v>627</v>
      </c>
      <c r="P259" s="1562"/>
    </row>
    <row r="260" spans="1:16" s="1563" customFormat="1" ht="12.75" customHeight="1">
      <c r="A260" s="3994"/>
      <c r="B260" s="1425" t="s">
        <v>24</v>
      </c>
      <c r="C260" s="4004" t="s">
        <v>467</v>
      </c>
      <c r="D260" s="1176">
        <f t="shared" ref="D260:L262" si="200">+D261</f>
        <v>15302</v>
      </c>
      <c r="E260" s="1387">
        <f t="shared" si="200"/>
        <v>0</v>
      </c>
      <c r="F260" s="1387">
        <f t="shared" si="200"/>
        <v>0</v>
      </c>
      <c r="G260" s="1176">
        <f t="shared" si="200"/>
        <v>15302</v>
      </c>
      <c r="H260" s="1176">
        <f t="shared" si="200"/>
        <v>0</v>
      </c>
      <c r="I260" s="1176">
        <f t="shared" si="200"/>
        <v>0</v>
      </c>
      <c r="J260" s="1176">
        <f t="shared" si="200"/>
        <v>0</v>
      </c>
      <c r="K260" s="1176">
        <f t="shared" si="200"/>
        <v>0</v>
      </c>
      <c r="L260" s="1387">
        <f t="shared" si="200"/>
        <v>0</v>
      </c>
      <c r="M260" s="3986"/>
      <c r="N260" s="3986"/>
      <c r="O260" s="4002"/>
      <c r="P260" s="1562"/>
    </row>
    <row r="261" spans="1:16" s="1563" customFormat="1">
      <c r="A261" s="3994"/>
      <c r="B261" s="739" t="s">
        <v>13</v>
      </c>
      <c r="C261" s="4005"/>
      <c r="D261" s="1213">
        <f>E261+F261+G261+H261+I261+J261+K261+L261</f>
        <v>15302</v>
      </c>
      <c r="E261" s="1481">
        <v>0</v>
      </c>
      <c r="F261" s="1481">
        <v>0</v>
      </c>
      <c r="G261" s="1482">
        <v>15302</v>
      </c>
      <c r="H261" s="1482"/>
      <c r="I261" s="1482"/>
      <c r="J261" s="1482"/>
      <c r="K261" s="1482"/>
      <c r="L261" s="1481">
        <v>0</v>
      </c>
      <c r="M261" s="3986"/>
      <c r="N261" s="3986"/>
      <c r="O261" s="4002"/>
      <c r="P261" s="1562"/>
    </row>
    <row r="262" spans="1:16" s="1563" customFormat="1">
      <c r="A262" s="3993"/>
      <c r="B262" s="1167" t="s">
        <v>18</v>
      </c>
      <c r="C262" s="4005"/>
      <c r="D262" s="1411">
        <f t="shared" si="200"/>
        <v>521599</v>
      </c>
      <c r="E262" s="1387">
        <f t="shared" si="200"/>
        <v>0</v>
      </c>
      <c r="F262" s="1387">
        <f t="shared" si="200"/>
        <v>0</v>
      </c>
      <c r="G262" s="1176">
        <f t="shared" si="200"/>
        <v>521599</v>
      </c>
      <c r="H262" s="1176">
        <f t="shared" si="200"/>
        <v>0</v>
      </c>
      <c r="I262" s="1176">
        <f t="shared" si="200"/>
        <v>0</v>
      </c>
      <c r="J262" s="1176">
        <f t="shared" si="200"/>
        <v>0</v>
      </c>
      <c r="K262" s="1176">
        <f t="shared" si="200"/>
        <v>0</v>
      </c>
      <c r="L262" s="1387">
        <f t="shared" si="200"/>
        <v>0</v>
      </c>
      <c r="M262" s="3999"/>
      <c r="N262" s="3999"/>
      <c r="O262" s="4002"/>
      <c r="P262" s="1562"/>
    </row>
    <row r="263" spans="1:16" s="1563" customFormat="1" ht="13.5" thickBot="1">
      <c r="A263" s="3995"/>
      <c r="B263" s="532" t="s">
        <v>21</v>
      </c>
      <c r="C263" s="4006"/>
      <c r="D263" s="701">
        <f>E263+F263+G263+H263+I263+J263+K263+L263</f>
        <v>521599</v>
      </c>
      <c r="E263" s="546">
        <v>0</v>
      </c>
      <c r="F263" s="736">
        <v>0</v>
      </c>
      <c r="G263" s="425">
        <v>521599</v>
      </c>
      <c r="H263" s="425"/>
      <c r="I263" s="425"/>
      <c r="J263" s="425"/>
      <c r="K263" s="425"/>
      <c r="L263" s="736">
        <v>0</v>
      </c>
      <c r="M263" s="4000"/>
      <c r="N263" s="4000"/>
      <c r="O263" s="4003"/>
      <c r="P263" s="1562"/>
    </row>
    <row r="264" spans="1:16" s="1563" customFormat="1" ht="25.5" customHeight="1">
      <c r="A264" s="3990" t="s">
        <v>100</v>
      </c>
      <c r="B264" s="1088" t="s">
        <v>725</v>
      </c>
      <c r="C264" s="1089" t="s">
        <v>110</v>
      </c>
      <c r="D264" s="58"/>
      <c r="E264" s="40"/>
      <c r="F264" s="40"/>
      <c r="G264" s="40"/>
      <c r="H264" s="40"/>
      <c r="I264" s="40"/>
      <c r="J264" s="40"/>
      <c r="K264" s="40"/>
      <c r="L264" s="40"/>
      <c r="M264" s="531"/>
      <c r="N264" s="531"/>
      <c r="O264" s="3980" t="s">
        <v>328</v>
      </c>
      <c r="P264" s="1562"/>
    </row>
    <row r="265" spans="1:16" s="1563" customFormat="1">
      <c r="A265" s="3991"/>
      <c r="B265" s="1163" t="s">
        <v>10</v>
      </c>
      <c r="C265" s="1090"/>
      <c r="D265" s="1164">
        <f>+D266+D273</f>
        <v>1113035</v>
      </c>
      <c r="E265" s="1457">
        <f t="shared" ref="E265:N265" si="201">+E266+E273</f>
        <v>0</v>
      </c>
      <c r="F265" s="1457">
        <f t="shared" si="201"/>
        <v>0</v>
      </c>
      <c r="G265" s="1165">
        <f t="shared" si="201"/>
        <v>294044</v>
      </c>
      <c r="H265" s="1165">
        <f t="shared" si="201"/>
        <v>392447</v>
      </c>
      <c r="I265" s="1165">
        <f t="shared" si="201"/>
        <v>351828</v>
      </c>
      <c r="J265" s="1165">
        <f t="shared" si="201"/>
        <v>74716</v>
      </c>
      <c r="K265" s="1457">
        <f t="shared" si="201"/>
        <v>0</v>
      </c>
      <c r="L265" s="1457">
        <f t="shared" si="201"/>
        <v>0</v>
      </c>
      <c r="M265" s="1166">
        <f t="shared" si="201"/>
        <v>938066</v>
      </c>
      <c r="N265" s="1166">
        <f t="shared" si="201"/>
        <v>1113035</v>
      </c>
      <c r="O265" s="3981"/>
      <c r="P265" s="1562"/>
    </row>
    <row r="266" spans="1:16" s="1563" customFormat="1">
      <c r="A266" s="3991"/>
      <c r="B266" s="1167" t="s">
        <v>24</v>
      </c>
      <c r="C266" s="3996" t="s">
        <v>628</v>
      </c>
      <c r="D266" s="1168">
        <f>+D267+D270</f>
        <v>174969</v>
      </c>
      <c r="E266" s="1458">
        <f t="shared" ref="E266:L266" si="202">+E267+E270</f>
        <v>0</v>
      </c>
      <c r="F266" s="1458">
        <f t="shared" si="202"/>
        <v>0</v>
      </c>
      <c r="G266" s="1168">
        <f t="shared" si="202"/>
        <v>46224</v>
      </c>
      <c r="H266" s="1168">
        <f t="shared" si="202"/>
        <v>61693</v>
      </c>
      <c r="I266" s="1168">
        <f t="shared" si="202"/>
        <v>55307</v>
      </c>
      <c r="J266" s="1168">
        <f t="shared" si="202"/>
        <v>11745</v>
      </c>
      <c r="K266" s="1458">
        <f t="shared" si="202"/>
        <v>0</v>
      </c>
      <c r="L266" s="1458">
        <f t="shared" si="202"/>
        <v>0</v>
      </c>
      <c r="M266" s="1169">
        <f t="shared" ref="M266" si="203">+M267</f>
        <v>0</v>
      </c>
      <c r="N266" s="1169">
        <f>+N267+N270</f>
        <v>174969</v>
      </c>
      <c r="O266" s="3981"/>
      <c r="P266" s="1562"/>
    </row>
    <row r="267" spans="1:16" s="1563" customFormat="1" hidden="1">
      <c r="A267" s="3991"/>
      <c r="B267" s="1170" t="s">
        <v>12</v>
      </c>
      <c r="C267" s="3997"/>
      <c r="D267" s="1159">
        <f>E267+F267+G267+H267+I267+J267+K267+L267</f>
        <v>0</v>
      </c>
      <c r="E267" s="1459">
        <v>0</v>
      </c>
      <c r="F267" s="1460">
        <v>0</v>
      </c>
      <c r="G267" s="1172">
        <f>G268+G269</f>
        <v>0</v>
      </c>
      <c r="H267" s="1172">
        <f t="shared" ref="H267:L267" si="204">H268+H269</f>
        <v>0</v>
      </c>
      <c r="I267" s="1172">
        <f t="shared" si="204"/>
        <v>0</v>
      </c>
      <c r="J267" s="1172">
        <f t="shared" si="204"/>
        <v>0</v>
      </c>
      <c r="K267" s="1460">
        <f t="shared" si="204"/>
        <v>0</v>
      </c>
      <c r="L267" s="1460">
        <f t="shared" si="204"/>
        <v>0</v>
      </c>
      <c r="M267" s="759">
        <f>SUM(F267:K267)</f>
        <v>0</v>
      </c>
      <c r="N267" s="759">
        <f>SUM(G267:L267)</f>
        <v>0</v>
      </c>
      <c r="O267" s="3981"/>
      <c r="P267" s="1562"/>
    </row>
    <row r="268" spans="1:16" s="1563" customFormat="1" hidden="1">
      <c r="A268" s="3991"/>
      <c r="B268" s="1461" t="s">
        <v>304</v>
      </c>
      <c r="C268" s="3997"/>
      <c r="D268" s="1462">
        <f>SUM(E268:L268)</f>
        <v>0</v>
      </c>
      <c r="E268" s="1463">
        <v>0</v>
      </c>
      <c r="F268" s="1464">
        <v>0</v>
      </c>
      <c r="G268" s="1465"/>
      <c r="H268" s="1465"/>
      <c r="I268" s="1465"/>
      <c r="J268" s="1465">
        <v>0</v>
      </c>
      <c r="K268" s="1463">
        <v>0</v>
      </c>
      <c r="L268" s="1463">
        <v>0</v>
      </c>
      <c r="M268" s="1466"/>
      <c r="N268" s="1467">
        <f>SUM(G268:L268)</f>
        <v>0</v>
      </c>
      <c r="O268" s="3981"/>
      <c r="P268" s="1562"/>
    </row>
    <row r="269" spans="1:16" s="1563" customFormat="1" hidden="1">
      <c r="A269" s="3991"/>
      <c r="B269" s="1468" t="s">
        <v>322</v>
      </c>
      <c r="C269" s="3997"/>
      <c r="D269" s="1469">
        <f>SUM(E269:L269)</f>
        <v>0</v>
      </c>
      <c r="E269" s="1470">
        <v>0</v>
      </c>
      <c r="F269" s="1471">
        <v>0</v>
      </c>
      <c r="G269" s="1472"/>
      <c r="H269" s="1472"/>
      <c r="I269" s="1472"/>
      <c r="J269" s="1472">
        <v>0</v>
      </c>
      <c r="K269" s="1470">
        <v>0</v>
      </c>
      <c r="L269" s="1470">
        <v>0</v>
      </c>
      <c r="M269" s="1466"/>
      <c r="N269" s="1467">
        <f>SUM(G269:L269)</f>
        <v>0</v>
      </c>
      <c r="O269" s="3981"/>
      <c r="P269" s="1562"/>
    </row>
    <row r="270" spans="1:16" s="1563" customFormat="1">
      <c r="A270" s="3992"/>
      <c r="B270" s="739" t="s">
        <v>13</v>
      </c>
      <c r="C270" s="3998"/>
      <c r="D270" s="1159">
        <f>E270+F270+G270+H270+I270+J270+K270+L270</f>
        <v>174969</v>
      </c>
      <c r="E270" s="1459">
        <v>0</v>
      </c>
      <c r="F270" s="1460">
        <v>0</v>
      </c>
      <c r="G270" s="1172">
        <f>G271+G272</f>
        <v>46224</v>
      </c>
      <c r="H270" s="1172">
        <f t="shared" ref="H270:L270" si="205">H271+H272</f>
        <v>61693</v>
      </c>
      <c r="I270" s="1172">
        <f t="shared" si="205"/>
        <v>55307</v>
      </c>
      <c r="J270" s="1172">
        <f t="shared" si="205"/>
        <v>11745</v>
      </c>
      <c r="K270" s="1460">
        <f t="shared" si="205"/>
        <v>0</v>
      </c>
      <c r="L270" s="1460">
        <f t="shared" si="205"/>
        <v>0</v>
      </c>
      <c r="M270" s="1473"/>
      <c r="N270" s="759">
        <f t="shared" ref="N270:N272" si="206">SUM(G270:L270)</f>
        <v>174969</v>
      </c>
      <c r="O270" s="3981"/>
      <c r="P270" s="1562"/>
    </row>
    <row r="271" spans="1:16" s="1563" customFormat="1" hidden="1">
      <c r="A271" s="3992"/>
      <c r="B271" s="1461" t="s">
        <v>304</v>
      </c>
      <c r="C271" s="3998"/>
      <c r="D271" s="1462">
        <f>SUM(E271:L271)</f>
        <v>115553</v>
      </c>
      <c r="E271" s="1463">
        <v>0</v>
      </c>
      <c r="F271" s="1464">
        <v>0</v>
      </c>
      <c r="G271" s="1465">
        <v>27998</v>
      </c>
      <c r="H271" s="1465">
        <v>38418</v>
      </c>
      <c r="I271" s="1465">
        <v>38208</v>
      </c>
      <c r="J271" s="1465">
        <v>10929</v>
      </c>
      <c r="K271" s="1463">
        <v>0</v>
      </c>
      <c r="L271" s="1463">
        <v>0</v>
      </c>
      <c r="M271" s="1475"/>
      <c r="N271" s="777">
        <f t="shared" si="206"/>
        <v>115553</v>
      </c>
      <c r="O271" s="3981"/>
      <c r="P271" s="1562">
        <f>D270-D279</f>
        <v>0</v>
      </c>
    </row>
    <row r="272" spans="1:16" s="1563" customFormat="1" hidden="1">
      <c r="A272" s="3992"/>
      <c r="B272" s="1468" t="s">
        <v>322</v>
      </c>
      <c r="C272" s="3998"/>
      <c r="D272" s="1469">
        <f>SUM(E272:L272)</f>
        <v>59416</v>
      </c>
      <c r="E272" s="1470">
        <v>0</v>
      </c>
      <c r="F272" s="1471">
        <v>0</v>
      </c>
      <c r="G272" s="1472">
        <v>18226</v>
      </c>
      <c r="H272" s="1472">
        <v>23275</v>
      </c>
      <c r="I272" s="1472">
        <v>17099</v>
      </c>
      <c r="J272" s="1472">
        <v>816</v>
      </c>
      <c r="K272" s="1470">
        <v>0</v>
      </c>
      <c r="L272" s="1470">
        <v>0</v>
      </c>
      <c r="M272" s="1475"/>
      <c r="N272" s="777">
        <f t="shared" si="206"/>
        <v>59416</v>
      </c>
      <c r="O272" s="3981"/>
      <c r="P272" s="1562"/>
    </row>
    <row r="273" spans="1:16" s="1563" customFormat="1">
      <c r="A273" s="3991"/>
      <c r="B273" s="1167" t="s">
        <v>18</v>
      </c>
      <c r="C273" s="3997"/>
      <c r="D273" s="1176">
        <f>+D274</f>
        <v>938066</v>
      </c>
      <c r="E273" s="1387">
        <f t="shared" ref="E273:L273" si="207">+E274</f>
        <v>0</v>
      </c>
      <c r="F273" s="1387">
        <f t="shared" si="207"/>
        <v>0</v>
      </c>
      <c r="G273" s="1176">
        <f t="shared" si="207"/>
        <v>247820</v>
      </c>
      <c r="H273" s="1176">
        <f t="shared" si="207"/>
        <v>330754</v>
      </c>
      <c r="I273" s="1176">
        <f t="shared" si="207"/>
        <v>296521</v>
      </c>
      <c r="J273" s="1176">
        <f t="shared" si="207"/>
        <v>62971</v>
      </c>
      <c r="K273" s="1387">
        <f t="shared" si="207"/>
        <v>0</v>
      </c>
      <c r="L273" s="1387">
        <f t="shared" si="207"/>
        <v>0</v>
      </c>
      <c r="M273" s="1177">
        <f>+M274</f>
        <v>938066</v>
      </c>
      <c r="N273" s="1177">
        <f>+N274</f>
        <v>938066</v>
      </c>
      <c r="O273" s="3981"/>
      <c r="P273" s="1562">
        <f>D274-D281</f>
        <v>0</v>
      </c>
    </row>
    <row r="274" spans="1:16" s="1563" customFormat="1">
      <c r="A274" s="3991"/>
      <c r="B274" s="1170" t="s">
        <v>21</v>
      </c>
      <c r="C274" s="3997"/>
      <c r="D274" s="1159">
        <f>E274+F274+G274+H274+I274+J274+K274+L274</f>
        <v>938066</v>
      </c>
      <c r="E274" s="1459">
        <v>0</v>
      </c>
      <c r="F274" s="1476">
        <v>0</v>
      </c>
      <c r="G274" s="1173">
        <f>G275+G276</f>
        <v>247820</v>
      </c>
      <c r="H274" s="1173">
        <f t="shared" ref="H274:L274" si="208">H275+H276</f>
        <v>330754</v>
      </c>
      <c r="I274" s="1173">
        <f t="shared" si="208"/>
        <v>296521</v>
      </c>
      <c r="J274" s="1173">
        <f t="shared" si="208"/>
        <v>62971</v>
      </c>
      <c r="K274" s="1476">
        <f t="shared" si="208"/>
        <v>0</v>
      </c>
      <c r="L274" s="1476">
        <f t="shared" si="208"/>
        <v>0</v>
      </c>
      <c r="M274" s="777">
        <f>SUM(F274:K274)</f>
        <v>938066</v>
      </c>
      <c r="N274" s="777">
        <f>SUM(G274:L274)</f>
        <v>938066</v>
      </c>
      <c r="O274" s="3981"/>
      <c r="P274" s="1562"/>
    </row>
    <row r="275" spans="1:16" s="1563" customFormat="1" hidden="1">
      <c r="A275" s="3991"/>
      <c r="B275" s="1461" t="s">
        <v>304</v>
      </c>
      <c r="C275" s="1477"/>
      <c r="D275" s="1462">
        <f>SUM(E275:L275)</f>
        <v>619522</v>
      </c>
      <c r="E275" s="1463">
        <v>0</v>
      </c>
      <c r="F275" s="1463">
        <v>0</v>
      </c>
      <c r="G275" s="1465">
        <v>150106</v>
      </c>
      <c r="H275" s="1465">
        <v>205970</v>
      </c>
      <c r="I275" s="1465">
        <v>204850</v>
      </c>
      <c r="J275" s="1465">
        <v>58596</v>
      </c>
      <c r="K275" s="1463">
        <v>0</v>
      </c>
      <c r="L275" s="1463">
        <v>0</v>
      </c>
      <c r="M275" s="1466"/>
      <c r="N275" s="1467">
        <f>SUM(G275:L275)</f>
        <v>619522</v>
      </c>
      <c r="O275" s="3981"/>
      <c r="P275" s="1562"/>
    </row>
    <row r="276" spans="1:16" s="1563" customFormat="1" hidden="1">
      <c r="A276" s="3991"/>
      <c r="B276" s="1468" t="s">
        <v>322</v>
      </c>
      <c r="C276" s="1478"/>
      <c r="D276" s="1469">
        <f>SUM(E276:L276)</f>
        <v>318544</v>
      </c>
      <c r="E276" s="1470">
        <v>0</v>
      </c>
      <c r="F276" s="1470">
        <v>0</v>
      </c>
      <c r="G276" s="1472">
        <v>97714</v>
      </c>
      <c r="H276" s="1472">
        <v>124784</v>
      </c>
      <c r="I276" s="1472">
        <v>91671</v>
      </c>
      <c r="J276" s="1472">
        <v>4375</v>
      </c>
      <c r="K276" s="1470">
        <v>0</v>
      </c>
      <c r="L276" s="1470">
        <v>0</v>
      </c>
      <c r="M276" s="1466"/>
      <c r="N276" s="1467">
        <f>SUM(G276:L276)</f>
        <v>318544</v>
      </c>
      <c r="O276" s="3982"/>
      <c r="P276" s="1562"/>
    </row>
    <row r="277" spans="1:16" s="1563" customFormat="1">
      <c r="A277" s="3993"/>
      <c r="B277" s="1163" t="s">
        <v>22</v>
      </c>
      <c r="C277" s="1163"/>
      <c r="D277" s="1179">
        <f>D280+D278</f>
        <v>1113035</v>
      </c>
      <c r="E277" s="1479">
        <f t="shared" ref="E277:L277" si="209">E280+E278</f>
        <v>0</v>
      </c>
      <c r="F277" s="1479">
        <f t="shared" si="209"/>
        <v>0</v>
      </c>
      <c r="G277" s="1179">
        <f t="shared" si="209"/>
        <v>294044</v>
      </c>
      <c r="H277" s="1179">
        <f t="shared" si="209"/>
        <v>392447</v>
      </c>
      <c r="I277" s="1179">
        <f t="shared" si="209"/>
        <v>351828</v>
      </c>
      <c r="J277" s="1179">
        <f t="shared" si="209"/>
        <v>74716</v>
      </c>
      <c r="K277" s="1479">
        <f t="shared" si="209"/>
        <v>0</v>
      </c>
      <c r="L277" s="1479">
        <f t="shared" si="209"/>
        <v>0</v>
      </c>
      <c r="M277" s="3999" t="s">
        <v>61</v>
      </c>
      <c r="N277" s="3999" t="s">
        <v>61</v>
      </c>
      <c r="O277" s="4001" t="s">
        <v>322</v>
      </c>
      <c r="P277" s="1562"/>
    </row>
    <row r="278" spans="1:16" s="1563" customFormat="1">
      <c r="A278" s="3994"/>
      <c r="B278" s="1425" t="s">
        <v>24</v>
      </c>
      <c r="C278" s="4004" t="s">
        <v>467</v>
      </c>
      <c r="D278" s="1176">
        <f t="shared" ref="D278:L280" si="210">+D279</f>
        <v>174969</v>
      </c>
      <c r="E278" s="1387">
        <f t="shared" si="210"/>
        <v>0</v>
      </c>
      <c r="F278" s="1387">
        <f t="shared" si="210"/>
        <v>0</v>
      </c>
      <c r="G278" s="1176">
        <f t="shared" si="210"/>
        <v>46224</v>
      </c>
      <c r="H278" s="1176">
        <f t="shared" si="210"/>
        <v>61693</v>
      </c>
      <c r="I278" s="1176">
        <f t="shared" si="210"/>
        <v>55307</v>
      </c>
      <c r="J278" s="1176">
        <f t="shared" si="210"/>
        <v>11745</v>
      </c>
      <c r="K278" s="1387">
        <f t="shared" si="210"/>
        <v>0</v>
      </c>
      <c r="L278" s="1387">
        <f t="shared" si="210"/>
        <v>0</v>
      </c>
      <c r="M278" s="3986"/>
      <c r="N278" s="3986"/>
      <c r="O278" s="4002"/>
      <c r="P278" s="1562"/>
    </row>
    <row r="279" spans="1:16" s="1563" customFormat="1">
      <c r="A279" s="3994"/>
      <c r="B279" s="739" t="s">
        <v>13</v>
      </c>
      <c r="C279" s="4005"/>
      <c r="D279" s="1582">
        <f>E279+F279+G279+H279+I279+J279+K279+L279</f>
        <v>174969</v>
      </c>
      <c r="E279" s="1481">
        <v>0</v>
      </c>
      <c r="F279" s="1481">
        <v>0</v>
      </c>
      <c r="G279" s="1482">
        <v>46224</v>
      </c>
      <c r="H279" s="1482">
        <v>61693</v>
      </c>
      <c r="I279" s="1482">
        <v>55307</v>
      </c>
      <c r="J279" s="1482">
        <v>11745</v>
      </c>
      <c r="K279" s="1481">
        <v>0</v>
      </c>
      <c r="L279" s="1481">
        <v>0</v>
      </c>
      <c r="M279" s="3986"/>
      <c r="N279" s="3986"/>
      <c r="O279" s="4002"/>
      <c r="P279" s="1562"/>
    </row>
    <row r="280" spans="1:16" s="1563" customFormat="1">
      <c r="A280" s="3993"/>
      <c r="B280" s="1167" t="s">
        <v>18</v>
      </c>
      <c r="C280" s="4005"/>
      <c r="D280" s="1411">
        <f t="shared" si="210"/>
        <v>938066</v>
      </c>
      <c r="E280" s="1387">
        <f t="shared" si="210"/>
        <v>0</v>
      </c>
      <c r="F280" s="1387">
        <f t="shared" si="210"/>
        <v>0</v>
      </c>
      <c r="G280" s="1411">
        <f t="shared" si="210"/>
        <v>247820</v>
      </c>
      <c r="H280" s="1411">
        <f t="shared" si="210"/>
        <v>330754</v>
      </c>
      <c r="I280" s="1411">
        <f t="shared" si="210"/>
        <v>296521</v>
      </c>
      <c r="J280" s="1411">
        <f t="shared" si="210"/>
        <v>62971</v>
      </c>
      <c r="K280" s="1387">
        <f t="shared" si="210"/>
        <v>0</v>
      </c>
      <c r="L280" s="1387">
        <f t="shared" si="210"/>
        <v>0</v>
      </c>
      <c r="M280" s="3999"/>
      <c r="N280" s="3999"/>
      <c r="O280" s="4002"/>
      <c r="P280" s="1562"/>
    </row>
    <row r="281" spans="1:16" s="1563" customFormat="1" ht="13.5" thickBot="1">
      <c r="A281" s="3995"/>
      <c r="B281" s="532" t="s">
        <v>21</v>
      </c>
      <c r="C281" s="4006"/>
      <c r="D281" s="701">
        <f>E281+F281+G281+H281+I281+J281+K281+L281</f>
        <v>938066</v>
      </c>
      <c r="E281" s="546">
        <v>0</v>
      </c>
      <c r="F281" s="736">
        <v>0</v>
      </c>
      <c r="G281" s="701">
        <v>247820</v>
      </c>
      <c r="H281" s="701">
        <v>330754</v>
      </c>
      <c r="I281" s="701">
        <v>296521</v>
      </c>
      <c r="J281" s="701">
        <v>62971</v>
      </c>
      <c r="K281" s="736">
        <v>0</v>
      </c>
      <c r="L281" s="736">
        <v>0</v>
      </c>
      <c r="M281" s="4000"/>
      <c r="N281" s="4000"/>
      <c r="O281" s="4003"/>
      <c r="P281" s="1562"/>
    </row>
    <row r="282" spans="1:16">
      <c r="B282" s="1056" t="s">
        <v>481</v>
      </c>
      <c r="C282" s="1056"/>
      <c r="D282" s="1056"/>
      <c r="E282" s="1056"/>
      <c r="F282" s="1056"/>
      <c r="G282" s="1056"/>
      <c r="H282" s="1056"/>
      <c r="I282" s="1056"/>
      <c r="J282" s="1056"/>
      <c r="K282" s="1056"/>
      <c r="L282" s="1056"/>
    </row>
    <row r="283" spans="1:16">
      <c r="B283" s="1056" t="s">
        <v>482</v>
      </c>
      <c r="C283" s="1056"/>
      <c r="D283" s="1070">
        <f t="shared" ref="D283:L283" si="211">D38+D55+D68+D92+D132+D144+D170+D200+D215+D233+D248+D277+D117</f>
        <v>123597603</v>
      </c>
      <c r="E283" s="1070">
        <f t="shared" si="211"/>
        <v>8840348</v>
      </c>
      <c r="F283" s="1070">
        <f t="shared" si="211"/>
        <v>9874799</v>
      </c>
      <c r="G283" s="1070">
        <f t="shared" si="211"/>
        <v>29176465</v>
      </c>
      <c r="H283" s="1070">
        <f t="shared" si="211"/>
        <v>26863561</v>
      </c>
      <c r="I283" s="1070">
        <f t="shared" si="211"/>
        <v>20301659</v>
      </c>
      <c r="J283" s="1070">
        <f t="shared" si="211"/>
        <v>12123450</v>
      </c>
      <c r="K283" s="1070">
        <f t="shared" si="211"/>
        <v>8729767</v>
      </c>
      <c r="L283" s="1070">
        <f t="shared" si="211"/>
        <v>7687554</v>
      </c>
      <c r="M283" s="1070" t="e">
        <f>M38+M55+M68+M92+M132+M144+M170+M200+M215+M233+M248+M277</f>
        <v>#VALUE!</v>
      </c>
    </row>
    <row r="284" spans="1:16">
      <c r="B284" s="1056" t="s">
        <v>483</v>
      </c>
      <c r="C284" s="1056"/>
      <c r="D284" s="1070">
        <f t="shared" ref="D284:L284" si="212">D80+D104+D154+D182+D259</f>
        <v>711493</v>
      </c>
      <c r="E284" s="1070">
        <f t="shared" si="212"/>
        <v>21928</v>
      </c>
      <c r="F284" s="1070">
        <f t="shared" si="212"/>
        <v>60263</v>
      </c>
      <c r="G284" s="1070">
        <f t="shared" si="212"/>
        <v>629302</v>
      </c>
      <c r="H284" s="1070">
        <f t="shared" si="212"/>
        <v>0</v>
      </c>
      <c r="I284" s="1070">
        <f t="shared" si="212"/>
        <v>0</v>
      </c>
      <c r="J284" s="1070">
        <f t="shared" si="212"/>
        <v>0</v>
      </c>
      <c r="K284" s="1070">
        <f t="shared" si="212"/>
        <v>0</v>
      </c>
      <c r="L284" s="1070">
        <f t="shared" si="212"/>
        <v>0</v>
      </c>
      <c r="M284" s="1070" t="e">
        <f>M80+M104+M154+M182</f>
        <v>#VALUE!</v>
      </c>
    </row>
    <row r="285" spans="1:16">
      <c r="B285" s="1056" t="s">
        <v>484</v>
      </c>
      <c r="C285" s="1056"/>
      <c r="D285" s="1071">
        <f>D283+D284</f>
        <v>124309096</v>
      </c>
      <c r="E285" s="1071">
        <f t="shared" ref="E285:L285" si="213">E283+E284</f>
        <v>8862276</v>
      </c>
      <c r="F285" s="1071">
        <f t="shared" si="213"/>
        <v>9935062</v>
      </c>
      <c r="G285" s="1071">
        <f t="shared" si="213"/>
        <v>29805767</v>
      </c>
      <c r="H285" s="1071">
        <f t="shared" si="213"/>
        <v>26863561</v>
      </c>
      <c r="I285" s="1071">
        <f t="shared" si="213"/>
        <v>20301659</v>
      </c>
      <c r="J285" s="1071">
        <f t="shared" si="213"/>
        <v>12123450</v>
      </c>
      <c r="K285" s="1071">
        <f t="shared" si="213"/>
        <v>8729767</v>
      </c>
      <c r="L285" s="1071">
        <f t="shared" si="213"/>
        <v>7687554</v>
      </c>
    </row>
    <row r="286" spans="1:16">
      <c r="B286" s="1072" t="s">
        <v>42</v>
      </c>
      <c r="C286" s="1072"/>
      <c r="D286" s="1073">
        <f t="shared" ref="D286:L286" si="214">D285-D18</f>
        <v>0</v>
      </c>
      <c r="E286" s="1073">
        <f t="shared" si="214"/>
        <v>0</v>
      </c>
      <c r="F286" s="1073">
        <f t="shared" si="214"/>
        <v>0</v>
      </c>
      <c r="G286" s="1073">
        <f t="shared" si="214"/>
        <v>0</v>
      </c>
      <c r="H286" s="1073">
        <f t="shared" si="214"/>
        <v>0</v>
      </c>
      <c r="I286" s="1073">
        <f t="shared" si="214"/>
        <v>0</v>
      </c>
      <c r="J286" s="1073">
        <f t="shared" si="214"/>
        <v>0</v>
      </c>
      <c r="K286" s="1073">
        <f t="shared" si="214"/>
        <v>0</v>
      </c>
      <c r="L286" s="1073">
        <f t="shared" si="214"/>
        <v>0</v>
      </c>
    </row>
    <row r="287" spans="1:16">
      <c r="B287" s="1069"/>
      <c r="C287" s="1069"/>
      <c r="D287" s="1069"/>
      <c r="E287" s="1069"/>
      <c r="F287" s="1069"/>
      <c r="G287" s="1069"/>
      <c r="H287" s="1069"/>
      <c r="I287" s="1069"/>
      <c r="J287" s="1069"/>
      <c r="K287" s="1069"/>
      <c r="L287" s="1069"/>
    </row>
    <row r="289" spans="2:2" ht="31.5" customHeight="1">
      <c r="B289" s="2143" t="s">
        <v>762</v>
      </c>
    </row>
  </sheetData>
  <mergeCells count="132">
    <mergeCell ref="O175:O181"/>
    <mergeCell ref="O182:O186"/>
    <mergeCell ref="A175:A186"/>
    <mergeCell ref="C177:C181"/>
    <mergeCell ref="M182:M186"/>
    <mergeCell ref="N182:N186"/>
    <mergeCell ref="C183:C186"/>
    <mergeCell ref="O157:O169"/>
    <mergeCell ref="O170:O174"/>
    <mergeCell ref="M104:M108"/>
    <mergeCell ref="A157:A174"/>
    <mergeCell ref="C159:C167"/>
    <mergeCell ref="M170:M174"/>
    <mergeCell ref="N170:N174"/>
    <mergeCell ref="C171:C174"/>
    <mergeCell ref="A147:A156"/>
    <mergeCell ref="A73:A84"/>
    <mergeCell ref="C93:C96"/>
    <mergeCell ref="A97:A108"/>
    <mergeCell ref="C99:C103"/>
    <mergeCell ref="N104:N108"/>
    <mergeCell ref="C105:C108"/>
    <mergeCell ref="C75:C79"/>
    <mergeCell ref="N80:N84"/>
    <mergeCell ref="C81:C84"/>
    <mergeCell ref="A85:A96"/>
    <mergeCell ref="A109:A121"/>
    <mergeCell ref="O122:O129"/>
    <mergeCell ref="O132:O134"/>
    <mergeCell ref="C149:C150"/>
    <mergeCell ref="N154:N156"/>
    <mergeCell ref="C155:C156"/>
    <mergeCell ref="M154:M156"/>
    <mergeCell ref="A135:A146"/>
    <mergeCell ref="N144:N146"/>
    <mergeCell ref="C145:C146"/>
    <mergeCell ref="C137:C143"/>
    <mergeCell ref="M144:M146"/>
    <mergeCell ref="O135:O138"/>
    <mergeCell ref="O147:O150"/>
    <mergeCell ref="O144:O146"/>
    <mergeCell ref="O154:O156"/>
    <mergeCell ref="A122:A134"/>
    <mergeCell ref="C124:C129"/>
    <mergeCell ref="N132:N134"/>
    <mergeCell ref="C133:C134"/>
    <mergeCell ref="M132:M134"/>
    <mergeCell ref="A3:O3"/>
    <mergeCell ref="C4:C5"/>
    <mergeCell ref="D4:D5"/>
    <mergeCell ref="O4:O5"/>
    <mergeCell ref="N4:N5"/>
    <mergeCell ref="B4:B5"/>
    <mergeCell ref="A4:A5"/>
    <mergeCell ref="M4:M5"/>
    <mergeCell ref="A24:A43"/>
    <mergeCell ref="C26:C37"/>
    <mergeCell ref="C39:C43"/>
    <mergeCell ref="N38:N43"/>
    <mergeCell ref="M18:M23"/>
    <mergeCell ref="M38:M43"/>
    <mergeCell ref="N18:N23"/>
    <mergeCell ref="F4:F5"/>
    <mergeCell ref="G4:L4"/>
    <mergeCell ref="O24:O37"/>
    <mergeCell ref="O44:O52"/>
    <mergeCell ref="C87:C91"/>
    <mergeCell ref="N92:N96"/>
    <mergeCell ref="O55:O59"/>
    <mergeCell ref="A61:A72"/>
    <mergeCell ref="C63:C67"/>
    <mergeCell ref="C69:C72"/>
    <mergeCell ref="N68:N72"/>
    <mergeCell ref="A44:A59"/>
    <mergeCell ref="C46:C52"/>
    <mergeCell ref="C56:C59"/>
    <mergeCell ref="N55:N59"/>
    <mergeCell ref="M55:M59"/>
    <mergeCell ref="M68:M72"/>
    <mergeCell ref="O61:O67"/>
    <mergeCell ref="O73:O79"/>
    <mergeCell ref="O85:O91"/>
    <mergeCell ref="M80:M84"/>
    <mergeCell ref="M92:M96"/>
    <mergeCell ref="A205:A219"/>
    <mergeCell ref="O205:O214"/>
    <mergeCell ref="C207:C212"/>
    <mergeCell ref="M215:M219"/>
    <mergeCell ref="N215:N219"/>
    <mergeCell ref="O215:O219"/>
    <mergeCell ref="C216:C219"/>
    <mergeCell ref="A187:A204"/>
    <mergeCell ref="O187:O199"/>
    <mergeCell ref="C189:C197"/>
    <mergeCell ref="M200:M204"/>
    <mergeCell ref="N200:N204"/>
    <mergeCell ref="O200:O204"/>
    <mergeCell ref="C201:C204"/>
    <mergeCell ref="N248:N252"/>
    <mergeCell ref="O248:O252"/>
    <mergeCell ref="C249:C252"/>
    <mergeCell ref="A220:A237"/>
    <mergeCell ref="O220:O232"/>
    <mergeCell ref="C222:C230"/>
    <mergeCell ref="M233:M237"/>
    <mergeCell ref="N233:N237"/>
    <mergeCell ref="O233:O237"/>
    <mergeCell ref="C234:C237"/>
    <mergeCell ref="O109:O116"/>
    <mergeCell ref="C111:C116"/>
    <mergeCell ref="M117:M121"/>
    <mergeCell ref="N117:N121"/>
    <mergeCell ref="C118:C121"/>
    <mergeCell ref="O97:O103"/>
    <mergeCell ref="A264:A281"/>
    <mergeCell ref="O264:O276"/>
    <mergeCell ref="C266:C274"/>
    <mergeCell ref="M277:M281"/>
    <mergeCell ref="N277:N281"/>
    <mergeCell ref="O277:O281"/>
    <mergeCell ref="C278:C281"/>
    <mergeCell ref="A253:A263"/>
    <mergeCell ref="O253:O258"/>
    <mergeCell ref="C255:C258"/>
    <mergeCell ref="M259:M263"/>
    <mergeCell ref="N259:N263"/>
    <mergeCell ref="O259:O263"/>
    <mergeCell ref="C260:C263"/>
    <mergeCell ref="A238:A252"/>
    <mergeCell ref="O238:O247"/>
    <mergeCell ref="C240:C245"/>
    <mergeCell ref="M248:M252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68" firstPageNumber="24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</oddHeader>
    <oddFooter>&amp;C&amp;8&amp;P</oddFooter>
  </headerFooter>
  <rowBreaks count="3" manualBreakCount="3">
    <brk id="72" max="14" man="1"/>
    <brk id="186" max="14" man="1"/>
    <brk id="252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V469"/>
  <sheetViews>
    <sheetView showGridLines="0" view="pageBreakPreview" zoomScaleSheetLayoutView="100" workbookViewId="0">
      <pane ySplit="8" topLeftCell="A15" activePane="bottomLeft" state="frozen"/>
      <selection activeCell="B96" sqref="B96"/>
      <selection pane="bottomLeft" sqref="A1:XFD1048576"/>
    </sheetView>
  </sheetViews>
  <sheetFormatPr defaultColWidth="9.140625" defaultRowHeight="12.75"/>
  <cols>
    <col min="1" max="1" width="3.7109375" style="2198" customWidth="1"/>
    <col min="2" max="2" width="54.7109375" style="2199" customWidth="1"/>
    <col min="3" max="3" width="9.85546875" style="2199" customWidth="1"/>
    <col min="4" max="4" width="13.7109375" style="2199" customWidth="1"/>
    <col min="5" max="5" width="11.85546875" style="2199" customWidth="1"/>
    <col min="6" max="6" width="9.5703125" style="2199" customWidth="1"/>
    <col min="7" max="7" width="10.85546875" style="2199" customWidth="1"/>
    <col min="8" max="8" width="10.28515625" style="2199" customWidth="1"/>
    <col min="9" max="9" width="9.7109375" style="2199" customWidth="1"/>
    <col min="10" max="10" width="10.5703125" style="2199" customWidth="1"/>
    <col min="11" max="11" width="10" style="2199" customWidth="1"/>
    <col min="12" max="12" width="9.7109375" style="2199" customWidth="1"/>
    <col min="13" max="13" width="12.140625" style="2199" hidden="1" customWidth="1"/>
    <col min="14" max="14" width="13" style="2199" customWidth="1"/>
    <col min="15" max="15" width="14.28515625" style="2362" customWidth="1"/>
    <col min="16" max="16" width="11.5703125" style="2204" customWidth="1"/>
    <col min="17" max="17" width="10.140625" style="2204" bestFit="1" customWidth="1"/>
    <col min="18" max="18" width="10.7109375" style="2204" bestFit="1" customWidth="1"/>
    <col min="19" max="19" width="9.140625" style="2204"/>
    <col min="20" max="20" width="10.140625" style="2204" customWidth="1"/>
    <col min="21" max="21" width="9.140625" style="2204"/>
    <col min="22" max="22" width="10.7109375" style="2204" customWidth="1"/>
    <col min="23" max="31" width="9.140625" style="2204"/>
    <col min="32" max="32" width="8.5703125" style="2204" customWidth="1"/>
    <col min="33" max="44" width="9.140625" style="2204"/>
    <col min="45" max="45" width="8.7109375" style="2204" customWidth="1"/>
    <col min="46" max="55" width="9.140625" style="2204"/>
    <col min="56" max="56" width="4.28515625" style="2204" customWidth="1"/>
    <col min="57" max="66" width="9.140625" style="2204"/>
    <col min="67" max="67" width="5" style="2204" customWidth="1"/>
    <col min="68" max="77" width="9.140625" style="2204"/>
    <col min="78" max="78" width="3.85546875" style="2204" customWidth="1"/>
    <col min="79" max="90" width="9.140625" style="2204"/>
    <col min="91" max="91" width="5.28515625" style="2204" customWidth="1"/>
    <col min="92" max="103" width="9.140625" style="2204"/>
    <col min="104" max="104" width="1.5703125" style="2204" customWidth="1"/>
    <col min="105" max="117" width="9.140625" style="2204"/>
    <col min="118" max="118" width="0.7109375" style="2204" customWidth="1"/>
    <col min="119" max="130" width="9.140625" style="2204"/>
    <col min="131" max="131" width="8.28515625" style="2204" customWidth="1"/>
    <col min="132" max="140" width="9.140625" style="2204"/>
    <col min="141" max="141" width="0.28515625" style="2204" customWidth="1"/>
    <col min="142" max="167" width="9.140625" style="2204"/>
    <col min="168" max="168" width="0.7109375" style="2204" customWidth="1"/>
    <col min="169" max="16384" width="9.140625" style="2204"/>
  </cols>
  <sheetData>
    <row r="1" spans="1:18" ht="17.25" customHeight="1">
      <c r="D1" s="2200"/>
      <c r="E1" s="2200"/>
      <c r="H1" s="2201" t="s">
        <v>763</v>
      </c>
      <c r="I1" s="2202"/>
      <c r="J1" s="2202"/>
      <c r="K1" s="2202"/>
      <c r="L1" s="2202"/>
      <c r="M1" s="2202"/>
      <c r="N1" s="2202"/>
      <c r="O1" s="2203"/>
    </row>
    <row r="2" spans="1:18" ht="12" customHeight="1">
      <c r="H2" s="2202"/>
      <c r="I2" s="2202"/>
      <c r="J2" s="2202"/>
      <c r="K2" s="2202"/>
      <c r="L2" s="2202"/>
      <c r="M2" s="2202"/>
      <c r="N2" s="2202"/>
      <c r="O2" s="2203"/>
    </row>
    <row r="3" spans="1:18" ht="12.75" customHeight="1">
      <c r="D3" s="2200"/>
      <c r="E3" s="2200"/>
      <c r="F3" s="2200"/>
      <c r="G3" s="2200"/>
      <c r="H3" s="2200"/>
      <c r="I3" s="2200"/>
      <c r="J3" s="2200"/>
      <c r="K3" s="2200"/>
      <c r="L3" s="2200"/>
      <c r="M3" s="2200"/>
      <c r="N3" s="2200"/>
      <c r="O3" s="2203"/>
    </row>
    <row r="4" spans="1:18" ht="8.25" customHeight="1">
      <c r="D4" s="2200"/>
      <c r="E4" s="2200"/>
      <c r="F4" s="2205"/>
      <c r="G4" s="2205"/>
      <c r="H4" s="2202"/>
      <c r="I4" s="2202"/>
      <c r="J4" s="2202"/>
      <c r="K4" s="2202"/>
      <c r="L4" s="2202"/>
      <c r="M4" s="2202"/>
      <c r="N4" s="2202"/>
      <c r="O4" s="2203"/>
    </row>
    <row r="5" spans="1:18" s="2208" customFormat="1" ht="18.75" thickBot="1">
      <c r="A5" s="4059" t="s">
        <v>235</v>
      </c>
      <c r="B5" s="4059"/>
      <c r="C5" s="4059"/>
      <c r="D5" s="4059"/>
      <c r="E5" s="4059"/>
      <c r="F5" s="2206"/>
      <c r="G5" s="2206"/>
      <c r="H5" s="2207"/>
      <c r="I5" s="2207"/>
      <c r="J5" s="2207"/>
      <c r="K5" s="2207"/>
      <c r="L5" s="2207"/>
      <c r="M5" s="2207"/>
      <c r="N5" s="2207"/>
      <c r="O5" s="2207"/>
    </row>
    <row r="6" spans="1:18" ht="36.75" customHeight="1">
      <c r="A6" s="2209"/>
      <c r="B6" s="2209"/>
      <c r="C6" s="4060" t="s">
        <v>71</v>
      </c>
      <c r="D6" s="4063" t="s">
        <v>72</v>
      </c>
      <c r="E6" s="4066" t="s">
        <v>556</v>
      </c>
      <c r="F6" s="4091" t="s">
        <v>625</v>
      </c>
      <c r="G6" s="4086" t="s">
        <v>553</v>
      </c>
      <c r="H6" s="4087"/>
      <c r="I6" s="4087"/>
      <c r="J6" s="4087"/>
      <c r="K6" s="4087"/>
      <c r="L6" s="4088"/>
      <c r="M6" s="4080" t="s">
        <v>570</v>
      </c>
      <c r="N6" s="4080" t="s">
        <v>554</v>
      </c>
      <c r="O6" s="4077" t="s">
        <v>73</v>
      </c>
    </row>
    <row r="7" spans="1:18" ht="45.75" customHeight="1">
      <c r="A7" s="2210" t="s">
        <v>74</v>
      </c>
      <c r="B7" s="2211" t="s">
        <v>75</v>
      </c>
      <c r="C7" s="4061"/>
      <c r="D7" s="4064"/>
      <c r="E7" s="4067"/>
      <c r="F7" s="4092"/>
      <c r="G7" s="4089" t="s">
        <v>6</v>
      </c>
      <c r="H7" s="4089" t="s">
        <v>214</v>
      </c>
      <c r="I7" s="4089" t="s">
        <v>216</v>
      </c>
      <c r="J7" s="4089" t="s">
        <v>260</v>
      </c>
      <c r="K7" s="4089" t="s">
        <v>261</v>
      </c>
      <c r="L7" s="4089" t="s">
        <v>259</v>
      </c>
      <c r="M7" s="4081"/>
      <c r="N7" s="4081"/>
      <c r="O7" s="4078"/>
    </row>
    <row r="8" spans="1:18" ht="15.75" customHeight="1" thickBot="1">
      <c r="A8" s="2212"/>
      <c r="B8" s="2213"/>
      <c r="C8" s="4062"/>
      <c r="D8" s="4065"/>
      <c r="E8" s="4068"/>
      <c r="F8" s="4093"/>
      <c r="G8" s="4090"/>
      <c r="H8" s="4090"/>
      <c r="I8" s="4090"/>
      <c r="J8" s="4090"/>
      <c r="K8" s="4090"/>
      <c r="L8" s="4090"/>
      <c r="M8" s="4082"/>
      <c r="N8" s="4082"/>
      <c r="O8" s="4079"/>
    </row>
    <row r="9" spans="1:18" s="2219" customFormat="1" ht="12" customHeight="1" thickBot="1">
      <c r="A9" s="2214">
        <v>1</v>
      </c>
      <c r="B9" s="2215">
        <v>2</v>
      </c>
      <c r="C9" s="2216" t="s">
        <v>119</v>
      </c>
      <c r="D9" s="2216" t="s">
        <v>120</v>
      </c>
      <c r="E9" s="2216">
        <v>5</v>
      </c>
      <c r="F9" s="2216">
        <v>6</v>
      </c>
      <c r="G9" s="2216">
        <v>7</v>
      </c>
      <c r="H9" s="2216">
        <v>8</v>
      </c>
      <c r="I9" s="2216">
        <v>9</v>
      </c>
      <c r="J9" s="2216">
        <v>10</v>
      </c>
      <c r="K9" s="2216">
        <v>11</v>
      </c>
      <c r="L9" s="2216">
        <v>12</v>
      </c>
      <c r="M9" s="2217">
        <v>13</v>
      </c>
      <c r="N9" s="2217">
        <v>13</v>
      </c>
      <c r="O9" s="2218">
        <v>14</v>
      </c>
      <c r="Q9" s="2220"/>
    </row>
    <row r="10" spans="1:18" s="2160" customFormat="1" ht="15.75" customHeight="1">
      <c r="A10" s="2221"/>
      <c r="B10" s="2222" t="s">
        <v>76</v>
      </c>
      <c r="C10" s="2223"/>
      <c r="D10" s="2224">
        <f>+D11+D12</f>
        <v>63465125</v>
      </c>
      <c r="E10" s="2224">
        <f t="shared" ref="E10" si="0">+E11+E12</f>
        <v>0</v>
      </c>
      <c r="F10" s="2224">
        <f t="shared" ref="F10" si="1">+F11+F12</f>
        <v>0</v>
      </c>
      <c r="G10" s="2224">
        <f t="shared" ref="G10:N10" si="2">+G11+G12</f>
        <v>4247813</v>
      </c>
      <c r="H10" s="2224">
        <f t="shared" si="2"/>
        <v>5225973</v>
      </c>
      <c r="I10" s="2224">
        <f t="shared" si="2"/>
        <v>5225973</v>
      </c>
      <c r="J10" s="2224">
        <f t="shared" si="2"/>
        <v>5225973</v>
      </c>
      <c r="K10" s="2224">
        <f t="shared" si="2"/>
        <v>5085973</v>
      </c>
      <c r="L10" s="2225">
        <f t="shared" si="2"/>
        <v>4145973</v>
      </c>
      <c r="M10" s="2226">
        <f t="shared" ref="M10" si="3">+M11+M12</f>
        <v>63465125</v>
      </c>
      <c r="N10" s="2226">
        <f t="shared" si="2"/>
        <v>63465125</v>
      </c>
      <c r="O10" s="2227"/>
      <c r="Q10" s="2228"/>
      <c r="R10" s="2228"/>
    </row>
    <row r="11" spans="1:18" s="2160" customFormat="1" ht="15.75" customHeight="1">
      <c r="A11" s="2229"/>
      <c r="B11" s="2230" t="s">
        <v>77</v>
      </c>
      <c r="C11" s="2231"/>
      <c r="D11" s="2232">
        <f>+D46+D51+D56</f>
        <v>63465125</v>
      </c>
      <c r="E11" s="2233">
        <f t="shared" ref="E11:N11" si="4">+E46+E51+E56</f>
        <v>0</v>
      </c>
      <c r="F11" s="2234">
        <f t="shared" si="4"/>
        <v>0</v>
      </c>
      <c r="G11" s="2234">
        <f t="shared" si="4"/>
        <v>4247813</v>
      </c>
      <c r="H11" s="2234">
        <f t="shared" si="4"/>
        <v>5225973</v>
      </c>
      <c r="I11" s="2234">
        <f t="shared" si="4"/>
        <v>5225973</v>
      </c>
      <c r="J11" s="2234">
        <f t="shared" si="4"/>
        <v>5225973</v>
      </c>
      <c r="K11" s="2234">
        <f t="shared" si="4"/>
        <v>5085973</v>
      </c>
      <c r="L11" s="2234">
        <f t="shared" si="4"/>
        <v>4145973</v>
      </c>
      <c r="M11" s="2235">
        <f t="shared" si="4"/>
        <v>63465125</v>
      </c>
      <c r="N11" s="2236">
        <f t="shared" si="4"/>
        <v>63465125</v>
      </c>
      <c r="O11" s="2237"/>
    </row>
    <row r="12" spans="1:18" s="2160" customFormat="1" ht="15.75" customHeight="1" thickBot="1">
      <c r="A12" s="2229"/>
      <c r="B12" s="2238" t="s">
        <v>9</v>
      </c>
      <c r="C12" s="2239"/>
      <c r="D12" s="2240">
        <f>+D33+D34+D35</f>
        <v>0</v>
      </c>
      <c r="E12" s="2241">
        <f t="shared" ref="E12:N12" si="5">+E33+E34+E35</f>
        <v>0</v>
      </c>
      <c r="F12" s="2240">
        <f t="shared" si="5"/>
        <v>0</v>
      </c>
      <c r="G12" s="2240">
        <f t="shared" si="5"/>
        <v>0</v>
      </c>
      <c r="H12" s="2240">
        <f t="shared" si="5"/>
        <v>0</v>
      </c>
      <c r="I12" s="2240">
        <f t="shared" si="5"/>
        <v>0</v>
      </c>
      <c r="J12" s="2240">
        <f t="shared" si="5"/>
        <v>0</v>
      </c>
      <c r="K12" s="2240">
        <f t="shared" si="5"/>
        <v>0</v>
      </c>
      <c r="L12" s="2240">
        <f t="shared" si="5"/>
        <v>0</v>
      </c>
      <c r="M12" s="2242">
        <f t="shared" si="5"/>
        <v>0</v>
      </c>
      <c r="N12" s="2243">
        <f t="shared" si="5"/>
        <v>0</v>
      </c>
      <c r="O12" s="2237"/>
    </row>
    <row r="13" spans="1:18" s="2219" customFormat="1" ht="15" customHeight="1">
      <c r="A13" s="2229"/>
      <c r="B13" s="2244" t="s">
        <v>10</v>
      </c>
      <c r="C13" s="2245"/>
      <c r="D13" s="2246">
        <f>+D14+D21</f>
        <v>66555124.640000001</v>
      </c>
      <c r="E13" s="2247">
        <f t="shared" ref="E13:L13" si="6">+E14+E21</f>
        <v>1776666.64</v>
      </c>
      <c r="F13" s="2247">
        <f t="shared" si="6"/>
        <v>1313333</v>
      </c>
      <c r="G13" s="2247">
        <f t="shared" si="6"/>
        <v>4247813</v>
      </c>
      <c r="H13" s="2247">
        <f t="shared" si="6"/>
        <v>5225973</v>
      </c>
      <c r="I13" s="2247">
        <f t="shared" si="6"/>
        <v>5225973</v>
      </c>
      <c r="J13" s="2247">
        <f t="shared" si="6"/>
        <v>5225973</v>
      </c>
      <c r="K13" s="2247">
        <f t="shared" si="6"/>
        <v>5085973</v>
      </c>
      <c r="L13" s="2247">
        <f t="shared" si="6"/>
        <v>4145973</v>
      </c>
      <c r="M13" s="2248">
        <f>SUM(M14,M21)</f>
        <v>63465125</v>
      </c>
      <c r="N13" s="2248">
        <f>SUM(N14,N21)</f>
        <v>63465125</v>
      </c>
      <c r="O13" s="2249"/>
      <c r="R13" s="2250"/>
    </row>
    <row r="14" spans="1:18" s="2256" customFormat="1" ht="14.25" customHeight="1">
      <c r="A14" s="2229"/>
      <c r="B14" s="2251" t="s">
        <v>11</v>
      </c>
      <c r="C14" s="2252"/>
      <c r="D14" s="2253">
        <f>SUM(D15:D20)</f>
        <v>66555124.640000001</v>
      </c>
      <c r="E14" s="2253">
        <f t="shared" ref="E14:L14" si="7">SUM(E15:E20)</f>
        <v>1776666.64</v>
      </c>
      <c r="F14" s="2253">
        <f t="shared" si="7"/>
        <v>1313333</v>
      </c>
      <c r="G14" s="2253">
        <f t="shared" si="7"/>
        <v>4247813</v>
      </c>
      <c r="H14" s="2253">
        <f t="shared" si="7"/>
        <v>5225973</v>
      </c>
      <c r="I14" s="2253">
        <f t="shared" si="7"/>
        <v>5225973</v>
      </c>
      <c r="J14" s="2253">
        <f t="shared" si="7"/>
        <v>5225973</v>
      </c>
      <c r="K14" s="2253">
        <f t="shared" si="7"/>
        <v>5085973</v>
      </c>
      <c r="L14" s="2253">
        <f t="shared" si="7"/>
        <v>4145973</v>
      </c>
      <c r="M14" s="2254">
        <f>SUM(M15:M20)</f>
        <v>63465125</v>
      </c>
      <c r="N14" s="2254">
        <f>SUM(N15:N20)</f>
        <v>63465125</v>
      </c>
      <c r="O14" s="2255"/>
      <c r="Q14" s="2257"/>
    </row>
    <row r="15" spans="1:18" s="2256" customFormat="1" ht="14.25" customHeight="1">
      <c r="A15" s="2229"/>
      <c r="B15" s="2258" t="s">
        <v>12</v>
      </c>
      <c r="C15" s="2252"/>
      <c r="D15" s="2259">
        <f>+D46+D51+D56</f>
        <v>63465125</v>
      </c>
      <c r="E15" s="2259">
        <f t="shared" ref="E15:K15" si="8">+E46+E51+E56</f>
        <v>0</v>
      </c>
      <c r="F15" s="2259">
        <f t="shared" si="8"/>
        <v>0</v>
      </c>
      <c r="G15" s="2259">
        <f t="shared" si="8"/>
        <v>4247813</v>
      </c>
      <c r="H15" s="2259">
        <f t="shared" si="8"/>
        <v>5225973</v>
      </c>
      <c r="I15" s="2259">
        <f t="shared" si="8"/>
        <v>5225973</v>
      </c>
      <c r="J15" s="2259">
        <f t="shared" si="8"/>
        <v>5225973</v>
      </c>
      <c r="K15" s="2259">
        <f t="shared" si="8"/>
        <v>5085973</v>
      </c>
      <c r="L15" s="2259">
        <f>+L46+L51+L56</f>
        <v>4145973</v>
      </c>
      <c r="M15" s="2260">
        <f>+M46+M51+M56</f>
        <v>63465125</v>
      </c>
      <c r="N15" s="2261">
        <f>+N46+N51+N56</f>
        <v>63465125</v>
      </c>
      <c r="O15" s="2255"/>
      <c r="Q15" s="2257"/>
      <c r="R15" s="2257"/>
    </row>
    <row r="16" spans="1:18" s="2219" customFormat="1" ht="14.25" customHeight="1" thickBot="1">
      <c r="A16" s="2229"/>
      <c r="B16" s="2258" t="s">
        <v>32</v>
      </c>
      <c r="C16" s="2262"/>
      <c r="D16" s="2263">
        <f>+D32+D45+D50+D55</f>
        <v>3089999.64</v>
      </c>
      <c r="E16" s="2263">
        <f t="shared" ref="E16:L16" si="9">+E32+E45+E50+E55</f>
        <v>1776666.64</v>
      </c>
      <c r="F16" s="2263">
        <f t="shared" si="9"/>
        <v>1313333</v>
      </c>
      <c r="G16" s="2263">
        <f t="shared" si="9"/>
        <v>0</v>
      </c>
      <c r="H16" s="2263">
        <f t="shared" si="9"/>
        <v>0</v>
      </c>
      <c r="I16" s="2263">
        <f t="shared" si="9"/>
        <v>0</v>
      </c>
      <c r="J16" s="2263">
        <f t="shared" si="9"/>
        <v>0</v>
      </c>
      <c r="K16" s="2263">
        <f t="shared" si="9"/>
        <v>0</v>
      </c>
      <c r="L16" s="2263">
        <f t="shared" si="9"/>
        <v>0</v>
      </c>
      <c r="M16" s="2264" t="s">
        <v>61</v>
      </c>
      <c r="N16" s="2264" t="s">
        <v>61</v>
      </c>
      <c r="O16" s="2249"/>
      <c r="Q16" s="2250"/>
      <c r="R16" s="2250"/>
    </row>
    <row r="17" spans="1:19" s="2219" customFormat="1" ht="14.25" hidden="1" customHeight="1" thickBot="1">
      <c r="A17" s="2229"/>
      <c r="B17" s="2258" t="s">
        <v>122</v>
      </c>
      <c r="C17" s="2265"/>
      <c r="D17" s="2263">
        <f>+D33</f>
        <v>0</v>
      </c>
      <c r="E17" s="2263">
        <f t="shared" ref="E17:L17" si="10">+E33</f>
        <v>0</v>
      </c>
      <c r="F17" s="2263">
        <f t="shared" si="10"/>
        <v>0</v>
      </c>
      <c r="G17" s="2263">
        <f t="shared" si="10"/>
        <v>0</v>
      </c>
      <c r="H17" s="2263">
        <f t="shared" si="10"/>
        <v>0</v>
      </c>
      <c r="I17" s="2263">
        <f t="shared" si="10"/>
        <v>0</v>
      </c>
      <c r="J17" s="2263">
        <f t="shared" si="10"/>
        <v>0</v>
      </c>
      <c r="K17" s="2263">
        <f t="shared" si="10"/>
        <v>0</v>
      </c>
      <c r="L17" s="2263">
        <f t="shared" si="10"/>
        <v>0</v>
      </c>
      <c r="M17" s="2261"/>
      <c r="N17" s="2261"/>
      <c r="O17" s="2266"/>
      <c r="Q17" s="2250"/>
      <c r="R17" s="2250"/>
    </row>
    <row r="18" spans="1:19" s="2256" customFormat="1" ht="14.25" hidden="1" customHeight="1">
      <c r="A18" s="2267"/>
      <c r="B18" s="2268" t="s">
        <v>13</v>
      </c>
      <c r="C18" s="2262"/>
      <c r="D18" s="2265">
        <f>D34</f>
        <v>0</v>
      </c>
      <c r="E18" s="2265">
        <f t="shared" ref="E18:O18" si="11">E34</f>
        <v>0</v>
      </c>
      <c r="F18" s="2265">
        <f t="shared" si="11"/>
        <v>0</v>
      </c>
      <c r="G18" s="2265">
        <f t="shared" si="11"/>
        <v>0</v>
      </c>
      <c r="H18" s="2265">
        <f t="shared" si="11"/>
        <v>0</v>
      </c>
      <c r="I18" s="2265">
        <f t="shared" si="11"/>
        <v>0</v>
      </c>
      <c r="J18" s="2265">
        <f t="shared" si="11"/>
        <v>0</v>
      </c>
      <c r="K18" s="2265">
        <f t="shared" si="11"/>
        <v>0</v>
      </c>
      <c r="L18" s="2265">
        <f t="shared" si="11"/>
        <v>0</v>
      </c>
      <c r="M18" s="2260">
        <f t="shared" si="11"/>
        <v>0</v>
      </c>
      <c r="N18" s="2261">
        <f t="shared" si="11"/>
        <v>0</v>
      </c>
      <c r="O18" s="2265">
        <f t="shared" si="11"/>
        <v>0</v>
      </c>
      <c r="Q18" s="2257"/>
    </row>
    <row r="19" spans="1:19" s="2271" customFormat="1" ht="14.25" hidden="1" customHeight="1">
      <c r="A19" s="2267"/>
      <c r="B19" s="2268" t="s">
        <v>34</v>
      </c>
      <c r="C19" s="2262"/>
      <c r="D19" s="2265"/>
      <c r="E19" s="2265"/>
      <c r="F19" s="2265"/>
      <c r="G19" s="2265"/>
      <c r="H19" s="2265"/>
      <c r="I19" s="2265"/>
      <c r="J19" s="2265"/>
      <c r="K19" s="2265"/>
      <c r="L19" s="2265"/>
      <c r="M19" s="2269"/>
      <c r="N19" s="2269"/>
      <c r="O19" s="2270"/>
      <c r="Q19" s="2272"/>
    </row>
    <row r="20" spans="1:19" s="2219" customFormat="1" ht="14.25" hidden="1" customHeight="1">
      <c r="A20" s="2229"/>
      <c r="B20" s="2268" t="s">
        <v>123</v>
      </c>
      <c r="C20" s="2262"/>
      <c r="D20" s="2265">
        <f t="shared" ref="D20" si="12">D35</f>
        <v>0</v>
      </c>
      <c r="E20" s="2265">
        <f t="shared" ref="E20:L20" si="13">E35</f>
        <v>0</v>
      </c>
      <c r="F20" s="2265">
        <f t="shared" si="13"/>
        <v>0</v>
      </c>
      <c r="G20" s="2265">
        <f t="shared" si="13"/>
        <v>0</v>
      </c>
      <c r="H20" s="2265">
        <f t="shared" si="13"/>
        <v>0</v>
      </c>
      <c r="I20" s="2265">
        <f t="shared" si="13"/>
        <v>0</v>
      </c>
      <c r="J20" s="2265">
        <f t="shared" si="13"/>
        <v>0</v>
      </c>
      <c r="K20" s="2265">
        <f t="shared" si="13"/>
        <v>0</v>
      </c>
      <c r="L20" s="2265">
        <f t="shared" si="13"/>
        <v>0</v>
      </c>
      <c r="M20" s="2261">
        <f>M35</f>
        <v>0</v>
      </c>
      <c r="N20" s="2261">
        <f>N35</f>
        <v>0</v>
      </c>
      <c r="O20" s="2266"/>
      <c r="Q20" s="2250"/>
    </row>
    <row r="21" spans="1:19" s="2256" customFormat="1" ht="14.25" hidden="1" customHeight="1">
      <c r="A21" s="2273"/>
      <c r="B21" s="2274" t="s">
        <v>18</v>
      </c>
      <c r="C21" s="2275"/>
      <c r="D21" s="2276">
        <f t="shared" ref="D21:L21" si="14">SUM(D22:D22)</f>
        <v>0</v>
      </c>
      <c r="E21" s="2276">
        <f t="shared" si="14"/>
        <v>0</v>
      </c>
      <c r="F21" s="2276">
        <f t="shared" si="14"/>
        <v>0</v>
      </c>
      <c r="G21" s="2276">
        <f t="shared" si="14"/>
        <v>0</v>
      </c>
      <c r="H21" s="2276">
        <f t="shared" si="14"/>
        <v>0</v>
      </c>
      <c r="I21" s="2276">
        <f t="shared" si="14"/>
        <v>0</v>
      </c>
      <c r="J21" s="2276">
        <f t="shared" si="14"/>
        <v>0</v>
      </c>
      <c r="K21" s="2276">
        <f t="shared" si="14"/>
        <v>0</v>
      </c>
      <c r="L21" s="2276">
        <f t="shared" si="14"/>
        <v>0</v>
      </c>
      <c r="M21" s="2264" t="s">
        <v>61</v>
      </c>
      <c r="N21" s="2264" t="s">
        <v>61</v>
      </c>
      <c r="O21" s="2255"/>
    </row>
    <row r="22" spans="1:19" s="2219" customFormat="1" ht="14.25" hidden="1" customHeight="1">
      <c r="A22" s="2277"/>
      <c r="B22" s="2278" t="s">
        <v>35</v>
      </c>
      <c r="C22" s="2279"/>
      <c r="D22" s="2280"/>
      <c r="E22" s="2280"/>
      <c r="F22" s="2280"/>
      <c r="G22" s="2280"/>
      <c r="H22" s="2280"/>
      <c r="I22" s="2280"/>
      <c r="J22" s="2280"/>
      <c r="K22" s="2280"/>
      <c r="L22" s="2280"/>
      <c r="M22" s="2264" t="s">
        <v>61</v>
      </c>
      <c r="N22" s="2264" t="s">
        <v>61</v>
      </c>
      <c r="O22" s="2281"/>
    </row>
    <row r="23" spans="1:19" s="2256" customFormat="1" ht="14.25" hidden="1" customHeight="1">
      <c r="A23" s="2273"/>
      <c r="B23" s="2282" t="s">
        <v>22</v>
      </c>
      <c r="C23" s="2283"/>
      <c r="D23" s="2284">
        <f>+D24+D27</f>
        <v>0</v>
      </c>
      <c r="E23" s="2284">
        <f t="shared" ref="E23:L23" si="15">+E24+E27</f>
        <v>0</v>
      </c>
      <c r="F23" s="2284">
        <f t="shared" si="15"/>
        <v>0</v>
      </c>
      <c r="G23" s="2284">
        <f t="shared" si="15"/>
        <v>0</v>
      </c>
      <c r="H23" s="2284">
        <f t="shared" si="15"/>
        <v>0</v>
      </c>
      <c r="I23" s="2284">
        <f t="shared" si="15"/>
        <v>0</v>
      </c>
      <c r="J23" s="2284">
        <f t="shared" si="15"/>
        <v>0</v>
      </c>
      <c r="K23" s="2284">
        <f t="shared" si="15"/>
        <v>0</v>
      </c>
      <c r="L23" s="2284">
        <f t="shared" si="15"/>
        <v>0</v>
      </c>
      <c r="M23" s="4083" t="s">
        <v>23</v>
      </c>
      <c r="N23" s="4083" t="s">
        <v>23</v>
      </c>
      <c r="O23" s="2285"/>
    </row>
    <row r="24" spans="1:19" s="2219" customFormat="1" ht="14.25" hidden="1" customHeight="1">
      <c r="A24" s="2277"/>
      <c r="B24" s="2274" t="s">
        <v>11</v>
      </c>
      <c r="C24" s="2275"/>
      <c r="D24" s="2276">
        <f>+D25+D26</f>
        <v>0</v>
      </c>
      <c r="E24" s="2276">
        <f t="shared" ref="E24:L24" si="16">+E25+E26</f>
        <v>0</v>
      </c>
      <c r="F24" s="2276">
        <f t="shared" si="16"/>
        <v>0</v>
      </c>
      <c r="G24" s="2276">
        <f t="shared" si="16"/>
        <v>0</v>
      </c>
      <c r="H24" s="2276">
        <f t="shared" si="16"/>
        <v>0</v>
      </c>
      <c r="I24" s="2276">
        <f t="shared" si="16"/>
        <v>0</v>
      </c>
      <c r="J24" s="2276">
        <f t="shared" si="16"/>
        <v>0</v>
      </c>
      <c r="K24" s="2276">
        <f t="shared" si="16"/>
        <v>0</v>
      </c>
      <c r="L24" s="2276">
        <f t="shared" si="16"/>
        <v>0</v>
      </c>
      <c r="M24" s="4084"/>
      <c r="N24" s="4084"/>
      <c r="O24" s="2281"/>
    </row>
    <row r="25" spans="1:19" s="2219" customFormat="1" ht="14.25" hidden="1" customHeight="1">
      <c r="A25" s="2277"/>
      <c r="B25" s="2268" t="s">
        <v>13</v>
      </c>
      <c r="C25" s="2262"/>
      <c r="D25" s="2265">
        <f>D40</f>
        <v>0</v>
      </c>
      <c r="E25" s="2265">
        <f t="shared" ref="E25:L25" si="17">E40</f>
        <v>0</v>
      </c>
      <c r="F25" s="2265">
        <f t="shared" si="17"/>
        <v>0</v>
      </c>
      <c r="G25" s="2265">
        <f t="shared" si="17"/>
        <v>0</v>
      </c>
      <c r="H25" s="2265">
        <f t="shared" si="17"/>
        <v>0</v>
      </c>
      <c r="I25" s="2265">
        <f t="shared" si="17"/>
        <v>0</v>
      </c>
      <c r="J25" s="2265">
        <f t="shared" si="17"/>
        <v>0</v>
      </c>
      <c r="K25" s="2265">
        <f t="shared" si="17"/>
        <v>0</v>
      </c>
      <c r="L25" s="2265">
        <f t="shared" si="17"/>
        <v>0</v>
      </c>
      <c r="M25" s="4084"/>
      <c r="N25" s="4084"/>
      <c r="O25" s="2281"/>
      <c r="Q25" s="2250"/>
    </row>
    <row r="26" spans="1:19" s="2219" customFormat="1" ht="14.25" hidden="1" customHeight="1">
      <c r="A26" s="2277"/>
      <c r="B26" s="2268" t="s">
        <v>525</v>
      </c>
      <c r="C26" s="2262"/>
      <c r="D26" s="2265">
        <f t="shared" ref="D26" si="18">D41</f>
        <v>0</v>
      </c>
      <c r="E26" s="2265">
        <f t="shared" ref="E26:L26" si="19">E41</f>
        <v>0</v>
      </c>
      <c r="F26" s="2265">
        <f t="shared" si="19"/>
        <v>0</v>
      </c>
      <c r="G26" s="2265">
        <f t="shared" si="19"/>
        <v>0</v>
      </c>
      <c r="H26" s="2265">
        <f t="shared" si="19"/>
        <v>0</v>
      </c>
      <c r="I26" s="2265">
        <f t="shared" si="19"/>
        <v>0</v>
      </c>
      <c r="J26" s="2265">
        <f t="shared" si="19"/>
        <v>0</v>
      </c>
      <c r="K26" s="2265">
        <f t="shared" si="19"/>
        <v>0</v>
      </c>
      <c r="L26" s="2265">
        <f t="shared" si="19"/>
        <v>0</v>
      </c>
      <c r="M26" s="4084"/>
      <c r="N26" s="4084"/>
      <c r="O26" s="2281"/>
      <c r="Q26" s="2250"/>
    </row>
    <row r="27" spans="1:19" s="2219" customFormat="1" ht="14.25" hidden="1" customHeight="1">
      <c r="A27" s="2277"/>
      <c r="B27" s="2274" t="s">
        <v>18</v>
      </c>
      <c r="C27" s="2275"/>
      <c r="D27" s="2276">
        <f t="shared" ref="D27:L27" si="20">SUM(D28:D28)</f>
        <v>0</v>
      </c>
      <c r="E27" s="2276">
        <f t="shared" si="20"/>
        <v>0</v>
      </c>
      <c r="F27" s="2276">
        <f t="shared" si="20"/>
        <v>0</v>
      </c>
      <c r="G27" s="2276">
        <f t="shared" si="20"/>
        <v>0</v>
      </c>
      <c r="H27" s="2276">
        <f t="shared" si="20"/>
        <v>0</v>
      </c>
      <c r="I27" s="2276">
        <f t="shared" si="20"/>
        <v>0</v>
      </c>
      <c r="J27" s="2276">
        <f t="shared" si="20"/>
        <v>0</v>
      </c>
      <c r="K27" s="2276">
        <f t="shared" si="20"/>
        <v>0</v>
      </c>
      <c r="L27" s="2276">
        <f t="shared" si="20"/>
        <v>0</v>
      </c>
      <c r="M27" s="4084"/>
      <c r="N27" s="4084"/>
      <c r="O27" s="2281"/>
      <c r="Q27" s="2250"/>
    </row>
    <row r="28" spans="1:19" s="2219" customFormat="1" ht="14.25" hidden="1" customHeight="1" thickBot="1">
      <c r="A28" s="2277"/>
      <c r="B28" s="2278" t="s">
        <v>35</v>
      </c>
      <c r="C28" s="2286"/>
      <c r="D28" s="2287"/>
      <c r="E28" s="2287"/>
      <c r="F28" s="2287"/>
      <c r="G28" s="2287"/>
      <c r="H28" s="2287"/>
      <c r="I28" s="2287"/>
      <c r="J28" s="2287"/>
      <c r="K28" s="2287"/>
      <c r="L28" s="2287"/>
      <c r="M28" s="4085"/>
      <c r="N28" s="4085"/>
      <c r="O28" s="2281"/>
      <c r="Q28" s="2250"/>
    </row>
    <row r="29" spans="1:19" s="2294" customFormat="1" ht="38.25" hidden="1" customHeight="1">
      <c r="A29" s="4074" t="s">
        <v>63</v>
      </c>
      <c r="B29" s="2288"/>
      <c r="C29" s="2289" t="s">
        <v>82</v>
      </c>
      <c r="D29" s="2290"/>
      <c r="E29" s="2291"/>
      <c r="F29" s="2291"/>
      <c r="G29" s="2291"/>
      <c r="H29" s="2291"/>
      <c r="I29" s="2291"/>
      <c r="J29" s="2292"/>
      <c r="K29" s="2291"/>
      <c r="L29" s="2290"/>
      <c r="M29" s="2293"/>
      <c r="N29" s="2293"/>
      <c r="O29" s="4106"/>
      <c r="Q29" s="4094"/>
      <c r="R29" s="4094"/>
      <c r="S29" s="4094"/>
    </row>
    <row r="30" spans="1:19" s="2294" customFormat="1" ht="13.5" hidden="1" customHeight="1">
      <c r="A30" s="4104"/>
      <c r="B30" s="2295" t="s">
        <v>10</v>
      </c>
      <c r="C30" s="2296"/>
      <c r="D30" s="2297">
        <f>+D31+D36</f>
        <v>0</v>
      </c>
      <c r="E30" s="2297">
        <f t="shared" ref="E30" si="21">+E31+E36</f>
        <v>0</v>
      </c>
      <c r="F30" s="2297">
        <f t="shared" ref="F30:L30" si="22">+F31</f>
        <v>0</v>
      </c>
      <c r="G30" s="2298">
        <f t="shared" si="22"/>
        <v>0</v>
      </c>
      <c r="H30" s="2298">
        <f t="shared" si="22"/>
        <v>0</v>
      </c>
      <c r="I30" s="2298">
        <f t="shared" si="22"/>
        <v>0</v>
      </c>
      <c r="J30" s="2298">
        <f t="shared" si="22"/>
        <v>0</v>
      </c>
      <c r="K30" s="2298">
        <f t="shared" si="22"/>
        <v>0</v>
      </c>
      <c r="L30" s="2299">
        <f t="shared" si="22"/>
        <v>0</v>
      </c>
      <c r="M30" s="2300">
        <f>+M31+M36</f>
        <v>0</v>
      </c>
      <c r="N30" s="2300">
        <f>+N31+N36</f>
        <v>0</v>
      </c>
      <c r="O30" s="4107"/>
      <c r="P30" s="2301"/>
      <c r="Q30" s="4094"/>
      <c r="R30" s="4094"/>
      <c r="S30" s="4094"/>
    </row>
    <row r="31" spans="1:19" s="2294" customFormat="1" ht="13.5" hidden="1" customHeight="1">
      <c r="A31" s="4104"/>
      <c r="B31" s="2302" t="s">
        <v>24</v>
      </c>
      <c r="C31" s="4095" t="s">
        <v>124</v>
      </c>
      <c r="D31" s="2303">
        <f>SUM(D32:D35)</f>
        <v>0</v>
      </c>
      <c r="E31" s="2303">
        <f>+E32+E33+E34+E35</f>
        <v>0</v>
      </c>
      <c r="F31" s="2303">
        <f t="shared" ref="F31:L31" si="23">+F32+F33+F34+F35</f>
        <v>0</v>
      </c>
      <c r="G31" s="2304">
        <f t="shared" si="23"/>
        <v>0</v>
      </c>
      <c r="H31" s="2304">
        <f t="shared" si="23"/>
        <v>0</v>
      </c>
      <c r="I31" s="2304">
        <f t="shared" si="23"/>
        <v>0</v>
      </c>
      <c r="J31" s="2304">
        <f t="shared" si="23"/>
        <v>0</v>
      </c>
      <c r="K31" s="2304">
        <f t="shared" si="23"/>
        <v>0</v>
      </c>
      <c r="L31" s="2305">
        <f t="shared" si="23"/>
        <v>0</v>
      </c>
      <c r="M31" s="2306">
        <f>+M33+M34+M35</f>
        <v>0</v>
      </c>
      <c r="N31" s="2306">
        <f>+N33+N34+N35</f>
        <v>0</v>
      </c>
      <c r="O31" s="4107"/>
      <c r="Q31" s="4094"/>
      <c r="R31" s="4094"/>
      <c r="S31" s="4094"/>
    </row>
    <row r="32" spans="1:19" s="2294" customFormat="1" ht="13.5" hidden="1" customHeight="1">
      <c r="A32" s="4104"/>
      <c r="B32" s="2307" t="s">
        <v>125</v>
      </c>
      <c r="C32" s="4096"/>
      <c r="D32" s="2308">
        <f>E32+F32+G32+H32+I32+J32+K32+L32</f>
        <v>0</v>
      </c>
      <c r="E32" s="2309">
        <v>0</v>
      </c>
      <c r="F32" s="2310">
        <v>0</v>
      </c>
      <c r="G32" s="2311">
        <v>0</v>
      </c>
      <c r="H32" s="2311">
        <v>0</v>
      </c>
      <c r="I32" s="2311">
        <v>0</v>
      </c>
      <c r="J32" s="2311">
        <v>0</v>
      </c>
      <c r="K32" s="2311">
        <v>0</v>
      </c>
      <c r="L32" s="2312">
        <v>0</v>
      </c>
      <c r="M32" s="2264" t="s">
        <v>61</v>
      </c>
      <c r="N32" s="2264" t="s">
        <v>61</v>
      </c>
      <c r="O32" s="4108"/>
      <c r="Q32" s="4094"/>
      <c r="R32" s="4094"/>
      <c r="S32" s="4094"/>
    </row>
    <row r="33" spans="1:19" s="2294" customFormat="1" ht="13.5" hidden="1" customHeight="1">
      <c r="A33" s="4104"/>
      <c r="B33" s="2313" t="s">
        <v>126</v>
      </c>
      <c r="C33" s="4096"/>
      <c r="D33" s="2308">
        <f>E33+F33+G33+H33+I33+J33+K33+L33</f>
        <v>0</v>
      </c>
      <c r="E33" s="2309">
        <v>0</v>
      </c>
      <c r="F33" s="2311">
        <v>0</v>
      </c>
      <c r="G33" s="2311">
        <v>0</v>
      </c>
      <c r="H33" s="2311">
        <v>0</v>
      </c>
      <c r="I33" s="2311">
        <v>0</v>
      </c>
      <c r="J33" s="2311">
        <v>0</v>
      </c>
      <c r="K33" s="2311">
        <v>0</v>
      </c>
      <c r="L33" s="2312">
        <v>0</v>
      </c>
      <c r="M33" s="2314">
        <f t="shared" ref="M33:N35" si="24">SUM(F33:K33)</f>
        <v>0</v>
      </c>
      <c r="N33" s="2314">
        <f t="shared" si="24"/>
        <v>0</v>
      </c>
      <c r="O33" s="4108"/>
      <c r="Q33" s="4094"/>
      <c r="R33" s="4094"/>
      <c r="S33" s="4094"/>
    </row>
    <row r="34" spans="1:19" s="2294" customFormat="1" ht="12" hidden="1" customHeight="1">
      <c r="A34" s="4104"/>
      <c r="B34" s="2315" t="s">
        <v>13</v>
      </c>
      <c r="C34" s="4096"/>
      <c r="D34" s="2308">
        <f>E34+F34+G34+H34+I34+J34+K34+L34</f>
        <v>0</v>
      </c>
      <c r="E34" s="2309">
        <v>0</v>
      </c>
      <c r="F34" s="2310">
        <v>0</v>
      </c>
      <c r="G34" s="2316">
        <v>0</v>
      </c>
      <c r="H34" s="2316">
        <v>0</v>
      </c>
      <c r="I34" s="2316">
        <v>0</v>
      </c>
      <c r="J34" s="2316">
        <v>0</v>
      </c>
      <c r="K34" s="2316">
        <v>0</v>
      </c>
      <c r="L34" s="2317">
        <v>0</v>
      </c>
      <c r="M34" s="2314">
        <f>SUM(F34:K34)</f>
        <v>0</v>
      </c>
      <c r="N34" s="2314">
        <f t="shared" si="24"/>
        <v>0</v>
      </c>
      <c r="O34" s="4108"/>
      <c r="Q34" s="4094"/>
      <c r="R34" s="4094"/>
      <c r="S34" s="4094"/>
    </row>
    <row r="35" spans="1:19" s="2294" customFormat="1" ht="13.5" hidden="1" customHeight="1">
      <c r="A35" s="4104"/>
      <c r="B35" s="2315" t="s">
        <v>123</v>
      </c>
      <c r="C35" s="4096"/>
      <c r="D35" s="2308">
        <f>E35+F35+G35+H35+I35+J35+K35+L35</f>
        <v>0</v>
      </c>
      <c r="E35" s="2309">
        <v>0</v>
      </c>
      <c r="F35" s="2311">
        <v>0</v>
      </c>
      <c r="G35" s="2318">
        <v>0</v>
      </c>
      <c r="H35" s="2316">
        <v>0</v>
      </c>
      <c r="I35" s="2316">
        <v>0</v>
      </c>
      <c r="J35" s="2316">
        <v>0</v>
      </c>
      <c r="K35" s="2316">
        <v>0</v>
      </c>
      <c r="L35" s="2317">
        <v>0</v>
      </c>
      <c r="M35" s="2314">
        <f t="shared" si="24"/>
        <v>0</v>
      </c>
      <c r="N35" s="2314">
        <f t="shared" si="24"/>
        <v>0</v>
      </c>
      <c r="O35" s="4108"/>
      <c r="Q35" s="4094"/>
      <c r="R35" s="4094"/>
      <c r="S35" s="4094"/>
    </row>
    <row r="36" spans="1:19" s="2294" customFormat="1" ht="18.75" hidden="1" customHeight="1">
      <c r="A36" s="4104"/>
      <c r="B36" s="2313" t="s">
        <v>18</v>
      </c>
      <c r="C36" s="4097"/>
      <c r="D36" s="2308">
        <f>+D37</f>
        <v>0</v>
      </c>
      <c r="E36" s="2309"/>
      <c r="F36" s="2310"/>
      <c r="G36" s="2308"/>
      <c r="H36" s="2319"/>
      <c r="I36" s="2320"/>
      <c r="J36" s="2320"/>
      <c r="K36" s="2321"/>
      <c r="L36" s="2320"/>
      <c r="M36" s="2322"/>
      <c r="N36" s="2322"/>
      <c r="O36" s="4108"/>
      <c r="Q36" s="4094"/>
      <c r="R36" s="4094"/>
      <c r="S36" s="4094"/>
    </row>
    <row r="37" spans="1:19" s="2294" customFormat="1" ht="16.5" hidden="1" customHeight="1">
      <c r="A37" s="4104"/>
      <c r="B37" s="2315" t="s">
        <v>35</v>
      </c>
      <c r="C37" s="2323"/>
      <c r="D37" s="2308">
        <v>0</v>
      </c>
      <c r="E37" s="2309"/>
      <c r="F37" s="2311"/>
      <c r="G37" s="2308"/>
      <c r="H37" s="2319"/>
      <c r="I37" s="2319"/>
      <c r="J37" s="2320"/>
      <c r="K37" s="2321"/>
      <c r="L37" s="2319"/>
      <c r="M37" s="2324"/>
      <c r="N37" s="2324"/>
      <c r="O37" s="4108"/>
      <c r="Q37" s="4094"/>
      <c r="R37" s="4094"/>
      <c r="S37" s="4094"/>
    </row>
    <row r="38" spans="1:19" s="2294" customFormat="1" ht="13.5" hidden="1" customHeight="1">
      <c r="A38" s="4104"/>
      <c r="B38" s="2295" t="s">
        <v>22</v>
      </c>
      <c r="C38" s="2296"/>
      <c r="D38" s="2297">
        <f>D40+D41</f>
        <v>0</v>
      </c>
      <c r="E38" s="2297">
        <f t="shared" ref="E38" si="25">E40+E41</f>
        <v>0</v>
      </c>
      <c r="F38" s="2297">
        <f t="shared" ref="F38:L38" si="26">+F39</f>
        <v>0</v>
      </c>
      <c r="G38" s="2298">
        <f t="shared" si="26"/>
        <v>0</v>
      </c>
      <c r="H38" s="2298">
        <f t="shared" si="26"/>
        <v>0</v>
      </c>
      <c r="I38" s="2298">
        <f t="shared" si="26"/>
        <v>0</v>
      </c>
      <c r="J38" s="2298">
        <f t="shared" si="26"/>
        <v>0</v>
      </c>
      <c r="K38" s="2298">
        <f t="shared" si="26"/>
        <v>0</v>
      </c>
      <c r="L38" s="2299">
        <f t="shared" si="26"/>
        <v>0</v>
      </c>
      <c r="M38" s="4101" t="s">
        <v>61</v>
      </c>
      <c r="N38" s="4101" t="s">
        <v>61</v>
      </c>
      <c r="O38" s="4108"/>
      <c r="Q38" s="4094"/>
      <c r="R38" s="4094"/>
      <c r="S38" s="4094"/>
    </row>
    <row r="39" spans="1:19" s="2271" customFormat="1" ht="13.5" hidden="1" customHeight="1">
      <c r="A39" s="4104"/>
      <c r="B39" s="2325" t="s">
        <v>24</v>
      </c>
      <c r="C39" s="4098" t="s">
        <v>124</v>
      </c>
      <c r="D39" s="2326">
        <f>+D40+D41</f>
        <v>0</v>
      </c>
      <c r="E39" s="2326">
        <f t="shared" ref="E39" si="27">+E40+E41</f>
        <v>0</v>
      </c>
      <c r="F39" s="2326">
        <f t="shared" ref="F39:L39" si="28">+F40+F41</f>
        <v>0</v>
      </c>
      <c r="G39" s="2327">
        <f t="shared" si="28"/>
        <v>0</v>
      </c>
      <c r="H39" s="2327">
        <f t="shared" si="28"/>
        <v>0</v>
      </c>
      <c r="I39" s="2327">
        <f t="shared" si="28"/>
        <v>0</v>
      </c>
      <c r="J39" s="2327">
        <f t="shared" si="28"/>
        <v>0</v>
      </c>
      <c r="K39" s="2327">
        <f t="shared" si="28"/>
        <v>0</v>
      </c>
      <c r="L39" s="2328">
        <f t="shared" si="28"/>
        <v>0</v>
      </c>
      <c r="M39" s="4102"/>
      <c r="N39" s="4102"/>
      <c r="O39" s="4108"/>
      <c r="Q39" s="4094"/>
      <c r="R39" s="4094"/>
      <c r="S39" s="4094"/>
    </row>
    <row r="40" spans="1:19" s="2294" customFormat="1" ht="13.5" hidden="1" customHeight="1">
      <c r="A40" s="4104"/>
      <c r="B40" s="2315" t="s">
        <v>13</v>
      </c>
      <c r="C40" s="4099"/>
      <c r="D40" s="2308">
        <v>0</v>
      </c>
      <c r="E40" s="2309">
        <v>0</v>
      </c>
      <c r="F40" s="2309">
        <v>0</v>
      </c>
      <c r="G40" s="2316">
        <v>0</v>
      </c>
      <c r="H40" s="2316">
        <v>0</v>
      </c>
      <c r="I40" s="2316">
        <v>0</v>
      </c>
      <c r="J40" s="2316">
        <v>0</v>
      </c>
      <c r="K40" s="2316">
        <v>0</v>
      </c>
      <c r="L40" s="2317">
        <v>0</v>
      </c>
      <c r="M40" s="4102"/>
      <c r="N40" s="4102"/>
      <c r="O40" s="4108"/>
    </row>
    <row r="41" spans="1:19" s="2294" customFormat="1" ht="15" hidden="1" customHeight="1" thickBot="1">
      <c r="A41" s="4105"/>
      <c r="B41" s="2329" t="s">
        <v>123</v>
      </c>
      <c r="C41" s="4100"/>
      <c r="D41" s="2330">
        <v>0</v>
      </c>
      <c r="E41" s="2331">
        <v>0</v>
      </c>
      <c r="F41" s="2332">
        <v>0</v>
      </c>
      <c r="G41" s="2332">
        <v>0</v>
      </c>
      <c r="H41" s="2332">
        <v>0</v>
      </c>
      <c r="I41" s="2332">
        <v>0</v>
      </c>
      <c r="J41" s="2332">
        <v>0</v>
      </c>
      <c r="K41" s="2332">
        <v>0</v>
      </c>
      <c r="L41" s="2333">
        <v>0</v>
      </c>
      <c r="M41" s="4103"/>
      <c r="N41" s="4103"/>
      <c r="O41" s="4109"/>
    </row>
    <row r="42" spans="1:19" s="2294" customFormat="1" ht="28.5" customHeight="1">
      <c r="A42" s="4074" t="s">
        <v>63</v>
      </c>
      <c r="B42" s="2288" t="s">
        <v>532</v>
      </c>
      <c r="C42" s="2289" t="s">
        <v>110</v>
      </c>
      <c r="D42" s="2290"/>
      <c r="E42" s="2291"/>
      <c r="F42" s="2291"/>
      <c r="G42" s="2291"/>
      <c r="H42" s="2291"/>
      <c r="I42" s="2291"/>
      <c r="J42" s="2291"/>
      <c r="K42" s="2291"/>
      <c r="L42" s="2290"/>
      <c r="M42" s="2293"/>
      <c r="N42" s="2293"/>
      <c r="O42" s="4116" t="s">
        <v>563</v>
      </c>
    </row>
    <row r="43" spans="1:19" s="2294" customFormat="1" ht="13.5" customHeight="1">
      <c r="A43" s="4075"/>
      <c r="B43" s="2295" t="s">
        <v>10</v>
      </c>
      <c r="C43" s="2334"/>
      <c r="D43" s="2297">
        <f>+D44</f>
        <v>8000000</v>
      </c>
      <c r="E43" s="2297">
        <f t="shared" ref="E43:N43" si="29">+E44</f>
        <v>1660000</v>
      </c>
      <c r="F43" s="2297">
        <f t="shared" si="29"/>
        <v>1080000</v>
      </c>
      <c r="G43" s="2297">
        <f t="shared" si="29"/>
        <v>1080000</v>
      </c>
      <c r="H43" s="2297">
        <f t="shared" si="29"/>
        <v>1080000</v>
      </c>
      <c r="I43" s="2297">
        <f t="shared" si="29"/>
        <v>1080000</v>
      </c>
      <c r="J43" s="2297">
        <f t="shared" si="29"/>
        <v>1080000</v>
      </c>
      <c r="K43" s="2297">
        <f t="shared" si="29"/>
        <v>940000</v>
      </c>
      <c r="L43" s="2335">
        <f t="shared" si="29"/>
        <v>0</v>
      </c>
      <c r="M43" s="2300">
        <f t="shared" si="29"/>
        <v>5260000</v>
      </c>
      <c r="N43" s="2300">
        <f t="shared" si="29"/>
        <v>5260000</v>
      </c>
      <c r="O43" s="4117"/>
    </row>
    <row r="44" spans="1:19" s="2271" customFormat="1" ht="16.5" customHeight="1">
      <c r="A44" s="4075"/>
      <c r="B44" s="2336" t="s">
        <v>24</v>
      </c>
      <c r="C44" s="4071" t="s">
        <v>127</v>
      </c>
      <c r="D44" s="2326">
        <f>+D45+D46</f>
        <v>8000000</v>
      </c>
      <c r="E44" s="2326">
        <f t="shared" ref="E44" si="30">+E45+E46</f>
        <v>1660000</v>
      </c>
      <c r="F44" s="2326">
        <f t="shared" ref="F44:L44" si="31">+F45+F46</f>
        <v>1080000</v>
      </c>
      <c r="G44" s="2326">
        <f t="shared" si="31"/>
        <v>1080000</v>
      </c>
      <c r="H44" s="2326">
        <f t="shared" si="31"/>
        <v>1080000</v>
      </c>
      <c r="I44" s="2326">
        <f t="shared" si="31"/>
        <v>1080000</v>
      </c>
      <c r="J44" s="2326">
        <f t="shared" si="31"/>
        <v>1080000</v>
      </c>
      <c r="K44" s="2326">
        <f t="shared" si="31"/>
        <v>940000</v>
      </c>
      <c r="L44" s="2337">
        <f t="shared" si="31"/>
        <v>0</v>
      </c>
      <c r="M44" s="2338">
        <f>+M46</f>
        <v>5260000</v>
      </c>
      <c r="N44" s="2338">
        <f>+N46</f>
        <v>5260000</v>
      </c>
      <c r="O44" s="4117"/>
    </row>
    <row r="45" spans="1:19" s="2271" customFormat="1" ht="13.5" customHeight="1">
      <c r="A45" s="4075"/>
      <c r="B45" s="2307" t="s">
        <v>125</v>
      </c>
      <c r="C45" s="4072"/>
      <c r="D45" s="2308">
        <f>E45+F45+G45+H45+I45+J45+K45+L45</f>
        <v>2740000</v>
      </c>
      <c r="E45" s="2309">
        <v>1660000</v>
      </c>
      <c r="F45" s="2339">
        <v>1080000</v>
      </c>
      <c r="G45" s="2339">
        <v>0</v>
      </c>
      <c r="H45" s="2339">
        <v>0</v>
      </c>
      <c r="I45" s="2339">
        <v>0</v>
      </c>
      <c r="J45" s="2339">
        <v>0</v>
      </c>
      <c r="K45" s="2339">
        <v>0</v>
      </c>
      <c r="L45" s="2340">
        <v>0</v>
      </c>
      <c r="M45" s="2314">
        <f>SUM(F45:K45)</f>
        <v>1080000</v>
      </c>
      <c r="N45" s="2314">
        <f>SUM(G45:L45)</f>
        <v>0</v>
      </c>
      <c r="O45" s="4117"/>
    </row>
    <row r="46" spans="1:19" s="2271" customFormat="1" ht="13.5" customHeight="1" thickBot="1">
      <c r="A46" s="4076"/>
      <c r="B46" s="2341" t="s">
        <v>128</v>
      </c>
      <c r="C46" s="4073"/>
      <c r="D46" s="2342">
        <f>E46+F46+G46+H46+I46+J46+K46+L46</f>
        <v>5260000</v>
      </c>
      <c r="E46" s="2331">
        <v>0</v>
      </c>
      <c r="F46" s="2343">
        <v>0</v>
      </c>
      <c r="G46" s="2344">
        <v>1080000</v>
      </c>
      <c r="H46" s="2344">
        <v>1080000</v>
      </c>
      <c r="I46" s="2344">
        <v>1080000</v>
      </c>
      <c r="J46" s="2344">
        <v>1080000</v>
      </c>
      <c r="K46" s="2344">
        <v>940000</v>
      </c>
      <c r="L46" s="2345">
        <v>0</v>
      </c>
      <c r="M46" s="2346">
        <f>SUM(F46:L46)</f>
        <v>5260000</v>
      </c>
      <c r="N46" s="2346">
        <f>SUM(G46:L46)</f>
        <v>5260000</v>
      </c>
      <c r="O46" s="4118"/>
    </row>
    <row r="47" spans="1:19" s="2271" customFormat="1" ht="48.75" customHeight="1">
      <c r="A47" s="4074" t="s">
        <v>64</v>
      </c>
      <c r="B47" s="2347" t="s">
        <v>526</v>
      </c>
      <c r="C47" s="2289" t="s">
        <v>110</v>
      </c>
      <c r="D47" s="2290"/>
      <c r="E47" s="2291"/>
      <c r="F47" s="2291"/>
      <c r="G47" s="2291"/>
      <c r="H47" s="2291"/>
      <c r="I47" s="2291"/>
      <c r="J47" s="2348"/>
      <c r="K47" s="2348"/>
      <c r="L47" s="2349"/>
      <c r="M47" s="2350"/>
      <c r="N47" s="2350"/>
      <c r="O47" s="4113" t="s">
        <v>329</v>
      </c>
    </row>
    <row r="48" spans="1:19" s="2271" customFormat="1" ht="13.5" customHeight="1">
      <c r="A48" s="4075"/>
      <c r="B48" s="2295" t="s">
        <v>10</v>
      </c>
      <c r="C48" s="2334"/>
      <c r="D48" s="2297">
        <f>+D49</f>
        <v>2799999.64</v>
      </c>
      <c r="E48" s="2297">
        <f t="shared" ref="E48" si="32">+E49</f>
        <v>116666.64</v>
      </c>
      <c r="F48" s="2297">
        <f t="shared" ref="F48:L48" si="33">+F49</f>
        <v>233333</v>
      </c>
      <c r="G48" s="2297">
        <f t="shared" si="33"/>
        <v>233333</v>
      </c>
      <c r="H48" s="2297">
        <f t="shared" si="33"/>
        <v>233333</v>
      </c>
      <c r="I48" s="2297">
        <f t="shared" si="33"/>
        <v>233333</v>
      </c>
      <c r="J48" s="2297">
        <f t="shared" si="33"/>
        <v>233333</v>
      </c>
      <c r="K48" s="2297">
        <f t="shared" si="33"/>
        <v>233333</v>
      </c>
      <c r="L48" s="2297">
        <f t="shared" si="33"/>
        <v>233333</v>
      </c>
      <c r="M48" s="2351">
        <f>+M49</f>
        <v>2450000</v>
      </c>
      <c r="N48" s="2351">
        <f>+N49</f>
        <v>2450000</v>
      </c>
      <c r="O48" s="4114"/>
    </row>
    <row r="49" spans="1:22" s="2271" customFormat="1" ht="13.5" customHeight="1">
      <c r="A49" s="4075"/>
      <c r="B49" s="2336" t="s">
        <v>24</v>
      </c>
      <c r="C49" s="4071" t="s">
        <v>127</v>
      </c>
      <c r="D49" s="2326">
        <f>+D51+D50</f>
        <v>2799999.64</v>
      </c>
      <c r="E49" s="2326">
        <f>+E50</f>
        <v>116666.64</v>
      </c>
      <c r="F49" s="2326">
        <f t="shared" ref="F49:L49" si="34">+F50+F51</f>
        <v>233333</v>
      </c>
      <c r="G49" s="2326">
        <f t="shared" si="34"/>
        <v>233333</v>
      </c>
      <c r="H49" s="2326">
        <f t="shared" si="34"/>
        <v>233333</v>
      </c>
      <c r="I49" s="2326">
        <f t="shared" si="34"/>
        <v>233333</v>
      </c>
      <c r="J49" s="2326">
        <f t="shared" si="34"/>
        <v>233333</v>
      </c>
      <c r="K49" s="2326">
        <f t="shared" si="34"/>
        <v>233333</v>
      </c>
      <c r="L49" s="2326">
        <f t="shared" si="34"/>
        <v>233333</v>
      </c>
      <c r="M49" s="2338">
        <f>+M51</f>
        <v>2450000</v>
      </c>
      <c r="N49" s="2338">
        <f>+N51</f>
        <v>2450000</v>
      </c>
      <c r="O49" s="4114"/>
    </row>
    <row r="50" spans="1:22" s="2271" customFormat="1" ht="12.75" customHeight="1">
      <c r="A50" s="4075"/>
      <c r="B50" s="2307" t="s">
        <v>125</v>
      </c>
      <c r="C50" s="4072"/>
      <c r="D50" s="2308">
        <f>E50+F50+G50+H50+I50+J50+K50+L50</f>
        <v>349999.64</v>
      </c>
      <c r="E50" s="2309">
        <v>116666.64</v>
      </c>
      <c r="F50" s="2339">
        <v>233333</v>
      </c>
      <c r="G50" s="2339">
        <v>0</v>
      </c>
      <c r="H50" s="2339">
        <v>0</v>
      </c>
      <c r="I50" s="2339">
        <v>0</v>
      </c>
      <c r="J50" s="2339"/>
      <c r="K50" s="2339"/>
      <c r="L50" s="2339"/>
      <c r="M50" s="2314">
        <f>SUM(F50:K50)</f>
        <v>233333</v>
      </c>
      <c r="N50" s="2314">
        <f>SUM(G50:L50)</f>
        <v>0</v>
      </c>
      <c r="O50" s="4114"/>
    </row>
    <row r="51" spans="1:22" s="2271" customFormat="1" ht="13.5" customHeight="1" thickBot="1">
      <c r="A51" s="4076"/>
      <c r="B51" s="2341" t="s">
        <v>128</v>
      </c>
      <c r="C51" s="4073"/>
      <c r="D51" s="2330">
        <f>E51+F51+G51+H51+I51+J51+K51+L51+P51</f>
        <v>2450000</v>
      </c>
      <c r="E51" s="2352">
        <v>0</v>
      </c>
      <c r="F51" s="2344">
        <v>0</v>
      </c>
      <c r="G51" s="2344">
        <v>233333</v>
      </c>
      <c r="H51" s="2344">
        <v>233333</v>
      </c>
      <c r="I51" s="2344">
        <v>233333</v>
      </c>
      <c r="J51" s="2344">
        <v>233333</v>
      </c>
      <c r="K51" s="2344">
        <v>233333</v>
      </c>
      <c r="L51" s="2344">
        <v>233333</v>
      </c>
      <c r="M51" s="2314">
        <f>SUM(F51:L51)+1050002</f>
        <v>2450000</v>
      </c>
      <c r="N51" s="2314">
        <f>SUM(G51:L51)+1050002</f>
        <v>2450000</v>
      </c>
      <c r="O51" s="4115"/>
      <c r="P51" s="2353">
        <v>1050002</v>
      </c>
      <c r="Q51" s="2272">
        <f>+P51+P56</f>
        <v>34307447</v>
      </c>
    </row>
    <row r="52" spans="1:22" s="2294" customFormat="1" ht="42" customHeight="1">
      <c r="A52" s="4074" t="s">
        <v>65</v>
      </c>
      <c r="B52" s="2288" t="s">
        <v>529</v>
      </c>
      <c r="C52" s="2289" t="s">
        <v>110</v>
      </c>
      <c r="D52" s="2290"/>
      <c r="E52" s="2291"/>
      <c r="F52" s="2291"/>
      <c r="G52" s="2291"/>
      <c r="H52" s="2291"/>
      <c r="I52" s="2291"/>
      <c r="J52" s="2291"/>
      <c r="K52" s="2292"/>
      <c r="L52" s="2290"/>
      <c r="M52" s="2293"/>
      <c r="N52" s="2293"/>
      <c r="O52" s="4110" t="s">
        <v>456</v>
      </c>
    </row>
    <row r="53" spans="1:22" s="2294" customFormat="1" ht="13.5" customHeight="1">
      <c r="A53" s="4075"/>
      <c r="B53" s="2295" t="s">
        <v>10</v>
      </c>
      <c r="C53" s="2334"/>
      <c r="D53" s="2297">
        <f>+D54</f>
        <v>55755125</v>
      </c>
      <c r="E53" s="2297">
        <f t="shared" ref="E53:L53" si="35">+E54</f>
        <v>0</v>
      </c>
      <c r="F53" s="2298">
        <f t="shared" si="35"/>
        <v>0</v>
      </c>
      <c r="G53" s="2297">
        <f t="shared" si="35"/>
        <v>2934480</v>
      </c>
      <c r="H53" s="2297">
        <f t="shared" si="35"/>
        <v>3912640</v>
      </c>
      <c r="I53" s="2297">
        <f t="shared" si="35"/>
        <v>3912640</v>
      </c>
      <c r="J53" s="2297">
        <f t="shared" si="35"/>
        <v>3912640</v>
      </c>
      <c r="K53" s="2297">
        <f t="shared" si="35"/>
        <v>3912640</v>
      </c>
      <c r="L53" s="2297">
        <f t="shared" si="35"/>
        <v>3912640</v>
      </c>
      <c r="M53" s="2300">
        <f>+M54</f>
        <v>55755125</v>
      </c>
      <c r="N53" s="2300">
        <f>+N54</f>
        <v>55755125</v>
      </c>
      <c r="O53" s="4111"/>
    </row>
    <row r="54" spans="1:22" s="2271" customFormat="1" ht="13.5" customHeight="1">
      <c r="A54" s="4075"/>
      <c r="B54" s="2336" t="s">
        <v>24</v>
      </c>
      <c r="C54" s="4071" t="s">
        <v>127</v>
      </c>
      <c r="D54" s="2326">
        <f>+D55+D56</f>
        <v>55755125</v>
      </c>
      <c r="E54" s="2326">
        <f t="shared" ref="E54" si="36">+E55+E56</f>
        <v>0</v>
      </c>
      <c r="F54" s="2327">
        <f t="shared" ref="F54:L54" si="37">+F55+F56</f>
        <v>0</v>
      </c>
      <c r="G54" s="2326">
        <f t="shared" si="37"/>
        <v>2934480</v>
      </c>
      <c r="H54" s="2326">
        <f t="shared" si="37"/>
        <v>3912640</v>
      </c>
      <c r="I54" s="2326">
        <f t="shared" si="37"/>
        <v>3912640</v>
      </c>
      <c r="J54" s="2326">
        <f t="shared" si="37"/>
        <v>3912640</v>
      </c>
      <c r="K54" s="2326">
        <f t="shared" si="37"/>
        <v>3912640</v>
      </c>
      <c r="L54" s="2326">
        <f t="shared" si="37"/>
        <v>3912640</v>
      </c>
      <c r="M54" s="2338">
        <f>+M55+M56</f>
        <v>55755125</v>
      </c>
      <c r="N54" s="2338">
        <f>+N55+N56</f>
        <v>55755125</v>
      </c>
      <c r="O54" s="4111"/>
      <c r="Q54" s="2272"/>
    </row>
    <row r="55" spans="1:22" s="2271" customFormat="1" ht="13.5" hidden="1" customHeight="1">
      <c r="A55" s="4075"/>
      <c r="B55" s="2307" t="s">
        <v>125</v>
      </c>
      <c r="C55" s="4072"/>
      <c r="D55" s="2308">
        <f>E55+F55+G55+H55+I55+J55+K55+L55</f>
        <v>0</v>
      </c>
      <c r="E55" s="2309">
        <v>0</v>
      </c>
      <c r="F55" s="2354">
        <v>0</v>
      </c>
      <c r="G55" s="2354">
        <v>0</v>
      </c>
      <c r="H55" s="2354">
        <v>0</v>
      </c>
      <c r="I55" s="2354">
        <v>0</v>
      </c>
      <c r="J55" s="2354">
        <v>0</v>
      </c>
      <c r="K55" s="2355">
        <v>0</v>
      </c>
      <c r="L55" s="2355">
        <v>0</v>
      </c>
      <c r="M55" s="2314">
        <f>SUM(F55:K55)</f>
        <v>0</v>
      </c>
      <c r="N55" s="2314">
        <f>SUM(G55:L55)</f>
        <v>0</v>
      </c>
      <c r="O55" s="4111"/>
    </row>
    <row r="56" spans="1:22" s="2271" customFormat="1" ht="13.5" customHeight="1" thickBot="1">
      <c r="A56" s="4076"/>
      <c r="B56" s="2341" t="s">
        <v>128</v>
      </c>
      <c r="C56" s="4073"/>
      <c r="D56" s="2330">
        <f>E56+F56+G56+H56+I56+J56+K56+L56+P56</f>
        <v>55755125</v>
      </c>
      <c r="E56" s="2352">
        <v>0</v>
      </c>
      <c r="F56" s="2356">
        <v>0</v>
      </c>
      <c r="G56" s="2344">
        <v>2934480</v>
      </c>
      <c r="H56" s="2344">
        <v>3912640</v>
      </c>
      <c r="I56" s="2344">
        <v>3912640</v>
      </c>
      <c r="J56" s="2344">
        <v>3912640</v>
      </c>
      <c r="K56" s="2344">
        <v>3912640</v>
      </c>
      <c r="L56" s="2344">
        <v>3912640</v>
      </c>
      <c r="M56" s="2357">
        <f>+K56+J56+I56+H56+G56+F56+L56+33257445</f>
        <v>55755125</v>
      </c>
      <c r="N56" s="2357">
        <f>+L56+K56+J56+I56+H56+G56+33257445</f>
        <v>55755125</v>
      </c>
      <c r="O56" s="4112"/>
      <c r="P56" s="2353">
        <v>33257445</v>
      </c>
    </row>
    <row r="57" spans="1:22" s="2358" customFormat="1" ht="13.5" customHeight="1">
      <c r="A57" s="4069"/>
      <c r="B57" s="4069"/>
      <c r="C57" s="4069"/>
      <c r="D57" s="4069"/>
      <c r="E57" s="4069"/>
      <c r="F57" s="4069"/>
      <c r="G57" s="4069"/>
      <c r="H57" s="4069"/>
      <c r="I57" s="4069"/>
      <c r="J57" s="4069"/>
      <c r="K57" s="4069"/>
      <c r="L57" s="4069"/>
      <c r="M57" s="4069"/>
      <c r="N57" s="4069"/>
      <c r="O57" s="4069"/>
    </row>
    <row r="58" spans="1:22" s="2219" customFormat="1" ht="12.75" customHeight="1">
      <c r="A58" s="4070" t="s">
        <v>527</v>
      </c>
      <c r="B58" s="4070"/>
      <c r="C58" s="4070"/>
      <c r="D58" s="4070"/>
      <c r="E58" s="4070"/>
      <c r="F58" s="4070"/>
      <c r="G58" s="4070"/>
      <c r="H58" s="4070"/>
      <c r="I58" s="4070"/>
      <c r="J58" s="4070"/>
      <c r="K58" s="4070"/>
      <c r="L58" s="4070"/>
    </row>
    <row r="59" spans="1:22" s="2219" customFormat="1" ht="12.75" customHeight="1">
      <c r="A59" s="4070" t="s">
        <v>528</v>
      </c>
      <c r="B59" s="4070"/>
      <c r="C59" s="4070"/>
      <c r="D59" s="4070"/>
      <c r="E59" s="4070"/>
      <c r="F59" s="4070"/>
      <c r="G59" s="4070"/>
      <c r="H59" s="4070"/>
      <c r="I59" s="4070"/>
      <c r="J59" s="2359"/>
      <c r="K59" s="2359"/>
      <c r="L59" s="2359"/>
    </row>
    <row r="60" spans="1:22" s="2358" customFormat="1" ht="13.5" customHeight="1">
      <c r="A60" s="4069"/>
      <c r="B60" s="4069"/>
      <c r="C60" s="4069"/>
      <c r="D60" s="4069"/>
      <c r="E60" s="4069"/>
      <c r="F60" s="4069"/>
      <c r="G60" s="4069"/>
      <c r="H60" s="4069"/>
      <c r="I60" s="4069"/>
      <c r="J60" s="4069"/>
      <c r="K60" s="4069"/>
      <c r="L60" s="4069"/>
      <c r="M60" s="4069"/>
      <c r="N60" s="4069"/>
      <c r="O60" s="4069"/>
    </row>
    <row r="61" spans="1:22" s="2360" customFormat="1" ht="12.75" customHeight="1">
      <c r="E61" s="2361"/>
      <c r="F61" s="2199"/>
      <c r="G61" s="2199"/>
      <c r="H61" s="2199"/>
      <c r="I61" s="2199"/>
      <c r="J61" s="2199"/>
      <c r="K61" s="2199"/>
      <c r="L61" s="2199"/>
      <c r="M61" s="2199"/>
      <c r="N61" s="2199"/>
      <c r="O61" s="2362"/>
    </row>
    <row r="62" spans="1:22" s="2294" customFormat="1" ht="10.5" customHeight="1">
      <c r="A62" s="2198"/>
      <c r="B62" s="2199"/>
      <c r="C62" s="2200"/>
      <c r="D62" s="2200"/>
      <c r="E62" s="2199"/>
      <c r="F62" s="2199"/>
      <c r="G62" s="2199"/>
      <c r="H62" s="2199"/>
      <c r="I62" s="2199"/>
      <c r="J62" s="2199"/>
      <c r="K62" s="2199"/>
      <c r="L62" s="2199"/>
      <c r="M62" s="2199"/>
      <c r="N62" s="2199"/>
      <c r="O62" s="2362"/>
    </row>
    <row r="63" spans="1:22" s="2358" customFormat="1" ht="15.75" customHeight="1">
      <c r="B63" s="2199"/>
      <c r="C63" s="2199"/>
      <c r="D63" s="2199"/>
      <c r="E63" s="2199"/>
      <c r="F63" s="2363">
        <v>2017</v>
      </c>
      <c r="G63" s="2363">
        <v>2018</v>
      </c>
      <c r="H63" s="2363">
        <v>2019</v>
      </c>
      <c r="I63" s="2363">
        <v>2020</v>
      </c>
      <c r="J63" s="2363">
        <v>2021</v>
      </c>
      <c r="K63" s="2363">
        <v>2022</v>
      </c>
      <c r="L63" s="2363">
        <v>2023</v>
      </c>
      <c r="M63" s="2363">
        <v>2024</v>
      </c>
      <c r="N63" s="2363">
        <v>2024</v>
      </c>
      <c r="O63" s="2363">
        <v>2025</v>
      </c>
      <c r="P63" s="2363">
        <v>2026</v>
      </c>
      <c r="Q63" s="2363">
        <v>2027</v>
      </c>
      <c r="R63" s="2363">
        <v>2028</v>
      </c>
      <c r="S63" s="2363">
        <v>2029</v>
      </c>
      <c r="T63" s="2363">
        <v>2030</v>
      </c>
      <c r="U63" s="2363">
        <v>2031</v>
      </c>
      <c r="V63" s="2363">
        <v>2032</v>
      </c>
    </row>
    <row r="64" spans="1:22" s="2358" customFormat="1" ht="15.75" customHeight="1">
      <c r="A64" s="2198"/>
      <c r="B64" s="2364" t="s">
        <v>248</v>
      </c>
      <c r="C64" s="2364"/>
      <c r="D64" s="2365"/>
      <c r="E64" s="2364"/>
      <c r="F64" s="2366">
        <f>+F46+F51+F56</f>
        <v>0</v>
      </c>
      <c r="G64" s="2366">
        <f t="shared" ref="G64:K64" si="38">+G46+G51+G56</f>
        <v>4247813</v>
      </c>
      <c r="H64" s="2366">
        <f t="shared" si="38"/>
        <v>5225973</v>
      </c>
      <c r="I64" s="2366">
        <f t="shared" si="38"/>
        <v>5225973</v>
      </c>
      <c r="J64" s="2366">
        <f t="shared" si="38"/>
        <v>5225973</v>
      </c>
      <c r="K64" s="2366">
        <f t="shared" si="38"/>
        <v>5085973</v>
      </c>
      <c r="L64" s="2366">
        <f>+L46+L51+L56</f>
        <v>4145973</v>
      </c>
      <c r="M64" s="2366">
        <f>4145973</f>
        <v>4145973</v>
      </c>
      <c r="N64" s="2366"/>
      <c r="O64" s="2366">
        <v>4145973</v>
      </c>
      <c r="P64" s="2366">
        <v>4145973</v>
      </c>
      <c r="Q64" s="2366">
        <v>4145973</v>
      </c>
      <c r="R64" s="2366">
        <v>4029310</v>
      </c>
      <c r="S64" s="2366">
        <v>3912640</v>
      </c>
      <c r="T64" s="2366">
        <v>3912640</v>
      </c>
      <c r="U64" s="2366">
        <v>3912640</v>
      </c>
      <c r="V64" s="2366">
        <v>1956325</v>
      </c>
    </row>
    <row r="65" spans="1:22" s="2358" customFormat="1" ht="15.75" customHeight="1">
      <c r="A65" s="2198"/>
      <c r="B65" s="2199"/>
      <c r="C65" s="2199"/>
      <c r="D65" s="2200"/>
      <c r="E65" s="2199"/>
      <c r="F65" s="2199"/>
      <c r="G65" s="2199"/>
      <c r="H65" s="2199"/>
      <c r="I65" s="2199"/>
      <c r="J65" s="2199"/>
      <c r="K65" s="2199"/>
      <c r="L65" s="2199"/>
      <c r="M65" s="2199"/>
      <c r="N65" s="2199"/>
      <c r="O65" s="2362"/>
      <c r="V65" s="2367">
        <f>SUM(F64:V64)</f>
        <v>63465125</v>
      </c>
    </row>
    <row r="66" spans="1:22" s="2358" customFormat="1" ht="12" customHeight="1">
      <c r="A66" s="2198"/>
      <c r="B66" s="2199"/>
      <c r="C66" s="2199"/>
      <c r="D66" s="2200"/>
      <c r="E66" s="2199"/>
      <c r="F66" s="2199"/>
      <c r="G66" s="2199"/>
      <c r="H66" s="2199"/>
      <c r="I66" s="2199"/>
      <c r="J66" s="2199"/>
      <c r="K66" s="2199"/>
      <c r="L66" s="2199"/>
      <c r="M66" s="2199"/>
      <c r="N66" s="2199"/>
      <c r="O66" s="2362"/>
      <c r="R66" s="2367"/>
      <c r="V66" s="2367">
        <f>M56+M51+M46</f>
        <v>63465125</v>
      </c>
    </row>
    <row r="67" spans="1:22" s="2368" customFormat="1" ht="22.5" customHeight="1">
      <c r="A67" s="2198"/>
      <c r="B67" s="2199"/>
      <c r="C67" s="2199"/>
      <c r="D67" s="2199"/>
      <c r="E67" s="2199"/>
      <c r="F67" s="2199"/>
      <c r="G67" s="2199"/>
      <c r="H67" s="2199"/>
      <c r="I67" s="2199"/>
      <c r="J67" s="2199"/>
      <c r="K67" s="2199"/>
      <c r="L67" s="2199"/>
      <c r="M67" s="2199"/>
      <c r="N67" s="2199"/>
      <c r="O67" s="2362"/>
      <c r="V67" s="2369">
        <f>V65-V66</f>
        <v>0</v>
      </c>
    </row>
    <row r="68" spans="1:22" s="2294" customFormat="1" ht="12.75" customHeight="1">
      <c r="A68" s="2198"/>
      <c r="B68" s="2199"/>
      <c r="C68" s="2199"/>
      <c r="D68" s="2199"/>
      <c r="E68" s="2199"/>
      <c r="F68" s="2199"/>
      <c r="G68" s="2199"/>
      <c r="H68" s="2199"/>
      <c r="I68" s="2199"/>
      <c r="J68" s="2199"/>
      <c r="K68" s="2199"/>
      <c r="L68" s="2199"/>
      <c r="M68" s="2199"/>
      <c r="N68" s="2199"/>
      <c r="O68" s="2362"/>
    </row>
    <row r="69" spans="1:22" s="2294" customFormat="1" ht="12.75" customHeight="1">
      <c r="A69" s="2370"/>
      <c r="B69" s="2199"/>
      <c r="C69" s="2199"/>
      <c r="D69" s="2199"/>
      <c r="E69" s="2199"/>
      <c r="F69" s="2199"/>
      <c r="G69" s="2199"/>
      <c r="H69" s="2199"/>
      <c r="I69" s="2199"/>
      <c r="J69" s="2199"/>
      <c r="K69" s="2199"/>
      <c r="L69" s="2199"/>
      <c r="M69" s="2199"/>
      <c r="N69" s="2199"/>
      <c r="O69" s="2362"/>
    </row>
    <row r="70" spans="1:22" s="2294" customFormat="1">
      <c r="A70" s="2198"/>
      <c r="B70" s="2199"/>
      <c r="C70" s="2199"/>
      <c r="D70" s="2199"/>
      <c r="E70" s="2199"/>
      <c r="F70" s="2199"/>
      <c r="G70" s="2199"/>
      <c r="H70" s="2199"/>
      <c r="I70" s="2199"/>
      <c r="J70" s="2199"/>
      <c r="K70" s="2199"/>
      <c r="L70" s="2199"/>
      <c r="M70" s="2199"/>
      <c r="N70" s="2199"/>
      <c r="O70" s="2362"/>
    </row>
    <row r="71" spans="1:22" s="2368" customFormat="1" ht="14.25" customHeight="1">
      <c r="A71" s="2198"/>
      <c r="B71" s="2199"/>
      <c r="C71" s="2199"/>
      <c r="D71" s="2199"/>
      <c r="E71" s="2199"/>
      <c r="F71" s="2199"/>
      <c r="G71" s="2199"/>
      <c r="H71" s="2199"/>
      <c r="I71" s="2199"/>
      <c r="J71" s="2199"/>
      <c r="K71" s="2199"/>
      <c r="L71" s="2199"/>
      <c r="M71" s="2199"/>
      <c r="N71" s="2199"/>
      <c r="O71" s="2362"/>
    </row>
    <row r="72" spans="1:22" s="2294" customFormat="1" ht="12.75" customHeight="1">
      <c r="A72" s="2198"/>
      <c r="B72" s="2199"/>
      <c r="C72" s="2199"/>
      <c r="D72" s="2199"/>
      <c r="E72" s="2199"/>
      <c r="F72" s="2199"/>
      <c r="G72" s="2199"/>
      <c r="H72" s="2199"/>
      <c r="I72" s="2199"/>
      <c r="J72" s="2199"/>
      <c r="K72" s="2199"/>
      <c r="L72" s="2199"/>
      <c r="M72" s="2199"/>
      <c r="N72" s="2199"/>
      <c r="O72" s="2362"/>
    </row>
    <row r="73" spans="1:22" s="2294" customFormat="1" ht="12.75" customHeight="1">
      <c r="A73" s="2198"/>
      <c r="B73" s="2199"/>
      <c r="C73" s="2199"/>
      <c r="D73" s="2199"/>
      <c r="E73" s="2199"/>
      <c r="F73" s="2199"/>
      <c r="G73" s="2199"/>
      <c r="H73" s="2199"/>
      <c r="I73" s="2199"/>
      <c r="J73" s="2199"/>
      <c r="K73" s="2199"/>
      <c r="L73" s="2199"/>
      <c r="M73" s="2199"/>
      <c r="N73" s="2199"/>
      <c r="O73" s="2362"/>
    </row>
    <row r="74" spans="1:22" s="2294" customFormat="1">
      <c r="A74" s="2198"/>
      <c r="B74" s="2199"/>
      <c r="C74" s="2199"/>
      <c r="D74" s="2199"/>
      <c r="E74" s="2199"/>
      <c r="F74" s="2199"/>
      <c r="G74" s="2199"/>
      <c r="H74" s="2199"/>
      <c r="I74" s="2199"/>
      <c r="J74" s="2199"/>
      <c r="K74" s="2199"/>
      <c r="L74" s="2199"/>
      <c r="M74" s="2199"/>
      <c r="N74" s="2199"/>
      <c r="O74" s="2362"/>
    </row>
    <row r="75" spans="1:22" s="2294" customFormat="1">
      <c r="A75" s="2198"/>
      <c r="B75" s="2199"/>
      <c r="C75" s="2199"/>
      <c r="D75" s="2199"/>
      <c r="E75" s="2199"/>
      <c r="F75" s="2199"/>
      <c r="G75" s="2199"/>
      <c r="H75" s="2199"/>
      <c r="I75" s="2199"/>
      <c r="J75" s="2199"/>
      <c r="K75" s="2199"/>
      <c r="L75" s="2199"/>
      <c r="M75" s="2199"/>
      <c r="N75" s="2199"/>
      <c r="O75" s="2362"/>
    </row>
    <row r="76" spans="1:22" s="2368" customFormat="1" ht="33.75" customHeight="1">
      <c r="A76" s="2198"/>
      <c r="B76" s="2199"/>
      <c r="C76" s="2199"/>
      <c r="D76" s="2199"/>
      <c r="E76" s="2199"/>
      <c r="F76" s="2199"/>
      <c r="G76" s="2199"/>
      <c r="H76" s="2199"/>
      <c r="I76" s="2199"/>
      <c r="J76" s="2199"/>
      <c r="K76" s="2199"/>
      <c r="L76" s="2199"/>
      <c r="M76" s="2199"/>
      <c r="N76" s="2199"/>
      <c r="O76" s="2362"/>
    </row>
    <row r="77" spans="1:22" s="2294" customFormat="1" ht="12.75" customHeight="1">
      <c r="A77" s="2198"/>
      <c r="B77" s="2199"/>
      <c r="C77" s="2199"/>
      <c r="D77" s="2199"/>
      <c r="E77" s="2199"/>
      <c r="F77" s="2199"/>
      <c r="G77" s="2199"/>
      <c r="H77" s="2199"/>
      <c r="I77" s="2199"/>
      <c r="J77" s="2199"/>
      <c r="K77" s="2199"/>
      <c r="L77" s="2199"/>
      <c r="M77" s="2199"/>
      <c r="N77" s="2199"/>
      <c r="O77" s="2362"/>
    </row>
    <row r="78" spans="1:22" s="2294" customFormat="1" ht="12.75" customHeight="1">
      <c r="A78" s="2198"/>
      <c r="B78" s="2199"/>
      <c r="C78" s="2199"/>
      <c r="D78" s="2199"/>
      <c r="E78" s="2199"/>
      <c r="F78" s="2199"/>
      <c r="G78" s="2199"/>
      <c r="H78" s="2199"/>
      <c r="I78" s="2199"/>
      <c r="J78" s="2199"/>
      <c r="K78" s="2199"/>
      <c r="L78" s="2199"/>
      <c r="M78" s="2199"/>
      <c r="N78" s="2199"/>
      <c r="O78" s="2362"/>
    </row>
    <row r="79" spans="1:22" s="2294" customFormat="1" ht="12.75" customHeight="1">
      <c r="A79" s="2198"/>
      <c r="B79" s="2199"/>
      <c r="C79" s="2199"/>
      <c r="D79" s="2199"/>
      <c r="E79" s="2199"/>
      <c r="F79" s="2199"/>
      <c r="G79" s="2199"/>
      <c r="H79" s="2199"/>
      <c r="I79" s="2199"/>
      <c r="J79" s="2199"/>
      <c r="K79" s="2199"/>
      <c r="L79" s="2199"/>
      <c r="M79" s="2199"/>
      <c r="N79" s="2199"/>
      <c r="O79" s="2362"/>
    </row>
    <row r="80" spans="1:22" s="2294" customFormat="1" ht="12.75" customHeight="1">
      <c r="A80" s="2198"/>
      <c r="B80" s="2199"/>
      <c r="C80" s="2199"/>
      <c r="D80" s="2199"/>
      <c r="E80" s="2199"/>
      <c r="F80" s="2199"/>
      <c r="G80" s="2199"/>
      <c r="H80" s="2199"/>
      <c r="I80" s="2199"/>
      <c r="J80" s="2199"/>
      <c r="K80" s="2199"/>
      <c r="L80" s="2199"/>
      <c r="M80" s="2199"/>
      <c r="N80" s="2199"/>
      <c r="O80" s="2362"/>
    </row>
    <row r="81" spans="1:15" s="2294" customFormat="1">
      <c r="A81" s="2198"/>
      <c r="B81" s="2199"/>
      <c r="C81" s="2199"/>
      <c r="D81" s="2199"/>
      <c r="E81" s="2199"/>
      <c r="F81" s="2199"/>
      <c r="G81" s="2199"/>
      <c r="H81" s="2199"/>
      <c r="I81" s="2199"/>
      <c r="J81" s="2199"/>
      <c r="K81" s="2199"/>
      <c r="L81" s="2199"/>
      <c r="M81" s="2199"/>
      <c r="N81" s="2199"/>
      <c r="O81" s="2362"/>
    </row>
    <row r="82" spans="1:15" s="2368" customFormat="1" ht="12" customHeight="1">
      <c r="A82" s="2198"/>
      <c r="B82" s="2199"/>
      <c r="C82" s="2199"/>
      <c r="D82" s="2199"/>
      <c r="E82" s="2199"/>
      <c r="F82" s="2199"/>
      <c r="G82" s="2199"/>
      <c r="H82" s="2199"/>
      <c r="I82" s="2199"/>
      <c r="J82" s="2199"/>
      <c r="K82" s="2199"/>
      <c r="L82" s="2199"/>
      <c r="M82" s="2199"/>
      <c r="N82" s="2199"/>
      <c r="O82" s="2362"/>
    </row>
    <row r="83" spans="1:15" s="2294" customFormat="1" ht="12.75" customHeight="1">
      <c r="A83" s="2198"/>
      <c r="B83" s="2199"/>
      <c r="C83" s="2199"/>
      <c r="D83" s="2199"/>
      <c r="E83" s="2199"/>
      <c r="F83" s="2199"/>
      <c r="G83" s="2199"/>
      <c r="H83" s="2199"/>
      <c r="I83" s="2199"/>
      <c r="J83" s="2199"/>
      <c r="K83" s="2199"/>
      <c r="L83" s="2199"/>
      <c r="M83" s="2199"/>
      <c r="N83" s="2199"/>
      <c r="O83" s="2362"/>
    </row>
    <row r="84" spans="1:15" s="2294" customFormat="1" ht="12.75" customHeight="1">
      <c r="A84" s="2198"/>
      <c r="B84" s="2199"/>
      <c r="C84" s="2199"/>
      <c r="D84" s="2199"/>
      <c r="E84" s="2199"/>
      <c r="F84" s="2199"/>
      <c r="G84" s="2199"/>
      <c r="H84" s="2199"/>
      <c r="I84" s="2199"/>
      <c r="J84" s="2199"/>
      <c r="K84" s="2199"/>
      <c r="L84" s="2199"/>
      <c r="M84" s="2199"/>
      <c r="N84" s="2199"/>
      <c r="O84" s="2362"/>
    </row>
    <row r="85" spans="1:15" s="2294" customFormat="1">
      <c r="A85" s="2198"/>
      <c r="B85" s="2199"/>
      <c r="C85" s="2199"/>
      <c r="D85" s="2199"/>
      <c r="E85" s="2199"/>
      <c r="F85" s="2199"/>
      <c r="G85" s="2199"/>
      <c r="H85" s="2199"/>
      <c r="I85" s="2199"/>
      <c r="J85" s="2199"/>
      <c r="K85" s="2199"/>
      <c r="L85" s="2199"/>
      <c r="M85" s="2199"/>
      <c r="N85" s="2199"/>
      <c r="O85" s="2362"/>
    </row>
    <row r="86" spans="1:15" s="2294" customFormat="1">
      <c r="A86" s="2198"/>
      <c r="B86" s="2199"/>
      <c r="C86" s="2199"/>
      <c r="D86" s="2199"/>
      <c r="E86" s="2199"/>
      <c r="F86" s="2199"/>
      <c r="G86" s="2199"/>
      <c r="H86" s="2199"/>
      <c r="I86" s="2199"/>
      <c r="J86" s="2199"/>
      <c r="K86" s="2199"/>
      <c r="L86" s="2199"/>
      <c r="M86" s="2199"/>
      <c r="N86" s="2199"/>
      <c r="O86" s="2362"/>
    </row>
    <row r="87" spans="1:15" s="2368" customFormat="1" ht="22.5" customHeight="1">
      <c r="A87" s="2198"/>
      <c r="B87" s="2199"/>
      <c r="C87" s="2199"/>
      <c r="D87" s="2199"/>
      <c r="E87" s="2199"/>
      <c r="F87" s="2199"/>
      <c r="G87" s="2199"/>
      <c r="H87" s="2199"/>
      <c r="I87" s="2199"/>
      <c r="J87" s="2199"/>
      <c r="K87" s="2199"/>
      <c r="L87" s="2199"/>
      <c r="M87" s="2199"/>
      <c r="N87" s="2199"/>
      <c r="O87" s="2362"/>
    </row>
    <row r="88" spans="1:15" s="2294" customFormat="1" ht="12.75" customHeight="1">
      <c r="A88" s="2198"/>
      <c r="B88" s="2199"/>
      <c r="C88" s="2199"/>
      <c r="D88" s="2199"/>
      <c r="E88" s="2199"/>
      <c r="F88" s="2199"/>
      <c r="G88" s="2199"/>
      <c r="H88" s="2199"/>
      <c r="I88" s="2199"/>
      <c r="J88" s="2199"/>
      <c r="K88" s="2199"/>
      <c r="L88" s="2199"/>
      <c r="M88" s="2199"/>
      <c r="N88" s="2199"/>
      <c r="O88" s="2362"/>
    </row>
    <row r="89" spans="1:15" s="2294" customFormat="1" ht="12.75" customHeight="1">
      <c r="A89" s="2198"/>
      <c r="B89" s="2199"/>
      <c r="C89" s="2199"/>
      <c r="D89" s="2199"/>
      <c r="E89" s="2199"/>
      <c r="F89" s="2199"/>
      <c r="G89" s="2199"/>
      <c r="H89" s="2199"/>
      <c r="I89" s="2199"/>
      <c r="J89" s="2199"/>
      <c r="K89" s="2199"/>
      <c r="L89" s="2199"/>
      <c r="M89" s="2199"/>
      <c r="N89" s="2199"/>
      <c r="O89" s="2362"/>
    </row>
    <row r="90" spans="1:15" s="2294" customFormat="1">
      <c r="A90" s="2198"/>
      <c r="B90" s="2199"/>
      <c r="C90" s="2199"/>
      <c r="D90" s="2199"/>
      <c r="E90" s="2199"/>
      <c r="F90" s="2199"/>
      <c r="G90" s="2199"/>
      <c r="H90" s="2199"/>
      <c r="I90" s="2199"/>
      <c r="J90" s="2199"/>
      <c r="K90" s="2199"/>
      <c r="L90" s="2199"/>
      <c r="M90" s="2199"/>
      <c r="N90" s="2199"/>
      <c r="O90" s="2362"/>
    </row>
    <row r="91" spans="1:15" s="2294" customFormat="1">
      <c r="A91" s="2198"/>
      <c r="B91" s="2199"/>
      <c r="C91" s="2199"/>
      <c r="D91" s="2199"/>
      <c r="E91" s="2199"/>
      <c r="F91" s="2199"/>
      <c r="G91" s="2199"/>
      <c r="H91" s="2199"/>
      <c r="I91" s="2199"/>
      <c r="J91" s="2199"/>
      <c r="K91" s="2199"/>
      <c r="L91" s="2199"/>
      <c r="M91" s="2199"/>
      <c r="N91" s="2199"/>
      <c r="O91" s="2362"/>
    </row>
    <row r="92" spans="1:15" s="2368" customFormat="1" ht="15" customHeight="1">
      <c r="A92" s="2198"/>
      <c r="B92" s="2199"/>
      <c r="C92" s="2199"/>
      <c r="D92" s="2199"/>
      <c r="E92" s="2199"/>
      <c r="F92" s="2199"/>
      <c r="G92" s="2199"/>
      <c r="H92" s="2199"/>
      <c r="I92" s="2199"/>
      <c r="J92" s="2199"/>
      <c r="K92" s="2199"/>
      <c r="L92" s="2199"/>
      <c r="M92" s="2199"/>
      <c r="N92" s="2199"/>
      <c r="O92" s="2362"/>
    </row>
    <row r="93" spans="1:15" s="2294" customFormat="1" ht="12.75" customHeight="1">
      <c r="A93" s="2198"/>
      <c r="B93" s="2199"/>
      <c r="C93" s="2199"/>
      <c r="D93" s="2199"/>
      <c r="E93" s="2199"/>
      <c r="F93" s="2199"/>
      <c r="G93" s="2199"/>
      <c r="H93" s="2199"/>
      <c r="I93" s="2199"/>
      <c r="J93" s="2199"/>
      <c r="K93" s="2199"/>
      <c r="L93" s="2199"/>
      <c r="M93" s="2199"/>
      <c r="N93" s="2199"/>
      <c r="O93" s="2362"/>
    </row>
    <row r="94" spans="1:15" s="2294" customFormat="1" ht="12.75" customHeight="1">
      <c r="A94" s="2198"/>
      <c r="B94" s="2199"/>
      <c r="C94" s="2199"/>
      <c r="D94" s="2199"/>
      <c r="E94" s="2199"/>
      <c r="F94" s="2199"/>
      <c r="G94" s="2199"/>
      <c r="H94" s="2199"/>
      <c r="I94" s="2199"/>
      <c r="J94" s="2199"/>
      <c r="K94" s="2199"/>
      <c r="L94" s="2199"/>
      <c r="M94" s="2199"/>
      <c r="N94" s="2199"/>
      <c r="O94" s="2362"/>
    </row>
    <row r="95" spans="1:15" s="2294" customFormat="1">
      <c r="A95" s="2198"/>
      <c r="B95" s="2199"/>
      <c r="C95" s="2199"/>
      <c r="D95" s="2199"/>
      <c r="E95" s="2199"/>
      <c r="F95" s="2199"/>
      <c r="G95" s="2199"/>
      <c r="H95" s="2199"/>
      <c r="I95" s="2199"/>
      <c r="J95" s="2199"/>
      <c r="K95" s="2199"/>
      <c r="L95" s="2199"/>
      <c r="M95" s="2199"/>
      <c r="N95" s="2199"/>
      <c r="O95" s="2362"/>
    </row>
    <row r="96" spans="1:15" s="2294" customFormat="1">
      <c r="A96" s="2198"/>
      <c r="B96" s="2199"/>
      <c r="C96" s="2199"/>
      <c r="D96" s="2199"/>
      <c r="E96" s="2199"/>
      <c r="F96" s="2199"/>
      <c r="G96" s="2199"/>
      <c r="H96" s="2199"/>
      <c r="I96" s="2199"/>
      <c r="J96" s="2199"/>
      <c r="K96" s="2199"/>
      <c r="L96" s="2199"/>
      <c r="M96" s="2199"/>
      <c r="N96" s="2199"/>
      <c r="O96" s="2362"/>
    </row>
    <row r="97" spans="1:15" s="2368" customFormat="1" ht="13.5" customHeight="1">
      <c r="A97" s="2198"/>
      <c r="B97" s="2199"/>
      <c r="C97" s="2199"/>
      <c r="D97" s="2199"/>
      <c r="E97" s="2199"/>
      <c r="F97" s="2199"/>
      <c r="G97" s="2199"/>
      <c r="H97" s="2199"/>
      <c r="I97" s="2199"/>
      <c r="J97" s="2199"/>
      <c r="K97" s="2199"/>
      <c r="L97" s="2199"/>
      <c r="M97" s="2199"/>
      <c r="N97" s="2199"/>
      <c r="O97" s="2362"/>
    </row>
    <row r="98" spans="1:15" s="2294" customFormat="1" ht="12.75" customHeight="1">
      <c r="A98" s="2198"/>
      <c r="B98" s="2199"/>
      <c r="C98" s="2199"/>
      <c r="D98" s="2199"/>
      <c r="E98" s="2199"/>
      <c r="F98" s="2199"/>
      <c r="G98" s="2199"/>
      <c r="H98" s="2199"/>
      <c r="I98" s="2199"/>
      <c r="J98" s="2199"/>
      <c r="K98" s="2199"/>
      <c r="L98" s="2199"/>
      <c r="M98" s="2199"/>
      <c r="N98" s="2199"/>
      <c r="O98" s="2362"/>
    </row>
    <row r="99" spans="1:15" s="2294" customFormat="1" ht="12.75" customHeight="1">
      <c r="A99" s="2198"/>
      <c r="B99" s="2199"/>
      <c r="C99" s="2199"/>
      <c r="D99" s="2199"/>
      <c r="E99" s="2199"/>
      <c r="F99" s="2199"/>
      <c r="G99" s="2199"/>
      <c r="H99" s="2199"/>
      <c r="I99" s="2199"/>
      <c r="J99" s="2199"/>
      <c r="K99" s="2199"/>
      <c r="L99" s="2199"/>
      <c r="M99" s="2199"/>
      <c r="N99" s="2199"/>
      <c r="O99" s="2362"/>
    </row>
    <row r="100" spans="1:15" s="2294" customFormat="1">
      <c r="A100" s="2198"/>
      <c r="B100" s="2199"/>
      <c r="C100" s="2199"/>
      <c r="D100" s="2199"/>
      <c r="E100" s="2199"/>
      <c r="F100" s="2199"/>
      <c r="G100" s="2199"/>
      <c r="H100" s="2199"/>
      <c r="I100" s="2199"/>
      <c r="J100" s="2199"/>
      <c r="K100" s="2199"/>
      <c r="L100" s="2199"/>
      <c r="M100" s="2199"/>
      <c r="N100" s="2199"/>
      <c r="O100" s="2362"/>
    </row>
    <row r="101" spans="1:15" s="2294" customFormat="1">
      <c r="A101" s="2198"/>
      <c r="B101" s="2199"/>
      <c r="C101" s="2199"/>
      <c r="D101" s="2199"/>
      <c r="E101" s="2199"/>
      <c r="F101" s="2199"/>
      <c r="G101" s="2199"/>
      <c r="H101" s="2199"/>
      <c r="I101" s="2199"/>
      <c r="J101" s="2199"/>
      <c r="K101" s="2199"/>
      <c r="L101" s="2199"/>
      <c r="M101" s="2199"/>
      <c r="N101" s="2199"/>
      <c r="O101" s="2362"/>
    </row>
    <row r="102" spans="1:15" s="2294" customFormat="1">
      <c r="A102" s="2198"/>
      <c r="B102" s="2199"/>
      <c r="C102" s="2199"/>
      <c r="D102" s="2199"/>
      <c r="E102" s="2199"/>
      <c r="F102" s="2199"/>
      <c r="G102" s="2199"/>
      <c r="H102" s="2199"/>
      <c r="I102" s="2199"/>
      <c r="J102" s="2199"/>
      <c r="K102" s="2199"/>
      <c r="L102" s="2199"/>
      <c r="M102" s="2199"/>
      <c r="N102" s="2199"/>
      <c r="O102" s="2362"/>
    </row>
    <row r="103" spans="1:15" s="2368" customFormat="1" ht="22.5" customHeight="1">
      <c r="A103" s="2198"/>
      <c r="B103" s="2199"/>
      <c r="C103" s="2199"/>
      <c r="D103" s="2199"/>
      <c r="E103" s="2199"/>
      <c r="F103" s="2199"/>
      <c r="G103" s="2199"/>
      <c r="H103" s="2199"/>
      <c r="I103" s="2199"/>
      <c r="J103" s="2199"/>
      <c r="K103" s="2199"/>
      <c r="L103" s="2199"/>
      <c r="M103" s="2199"/>
      <c r="N103" s="2199"/>
      <c r="O103" s="2362"/>
    </row>
    <row r="104" spans="1:15" s="2294" customFormat="1" ht="12.75" customHeight="1">
      <c r="A104" s="2198"/>
      <c r="B104" s="2199"/>
      <c r="C104" s="2199"/>
      <c r="D104" s="2199"/>
      <c r="E104" s="2199"/>
      <c r="F104" s="2199"/>
      <c r="G104" s="2199"/>
      <c r="H104" s="2199"/>
      <c r="I104" s="2199"/>
      <c r="J104" s="2199"/>
      <c r="K104" s="2199"/>
      <c r="L104" s="2199"/>
      <c r="M104" s="2199"/>
      <c r="N104" s="2199"/>
      <c r="O104" s="2362"/>
    </row>
    <row r="105" spans="1:15" s="2294" customFormat="1" ht="12.75" customHeight="1">
      <c r="A105" s="2198"/>
      <c r="B105" s="2199"/>
      <c r="C105" s="2199"/>
      <c r="D105" s="2199"/>
      <c r="E105" s="2199"/>
      <c r="F105" s="2199"/>
      <c r="G105" s="2199"/>
      <c r="H105" s="2199"/>
      <c r="I105" s="2199"/>
      <c r="J105" s="2199"/>
      <c r="K105" s="2199"/>
      <c r="L105" s="2199"/>
      <c r="M105" s="2199"/>
      <c r="N105" s="2199"/>
      <c r="O105" s="2362"/>
    </row>
    <row r="106" spans="1:15" s="2294" customFormat="1">
      <c r="A106" s="2198"/>
      <c r="B106" s="2199"/>
      <c r="C106" s="2199"/>
      <c r="D106" s="2199"/>
      <c r="E106" s="2199"/>
      <c r="F106" s="2199"/>
      <c r="G106" s="2199"/>
      <c r="H106" s="2199"/>
      <c r="I106" s="2199"/>
      <c r="J106" s="2199"/>
      <c r="K106" s="2199"/>
      <c r="L106" s="2199"/>
      <c r="M106" s="2199"/>
      <c r="N106" s="2199"/>
      <c r="O106" s="2362"/>
    </row>
    <row r="107" spans="1:15" s="2294" customFormat="1">
      <c r="A107" s="2198"/>
      <c r="B107" s="2199"/>
      <c r="C107" s="2199"/>
      <c r="D107" s="2199"/>
      <c r="E107" s="2199"/>
      <c r="F107" s="2199"/>
      <c r="G107" s="2199"/>
      <c r="H107" s="2199"/>
      <c r="I107" s="2199"/>
      <c r="J107" s="2199"/>
      <c r="K107" s="2199"/>
      <c r="L107" s="2199"/>
      <c r="M107" s="2199"/>
      <c r="N107" s="2199"/>
      <c r="O107" s="2362"/>
    </row>
    <row r="108" spans="1:15" s="2368" customFormat="1" ht="12.75" customHeight="1">
      <c r="A108" s="2198"/>
      <c r="B108" s="2199"/>
      <c r="C108" s="2199"/>
      <c r="D108" s="2199"/>
      <c r="E108" s="2199"/>
      <c r="F108" s="2199"/>
      <c r="G108" s="2199"/>
      <c r="H108" s="2199"/>
      <c r="I108" s="2199"/>
      <c r="J108" s="2199"/>
      <c r="K108" s="2199"/>
      <c r="L108" s="2199"/>
      <c r="M108" s="2199"/>
      <c r="N108" s="2199"/>
      <c r="O108" s="2362"/>
    </row>
    <row r="109" spans="1:15" s="2294" customFormat="1" ht="9.75" customHeight="1">
      <c r="A109" s="2198"/>
      <c r="B109" s="2199"/>
      <c r="C109" s="2199"/>
      <c r="D109" s="2199"/>
      <c r="E109" s="2199"/>
      <c r="F109" s="2199"/>
      <c r="G109" s="2199"/>
      <c r="H109" s="2199"/>
      <c r="I109" s="2199"/>
      <c r="J109" s="2199"/>
      <c r="K109" s="2199"/>
      <c r="L109" s="2199"/>
      <c r="M109" s="2199"/>
      <c r="N109" s="2199"/>
      <c r="O109" s="2362"/>
    </row>
    <row r="110" spans="1:15" s="2294" customFormat="1" ht="12.75" customHeight="1">
      <c r="A110" s="2198"/>
      <c r="B110" s="2199"/>
      <c r="C110" s="2199"/>
      <c r="D110" s="2199"/>
      <c r="E110" s="2199"/>
      <c r="F110" s="2199"/>
      <c r="G110" s="2199"/>
      <c r="H110" s="2199"/>
      <c r="I110" s="2199"/>
      <c r="J110" s="2199"/>
      <c r="K110" s="2199"/>
      <c r="L110" s="2199"/>
      <c r="M110" s="2199"/>
      <c r="N110" s="2199"/>
      <c r="O110" s="2362"/>
    </row>
    <row r="111" spans="1:15" s="2294" customFormat="1">
      <c r="A111" s="2198"/>
      <c r="B111" s="2199"/>
      <c r="C111" s="2199"/>
      <c r="D111" s="2199"/>
      <c r="E111" s="2199"/>
      <c r="F111" s="2199"/>
      <c r="G111" s="2199"/>
      <c r="H111" s="2199"/>
      <c r="I111" s="2199"/>
      <c r="J111" s="2199"/>
      <c r="K111" s="2199"/>
      <c r="L111" s="2199"/>
      <c r="M111" s="2199"/>
      <c r="N111" s="2199"/>
      <c r="O111" s="2362"/>
    </row>
    <row r="112" spans="1:15" s="2294" customFormat="1">
      <c r="A112" s="2198"/>
      <c r="B112" s="2199"/>
      <c r="C112" s="2199"/>
      <c r="D112" s="2199"/>
      <c r="E112" s="2199"/>
      <c r="F112" s="2199"/>
      <c r="G112" s="2199"/>
      <c r="H112" s="2199"/>
      <c r="I112" s="2199"/>
      <c r="J112" s="2199"/>
      <c r="K112" s="2199"/>
      <c r="L112" s="2199"/>
      <c r="M112" s="2199"/>
      <c r="N112" s="2199"/>
      <c r="O112" s="2362"/>
    </row>
    <row r="113" spans="1:15" s="2368" customFormat="1" ht="13.5" customHeight="1">
      <c r="A113" s="2198"/>
      <c r="B113" s="2199"/>
      <c r="C113" s="2199"/>
      <c r="D113" s="2199"/>
      <c r="E113" s="2199"/>
      <c r="F113" s="2199"/>
      <c r="G113" s="2199"/>
      <c r="H113" s="2199"/>
      <c r="I113" s="2199"/>
      <c r="J113" s="2199"/>
      <c r="K113" s="2199"/>
      <c r="L113" s="2199"/>
      <c r="M113" s="2199"/>
      <c r="N113" s="2199"/>
      <c r="O113" s="2362"/>
    </row>
    <row r="114" spans="1:15" s="2294" customFormat="1" ht="9.75" customHeight="1">
      <c r="A114" s="2198"/>
      <c r="B114" s="2199"/>
      <c r="C114" s="2199"/>
      <c r="D114" s="2199"/>
      <c r="E114" s="2199"/>
      <c r="F114" s="2199"/>
      <c r="G114" s="2199"/>
      <c r="H114" s="2199"/>
      <c r="I114" s="2199"/>
      <c r="J114" s="2199"/>
      <c r="K114" s="2199"/>
      <c r="L114" s="2199"/>
      <c r="M114" s="2199"/>
      <c r="N114" s="2199"/>
      <c r="O114" s="2362"/>
    </row>
    <row r="115" spans="1:15" s="2294" customFormat="1" ht="12.75" customHeight="1">
      <c r="A115" s="2198"/>
      <c r="B115" s="2199"/>
      <c r="C115" s="2199"/>
      <c r="D115" s="2199"/>
      <c r="E115" s="2199"/>
      <c r="F115" s="2199"/>
      <c r="G115" s="2199"/>
      <c r="H115" s="2199"/>
      <c r="I115" s="2199"/>
      <c r="J115" s="2199"/>
      <c r="K115" s="2199"/>
      <c r="L115" s="2199"/>
      <c r="M115" s="2199"/>
      <c r="N115" s="2199"/>
      <c r="O115" s="2362"/>
    </row>
    <row r="116" spans="1:15" s="2294" customFormat="1">
      <c r="A116" s="2198"/>
      <c r="B116" s="2199"/>
      <c r="C116" s="2199"/>
      <c r="D116" s="2199"/>
      <c r="E116" s="2199"/>
      <c r="F116" s="2199"/>
      <c r="G116" s="2199"/>
      <c r="H116" s="2199"/>
      <c r="I116" s="2199"/>
      <c r="J116" s="2199"/>
      <c r="K116" s="2199"/>
      <c r="L116" s="2199"/>
      <c r="M116" s="2199"/>
      <c r="N116" s="2199"/>
      <c r="O116" s="2362"/>
    </row>
    <row r="117" spans="1:15" s="2294" customFormat="1">
      <c r="A117" s="2198"/>
      <c r="B117" s="2199"/>
      <c r="C117" s="2199"/>
      <c r="D117" s="2199"/>
      <c r="E117" s="2199"/>
      <c r="F117" s="2199"/>
      <c r="G117" s="2199"/>
      <c r="H117" s="2199"/>
      <c r="I117" s="2199"/>
      <c r="J117" s="2199"/>
      <c r="K117" s="2199"/>
      <c r="L117" s="2199"/>
      <c r="M117" s="2199"/>
      <c r="N117" s="2199"/>
      <c r="O117" s="2362"/>
    </row>
    <row r="118" spans="1:15" s="2294" customFormat="1">
      <c r="A118" s="2198"/>
      <c r="B118" s="2199"/>
      <c r="C118" s="2199"/>
      <c r="D118" s="2199"/>
      <c r="E118" s="2199"/>
      <c r="F118" s="2199"/>
      <c r="G118" s="2199"/>
      <c r="H118" s="2199"/>
      <c r="I118" s="2199"/>
      <c r="J118" s="2199"/>
      <c r="K118" s="2199"/>
      <c r="L118" s="2199"/>
      <c r="M118" s="2199"/>
      <c r="N118" s="2199"/>
      <c r="O118" s="2362"/>
    </row>
    <row r="119" spans="1:15" s="2294" customFormat="1">
      <c r="A119" s="2198"/>
      <c r="B119" s="2199"/>
      <c r="C119" s="2199"/>
      <c r="D119" s="2199"/>
      <c r="E119" s="2199"/>
      <c r="F119" s="2199"/>
      <c r="G119" s="2199"/>
      <c r="H119" s="2199"/>
      <c r="I119" s="2199"/>
      <c r="J119" s="2199"/>
      <c r="K119" s="2199"/>
      <c r="L119" s="2199"/>
      <c r="M119" s="2199"/>
      <c r="N119" s="2199"/>
      <c r="O119" s="2362"/>
    </row>
    <row r="120" spans="1:15" s="2294" customFormat="1">
      <c r="A120" s="2198"/>
      <c r="B120" s="2199"/>
      <c r="C120" s="2199"/>
      <c r="D120" s="2199"/>
      <c r="E120" s="2199"/>
      <c r="F120" s="2199"/>
      <c r="G120" s="2199"/>
      <c r="H120" s="2199"/>
      <c r="I120" s="2199"/>
      <c r="J120" s="2199"/>
      <c r="K120" s="2199"/>
      <c r="L120" s="2199"/>
      <c r="M120" s="2199"/>
      <c r="N120" s="2199"/>
      <c r="O120" s="2362"/>
    </row>
    <row r="121" spans="1:15" s="2368" customFormat="1" ht="22.5" customHeight="1">
      <c r="A121" s="2198"/>
      <c r="B121" s="2199"/>
      <c r="C121" s="2199"/>
      <c r="D121" s="2199"/>
      <c r="E121" s="2199"/>
      <c r="F121" s="2199"/>
      <c r="G121" s="2199"/>
      <c r="H121" s="2199"/>
      <c r="I121" s="2199"/>
      <c r="J121" s="2199"/>
      <c r="K121" s="2199"/>
      <c r="L121" s="2199"/>
      <c r="M121" s="2199"/>
      <c r="N121" s="2199"/>
      <c r="O121" s="2362"/>
    </row>
    <row r="122" spans="1:15" s="2294" customFormat="1" ht="12.75" customHeight="1">
      <c r="A122" s="2198"/>
      <c r="B122" s="2199"/>
      <c r="C122" s="2199"/>
      <c r="D122" s="2199"/>
      <c r="E122" s="2199"/>
      <c r="F122" s="2199"/>
      <c r="G122" s="2199"/>
      <c r="H122" s="2199"/>
      <c r="I122" s="2199"/>
      <c r="J122" s="2199"/>
      <c r="K122" s="2199"/>
      <c r="L122" s="2199"/>
      <c r="M122" s="2199"/>
      <c r="N122" s="2199"/>
      <c r="O122" s="2362"/>
    </row>
    <row r="123" spans="1:15" s="2294" customFormat="1" ht="12.75" customHeight="1">
      <c r="A123" s="2198"/>
      <c r="B123" s="2199"/>
      <c r="C123" s="2199"/>
      <c r="D123" s="2199"/>
      <c r="E123" s="2199"/>
      <c r="F123" s="2199"/>
      <c r="G123" s="2199"/>
      <c r="H123" s="2199"/>
      <c r="I123" s="2199"/>
      <c r="J123" s="2199"/>
      <c r="K123" s="2199"/>
      <c r="L123" s="2199"/>
      <c r="M123" s="2199"/>
      <c r="N123" s="2199"/>
      <c r="O123" s="2362"/>
    </row>
    <row r="124" spans="1:15" s="2294" customFormat="1" ht="13.5" thickBot="1">
      <c r="A124" s="2371"/>
      <c r="B124" s="2372"/>
      <c r="C124" s="2372"/>
      <c r="D124" s="2372"/>
      <c r="E124" s="2372"/>
      <c r="F124" s="2372"/>
      <c r="G124" s="2372"/>
      <c r="H124" s="2372"/>
      <c r="I124" s="2372"/>
      <c r="J124" s="2372"/>
      <c r="K124" s="2372"/>
      <c r="L124" s="2372"/>
      <c r="M124" s="2372"/>
      <c r="N124" s="2372"/>
      <c r="O124" s="2373"/>
    </row>
    <row r="125" spans="1:15" s="2294" customFormat="1">
      <c r="A125" s="2198"/>
      <c r="B125" s="2199"/>
      <c r="C125" s="2199"/>
      <c r="D125" s="2199"/>
      <c r="E125" s="2199"/>
      <c r="F125" s="2199"/>
      <c r="G125" s="2199"/>
      <c r="H125" s="2199"/>
      <c r="I125" s="2199"/>
      <c r="J125" s="2199"/>
      <c r="K125" s="2199"/>
      <c r="L125" s="2199"/>
      <c r="M125" s="2199"/>
      <c r="N125" s="2199"/>
      <c r="O125" s="2362"/>
    </row>
    <row r="126" spans="1:15" s="2368" customFormat="1" ht="34.5" customHeight="1">
      <c r="A126" s="2198"/>
      <c r="B126" s="2199"/>
      <c r="C126" s="2199"/>
      <c r="D126" s="2199"/>
      <c r="E126" s="2199"/>
      <c r="F126" s="2199"/>
      <c r="G126" s="2199"/>
      <c r="H126" s="2199"/>
      <c r="I126" s="2199"/>
      <c r="J126" s="2199"/>
      <c r="K126" s="2199"/>
      <c r="L126" s="2199"/>
      <c r="M126" s="2199"/>
      <c r="N126" s="2199"/>
      <c r="O126" s="2362"/>
    </row>
    <row r="127" spans="1:15" s="2294" customFormat="1" ht="14.25" customHeight="1">
      <c r="A127" s="2198"/>
      <c r="B127" s="2199"/>
      <c r="C127" s="2199"/>
      <c r="D127" s="2199"/>
      <c r="E127" s="2199"/>
      <c r="F127" s="2199"/>
      <c r="G127" s="2199"/>
      <c r="H127" s="2199"/>
      <c r="I127" s="2199"/>
      <c r="J127" s="2199"/>
      <c r="K127" s="2199"/>
      <c r="L127" s="2199"/>
      <c r="M127" s="2199"/>
      <c r="N127" s="2199"/>
      <c r="O127" s="2362"/>
    </row>
    <row r="128" spans="1:15" s="2294" customFormat="1" ht="12.75" customHeight="1">
      <c r="A128" s="2198"/>
      <c r="B128" s="2199"/>
      <c r="C128" s="2199"/>
      <c r="D128" s="2199"/>
      <c r="E128" s="2199"/>
      <c r="F128" s="2199"/>
      <c r="G128" s="2199"/>
      <c r="H128" s="2199"/>
      <c r="I128" s="2199"/>
      <c r="J128" s="2199"/>
      <c r="K128" s="2199"/>
      <c r="L128" s="2199"/>
      <c r="M128" s="2199"/>
      <c r="N128" s="2199"/>
      <c r="O128" s="2362"/>
    </row>
    <row r="129" spans="1:15" s="2294" customFormat="1">
      <c r="A129" s="2198"/>
      <c r="B129" s="2199"/>
      <c r="C129" s="2199"/>
      <c r="D129" s="2199"/>
      <c r="E129" s="2199"/>
      <c r="F129" s="2199"/>
      <c r="G129" s="2199"/>
      <c r="H129" s="2199"/>
      <c r="I129" s="2199"/>
      <c r="J129" s="2199"/>
      <c r="K129" s="2199"/>
      <c r="L129" s="2199"/>
      <c r="M129" s="2199"/>
      <c r="N129" s="2199"/>
      <c r="O129" s="2362"/>
    </row>
    <row r="130" spans="1:15" s="2294" customFormat="1">
      <c r="A130" s="2198"/>
      <c r="B130" s="2199"/>
      <c r="C130" s="2199"/>
      <c r="D130" s="2199"/>
      <c r="E130" s="2199"/>
      <c r="F130" s="2199"/>
      <c r="G130" s="2199"/>
      <c r="H130" s="2199"/>
      <c r="I130" s="2199"/>
      <c r="J130" s="2199"/>
      <c r="K130" s="2199"/>
      <c r="L130" s="2199"/>
      <c r="M130" s="2199"/>
      <c r="N130" s="2199"/>
      <c r="O130" s="2362"/>
    </row>
    <row r="131" spans="1:15" s="2294" customFormat="1">
      <c r="A131" s="2198"/>
      <c r="B131" s="2199"/>
      <c r="C131" s="2199"/>
      <c r="D131" s="2199"/>
      <c r="E131" s="2199"/>
      <c r="F131" s="2199"/>
      <c r="G131" s="2199"/>
      <c r="H131" s="2199"/>
      <c r="I131" s="2199"/>
      <c r="J131" s="2199"/>
      <c r="K131" s="2199"/>
      <c r="L131" s="2199"/>
      <c r="M131" s="2199"/>
      <c r="N131" s="2199"/>
      <c r="O131" s="2362"/>
    </row>
    <row r="132" spans="1:15" s="2368" customFormat="1" ht="36.75" customHeight="1">
      <c r="A132" s="2198"/>
      <c r="B132" s="2199"/>
      <c r="C132" s="2199"/>
      <c r="D132" s="2199"/>
      <c r="E132" s="2199"/>
      <c r="F132" s="2199"/>
      <c r="G132" s="2199"/>
      <c r="H132" s="2199"/>
      <c r="I132" s="2199"/>
      <c r="J132" s="2199"/>
      <c r="K132" s="2199"/>
      <c r="L132" s="2199"/>
      <c r="M132" s="2199"/>
      <c r="N132" s="2199"/>
      <c r="O132" s="2362"/>
    </row>
    <row r="133" spans="1:15" s="2294" customFormat="1" ht="9.75" customHeight="1">
      <c r="A133" s="2198"/>
      <c r="B133" s="2199"/>
      <c r="C133" s="2199"/>
      <c r="D133" s="2199"/>
      <c r="E133" s="2199"/>
      <c r="F133" s="2199"/>
      <c r="G133" s="2199"/>
      <c r="H133" s="2199"/>
      <c r="I133" s="2199"/>
      <c r="J133" s="2199"/>
      <c r="K133" s="2199"/>
      <c r="L133" s="2199"/>
      <c r="M133" s="2199"/>
      <c r="N133" s="2199"/>
      <c r="O133" s="2362"/>
    </row>
    <row r="134" spans="1:15" s="2294" customFormat="1" ht="12.75" customHeight="1">
      <c r="A134" s="2198"/>
      <c r="B134" s="2199"/>
      <c r="C134" s="2199"/>
      <c r="D134" s="2199"/>
      <c r="E134" s="2199"/>
      <c r="F134" s="2199"/>
      <c r="G134" s="2199"/>
      <c r="H134" s="2199"/>
      <c r="I134" s="2199"/>
      <c r="J134" s="2199"/>
      <c r="K134" s="2199"/>
      <c r="L134" s="2199"/>
      <c r="M134" s="2199"/>
      <c r="N134" s="2199"/>
      <c r="O134" s="2362"/>
    </row>
    <row r="135" spans="1:15" s="2294" customFormat="1">
      <c r="A135" s="2198"/>
      <c r="B135" s="2199"/>
      <c r="C135" s="2199"/>
      <c r="D135" s="2199"/>
      <c r="E135" s="2199"/>
      <c r="F135" s="2199"/>
      <c r="G135" s="2199"/>
      <c r="H135" s="2199"/>
      <c r="I135" s="2199"/>
      <c r="J135" s="2199"/>
      <c r="K135" s="2199"/>
      <c r="L135" s="2199"/>
      <c r="M135" s="2199"/>
      <c r="N135" s="2199"/>
      <c r="O135" s="2362"/>
    </row>
    <row r="136" spans="1:15" s="2294" customFormat="1">
      <c r="A136" s="2198"/>
      <c r="B136" s="2199"/>
      <c r="C136" s="2199"/>
      <c r="D136" s="2199"/>
      <c r="E136" s="2199"/>
      <c r="F136" s="2199"/>
      <c r="G136" s="2199"/>
      <c r="H136" s="2199"/>
      <c r="I136" s="2199"/>
      <c r="J136" s="2199"/>
      <c r="K136" s="2199"/>
      <c r="L136" s="2199"/>
      <c r="M136" s="2199"/>
      <c r="N136" s="2199"/>
      <c r="O136" s="2362"/>
    </row>
    <row r="137" spans="1:15" s="2294" customFormat="1">
      <c r="A137" s="2198"/>
      <c r="B137" s="2199"/>
      <c r="C137" s="2199"/>
      <c r="D137" s="2199"/>
      <c r="E137" s="2199"/>
      <c r="F137" s="2199"/>
      <c r="G137" s="2199"/>
      <c r="H137" s="2199"/>
      <c r="I137" s="2199"/>
      <c r="J137" s="2199"/>
      <c r="K137" s="2199"/>
      <c r="L137" s="2199"/>
      <c r="M137" s="2199"/>
      <c r="N137" s="2199"/>
      <c r="O137" s="2362"/>
    </row>
    <row r="138" spans="1:15" s="2368" customFormat="1" ht="33.75" customHeight="1">
      <c r="A138" s="2198"/>
      <c r="B138" s="2199"/>
      <c r="C138" s="2199"/>
      <c r="D138" s="2199"/>
      <c r="E138" s="2199"/>
      <c r="F138" s="2199"/>
      <c r="G138" s="2199"/>
      <c r="H138" s="2199"/>
      <c r="I138" s="2199"/>
      <c r="J138" s="2199"/>
      <c r="K138" s="2199"/>
      <c r="L138" s="2199"/>
      <c r="M138" s="2199"/>
      <c r="N138" s="2199"/>
      <c r="O138" s="2362"/>
    </row>
    <row r="139" spans="1:15" s="2294" customFormat="1" ht="9.75" customHeight="1">
      <c r="A139" s="2198"/>
      <c r="B139" s="2199"/>
      <c r="C139" s="2199"/>
      <c r="D139" s="2199"/>
      <c r="E139" s="2199"/>
      <c r="F139" s="2199"/>
      <c r="G139" s="2199"/>
      <c r="H139" s="2199"/>
      <c r="I139" s="2199"/>
      <c r="J139" s="2199"/>
      <c r="K139" s="2199"/>
      <c r="L139" s="2199"/>
      <c r="M139" s="2199"/>
      <c r="N139" s="2199"/>
      <c r="O139" s="2362"/>
    </row>
    <row r="140" spans="1:15" s="2294" customFormat="1" ht="12.75" customHeight="1">
      <c r="A140" s="2198"/>
      <c r="B140" s="2199"/>
      <c r="C140" s="2199"/>
      <c r="D140" s="2199"/>
      <c r="E140" s="2199"/>
      <c r="F140" s="2199"/>
      <c r="G140" s="2199"/>
      <c r="H140" s="2199"/>
      <c r="I140" s="2199"/>
      <c r="J140" s="2199"/>
      <c r="K140" s="2199"/>
      <c r="L140" s="2199"/>
      <c r="M140" s="2199"/>
      <c r="N140" s="2199"/>
      <c r="O140" s="2362"/>
    </row>
    <row r="141" spans="1:15" s="2294" customFormat="1">
      <c r="A141" s="2198"/>
      <c r="B141" s="2199"/>
      <c r="C141" s="2199"/>
      <c r="D141" s="2199"/>
      <c r="E141" s="2199"/>
      <c r="F141" s="2199"/>
      <c r="G141" s="2199"/>
      <c r="H141" s="2199"/>
      <c r="I141" s="2199"/>
      <c r="J141" s="2199"/>
      <c r="K141" s="2199"/>
      <c r="L141" s="2199"/>
      <c r="M141" s="2199"/>
      <c r="N141" s="2199"/>
      <c r="O141" s="2362"/>
    </row>
    <row r="142" spans="1:15" s="2294" customFormat="1">
      <c r="A142" s="2198"/>
      <c r="B142" s="2199"/>
      <c r="C142" s="2199"/>
      <c r="D142" s="2199"/>
      <c r="E142" s="2199"/>
      <c r="F142" s="2199"/>
      <c r="G142" s="2199"/>
      <c r="H142" s="2199"/>
      <c r="I142" s="2199"/>
      <c r="J142" s="2199"/>
      <c r="K142" s="2199"/>
      <c r="L142" s="2199"/>
      <c r="M142" s="2199"/>
      <c r="N142" s="2199"/>
      <c r="O142" s="2362"/>
    </row>
    <row r="143" spans="1:15" s="2294" customFormat="1">
      <c r="A143" s="2198"/>
      <c r="B143" s="2199"/>
      <c r="C143" s="2199"/>
      <c r="D143" s="2199"/>
      <c r="E143" s="2199"/>
      <c r="F143" s="2199"/>
      <c r="G143" s="2199"/>
      <c r="H143" s="2199"/>
      <c r="I143" s="2199"/>
      <c r="J143" s="2199"/>
      <c r="K143" s="2199"/>
      <c r="L143" s="2199"/>
      <c r="M143" s="2199"/>
      <c r="N143" s="2199"/>
      <c r="O143" s="2362"/>
    </row>
    <row r="144" spans="1:15" s="2294" customFormat="1">
      <c r="A144" s="2198"/>
      <c r="B144" s="2199"/>
      <c r="C144" s="2199"/>
      <c r="D144" s="2199"/>
      <c r="E144" s="2199"/>
      <c r="F144" s="2199"/>
      <c r="G144" s="2199"/>
      <c r="H144" s="2199"/>
      <c r="I144" s="2199"/>
      <c r="J144" s="2199"/>
      <c r="K144" s="2199"/>
      <c r="L144" s="2199"/>
      <c r="M144" s="2199"/>
      <c r="N144" s="2199"/>
      <c r="O144" s="2362"/>
    </row>
    <row r="145" spans="1:15" s="2374" customFormat="1" ht="14.25" customHeight="1">
      <c r="A145" s="2198"/>
      <c r="B145" s="2199"/>
      <c r="C145" s="2199"/>
      <c r="D145" s="2199"/>
      <c r="E145" s="2199"/>
      <c r="F145" s="2199"/>
      <c r="G145" s="2199"/>
      <c r="H145" s="2199"/>
      <c r="I145" s="2199"/>
      <c r="J145" s="2199"/>
      <c r="K145" s="2199"/>
      <c r="L145" s="2199"/>
      <c r="M145" s="2199"/>
      <c r="N145" s="2199"/>
      <c r="O145" s="2362"/>
    </row>
    <row r="146" spans="1:15" s="2294" customFormat="1">
      <c r="A146" s="2198"/>
      <c r="B146" s="2199"/>
      <c r="C146" s="2199"/>
      <c r="D146" s="2199"/>
      <c r="E146" s="2199"/>
      <c r="F146" s="2199"/>
      <c r="G146" s="2199"/>
      <c r="H146" s="2199"/>
      <c r="I146" s="2199"/>
      <c r="J146" s="2199"/>
      <c r="K146" s="2199"/>
      <c r="L146" s="2199"/>
      <c r="M146" s="2199"/>
      <c r="N146" s="2199"/>
      <c r="O146" s="2362"/>
    </row>
    <row r="147" spans="1:15" s="2360" customFormat="1" ht="23.25" customHeight="1">
      <c r="A147" s="2198"/>
      <c r="B147" s="2199"/>
      <c r="C147" s="2199"/>
      <c r="D147" s="2199"/>
      <c r="E147" s="2199"/>
      <c r="F147" s="2199"/>
      <c r="G147" s="2199"/>
      <c r="H147" s="2199"/>
      <c r="I147" s="2199"/>
      <c r="J147" s="2199"/>
      <c r="K147" s="2199"/>
      <c r="L147" s="2199"/>
      <c r="M147" s="2199"/>
      <c r="N147" s="2199"/>
      <c r="O147" s="2362"/>
    </row>
    <row r="148" spans="1:15" s="2294" customFormat="1">
      <c r="A148" s="2198"/>
      <c r="B148" s="2199"/>
      <c r="C148" s="2199"/>
      <c r="D148" s="2199"/>
      <c r="E148" s="2199"/>
      <c r="F148" s="2199"/>
      <c r="G148" s="2199"/>
      <c r="H148" s="2199"/>
      <c r="I148" s="2199"/>
      <c r="J148" s="2199"/>
      <c r="K148" s="2199"/>
      <c r="L148" s="2199"/>
      <c r="M148" s="2199"/>
      <c r="N148" s="2199"/>
      <c r="O148" s="2362"/>
    </row>
    <row r="149" spans="1:15" s="2358" customFormat="1" ht="15.75" customHeight="1">
      <c r="A149" s="2198"/>
      <c r="B149" s="2199"/>
      <c r="C149" s="2199"/>
      <c r="D149" s="2199"/>
      <c r="E149" s="2199"/>
      <c r="F149" s="2199"/>
      <c r="G149" s="2199"/>
      <c r="H149" s="2199"/>
      <c r="I149" s="2199"/>
      <c r="J149" s="2199"/>
      <c r="K149" s="2199"/>
      <c r="L149" s="2199"/>
      <c r="M149" s="2199"/>
      <c r="N149" s="2199"/>
      <c r="O149" s="2362"/>
    </row>
    <row r="150" spans="1:15" s="2358" customFormat="1" ht="12.75" customHeight="1">
      <c r="A150" s="2198"/>
      <c r="B150" s="2199"/>
      <c r="C150" s="2199"/>
      <c r="D150" s="2199"/>
      <c r="E150" s="2199"/>
      <c r="F150" s="2199"/>
      <c r="G150" s="2199"/>
      <c r="H150" s="2199"/>
      <c r="I150" s="2199"/>
      <c r="J150" s="2199"/>
      <c r="K150" s="2199"/>
      <c r="L150" s="2199"/>
      <c r="M150" s="2199"/>
      <c r="N150" s="2199"/>
      <c r="O150" s="2362"/>
    </row>
    <row r="151" spans="1:15" s="2358" customFormat="1" ht="12.75" customHeight="1">
      <c r="A151" s="2198"/>
      <c r="B151" s="2199"/>
      <c r="C151" s="2199"/>
      <c r="D151" s="2199"/>
      <c r="E151" s="2199"/>
      <c r="F151" s="2199"/>
      <c r="G151" s="2199"/>
      <c r="H151" s="2199"/>
      <c r="I151" s="2199"/>
      <c r="J151" s="2199"/>
      <c r="K151" s="2199"/>
      <c r="L151" s="2199"/>
      <c r="M151" s="2199"/>
      <c r="N151" s="2199"/>
      <c r="O151" s="2362"/>
    </row>
    <row r="152" spans="1:15" s="2358" customFormat="1" ht="12" customHeight="1">
      <c r="A152" s="2198"/>
      <c r="B152" s="2199"/>
      <c r="C152" s="2199"/>
      <c r="D152" s="2199"/>
      <c r="E152" s="2199"/>
      <c r="F152" s="2199"/>
      <c r="G152" s="2199"/>
      <c r="H152" s="2199"/>
      <c r="I152" s="2199"/>
      <c r="J152" s="2199"/>
      <c r="K152" s="2199"/>
      <c r="L152" s="2199"/>
      <c r="M152" s="2199"/>
      <c r="N152" s="2199"/>
      <c r="O152" s="2362"/>
    </row>
    <row r="153" spans="1:15" s="2374" customFormat="1" ht="24" customHeight="1">
      <c r="A153" s="2198"/>
      <c r="B153" s="2199"/>
      <c r="C153" s="2199"/>
      <c r="D153" s="2199"/>
      <c r="E153" s="2199"/>
      <c r="F153" s="2199"/>
      <c r="G153" s="2199"/>
      <c r="H153" s="2199"/>
      <c r="I153" s="2199"/>
      <c r="J153" s="2199"/>
      <c r="K153" s="2199"/>
      <c r="L153" s="2199"/>
      <c r="M153" s="2199"/>
      <c r="N153" s="2199"/>
      <c r="O153" s="2362"/>
    </row>
    <row r="154" spans="1:15" s="2294" customFormat="1" ht="11.25" customHeight="1">
      <c r="A154" s="2198"/>
      <c r="B154" s="2199"/>
      <c r="C154" s="2199"/>
      <c r="D154" s="2199"/>
      <c r="E154" s="2199"/>
      <c r="F154" s="2199"/>
      <c r="G154" s="2199"/>
      <c r="H154" s="2199"/>
      <c r="I154" s="2199"/>
      <c r="J154" s="2199"/>
      <c r="K154" s="2199"/>
      <c r="L154" s="2199"/>
      <c r="M154" s="2199"/>
      <c r="N154" s="2199"/>
      <c r="O154" s="2362"/>
    </row>
    <row r="155" spans="1:15" s="2294" customFormat="1" ht="12.75" customHeight="1">
      <c r="A155" s="2198"/>
      <c r="B155" s="2199"/>
      <c r="C155" s="2199"/>
      <c r="D155" s="2199"/>
      <c r="E155" s="2199"/>
      <c r="F155" s="2199"/>
      <c r="G155" s="2199"/>
      <c r="H155" s="2199"/>
      <c r="I155" s="2199"/>
      <c r="J155" s="2199"/>
      <c r="K155" s="2199"/>
      <c r="L155" s="2199"/>
      <c r="M155" s="2199"/>
      <c r="N155" s="2199"/>
      <c r="O155" s="2362"/>
    </row>
    <row r="156" spans="1:15" s="2294" customFormat="1">
      <c r="A156" s="2198"/>
      <c r="B156" s="2199"/>
      <c r="C156" s="2199"/>
      <c r="D156" s="2199"/>
      <c r="E156" s="2199"/>
      <c r="F156" s="2199"/>
      <c r="G156" s="2199"/>
      <c r="H156" s="2199"/>
      <c r="I156" s="2199"/>
      <c r="J156" s="2199"/>
      <c r="K156" s="2199"/>
      <c r="L156" s="2199"/>
      <c r="M156" s="2199"/>
      <c r="N156" s="2199"/>
      <c r="O156" s="2362"/>
    </row>
    <row r="157" spans="1:15" s="2294" customFormat="1">
      <c r="A157" s="2198"/>
      <c r="B157" s="2199"/>
      <c r="C157" s="2199"/>
      <c r="D157" s="2199"/>
      <c r="E157" s="2199"/>
      <c r="F157" s="2199"/>
      <c r="G157" s="2199"/>
      <c r="H157" s="2199"/>
      <c r="I157" s="2199"/>
      <c r="J157" s="2199"/>
      <c r="K157" s="2199"/>
      <c r="L157" s="2199"/>
      <c r="M157" s="2199"/>
      <c r="N157" s="2199"/>
      <c r="O157" s="2362"/>
    </row>
    <row r="158" spans="1:15" s="2294" customFormat="1">
      <c r="A158" s="2198"/>
      <c r="B158" s="2199"/>
      <c r="C158" s="2199"/>
      <c r="D158" s="2199"/>
      <c r="E158" s="2199"/>
      <c r="F158" s="2199"/>
      <c r="G158" s="2199"/>
      <c r="H158" s="2199"/>
      <c r="I158" s="2199"/>
      <c r="J158" s="2199"/>
      <c r="K158" s="2199"/>
      <c r="L158" s="2199"/>
      <c r="M158" s="2199"/>
      <c r="N158" s="2199"/>
      <c r="O158" s="2362"/>
    </row>
    <row r="159" spans="1:15" s="2294" customFormat="1">
      <c r="A159" s="2198"/>
      <c r="B159" s="2199"/>
      <c r="C159" s="2199"/>
      <c r="D159" s="2199"/>
      <c r="E159" s="2199"/>
      <c r="F159" s="2199"/>
      <c r="G159" s="2199"/>
      <c r="H159" s="2199"/>
      <c r="I159" s="2199"/>
      <c r="J159" s="2199"/>
      <c r="K159" s="2199"/>
      <c r="L159" s="2199"/>
      <c r="M159" s="2199"/>
      <c r="N159" s="2199"/>
      <c r="O159" s="2362"/>
    </row>
    <row r="160" spans="1:15" s="2294" customFormat="1" ht="21.75" customHeight="1">
      <c r="A160" s="2198"/>
      <c r="B160" s="2199"/>
      <c r="C160" s="2199"/>
      <c r="D160" s="2199"/>
      <c r="E160" s="2199"/>
      <c r="F160" s="2199"/>
      <c r="G160" s="2199"/>
      <c r="H160" s="2199"/>
      <c r="I160" s="2199"/>
      <c r="J160" s="2199"/>
      <c r="K160" s="2199"/>
      <c r="L160" s="2199"/>
      <c r="M160" s="2199"/>
      <c r="N160" s="2199"/>
      <c r="O160" s="2362"/>
    </row>
    <row r="161" spans="1:15" s="2294" customFormat="1" ht="12.75" customHeight="1">
      <c r="A161" s="2198"/>
      <c r="B161" s="2199"/>
      <c r="C161" s="2199"/>
      <c r="D161" s="2199"/>
      <c r="E161" s="2199"/>
      <c r="F161" s="2199"/>
      <c r="G161" s="2199"/>
      <c r="H161" s="2199"/>
      <c r="I161" s="2199"/>
      <c r="J161" s="2199"/>
      <c r="K161" s="2199"/>
      <c r="L161" s="2199"/>
      <c r="M161" s="2199"/>
      <c r="N161" s="2199"/>
      <c r="O161" s="2362"/>
    </row>
    <row r="162" spans="1:15" s="2294" customFormat="1">
      <c r="A162" s="2198"/>
      <c r="B162" s="2199"/>
      <c r="C162" s="2199"/>
      <c r="D162" s="2199"/>
      <c r="E162" s="2199"/>
      <c r="F162" s="2199"/>
      <c r="G162" s="2199"/>
      <c r="H162" s="2199"/>
      <c r="I162" s="2199"/>
      <c r="J162" s="2199"/>
      <c r="K162" s="2199"/>
      <c r="L162" s="2199"/>
      <c r="M162" s="2199"/>
      <c r="N162" s="2199"/>
      <c r="O162" s="2362"/>
    </row>
    <row r="163" spans="1:15" s="2294" customFormat="1">
      <c r="A163" s="2198"/>
      <c r="B163" s="2199"/>
      <c r="C163" s="2199"/>
      <c r="D163" s="2199"/>
      <c r="E163" s="2199"/>
      <c r="F163" s="2199"/>
      <c r="G163" s="2199"/>
      <c r="H163" s="2199"/>
      <c r="I163" s="2199"/>
      <c r="J163" s="2199"/>
      <c r="K163" s="2199"/>
      <c r="L163" s="2199"/>
      <c r="M163" s="2199"/>
      <c r="N163" s="2199"/>
      <c r="O163" s="2362"/>
    </row>
    <row r="164" spans="1:15" s="2294" customFormat="1">
      <c r="A164" s="2198"/>
      <c r="B164" s="2199"/>
      <c r="C164" s="2199"/>
      <c r="D164" s="2199"/>
      <c r="E164" s="2199"/>
      <c r="F164" s="2199"/>
      <c r="G164" s="2199"/>
      <c r="H164" s="2199"/>
      <c r="I164" s="2199"/>
      <c r="J164" s="2199"/>
      <c r="K164" s="2199"/>
      <c r="L164" s="2199"/>
      <c r="M164" s="2199"/>
      <c r="N164" s="2199"/>
      <c r="O164" s="2362"/>
    </row>
    <row r="165" spans="1:15" s="2294" customFormat="1">
      <c r="A165" s="2198"/>
      <c r="B165" s="2199"/>
      <c r="C165" s="2199"/>
      <c r="D165" s="2199"/>
      <c r="E165" s="2199"/>
      <c r="F165" s="2199"/>
      <c r="G165" s="2199"/>
      <c r="H165" s="2199"/>
      <c r="I165" s="2199"/>
      <c r="J165" s="2199"/>
      <c r="K165" s="2199"/>
      <c r="L165" s="2199"/>
      <c r="M165" s="2199"/>
      <c r="N165" s="2199"/>
      <c r="O165" s="2362"/>
    </row>
    <row r="166" spans="1:15" s="2294" customFormat="1">
      <c r="A166" s="2198"/>
      <c r="B166" s="2199"/>
      <c r="C166" s="2199"/>
      <c r="D166" s="2199"/>
      <c r="E166" s="2199"/>
      <c r="F166" s="2199"/>
      <c r="G166" s="2199"/>
      <c r="H166" s="2199"/>
      <c r="I166" s="2199"/>
      <c r="J166" s="2199"/>
      <c r="K166" s="2199"/>
      <c r="L166" s="2199"/>
      <c r="M166" s="2199"/>
      <c r="N166" s="2199"/>
      <c r="O166" s="2362"/>
    </row>
    <row r="167" spans="1:15" s="2294" customFormat="1" ht="32.25" customHeight="1">
      <c r="A167" s="2198"/>
      <c r="B167" s="2199"/>
      <c r="C167" s="2199"/>
      <c r="D167" s="2199"/>
      <c r="E167" s="2199"/>
      <c r="F167" s="2199"/>
      <c r="G167" s="2199"/>
      <c r="H167" s="2199"/>
      <c r="I167" s="2199"/>
      <c r="J167" s="2199"/>
      <c r="K167" s="2199"/>
      <c r="L167" s="2199"/>
      <c r="M167" s="2199"/>
      <c r="N167" s="2199"/>
      <c r="O167" s="2362"/>
    </row>
    <row r="168" spans="1:15" s="2294" customFormat="1" ht="15" customHeight="1">
      <c r="A168" s="2198"/>
      <c r="B168" s="2199"/>
      <c r="C168" s="2199"/>
      <c r="D168" s="2199"/>
      <c r="E168" s="2199"/>
      <c r="F168" s="2199"/>
      <c r="G168" s="2199"/>
      <c r="H168" s="2199"/>
      <c r="I168" s="2199"/>
      <c r="J168" s="2199"/>
      <c r="K168" s="2199"/>
      <c r="L168" s="2199"/>
      <c r="M168" s="2199"/>
      <c r="N168" s="2199"/>
      <c r="O168" s="2362"/>
    </row>
    <row r="169" spans="1:15" s="2294" customFormat="1" ht="12.75" customHeight="1">
      <c r="A169" s="2198"/>
      <c r="B169" s="2199"/>
      <c r="C169" s="2199"/>
      <c r="D169" s="2199"/>
      <c r="E169" s="2199"/>
      <c r="F169" s="2199"/>
      <c r="G169" s="2199"/>
      <c r="H169" s="2199"/>
      <c r="I169" s="2199"/>
      <c r="J169" s="2199"/>
      <c r="K169" s="2199"/>
      <c r="L169" s="2199"/>
      <c r="M169" s="2199"/>
      <c r="N169" s="2199"/>
      <c r="O169" s="2362"/>
    </row>
    <row r="170" spans="1:15" s="2294" customFormat="1">
      <c r="A170" s="2198"/>
      <c r="B170" s="2199"/>
      <c r="C170" s="2199"/>
      <c r="D170" s="2199"/>
      <c r="E170" s="2199"/>
      <c r="F170" s="2199"/>
      <c r="G170" s="2199"/>
      <c r="H170" s="2199"/>
      <c r="I170" s="2199"/>
      <c r="J170" s="2199"/>
      <c r="K170" s="2199"/>
      <c r="L170" s="2199"/>
      <c r="M170" s="2199"/>
      <c r="N170" s="2199"/>
      <c r="O170" s="2362"/>
    </row>
    <row r="171" spans="1:15" s="2294" customFormat="1">
      <c r="A171" s="2198"/>
      <c r="B171" s="2199"/>
      <c r="C171" s="2199"/>
      <c r="D171" s="2199"/>
      <c r="E171" s="2199"/>
      <c r="F171" s="2199"/>
      <c r="G171" s="2199"/>
      <c r="H171" s="2199"/>
      <c r="I171" s="2199"/>
      <c r="J171" s="2199"/>
      <c r="K171" s="2199"/>
      <c r="L171" s="2199"/>
      <c r="M171" s="2199"/>
      <c r="N171" s="2199"/>
      <c r="O171" s="2362"/>
    </row>
    <row r="172" spans="1:15" s="2294" customFormat="1">
      <c r="A172" s="2198"/>
      <c r="B172" s="2199"/>
      <c r="C172" s="2199"/>
      <c r="D172" s="2199"/>
      <c r="E172" s="2199"/>
      <c r="F172" s="2199"/>
      <c r="G172" s="2199"/>
      <c r="H172" s="2199"/>
      <c r="I172" s="2199"/>
      <c r="J172" s="2199"/>
      <c r="K172" s="2199"/>
      <c r="L172" s="2199"/>
      <c r="M172" s="2199"/>
      <c r="N172" s="2199"/>
      <c r="O172" s="2362"/>
    </row>
    <row r="173" spans="1:15" s="2294" customFormat="1" ht="11.25" customHeight="1">
      <c r="A173" s="2198"/>
      <c r="B173" s="2199"/>
      <c r="C173" s="2199"/>
      <c r="D173" s="2199"/>
      <c r="E173" s="2199"/>
      <c r="F173" s="2199"/>
      <c r="G173" s="2199"/>
      <c r="H173" s="2199"/>
      <c r="I173" s="2199"/>
      <c r="J173" s="2199"/>
      <c r="K173" s="2199"/>
      <c r="L173" s="2199"/>
      <c r="M173" s="2199"/>
      <c r="N173" s="2199"/>
      <c r="O173" s="2362"/>
    </row>
    <row r="174" spans="1:15" s="2294" customFormat="1" ht="12.75" customHeight="1">
      <c r="A174" s="2198"/>
      <c r="B174" s="2199"/>
      <c r="C174" s="2199"/>
      <c r="D174" s="2199"/>
      <c r="E174" s="2199"/>
      <c r="F174" s="2199"/>
      <c r="G174" s="2199"/>
      <c r="H174" s="2199"/>
      <c r="I174" s="2199"/>
      <c r="J174" s="2199"/>
      <c r="K174" s="2199"/>
      <c r="L174" s="2199"/>
      <c r="M174" s="2199"/>
      <c r="N174" s="2199"/>
      <c r="O174" s="2362"/>
    </row>
    <row r="175" spans="1:15" s="2294" customFormat="1" ht="12.75" customHeight="1">
      <c r="A175" s="2198"/>
      <c r="B175" s="2199"/>
      <c r="C175" s="2199"/>
      <c r="D175" s="2199"/>
      <c r="E175" s="2199"/>
      <c r="F175" s="2199"/>
      <c r="G175" s="2199"/>
      <c r="H175" s="2199"/>
      <c r="I175" s="2199"/>
      <c r="J175" s="2199"/>
      <c r="K175" s="2199"/>
      <c r="L175" s="2199"/>
      <c r="M175" s="2199"/>
      <c r="N175" s="2199"/>
      <c r="O175" s="2362"/>
    </row>
    <row r="176" spans="1:15" s="2294" customFormat="1">
      <c r="A176" s="2198"/>
      <c r="B176" s="2199"/>
      <c r="C176" s="2199"/>
      <c r="D176" s="2199"/>
      <c r="E176" s="2199"/>
      <c r="F176" s="2199"/>
      <c r="G176" s="2199"/>
      <c r="H176" s="2199"/>
      <c r="I176" s="2199"/>
      <c r="J176" s="2199"/>
      <c r="K176" s="2199"/>
      <c r="L176" s="2199"/>
      <c r="M176" s="2199"/>
      <c r="N176" s="2199"/>
      <c r="O176" s="2362"/>
    </row>
    <row r="177" spans="1:15" s="2294" customFormat="1">
      <c r="A177" s="2198"/>
      <c r="B177" s="2199"/>
      <c r="C177" s="2199"/>
      <c r="D177" s="2199"/>
      <c r="E177" s="2199"/>
      <c r="F177" s="2199"/>
      <c r="G177" s="2199"/>
      <c r="H177" s="2199"/>
      <c r="I177" s="2199"/>
      <c r="J177" s="2199"/>
      <c r="K177" s="2199"/>
      <c r="L177" s="2199"/>
      <c r="M177" s="2199"/>
      <c r="N177" s="2199"/>
      <c r="O177" s="2362"/>
    </row>
    <row r="178" spans="1:15" s="2294" customFormat="1">
      <c r="A178" s="2198"/>
      <c r="B178" s="2199"/>
      <c r="C178" s="2199"/>
      <c r="D178" s="2199"/>
      <c r="E178" s="2199"/>
      <c r="F178" s="2199"/>
      <c r="G178" s="2199"/>
      <c r="H178" s="2199"/>
      <c r="I178" s="2199"/>
      <c r="J178" s="2199"/>
      <c r="K178" s="2199"/>
      <c r="L178" s="2199"/>
      <c r="M178" s="2199"/>
      <c r="N178" s="2199"/>
      <c r="O178" s="2362"/>
    </row>
    <row r="179" spans="1:15" s="2294" customFormat="1">
      <c r="A179" s="2198"/>
      <c r="B179" s="2199"/>
      <c r="C179" s="2199"/>
      <c r="D179" s="2199"/>
      <c r="E179" s="2199"/>
      <c r="F179" s="2199"/>
      <c r="G179" s="2199"/>
      <c r="H179" s="2199"/>
      <c r="I179" s="2199"/>
      <c r="J179" s="2199"/>
      <c r="K179" s="2199"/>
      <c r="L179" s="2199"/>
      <c r="M179" s="2199"/>
      <c r="N179" s="2199"/>
      <c r="O179" s="2362"/>
    </row>
    <row r="180" spans="1:15" s="2368" customFormat="1" ht="24.75" customHeight="1">
      <c r="A180" s="2198"/>
      <c r="B180" s="2199"/>
      <c r="C180" s="2199"/>
      <c r="D180" s="2199"/>
      <c r="E180" s="2199"/>
      <c r="F180" s="2199"/>
      <c r="G180" s="2199"/>
      <c r="H180" s="2199"/>
      <c r="I180" s="2199"/>
      <c r="J180" s="2199"/>
      <c r="K180" s="2199"/>
      <c r="L180" s="2199"/>
      <c r="M180" s="2199"/>
      <c r="N180" s="2199"/>
      <c r="O180" s="2362"/>
    </row>
    <row r="181" spans="1:15" s="2294" customFormat="1" ht="12.75" customHeight="1">
      <c r="A181" s="2198"/>
      <c r="B181" s="2199"/>
      <c r="C181" s="2199"/>
      <c r="D181" s="2199"/>
      <c r="E181" s="2199"/>
      <c r="F181" s="2199"/>
      <c r="G181" s="2199"/>
      <c r="H181" s="2199"/>
      <c r="I181" s="2199"/>
      <c r="J181" s="2199"/>
      <c r="K181" s="2199"/>
      <c r="L181" s="2199"/>
      <c r="M181" s="2199"/>
      <c r="N181" s="2199"/>
      <c r="O181" s="2362"/>
    </row>
    <row r="182" spans="1:15" s="2294" customFormat="1" ht="12.75" customHeight="1">
      <c r="A182" s="2198"/>
      <c r="B182" s="2199"/>
      <c r="C182" s="2199"/>
      <c r="D182" s="2199"/>
      <c r="E182" s="2199"/>
      <c r="F182" s="2199"/>
      <c r="G182" s="2199"/>
      <c r="H182" s="2199"/>
      <c r="I182" s="2199"/>
      <c r="J182" s="2199"/>
      <c r="K182" s="2199"/>
      <c r="L182" s="2199"/>
      <c r="M182" s="2199"/>
      <c r="N182" s="2199"/>
      <c r="O182" s="2362"/>
    </row>
    <row r="183" spans="1:15" s="2294" customFormat="1">
      <c r="A183" s="2198"/>
      <c r="B183" s="2199"/>
      <c r="C183" s="2199"/>
      <c r="D183" s="2199"/>
      <c r="E183" s="2199"/>
      <c r="F183" s="2199"/>
      <c r="G183" s="2199"/>
      <c r="H183" s="2199"/>
      <c r="I183" s="2199"/>
      <c r="J183" s="2199"/>
      <c r="K183" s="2199"/>
      <c r="L183" s="2199"/>
      <c r="M183" s="2199"/>
      <c r="N183" s="2199"/>
      <c r="O183" s="2362"/>
    </row>
    <row r="184" spans="1:15" s="2294" customFormat="1">
      <c r="A184" s="2198"/>
      <c r="B184" s="2199"/>
      <c r="C184" s="2199"/>
      <c r="D184" s="2199"/>
      <c r="E184" s="2199"/>
      <c r="F184" s="2199"/>
      <c r="G184" s="2199"/>
      <c r="H184" s="2199"/>
      <c r="I184" s="2199"/>
      <c r="J184" s="2199"/>
      <c r="K184" s="2199"/>
      <c r="L184" s="2199"/>
      <c r="M184" s="2199"/>
      <c r="N184" s="2199"/>
      <c r="O184" s="2362"/>
    </row>
    <row r="185" spans="1:15" s="2294" customFormat="1">
      <c r="A185" s="2198"/>
      <c r="B185" s="2199"/>
      <c r="C185" s="2199"/>
      <c r="D185" s="2199"/>
      <c r="E185" s="2199"/>
      <c r="F185" s="2199"/>
      <c r="G185" s="2199"/>
      <c r="H185" s="2199"/>
      <c r="I185" s="2199"/>
      <c r="J185" s="2199"/>
      <c r="K185" s="2199"/>
      <c r="L185" s="2199"/>
      <c r="M185" s="2199"/>
      <c r="N185" s="2199"/>
      <c r="O185" s="2362"/>
    </row>
    <row r="186" spans="1:15" s="2368" customFormat="1" ht="23.25" customHeight="1">
      <c r="A186" s="2198"/>
      <c r="B186" s="2199"/>
      <c r="C186" s="2199"/>
      <c r="D186" s="2199"/>
      <c r="E186" s="2199"/>
      <c r="F186" s="2199"/>
      <c r="G186" s="2199"/>
      <c r="H186" s="2199"/>
      <c r="I186" s="2199"/>
      <c r="J186" s="2199"/>
      <c r="K186" s="2199"/>
      <c r="L186" s="2199"/>
      <c r="M186" s="2199"/>
      <c r="N186" s="2199"/>
      <c r="O186" s="2362"/>
    </row>
    <row r="187" spans="1:15" s="2294" customFormat="1" ht="15" customHeight="1">
      <c r="A187" s="2198"/>
      <c r="B187" s="2199"/>
      <c r="C187" s="2199"/>
      <c r="D187" s="2199"/>
      <c r="E187" s="2199"/>
      <c r="F187" s="2199"/>
      <c r="G187" s="2199"/>
      <c r="H187" s="2199"/>
      <c r="I187" s="2199"/>
      <c r="J187" s="2199"/>
      <c r="K187" s="2199"/>
      <c r="L187" s="2199"/>
      <c r="M187" s="2199"/>
      <c r="N187" s="2199"/>
      <c r="O187" s="2362"/>
    </row>
    <row r="188" spans="1:15" s="2294" customFormat="1" ht="12.75" customHeight="1">
      <c r="A188" s="2198"/>
      <c r="B188" s="2199"/>
      <c r="C188" s="2199"/>
      <c r="D188" s="2199"/>
      <c r="E188" s="2199"/>
      <c r="F188" s="2199"/>
      <c r="G188" s="2199"/>
      <c r="H188" s="2199"/>
      <c r="I188" s="2199"/>
      <c r="J188" s="2199"/>
      <c r="K188" s="2199"/>
      <c r="L188" s="2199"/>
      <c r="M188" s="2199"/>
      <c r="N188" s="2199"/>
      <c r="O188" s="2362"/>
    </row>
    <row r="189" spans="1:15" s="2294" customFormat="1">
      <c r="A189" s="2198"/>
      <c r="B189" s="2199"/>
      <c r="C189" s="2199"/>
      <c r="D189" s="2199"/>
      <c r="E189" s="2199"/>
      <c r="F189" s="2199"/>
      <c r="G189" s="2199"/>
      <c r="H189" s="2199"/>
      <c r="I189" s="2199"/>
      <c r="J189" s="2199"/>
      <c r="K189" s="2199"/>
      <c r="L189" s="2199"/>
      <c r="M189" s="2199"/>
      <c r="N189" s="2199"/>
      <c r="O189" s="2362"/>
    </row>
    <row r="190" spans="1:15" s="2294" customFormat="1">
      <c r="A190" s="2198"/>
      <c r="B190" s="2199"/>
      <c r="C190" s="2199"/>
      <c r="D190" s="2199"/>
      <c r="E190" s="2199"/>
      <c r="F190" s="2199"/>
      <c r="G190" s="2199"/>
      <c r="H190" s="2199"/>
      <c r="I190" s="2199"/>
      <c r="J190" s="2199"/>
      <c r="K190" s="2199"/>
      <c r="L190" s="2199"/>
      <c r="M190" s="2199"/>
      <c r="N190" s="2199"/>
      <c r="O190" s="2362"/>
    </row>
    <row r="191" spans="1:15" s="2368" customFormat="1" ht="12.75" customHeight="1">
      <c r="A191" s="2198"/>
      <c r="B191" s="2199"/>
      <c r="C191" s="2199"/>
      <c r="D191" s="2199"/>
      <c r="E191" s="2199"/>
      <c r="F191" s="2199"/>
      <c r="G191" s="2199"/>
      <c r="H191" s="2199"/>
      <c r="I191" s="2199"/>
      <c r="J191" s="2199"/>
      <c r="K191" s="2199"/>
      <c r="L191" s="2199"/>
      <c r="M191" s="2199"/>
      <c r="N191" s="2199"/>
      <c r="O191" s="2362"/>
    </row>
    <row r="192" spans="1:15" s="2294" customFormat="1" ht="9.75" customHeight="1">
      <c r="A192" s="2198"/>
      <c r="B192" s="2199"/>
      <c r="C192" s="2199"/>
      <c r="D192" s="2199"/>
      <c r="E192" s="2199"/>
      <c r="F192" s="2199"/>
      <c r="G192" s="2199"/>
      <c r="H192" s="2199"/>
      <c r="I192" s="2199"/>
      <c r="J192" s="2199"/>
      <c r="K192" s="2199"/>
      <c r="L192" s="2199"/>
      <c r="M192" s="2199"/>
      <c r="N192" s="2199"/>
      <c r="O192" s="2362"/>
    </row>
    <row r="193" spans="1:15" s="2294" customFormat="1" ht="12.75" customHeight="1">
      <c r="A193" s="2198"/>
      <c r="B193" s="2199"/>
      <c r="C193" s="2199"/>
      <c r="D193" s="2199"/>
      <c r="E193" s="2199"/>
      <c r="F193" s="2199"/>
      <c r="G193" s="2199"/>
      <c r="H193" s="2199"/>
      <c r="I193" s="2199"/>
      <c r="J193" s="2199"/>
      <c r="K193" s="2199"/>
      <c r="L193" s="2199"/>
      <c r="M193" s="2199"/>
      <c r="N193" s="2199"/>
      <c r="O193" s="2362"/>
    </row>
    <row r="194" spans="1:15" s="2294" customFormat="1">
      <c r="A194" s="2198"/>
      <c r="B194" s="2199"/>
      <c r="C194" s="2199"/>
      <c r="D194" s="2199"/>
      <c r="E194" s="2199"/>
      <c r="F194" s="2199"/>
      <c r="G194" s="2199"/>
      <c r="H194" s="2199"/>
      <c r="I194" s="2199"/>
      <c r="J194" s="2199"/>
      <c r="K194" s="2199"/>
      <c r="L194" s="2199"/>
      <c r="M194" s="2199"/>
      <c r="N194" s="2199"/>
      <c r="O194" s="2362"/>
    </row>
    <row r="195" spans="1:15" s="2294" customFormat="1">
      <c r="A195" s="2198"/>
      <c r="B195" s="2199"/>
      <c r="C195" s="2199"/>
      <c r="D195" s="2199"/>
      <c r="E195" s="2199"/>
      <c r="F195" s="2199"/>
      <c r="G195" s="2199"/>
      <c r="H195" s="2199"/>
      <c r="I195" s="2199"/>
      <c r="J195" s="2199"/>
      <c r="K195" s="2199"/>
      <c r="L195" s="2199"/>
      <c r="M195" s="2199"/>
      <c r="N195" s="2199"/>
      <c r="O195" s="2362"/>
    </row>
    <row r="196" spans="1:15" s="2374" customFormat="1" ht="24" customHeight="1">
      <c r="A196" s="2198"/>
      <c r="B196" s="2199"/>
      <c r="C196" s="2199"/>
      <c r="D196" s="2199"/>
      <c r="E196" s="2199"/>
      <c r="F196" s="2199"/>
      <c r="G196" s="2199"/>
      <c r="H196" s="2199"/>
      <c r="I196" s="2199"/>
      <c r="J196" s="2199"/>
      <c r="K196" s="2199"/>
      <c r="L196" s="2199"/>
      <c r="M196" s="2199"/>
      <c r="N196" s="2199"/>
      <c r="O196" s="2362"/>
    </row>
    <row r="197" spans="1:15" s="2294" customFormat="1" ht="11.25" customHeight="1">
      <c r="A197" s="2198"/>
      <c r="B197" s="2199"/>
      <c r="C197" s="2199"/>
      <c r="D197" s="2199"/>
      <c r="E197" s="2199"/>
      <c r="F197" s="2199"/>
      <c r="G197" s="2199"/>
      <c r="H197" s="2199"/>
      <c r="I197" s="2199"/>
      <c r="J197" s="2199"/>
      <c r="K197" s="2199"/>
      <c r="L197" s="2199"/>
      <c r="M197" s="2199"/>
      <c r="N197" s="2199"/>
      <c r="O197" s="2362"/>
    </row>
    <row r="198" spans="1:15" s="2294" customFormat="1" ht="12.75" customHeight="1">
      <c r="A198" s="2198"/>
      <c r="B198" s="2199"/>
      <c r="C198" s="2199"/>
      <c r="D198" s="2199"/>
      <c r="E198" s="2199"/>
      <c r="F198" s="2199"/>
      <c r="G198" s="2199"/>
      <c r="H198" s="2199"/>
      <c r="I198" s="2199"/>
      <c r="J198" s="2199"/>
      <c r="K198" s="2199"/>
      <c r="L198" s="2199"/>
      <c r="M198" s="2199"/>
      <c r="N198" s="2199"/>
      <c r="O198" s="2362"/>
    </row>
    <row r="199" spans="1:15" s="2294" customFormat="1">
      <c r="A199" s="2198"/>
      <c r="B199" s="2199"/>
      <c r="C199" s="2199"/>
      <c r="D199" s="2199"/>
      <c r="E199" s="2199"/>
      <c r="F199" s="2199"/>
      <c r="G199" s="2199"/>
      <c r="H199" s="2199"/>
      <c r="I199" s="2199"/>
      <c r="J199" s="2199"/>
      <c r="K199" s="2199"/>
      <c r="L199" s="2199"/>
      <c r="M199" s="2199"/>
      <c r="N199" s="2199"/>
      <c r="O199" s="2362"/>
    </row>
    <row r="200" spans="1:15" s="2294" customFormat="1">
      <c r="A200" s="2198"/>
      <c r="B200" s="2199"/>
      <c r="C200" s="2199"/>
      <c r="D200" s="2199"/>
      <c r="E200" s="2199"/>
      <c r="F200" s="2199"/>
      <c r="G200" s="2199"/>
      <c r="H200" s="2199"/>
      <c r="I200" s="2199"/>
      <c r="J200" s="2199"/>
      <c r="K200" s="2199"/>
      <c r="L200" s="2199"/>
      <c r="M200" s="2199"/>
      <c r="N200" s="2199"/>
      <c r="O200" s="2362"/>
    </row>
    <row r="201" spans="1:15" s="2294" customFormat="1">
      <c r="A201" s="2198"/>
      <c r="B201" s="2199"/>
      <c r="C201" s="2199"/>
      <c r="D201" s="2199"/>
      <c r="E201" s="2199"/>
      <c r="F201" s="2199"/>
      <c r="G201" s="2199"/>
      <c r="H201" s="2199"/>
      <c r="I201" s="2199"/>
      <c r="J201" s="2199"/>
      <c r="K201" s="2199"/>
      <c r="L201" s="2199"/>
      <c r="M201" s="2199"/>
      <c r="N201" s="2199"/>
      <c r="O201" s="2362"/>
    </row>
    <row r="202" spans="1:15" s="2294" customFormat="1">
      <c r="A202" s="2198"/>
      <c r="B202" s="2199"/>
      <c r="C202" s="2199"/>
      <c r="D202" s="2199"/>
      <c r="E202" s="2199"/>
      <c r="F202" s="2199"/>
      <c r="G202" s="2199"/>
      <c r="H202" s="2199"/>
      <c r="I202" s="2199"/>
      <c r="J202" s="2199"/>
      <c r="K202" s="2199"/>
      <c r="L202" s="2199"/>
      <c r="M202" s="2199"/>
      <c r="N202" s="2199"/>
      <c r="O202" s="2362"/>
    </row>
    <row r="203" spans="1:15" s="2294" customFormat="1" ht="12" customHeight="1">
      <c r="A203" s="2198"/>
      <c r="B203" s="2199"/>
      <c r="C203" s="2199"/>
      <c r="D203" s="2199"/>
      <c r="E203" s="2199"/>
      <c r="F203" s="2199"/>
      <c r="G203" s="2199"/>
      <c r="H203" s="2199"/>
      <c r="I203" s="2199"/>
      <c r="J203" s="2199"/>
      <c r="K203" s="2199"/>
      <c r="L203" s="2199"/>
      <c r="M203" s="2199"/>
      <c r="N203" s="2199"/>
      <c r="O203" s="2362"/>
    </row>
    <row r="204" spans="1:15" s="2294" customFormat="1" ht="10.5" customHeight="1">
      <c r="A204" s="2198"/>
      <c r="B204" s="2199"/>
      <c r="C204" s="2199"/>
      <c r="D204" s="2199"/>
      <c r="E204" s="2199"/>
      <c r="F204" s="2199"/>
      <c r="G204" s="2199"/>
      <c r="H204" s="2199"/>
      <c r="I204" s="2199"/>
      <c r="J204" s="2199"/>
      <c r="K204" s="2199"/>
      <c r="L204" s="2199"/>
      <c r="M204" s="2199"/>
      <c r="N204" s="2199"/>
      <c r="O204" s="2362"/>
    </row>
    <row r="205" spans="1:15" s="2294" customFormat="1">
      <c r="A205" s="2198"/>
      <c r="B205" s="2199"/>
      <c r="C205" s="2199"/>
      <c r="D205" s="2199"/>
      <c r="E205" s="2199"/>
      <c r="F205" s="2199"/>
      <c r="G205" s="2199"/>
      <c r="H205" s="2199"/>
      <c r="I205" s="2199"/>
      <c r="J205" s="2199"/>
      <c r="K205" s="2199"/>
      <c r="L205" s="2199"/>
      <c r="M205" s="2199"/>
      <c r="N205" s="2199"/>
      <c r="O205" s="2362"/>
    </row>
    <row r="206" spans="1:15" s="2294" customFormat="1">
      <c r="A206" s="2198"/>
      <c r="B206" s="2199"/>
      <c r="C206" s="2199"/>
      <c r="D206" s="2199"/>
      <c r="E206" s="2199"/>
      <c r="F206" s="2199"/>
      <c r="G206" s="2199"/>
      <c r="H206" s="2199"/>
      <c r="I206" s="2199"/>
      <c r="J206" s="2199"/>
      <c r="K206" s="2199"/>
      <c r="L206" s="2199"/>
      <c r="M206" s="2199"/>
      <c r="N206" s="2199"/>
      <c r="O206" s="2362"/>
    </row>
    <row r="207" spans="1:15" s="2294" customFormat="1">
      <c r="A207" s="2198"/>
      <c r="B207" s="2199"/>
      <c r="C207" s="2199"/>
      <c r="D207" s="2199"/>
      <c r="E207" s="2199"/>
      <c r="F207" s="2199"/>
      <c r="G207" s="2199"/>
      <c r="H207" s="2199"/>
      <c r="I207" s="2199"/>
      <c r="J207" s="2199"/>
      <c r="K207" s="2199"/>
      <c r="L207" s="2199"/>
      <c r="M207" s="2199"/>
      <c r="N207" s="2199"/>
      <c r="O207" s="2362"/>
    </row>
    <row r="208" spans="1:15" s="2294" customFormat="1">
      <c r="A208" s="2198"/>
      <c r="B208" s="2199"/>
      <c r="C208" s="2199"/>
      <c r="D208" s="2199"/>
      <c r="E208" s="2199"/>
      <c r="F208" s="2199"/>
      <c r="G208" s="2199"/>
      <c r="H208" s="2199"/>
      <c r="I208" s="2199"/>
      <c r="J208" s="2199"/>
      <c r="K208" s="2199"/>
      <c r="L208" s="2199"/>
      <c r="M208" s="2199"/>
      <c r="N208" s="2199"/>
      <c r="O208" s="2362"/>
    </row>
    <row r="209" spans="1:15" s="2294" customFormat="1">
      <c r="A209" s="2198"/>
      <c r="B209" s="2199"/>
      <c r="C209" s="2199"/>
      <c r="D209" s="2199"/>
      <c r="E209" s="2199"/>
      <c r="F209" s="2199"/>
      <c r="G209" s="2199"/>
      <c r="H209" s="2199"/>
      <c r="I209" s="2199"/>
      <c r="J209" s="2199"/>
      <c r="K209" s="2199"/>
      <c r="L209" s="2199"/>
      <c r="M209" s="2199"/>
      <c r="N209" s="2199"/>
      <c r="O209" s="2362"/>
    </row>
    <row r="210" spans="1:15" s="2294" customFormat="1" ht="32.25" customHeight="1">
      <c r="A210" s="2198"/>
      <c r="B210" s="2199"/>
      <c r="C210" s="2199"/>
      <c r="D210" s="2199"/>
      <c r="E210" s="2199"/>
      <c r="F210" s="2199"/>
      <c r="G210" s="2199"/>
      <c r="H210" s="2199"/>
      <c r="I210" s="2199"/>
      <c r="J210" s="2199"/>
      <c r="K210" s="2199"/>
      <c r="L210" s="2199"/>
      <c r="M210" s="2199"/>
      <c r="N210" s="2199"/>
      <c r="O210" s="2362"/>
    </row>
    <row r="211" spans="1:15" s="2294" customFormat="1" ht="15" customHeight="1">
      <c r="A211" s="2198"/>
      <c r="B211" s="2199"/>
      <c r="C211" s="2199"/>
      <c r="D211" s="2199"/>
      <c r="E211" s="2199"/>
      <c r="F211" s="2199"/>
      <c r="G211" s="2199"/>
      <c r="H211" s="2199"/>
      <c r="I211" s="2199"/>
      <c r="J211" s="2199"/>
      <c r="K211" s="2199"/>
      <c r="L211" s="2199"/>
      <c r="M211" s="2199"/>
      <c r="N211" s="2199"/>
      <c r="O211" s="2362"/>
    </row>
    <row r="212" spans="1:15" s="2294" customFormat="1" ht="12.75" customHeight="1">
      <c r="A212" s="2198"/>
      <c r="B212" s="2199"/>
      <c r="C212" s="2199"/>
      <c r="D212" s="2199"/>
      <c r="E212" s="2199"/>
      <c r="F212" s="2199"/>
      <c r="G212" s="2199"/>
      <c r="H212" s="2199"/>
      <c r="I212" s="2199"/>
      <c r="J212" s="2199"/>
      <c r="K212" s="2199"/>
      <c r="L212" s="2199"/>
      <c r="M212" s="2199"/>
      <c r="N212" s="2199"/>
      <c r="O212" s="2362"/>
    </row>
    <row r="213" spans="1:15" s="2294" customFormat="1">
      <c r="A213" s="2198"/>
      <c r="B213" s="2199"/>
      <c r="C213" s="2199"/>
      <c r="D213" s="2199"/>
      <c r="E213" s="2199"/>
      <c r="F213" s="2199"/>
      <c r="G213" s="2199"/>
      <c r="H213" s="2199"/>
      <c r="I213" s="2199"/>
      <c r="J213" s="2199"/>
      <c r="K213" s="2199"/>
      <c r="L213" s="2199"/>
      <c r="M213" s="2199"/>
      <c r="N213" s="2199"/>
      <c r="O213" s="2362"/>
    </row>
    <row r="214" spans="1:15" s="2294" customFormat="1">
      <c r="A214" s="2198"/>
      <c r="B214" s="2199"/>
      <c r="C214" s="2199"/>
      <c r="D214" s="2199"/>
      <c r="E214" s="2199"/>
      <c r="F214" s="2199"/>
      <c r="G214" s="2199"/>
      <c r="H214" s="2199"/>
      <c r="I214" s="2199"/>
      <c r="J214" s="2199"/>
      <c r="K214" s="2199"/>
      <c r="L214" s="2199"/>
      <c r="M214" s="2199"/>
      <c r="N214" s="2199"/>
      <c r="O214" s="2375"/>
    </row>
    <row r="215" spans="1:15" s="2294" customFormat="1">
      <c r="A215" s="2198"/>
      <c r="B215" s="2199"/>
      <c r="C215" s="2199"/>
      <c r="D215" s="2199"/>
      <c r="E215" s="2199"/>
      <c r="F215" s="2199"/>
      <c r="G215" s="2199"/>
      <c r="H215" s="2199"/>
      <c r="I215" s="2199"/>
      <c r="J215" s="2199"/>
      <c r="K215" s="2199"/>
      <c r="L215" s="2199"/>
      <c r="M215" s="2199"/>
      <c r="N215" s="2199"/>
      <c r="O215" s="2375"/>
    </row>
    <row r="216" spans="1:15" s="2294" customFormat="1" ht="21.75" customHeight="1">
      <c r="A216" s="2198"/>
      <c r="B216" s="2199"/>
      <c r="C216" s="2199"/>
      <c r="D216" s="2199"/>
      <c r="E216" s="2199"/>
      <c r="F216" s="2199"/>
      <c r="G216" s="2199"/>
      <c r="H216" s="2199"/>
      <c r="I216" s="2199"/>
      <c r="J216" s="2199"/>
      <c r="K216" s="2199"/>
      <c r="L216" s="2199"/>
      <c r="M216" s="2199"/>
      <c r="N216" s="2199"/>
      <c r="O216" s="2375"/>
    </row>
    <row r="217" spans="1:15" s="2294" customFormat="1" ht="12.75" customHeight="1">
      <c r="A217" s="2198"/>
      <c r="B217" s="2199"/>
      <c r="C217" s="2199"/>
      <c r="D217" s="2199"/>
      <c r="E217" s="2199"/>
      <c r="F217" s="2199"/>
      <c r="G217" s="2199"/>
      <c r="H217" s="2199"/>
      <c r="I217" s="2199"/>
      <c r="J217" s="2199"/>
      <c r="K217" s="2199"/>
      <c r="L217" s="2199"/>
      <c r="M217" s="2199"/>
      <c r="N217" s="2199"/>
      <c r="O217" s="2375"/>
    </row>
    <row r="218" spans="1:15" s="2294" customFormat="1" ht="12.75" customHeight="1">
      <c r="A218" s="2198"/>
      <c r="B218" s="2199"/>
      <c r="C218" s="2199"/>
      <c r="D218" s="2199"/>
      <c r="E218" s="2199"/>
      <c r="F218" s="2199"/>
      <c r="G218" s="2199"/>
      <c r="H218" s="2199"/>
      <c r="I218" s="2199"/>
      <c r="J218" s="2199"/>
      <c r="K218" s="2199"/>
      <c r="L218" s="2199"/>
      <c r="M218" s="2199"/>
      <c r="N218" s="2199"/>
      <c r="O218" s="2375"/>
    </row>
    <row r="219" spans="1:15" s="2294" customFormat="1">
      <c r="A219" s="2198"/>
      <c r="B219" s="2199"/>
      <c r="C219" s="2199"/>
      <c r="D219" s="2199"/>
      <c r="E219" s="2199"/>
      <c r="F219" s="2199"/>
      <c r="G219" s="2199"/>
      <c r="H219" s="2199"/>
      <c r="I219" s="2199"/>
      <c r="J219" s="2199"/>
      <c r="K219" s="2199"/>
      <c r="L219" s="2199"/>
      <c r="M219" s="2199"/>
      <c r="N219" s="2199"/>
      <c r="O219" s="2375"/>
    </row>
    <row r="220" spans="1:15" s="2294" customFormat="1">
      <c r="A220" s="2198"/>
      <c r="B220" s="2199"/>
      <c r="C220" s="2199"/>
      <c r="D220" s="2199"/>
      <c r="E220" s="2199"/>
      <c r="F220" s="2199"/>
      <c r="G220" s="2199"/>
      <c r="H220" s="2199"/>
      <c r="I220" s="2199"/>
      <c r="J220" s="2199"/>
      <c r="K220" s="2199"/>
      <c r="L220" s="2199"/>
      <c r="M220" s="2199"/>
      <c r="N220" s="2199"/>
      <c r="O220" s="2375"/>
    </row>
    <row r="221" spans="1:15" s="2294" customFormat="1">
      <c r="A221" s="2198"/>
      <c r="B221" s="2199"/>
      <c r="C221" s="2199"/>
      <c r="D221" s="2199"/>
      <c r="E221" s="2199"/>
      <c r="F221" s="2199"/>
      <c r="G221" s="2199"/>
      <c r="H221" s="2199"/>
      <c r="I221" s="2199"/>
      <c r="J221" s="2199"/>
      <c r="K221" s="2199"/>
      <c r="L221" s="2199"/>
      <c r="M221" s="2199"/>
      <c r="N221" s="2199"/>
      <c r="O221" s="2375"/>
    </row>
    <row r="222" spans="1:15" s="2294" customFormat="1">
      <c r="A222" s="2198"/>
      <c r="B222" s="2199"/>
      <c r="C222" s="2199"/>
      <c r="D222" s="2199"/>
      <c r="E222" s="2199"/>
      <c r="F222" s="2199"/>
      <c r="G222" s="2199"/>
      <c r="H222" s="2199"/>
      <c r="I222" s="2199"/>
      <c r="J222" s="2199"/>
      <c r="K222" s="2199"/>
      <c r="L222" s="2199"/>
      <c r="M222" s="2199"/>
      <c r="N222" s="2199"/>
      <c r="O222" s="2375"/>
    </row>
    <row r="223" spans="1:15" s="2374" customFormat="1" ht="35.25" customHeight="1">
      <c r="A223" s="2198"/>
      <c r="B223" s="2199"/>
      <c r="C223" s="2199"/>
      <c r="D223" s="2199"/>
      <c r="E223" s="2199"/>
      <c r="F223" s="2199"/>
      <c r="G223" s="2199"/>
      <c r="H223" s="2199"/>
      <c r="I223" s="2199"/>
      <c r="J223" s="2199"/>
      <c r="K223" s="2199"/>
      <c r="L223" s="2199"/>
      <c r="M223" s="2199"/>
      <c r="N223" s="2199"/>
      <c r="O223" s="2375"/>
    </row>
    <row r="224" spans="1:15" s="2294" customFormat="1" ht="11.25" customHeight="1">
      <c r="A224" s="2198"/>
      <c r="B224" s="2199"/>
      <c r="C224" s="2199"/>
      <c r="D224" s="2199"/>
      <c r="E224" s="2199"/>
      <c r="F224" s="2199"/>
      <c r="G224" s="2199"/>
      <c r="H224" s="2199"/>
      <c r="I224" s="2199"/>
      <c r="J224" s="2199"/>
      <c r="K224" s="2199"/>
      <c r="L224" s="2199"/>
      <c r="M224" s="2199"/>
      <c r="N224" s="2199"/>
      <c r="O224" s="2375"/>
    </row>
    <row r="225" spans="1:15" s="2294" customFormat="1" ht="12.75" customHeight="1">
      <c r="A225" s="2198"/>
      <c r="B225" s="2199"/>
      <c r="C225" s="2199"/>
      <c r="D225" s="2199"/>
      <c r="E225" s="2199"/>
      <c r="F225" s="2199"/>
      <c r="G225" s="2199"/>
      <c r="H225" s="2199"/>
      <c r="I225" s="2199"/>
      <c r="J225" s="2199"/>
      <c r="K225" s="2199"/>
      <c r="L225" s="2199"/>
      <c r="M225" s="2199"/>
      <c r="N225" s="2199"/>
      <c r="O225" s="2375"/>
    </row>
    <row r="226" spans="1:15" s="2374" customFormat="1" ht="14.25" customHeight="1">
      <c r="A226" s="2198"/>
      <c r="B226" s="2199"/>
      <c r="C226" s="2199"/>
      <c r="D226" s="2199"/>
      <c r="E226" s="2199"/>
      <c r="F226" s="2199"/>
      <c r="G226" s="2199"/>
      <c r="H226" s="2199"/>
      <c r="I226" s="2199"/>
      <c r="J226" s="2199"/>
      <c r="K226" s="2199"/>
      <c r="L226" s="2199"/>
      <c r="M226" s="2199"/>
      <c r="N226" s="2199"/>
      <c r="O226" s="2375"/>
    </row>
    <row r="227" spans="1:15" s="2294" customFormat="1" ht="11.25" customHeight="1">
      <c r="A227" s="2198"/>
      <c r="B227" s="2199"/>
      <c r="C227" s="2199"/>
      <c r="D227" s="2199"/>
      <c r="E227" s="2199"/>
      <c r="F227" s="2199"/>
      <c r="G227" s="2199"/>
      <c r="H227" s="2199"/>
      <c r="I227" s="2199"/>
      <c r="J227" s="2199"/>
      <c r="K227" s="2199"/>
      <c r="L227" s="2199"/>
      <c r="M227" s="2199"/>
      <c r="N227" s="2199"/>
      <c r="O227" s="2375"/>
    </row>
    <row r="228" spans="1:15" s="2294" customFormat="1" ht="12.75" customHeight="1">
      <c r="A228" s="2198"/>
      <c r="B228" s="2199"/>
      <c r="C228" s="2199"/>
      <c r="D228" s="2199"/>
      <c r="E228" s="2199"/>
      <c r="F228" s="2199"/>
      <c r="G228" s="2199"/>
      <c r="H228" s="2199"/>
      <c r="I228" s="2199"/>
      <c r="J228" s="2199"/>
      <c r="K228" s="2199"/>
      <c r="L228" s="2199"/>
      <c r="M228" s="2199"/>
      <c r="N228" s="2199"/>
      <c r="O228" s="2375"/>
    </row>
    <row r="229" spans="1:15" s="2374" customFormat="1" ht="23.25" customHeight="1">
      <c r="A229" s="2198"/>
      <c r="B229" s="2199"/>
      <c r="C229" s="2199"/>
      <c r="D229" s="2199"/>
      <c r="E229" s="2199"/>
      <c r="F229" s="2199"/>
      <c r="G229" s="2199"/>
      <c r="H229" s="2199"/>
      <c r="I229" s="2199"/>
      <c r="J229" s="2199"/>
      <c r="K229" s="2199"/>
      <c r="L229" s="2199"/>
      <c r="M229" s="2199"/>
      <c r="N229" s="2199"/>
      <c r="O229" s="2375"/>
    </row>
    <row r="230" spans="1:15" s="2294" customFormat="1" ht="11.25" customHeight="1">
      <c r="A230" s="2198"/>
      <c r="B230" s="2199"/>
      <c r="C230" s="2199"/>
      <c r="D230" s="2199"/>
      <c r="E230" s="2199"/>
      <c r="F230" s="2199"/>
      <c r="G230" s="2199"/>
      <c r="H230" s="2199"/>
      <c r="I230" s="2199"/>
      <c r="J230" s="2199"/>
      <c r="K230" s="2199"/>
      <c r="L230" s="2199"/>
      <c r="M230" s="2199"/>
      <c r="N230" s="2199"/>
      <c r="O230" s="2375"/>
    </row>
    <row r="231" spans="1:15" s="2294" customFormat="1">
      <c r="A231" s="2198"/>
      <c r="B231" s="2199"/>
      <c r="C231" s="2199"/>
      <c r="D231" s="2199"/>
      <c r="E231" s="2199"/>
      <c r="F231" s="2199"/>
      <c r="G231" s="2199"/>
      <c r="H231" s="2199"/>
      <c r="I231" s="2199"/>
      <c r="J231" s="2199"/>
      <c r="K231" s="2199"/>
      <c r="L231" s="2199"/>
      <c r="M231" s="2199"/>
      <c r="N231" s="2199"/>
      <c r="O231" s="2375"/>
    </row>
    <row r="232" spans="1:15" s="2294" customFormat="1">
      <c r="A232" s="2198"/>
      <c r="B232" s="2199"/>
      <c r="C232" s="2199"/>
      <c r="D232" s="2199"/>
      <c r="E232" s="2199"/>
      <c r="F232" s="2199"/>
      <c r="G232" s="2199"/>
      <c r="H232" s="2199"/>
      <c r="I232" s="2199"/>
      <c r="J232" s="2199"/>
      <c r="K232" s="2199"/>
      <c r="L232" s="2199"/>
      <c r="M232" s="2199"/>
      <c r="N232" s="2199"/>
      <c r="O232" s="2375"/>
    </row>
    <row r="233" spans="1:15" s="2374" customFormat="1" ht="23.25" customHeight="1">
      <c r="A233" s="2198"/>
      <c r="B233" s="2199"/>
      <c r="C233" s="2199"/>
      <c r="D233" s="2199"/>
      <c r="E233" s="2199"/>
      <c r="F233" s="2199"/>
      <c r="G233" s="2199"/>
      <c r="H233" s="2199"/>
      <c r="I233" s="2199"/>
      <c r="J233" s="2199"/>
      <c r="K233" s="2199"/>
      <c r="L233" s="2199"/>
      <c r="M233" s="2199"/>
      <c r="N233" s="2199"/>
      <c r="O233" s="2375"/>
    </row>
    <row r="234" spans="1:15" s="2294" customFormat="1" ht="11.25" customHeight="1">
      <c r="A234" s="2198"/>
      <c r="B234" s="2199"/>
      <c r="C234" s="2199"/>
      <c r="D234" s="2199"/>
      <c r="E234" s="2199"/>
      <c r="F234" s="2199"/>
      <c r="G234" s="2199"/>
      <c r="H234" s="2199"/>
      <c r="I234" s="2199"/>
      <c r="J234" s="2199"/>
      <c r="K234" s="2199"/>
      <c r="L234" s="2199"/>
      <c r="M234" s="2199"/>
      <c r="N234" s="2199"/>
      <c r="O234" s="2375"/>
    </row>
    <row r="235" spans="1:15" s="2294" customFormat="1">
      <c r="A235" s="2198"/>
      <c r="B235" s="2199"/>
      <c r="C235" s="2199"/>
      <c r="D235" s="2199"/>
      <c r="E235" s="2199"/>
      <c r="F235" s="2199"/>
      <c r="G235" s="2199"/>
      <c r="H235" s="2199"/>
      <c r="I235" s="2199"/>
      <c r="J235" s="2199"/>
      <c r="K235" s="2199"/>
      <c r="L235" s="2199"/>
      <c r="M235" s="2199"/>
      <c r="N235" s="2199"/>
      <c r="O235" s="2375"/>
    </row>
    <row r="236" spans="1:15">
      <c r="O236" s="2375"/>
    </row>
    <row r="237" spans="1:15">
      <c r="O237" s="2375"/>
    </row>
    <row r="238" spans="1:15">
      <c r="O238" s="2375"/>
    </row>
    <row r="239" spans="1:15">
      <c r="O239" s="2375"/>
    </row>
    <row r="240" spans="1:15">
      <c r="O240" s="2375"/>
    </row>
    <row r="241" spans="15:15">
      <c r="O241" s="2375"/>
    </row>
    <row r="242" spans="15:15">
      <c r="O242" s="2375"/>
    </row>
    <row r="457" spans="1:15" ht="13.5" thickBot="1"/>
    <row r="458" spans="1:15" ht="33.75">
      <c r="A458" s="2376"/>
      <c r="B458" s="2377" t="s">
        <v>69</v>
      </c>
      <c r="C458" s="2377"/>
      <c r="D458" s="2378"/>
      <c r="E458" s="2378"/>
      <c r="F458" s="2378"/>
      <c r="G458" s="2378"/>
      <c r="H458" s="2378"/>
      <c r="I458" s="2378"/>
      <c r="J458" s="2378"/>
      <c r="K458" s="2378"/>
      <c r="L458" s="2378"/>
      <c r="M458" s="2378"/>
      <c r="N458" s="2378"/>
      <c r="O458" s="2379"/>
    </row>
    <row r="459" spans="1:15">
      <c r="A459" s="2380"/>
      <c r="O459" s="2381"/>
    </row>
    <row r="460" spans="1:15">
      <c r="A460" s="2380"/>
      <c r="O460" s="2381"/>
    </row>
    <row r="461" spans="1:15">
      <c r="A461" s="2380"/>
      <c r="O461" s="2381"/>
    </row>
    <row r="462" spans="1:15">
      <c r="A462" s="2380"/>
      <c r="O462" s="2381"/>
    </row>
    <row r="463" spans="1:15">
      <c r="A463" s="2380"/>
      <c r="O463" s="2381"/>
    </row>
    <row r="464" spans="1:15">
      <c r="A464" s="2380"/>
      <c r="O464" s="2381"/>
    </row>
    <row r="465" spans="1:15">
      <c r="A465" s="2380"/>
      <c r="O465" s="2381"/>
    </row>
    <row r="466" spans="1:15">
      <c r="A466" s="2380"/>
      <c r="O466" s="2381"/>
    </row>
    <row r="467" spans="1:15">
      <c r="A467" s="2380"/>
      <c r="O467" s="2381"/>
    </row>
    <row r="468" spans="1:15">
      <c r="A468" s="2380"/>
      <c r="O468" s="2381"/>
    </row>
    <row r="469" spans="1:15" ht="13.5" thickBot="1">
      <c r="A469" s="2382"/>
      <c r="B469" s="2372"/>
      <c r="C469" s="2372"/>
      <c r="D469" s="2372"/>
      <c r="E469" s="2372"/>
      <c r="F469" s="2372"/>
      <c r="G469" s="2372"/>
      <c r="H469" s="2372"/>
      <c r="I469" s="2372"/>
      <c r="J469" s="2372"/>
      <c r="K469" s="2372"/>
      <c r="L469" s="2372"/>
      <c r="M469" s="2372"/>
      <c r="N469" s="2372"/>
      <c r="O469" s="2383"/>
    </row>
  </sheetData>
  <mergeCells count="37">
    <mergeCell ref="O52:O56"/>
    <mergeCell ref="C54:C56"/>
    <mergeCell ref="O47:O51"/>
    <mergeCell ref="A42:A46"/>
    <mergeCell ref="O42:O46"/>
    <mergeCell ref="C44:C46"/>
    <mergeCell ref="Q29:S39"/>
    <mergeCell ref="C31:C36"/>
    <mergeCell ref="C39:C41"/>
    <mergeCell ref="N38:N41"/>
    <mergeCell ref="A29:A41"/>
    <mergeCell ref="O29:O41"/>
    <mergeCell ref="M38:M41"/>
    <mergeCell ref="L7:L8"/>
    <mergeCell ref="M6:M8"/>
    <mergeCell ref="M23:M28"/>
    <mergeCell ref="F6:F8"/>
    <mergeCell ref="G7:G8"/>
    <mergeCell ref="H7:H8"/>
    <mergeCell ref="I7:I8"/>
    <mergeCell ref="J7:J8"/>
    <mergeCell ref="A5:E5"/>
    <mergeCell ref="C6:C8"/>
    <mergeCell ref="D6:D8"/>
    <mergeCell ref="E6:E8"/>
    <mergeCell ref="A60:O60"/>
    <mergeCell ref="A57:O57"/>
    <mergeCell ref="A59:I59"/>
    <mergeCell ref="A58:L58"/>
    <mergeCell ref="C49:C51"/>
    <mergeCell ref="A47:A51"/>
    <mergeCell ref="A52:A56"/>
    <mergeCell ref="O6:O8"/>
    <mergeCell ref="N6:N8"/>
    <mergeCell ref="N23:N28"/>
    <mergeCell ref="G6:L6"/>
    <mergeCell ref="K7:K8"/>
  </mergeCells>
  <printOptions horizontalCentered="1"/>
  <pageMargins left="7.874015748031496E-2" right="0.15748031496062992" top="0.51181102362204722" bottom="0.31496062992125984" header="0.15748031496062992" footer="0.15748031496062992"/>
  <pageSetup paperSize="9" scale="72" firstPageNumber="27" orientation="landscape" useFirstPageNumber="1" r:id="rId1"/>
  <headerFooter alignWithMargins="0">
    <oddHeader>&amp;C&amp;"Arial,Kursywa"Wieloletnia prognoza finansowa Województwa Zachodniopomorskiego
&amp;"Arial,Normalny"_________________________________________________________________________________________________________________________________</oddHeader>
    <oddFooter>&amp;C&amp;8&amp;P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DE214"/>
  <sheetViews>
    <sheetView showGridLines="0" view="pageBreakPreview" zoomScale="115" zoomScaleSheetLayoutView="115" workbookViewId="0">
      <pane ySplit="8" topLeftCell="A9" activePane="bottomLeft" state="frozen"/>
      <selection activeCell="B96" sqref="B96"/>
      <selection pane="bottomLeft" sqref="A1:XFD1048576"/>
    </sheetView>
  </sheetViews>
  <sheetFormatPr defaultColWidth="9.140625" defaultRowHeight="11.25"/>
  <cols>
    <col min="1" max="1" width="2.85546875" style="2384" customWidth="1"/>
    <col min="2" max="2" width="57.140625" style="2385" customWidth="1"/>
    <col min="3" max="3" width="10" style="2385" customWidth="1"/>
    <col min="4" max="4" width="13.42578125" style="2385" customWidth="1"/>
    <col min="5" max="5" width="12" style="2385" customWidth="1"/>
    <col min="6" max="6" width="10.42578125" style="2385" customWidth="1"/>
    <col min="7" max="7" width="10.140625" style="2385" customWidth="1"/>
    <col min="8" max="8" width="9.28515625" style="2385" customWidth="1"/>
    <col min="9" max="12" width="9.5703125" style="2385" customWidth="1"/>
    <col min="13" max="13" width="10.5703125" style="2385" hidden="1" customWidth="1"/>
    <col min="14" max="14" width="11.28515625" style="2385" customWidth="1"/>
    <col min="15" max="15" width="15.7109375" style="2624" customWidth="1"/>
    <col min="16" max="16384" width="9.140625" style="2385"/>
  </cols>
  <sheetData>
    <row r="1" spans="1:15" ht="18" customHeight="1">
      <c r="H1" s="2386" t="s">
        <v>129</v>
      </c>
      <c r="I1" s="2386"/>
      <c r="J1" s="2386"/>
      <c r="K1" s="2386"/>
      <c r="L1" s="2386"/>
      <c r="M1" s="2387"/>
      <c r="N1" s="2387"/>
      <c r="O1" s="2388"/>
    </row>
    <row r="2" spans="1:15" ht="7.5" customHeight="1">
      <c r="I2" s="2387"/>
      <c r="J2" s="2387"/>
      <c r="K2" s="2387"/>
      <c r="L2" s="2387"/>
      <c r="M2" s="2387"/>
      <c r="N2" s="2387"/>
      <c r="O2" s="2388"/>
    </row>
    <row r="3" spans="1:15" ht="14.25" hidden="1" customHeight="1">
      <c r="F3" s="2389"/>
      <c r="G3" s="2389"/>
      <c r="H3" s="2389"/>
      <c r="I3" s="2387"/>
      <c r="J3" s="2387"/>
      <c r="K3" s="2387"/>
      <c r="L3" s="2387"/>
      <c r="M3" s="2387"/>
      <c r="N3" s="2387"/>
      <c r="O3" s="2388"/>
    </row>
    <row r="4" spans="1:15" ht="9" customHeight="1">
      <c r="F4" s="2389"/>
      <c r="G4" s="2389"/>
      <c r="H4" s="2389"/>
      <c r="I4" s="2387"/>
      <c r="J4" s="2387"/>
      <c r="K4" s="2387"/>
      <c r="L4" s="2387"/>
      <c r="M4" s="2387"/>
      <c r="N4" s="2387"/>
      <c r="O4" s="2388"/>
    </row>
    <row r="5" spans="1:15" ht="38.25" customHeight="1" thickBot="1">
      <c r="A5" s="4140" t="s">
        <v>130</v>
      </c>
      <c r="B5" s="4140"/>
      <c r="C5" s="4140"/>
      <c r="D5" s="4140"/>
      <c r="E5" s="4140"/>
      <c r="F5" s="4140"/>
      <c r="G5" s="4140"/>
      <c r="H5" s="4140"/>
      <c r="I5" s="4140"/>
      <c r="J5" s="4140"/>
      <c r="K5" s="4140"/>
      <c r="L5" s="4140"/>
      <c r="M5" s="4140"/>
      <c r="N5" s="4140"/>
      <c r="O5" s="4140"/>
    </row>
    <row r="6" spans="1:15" s="2391" customFormat="1" ht="33.75" customHeight="1">
      <c r="A6" s="2390"/>
      <c r="B6" s="4141" t="s">
        <v>75</v>
      </c>
      <c r="C6" s="4144" t="s">
        <v>71</v>
      </c>
      <c r="D6" s="4147" t="s">
        <v>131</v>
      </c>
      <c r="E6" s="4156" t="s">
        <v>556</v>
      </c>
      <c r="F6" s="4159" t="s">
        <v>625</v>
      </c>
      <c r="G6" s="4162" t="s">
        <v>553</v>
      </c>
      <c r="H6" s="4163"/>
      <c r="I6" s="4163"/>
      <c r="J6" s="4163"/>
      <c r="K6" s="4163"/>
      <c r="L6" s="4164"/>
      <c r="M6" s="4153" t="s">
        <v>570</v>
      </c>
      <c r="N6" s="4153" t="s">
        <v>554</v>
      </c>
      <c r="O6" s="4150" t="s">
        <v>73</v>
      </c>
    </row>
    <row r="7" spans="1:15" s="2391" customFormat="1" ht="25.5" customHeight="1">
      <c r="A7" s="2392" t="s">
        <v>74</v>
      </c>
      <c r="B7" s="4142"/>
      <c r="C7" s="4145"/>
      <c r="D7" s="4148"/>
      <c r="E7" s="4157"/>
      <c r="F7" s="4160"/>
      <c r="G7" s="4165" t="s">
        <v>6</v>
      </c>
      <c r="H7" s="4165" t="s">
        <v>214</v>
      </c>
      <c r="I7" s="4165" t="s">
        <v>216</v>
      </c>
      <c r="J7" s="4165" t="s">
        <v>260</v>
      </c>
      <c r="K7" s="4165" t="s">
        <v>261</v>
      </c>
      <c r="L7" s="4165" t="s">
        <v>259</v>
      </c>
      <c r="M7" s="4154"/>
      <c r="N7" s="4154"/>
      <c r="O7" s="4151"/>
    </row>
    <row r="8" spans="1:15" s="2391" customFormat="1" ht="20.25" customHeight="1" thickBot="1">
      <c r="A8" s="2392"/>
      <c r="B8" s="4143"/>
      <c r="C8" s="4146"/>
      <c r="D8" s="4149"/>
      <c r="E8" s="4158"/>
      <c r="F8" s="4161"/>
      <c r="G8" s="4166"/>
      <c r="H8" s="4166"/>
      <c r="I8" s="4166"/>
      <c r="J8" s="4166"/>
      <c r="K8" s="4166"/>
      <c r="L8" s="4166"/>
      <c r="M8" s="4155"/>
      <c r="N8" s="4155"/>
      <c r="O8" s="4152"/>
    </row>
    <row r="9" spans="1:15" s="2391" customFormat="1" ht="12.75" customHeight="1">
      <c r="A9" s="2393">
        <v>1</v>
      </c>
      <c r="B9" s="2394">
        <v>2</v>
      </c>
      <c r="C9" s="2395" t="s">
        <v>119</v>
      </c>
      <c r="D9" s="2395" t="s">
        <v>120</v>
      </c>
      <c r="E9" s="2395">
        <v>5</v>
      </c>
      <c r="F9" s="2395">
        <v>6</v>
      </c>
      <c r="G9" s="2395">
        <v>7</v>
      </c>
      <c r="H9" s="2395">
        <v>8</v>
      </c>
      <c r="I9" s="2395">
        <v>9</v>
      </c>
      <c r="J9" s="2395">
        <v>10</v>
      </c>
      <c r="K9" s="2395">
        <v>11</v>
      </c>
      <c r="L9" s="2395">
        <v>12</v>
      </c>
      <c r="M9" s="2396">
        <v>13</v>
      </c>
      <c r="N9" s="2396">
        <v>13</v>
      </c>
      <c r="O9" s="2397">
        <v>14</v>
      </c>
    </row>
    <row r="10" spans="1:15" s="2391" customFormat="1" ht="17.25" customHeight="1">
      <c r="A10" s="2398"/>
      <c r="B10" s="2399" t="s">
        <v>76</v>
      </c>
      <c r="C10" s="2400"/>
      <c r="D10" s="2401">
        <f>+D11+D12</f>
        <v>1636390</v>
      </c>
      <c r="E10" s="2401">
        <f t="shared" ref="E10" si="0">+E11+E12</f>
        <v>594690</v>
      </c>
      <c r="F10" s="2401">
        <f t="shared" ref="F10:G10" si="1">+F11+F12</f>
        <v>164817</v>
      </c>
      <c r="G10" s="2401">
        <f t="shared" si="1"/>
        <v>453309</v>
      </c>
      <c r="H10" s="2401">
        <f t="shared" ref="H10:L10" si="2">+H11+H12</f>
        <v>224494</v>
      </c>
      <c r="I10" s="2401">
        <f t="shared" si="2"/>
        <v>199080</v>
      </c>
      <c r="J10" s="2401">
        <f t="shared" si="2"/>
        <v>0</v>
      </c>
      <c r="K10" s="2401">
        <f t="shared" si="2"/>
        <v>0</v>
      </c>
      <c r="L10" s="2401">
        <f t="shared" si="2"/>
        <v>0</v>
      </c>
      <c r="M10" s="2402">
        <f>+M11+M12</f>
        <v>1041700</v>
      </c>
      <c r="N10" s="2402">
        <f>+N11+N12</f>
        <v>876883</v>
      </c>
      <c r="O10" s="2403"/>
    </row>
    <row r="11" spans="1:15" s="2391" customFormat="1" ht="13.5" customHeight="1">
      <c r="A11" s="2398"/>
      <c r="B11" s="2404" t="s">
        <v>77</v>
      </c>
      <c r="C11" s="2405"/>
      <c r="D11" s="2232">
        <f t="shared" ref="D11:L11" si="3">+D27+D38+D49+D56+D63+D70+D77</f>
        <v>1636390</v>
      </c>
      <c r="E11" s="2232">
        <f t="shared" si="3"/>
        <v>594690</v>
      </c>
      <c r="F11" s="2232">
        <f t="shared" si="3"/>
        <v>164817</v>
      </c>
      <c r="G11" s="2232">
        <f t="shared" si="3"/>
        <v>453309</v>
      </c>
      <c r="H11" s="2232">
        <f t="shared" si="3"/>
        <v>224494</v>
      </c>
      <c r="I11" s="2232">
        <f t="shared" si="3"/>
        <v>199080</v>
      </c>
      <c r="J11" s="2232">
        <f t="shared" si="3"/>
        <v>0</v>
      </c>
      <c r="K11" s="2232">
        <f t="shared" si="3"/>
        <v>0</v>
      </c>
      <c r="L11" s="2232">
        <f t="shared" si="3"/>
        <v>0</v>
      </c>
      <c r="M11" s="2406">
        <f>SUM(F11:K11)</f>
        <v>1041700</v>
      </c>
      <c r="N11" s="2406">
        <f>SUM(G11:L11)</f>
        <v>876883</v>
      </c>
      <c r="O11" s="2403"/>
    </row>
    <row r="12" spans="1:15" s="2391" customFormat="1" ht="13.5" customHeight="1" thickBot="1">
      <c r="A12" s="2398"/>
      <c r="B12" s="2407" t="s">
        <v>9</v>
      </c>
      <c r="C12" s="2405"/>
      <c r="D12" s="2232">
        <v>0</v>
      </c>
      <c r="E12" s="2232">
        <v>0</v>
      </c>
      <c r="F12" s="2232">
        <v>0</v>
      </c>
      <c r="G12" s="2232">
        <v>0</v>
      </c>
      <c r="H12" s="2232">
        <v>0</v>
      </c>
      <c r="I12" s="2232">
        <v>0</v>
      </c>
      <c r="J12" s="2232">
        <v>0</v>
      </c>
      <c r="K12" s="2232">
        <v>0</v>
      </c>
      <c r="L12" s="2232">
        <v>0</v>
      </c>
      <c r="M12" s="2406">
        <f>SUM(E12:K12)</f>
        <v>0</v>
      </c>
      <c r="N12" s="2406">
        <f>SUM(F12:L12)</f>
        <v>0</v>
      </c>
      <c r="O12" s="2403"/>
    </row>
    <row r="13" spans="1:15" ht="14.25" customHeight="1">
      <c r="A13" s="2408"/>
      <c r="B13" s="2409" t="s">
        <v>10</v>
      </c>
      <c r="C13" s="2410"/>
      <c r="D13" s="2411">
        <f>+D14+D17</f>
        <v>1636390</v>
      </c>
      <c r="E13" s="2411">
        <f t="shared" ref="E13" si="4">+E14+E17</f>
        <v>594690</v>
      </c>
      <c r="F13" s="2411">
        <f t="shared" ref="F13" si="5">+F14+F17</f>
        <v>164817</v>
      </c>
      <c r="G13" s="2411">
        <f t="shared" ref="G13:N13" si="6">+G14+G17</f>
        <v>453309</v>
      </c>
      <c r="H13" s="2411">
        <f t="shared" si="6"/>
        <v>224494</v>
      </c>
      <c r="I13" s="2411">
        <f t="shared" si="6"/>
        <v>199080</v>
      </c>
      <c r="J13" s="2411">
        <f t="shared" si="6"/>
        <v>0</v>
      </c>
      <c r="K13" s="2411">
        <f t="shared" si="6"/>
        <v>0</v>
      </c>
      <c r="L13" s="2411">
        <f t="shared" si="6"/>
        <v>0</v>
      </c>
      <c r="M13" s="2412">
        <f t="shared" ref="M13" si="7">+M14+M17</f>
        <v>791700</v>
      </c>
      <c r="N13" s="2412">
        <f t="shared" si="6"/>
        <v>876883</v>
      </c>
      <c r="O13" s="2403"/>
    </row>
    <row r="14" spans="1:15" ht="14.25" customHeight="1">
      <c r="A14" s="2398"/>
      <c r="B14" s="2413" t="s">
        <v>11</v>
      </c>
      <c r="C14" s="2414"/>
      <c r="D14" s="2415">
        <f>SUM(D15:D16)</f>
        <v>679652</v>
      </c>
      <c r="E14" s="2415">
        <f>SUM(E15:E16)</f>
        <v>274500</v>
      </c>
      <c r="F14" s="2415">
        <f>SUM(F15:F16)</f>
        <v>67232</v>
      </c>
      <c r="G14" s="2415">
        <f>SUM(G15:G16)</f>
        <v>134846</v>
      </c>
      <c r="H14" s="2415">
        <f t="shared" ref="H14:L14" si="8">SUM(H15:H16)</f>
        <v>103534</v>
      </c>
      <c r="I14" s="2415">
        <f t="shared" si="8"/>
        <v>99540</v>
      </c>
      <c r="J14" s="2415">
        <f t="shared" si="8"/>
        <v>0</v>
      </c>
      <c r="K14" s="2415">
        <f t="shared" si="8"/>
        <v>0</v>
      </c>
      <c r="L14" s="2415">
        <f t="shared" si="8"/>
        <v>0</v>
      </c>
      <c r="M14" s="2416">
        <f>+M15</f>
        <v>365852</v>
      </c>
      <c r="N14" s="2415">
        <f>SUM(N15:N16)</f>
        <v>337920</v>
      </c>
      <c r="O14" s="2417"/>
    </row>
    <row r="15" spans="1:15" ht="12">
      <c r="A15" s="2418"/>
      <c r="B15" s="2419" t="s">
        <v>12</v>
      </c>
      <c r="C15" s="2420"/>
      <c r="D15" s="2421">
        <f>+D29+D40</f>
        <v>640352</v>
      </c>
      <c r="E15" s="2421">
        <f t="shared" ref="E15" si="9">+E29+E40</f>
        <v>274500</v>
      </c>
      <c r="F15" s="2421">
        <f t="shared" ref="F15" si="10">+F29+F40</f>
        <v>67232</v>
      </c>
      <c r="G15" s="2421">
        <f>+G29+G40</f>
        <v>99540</v>
      </c>
      <c r="H15" s="2421">
        <f t="shared" ref="H15:L15" si="11">+H29+H40</f>
        <v>99540</v>
      </c>
      <c r="I15" s="2421">
        <f t="shared" si="11"/>
        <v>99540</v>
      </c>
      <c r="J15" s="2421">
        <f t="shared" si="11"/>
        <v>0</v>
      </c>
      <c r="K15" s="2421">
        <f t="shared" si="11"/>
        <v>0</v>
      </c>
      <c r="L15" s="2421">
        <f t="shared" si="11"/>
        <v>0</v>
      </c>
      <c r="M15" s="2422">
        <f>+H15+G15+F15+I15+J15+K15</f>
        <v>365852</v>
      </c>
      <c r="N15" s="2422">
        <f>+I15+H15+G15+J15+K15+L15</f>
        <v>298620</v>
      </c>
      <c r="O15" s="2403"/>
    </row>
    <row r="16" spans="1:15" ht="12">
      <c r="A16" s="2418"/>
      <c r="B16" s="2423" t="s">
        <v>13</v>
      </c>
      <c r="C16" s="2424"/>
      <c r="D16" s="2425">
        <f>+D79</f>
        <v>39300</v>
      </c>
      <c r="E16" s="2425">
        <f t="shared" ref="E16:L16" si="12">+E79</f>
        <v>0</v>
      </c>
      <c r="F16" s="2425">
        <f t="shared" si="12"/>
        <v>0</v>
      </c>
      <c r="G16" s="2425">
        <f t="shared" si="12"/>
        <v>35306</v>
      </c>
      <c r="H16" s="2425">
        <f t="shared" si="12"/>
        <v>3994</v>
      </c>
      <c r="I16" s="2425">
        <f t="shared" si="12"/>
        <v>0</v>
      </c>
      <c r="J16" s="2425">
        <f t="shared" si="12"/>
        <v>0</v>
      </c>
      <c r="K16" s="2425">
        <f t="shared" si="12"/>
        <v>0</v>
      </c>
      <c r="L16" s="2425">
        <f t="shared" si="12"/>
        <v>0</v>
      </c>
      <c r="M16" s="2422"/>
      <c r="N16" s="2422">
        <f>+I16+H16+G16+J16+K16+L16</f>
        <v>39300</v>
      </c>
      <c r="O16" s="2403"/>
    </row>
    <row r="17" spans="1:16" ht="14.25" customHeight="1">
      <c r="A17" s="2398"/>
      <c r="B17" s="2426" t="s">
        <v>18</v>
      </c>
      <c r="C17" s="2427"/>
      <c r="D17" s="2428">
        <f t="shared" ref="D17:L17" si="13">SUM(D18:D19)</f>
        <v>956738</v>
      </c>
      <c r="E17" s="2428">
        <f t="shared" si="13"/>
        <v>320190</v>
      </c>
      <c r="F17" s="2428">
        <f t="shared" si="13"/>
        <v>97585</v>
      </c>
      <c r="G17" s="2428">
        <f t="shared" si="13"/>
        <v>318463</v>
      </c>
      <c r="H17" s="2428">
        <f t="shared" si="13"/>
        <v>120960</v>
      </c>
      <c r="I17" s="2428">
        <f t="shared" si="13"/>
        <v>99540</v>
      </c>
      <c r="J17" s="2428">
        <f t="shared" si="13"/>
        <v>0</v>
      </c>
      <c r="K17" s="2428">
        <f t="shared" si="13"/>
        <v>0</v>
      </c>
      <c r="L17" s="2428">
        <f t="shared" si="13"/>
        <v>0</v>
      </c>
      <c r="M17" s="2416">
        <f t="shared" ref="M17" si="14">SUM(M19)</f>
        <v>425848</v>
      </c>
      <c r="N17" s="2428">
        <f>SUM(N18:N19)</f>
        <v>538963</v>
      </c>
      <c r="O17" s="2417"/>
    </row>
    <row r="18" spans="1:16" ht="12">
      <c r="A18" s="2398"/>
      <c r="B18" s="2429" t="s">
        <v>21</v>
      </c>
      <c r="C18" s="2430"/>
      <c r="D18" s="2431">
        <f t="shared" ref="D18:L18" si="15">+D81</f>
        <v>210700</v>
      </c>
      <c r="E18" s="2431">
        <f t="shared" si="15"/>
        <v>0</v>
      </c>
      <c r="F18" s="2431">
        <f t="shared" si="15"/>
        <v>0</v>
      </c>
      <c r="G18" s="2431">
        <f t="shared" si="15"/>
        <v>189284</v>
      </c>
      <c r="H18" s="2431">
        <f t="shared" si="15"/>
        <v>21416</v>
      </c>
      <c r="I18" s="2431">
        <f t="shared" si="15"/>
        <v>0</v>
      </c>
      <c r="J18" s="2431">
        <f t="shared" si="15"/>
        <v>0</v>
      </c>
      <c r="K18" s="2431">
        <f t="shared" si="15"/>
        <v>0</v>
      </c>
      <c r="L18" s="2431">
        <f t="shared" si="15"/>
        <v>0</v>
      </c>
      <c r="M18" s="2416"/>
      <c r="N18" s="2422">
        <f>+I18+H18+G18+J18+K18+L18</f>
        <v>210700</v>
      </c>
      <c r="O18" s="2417"/>
    </row>
    <row r="19" spans="1:16" ht="12" customHeight="1">
      <c r="A19" s="2432"/>
      <c r="B19" s="2433" t="s">
        <v>20</v>
      </c>
      <c r="C19" s="2434"/>
      <c r="D19" s="2421">
        <f>+D31+D42+D51+D58+D65+D72</f>
        <v>746038</v>
      </c>
      <c r="E19" s="2421">
        <f t="shared" ref="E19" si="16">+E31+E42+E51+E58+E65+E72</f>
        <v>320190</v>
      </c>
      <c r="F19" s="2421">
        <f t="shared" ref="F19:L19" si="17">+F31+F42+F51+F58+F65+F72</f>
        <v>97585</v>
      </c>
      <c r="G19" s="2421">
        <f t="shared" si="17"/>
        <v>129179</v>
      </c>
      <c r="H19" s="2421">
        <f t="shared" si="17"/>
        <v>99544</v>
      </c>
      <c r="I19" s="2421">
        <f t="shared" si="17"/>
        <v>99540</v>
      </c>
      <c r="J19" s="2421">
        <f t="shared" si="17"/>
        <v>0</v>
      </c>
      <c r="K19" s="2421">
        <f t="shared" si="17"/>
        <v>0</v>
      </c>
      <c r="L19" s="2421">
        <f t="shared" si="17"/>
        <v>0</v>
      </c>
      <c r="M19" s="2422">
        <f>+H19+G19+F19+I19+J19+K19</f>
        <v>425848</v>
      </c>
      <c r="N19" s="2422">
        <f>+I19+H19+G19+J19+K19+L19</f>
        <v>328263</v>
      </c>
      <c r="O19" s="2435"/>
    </row>
    <row r="20" spans="1:16" s="2440" customFormat="1" ht="14.25" customHeight="1">
      <c r="A20" s="2398"/>
      <c r="B20" s="2436" t="s">
        <v>22</v>
      </c>
      <c r="C20" s="2437"/>
      <c r="D20" s="2438">
        <f>+D21+D23</f>
        <v>996038</v>
      </c>
      <c r="E20" s="2438">
        <f t="shared" ref="E20:L20" si="18">+E21+E23</f>
        <v>292115</v>
      </c>
      <c r="F20" s="2438">
        <f t="shared" si="18"/>
        <v>107202</v>
      </c>
      <c r="G20" s="2438">
        <f t="shared" si="18"/>
        <v>342369</v>
      </c>
      <c r="H20" s="2438">
        <f t="shared" si="18"/>
        <v>124950</v>
      </c>
      <c r="I20" s="2438">
        <f t="shared" si="18"/>
        <v>99540</v>
      </c>
      <c r="J20" s="2438">
        <f t="shared" si="18"/>
        <v>29862</v>
      </c>
      <c r="K20" s="2438">
        <f t="shared" si="18"/>
        <v>0</v>
      </c>
      <c r="L20" s="2438">
        <f t="shared" si="18"/>
        <v>0</v>
      </c>
      <c r="M20" s="4131" t="s">
        <v>61</v>
      </c>
      <c r="N20" s="4131" t="s">
        <v>61</v>
      </c>
      <c r="O20" s="2439"/>
    </row>
    <row r="21" spans="1:16" s="2440" customFormat="1" ht="14.25" customHeight="1">
      <c r="A21" s="2398"/>
      <c r="B21" s="2441" t="s">
        <v>11</v>
      </c>
      <c r="C21" s="2427"/>
      <c r="D21" s="2415">
        <f>+D22</f>
        <v>39300</v>
      </c>
      <c r="E21" s="2442">
        <f t="shared" ref="E21:L21" si="19">+E22</f>
        <v>0</v>
      </c>
      <c r="F21" s="2442">
        <f t="shared" si="19"/>
        <v>0</v>
      </c>
      <c r="G21" s="2442">
        <f t="shared" si="19"/>
        <v>35306</v>
      </c>
      <c r="H21" s="2442">
        <f t="shared" si="19"/>
        <v>3994</v>
      </c>
      <c r="I21" s="2442">
        <f t="shared" si="19"/>
        <v>0</v>
      </c>
      <c r="J21" s="2442">
        <f t="shared" si="19"/>
        <v>0</v>
      </c>
      <c r="K21" s="2442">
        <f t="shared" si="19"/>
        <v>0</v>
      </c>
      <c r="L21" s="2442">
        <f t="shared" si="19"/>
        <v>0</v>
      </c>
      <c r="M21" s="4132"/>
      <c r="N21" s="4132"/>
      <c r="O21" s="2439"/>
    </row>
    <row r="22" spans="1:16" s="2440" customFormat="1" ht="12">
      <c r="A22" s="2398"/>
      <c r="B22" s="2423" t="s">
        <v>13</v>
      </c>
      <c r="C22" s="2430"/>
      <c r="D22" s="2263">
        <f>+D84</f>
        <v>39300</v>
      </c>
      <c r="E22" s="2443">
        <f t="shared" ref="E22:L22" si="20">+E84</f>
        <v>0</v>
      </c>
      <c r="F22" s="2443">
        <f t="shared" si="20"/>
        <v>0</v>
      </c>
      <c r="G22" s="2443">
        <f t="shared" si="20"/>
        <v>35306</v>
      </c>
      <c r="H22" s="2443">
        <f t="shared" si="20"/>
        <v>3994</v>
      </c>
      <c r="I22" s="2443">
        <f t="shared" si="20"/>
        <v>0</v>
      </c>
      <c r="J22" s="2443">
        <f t="shared" si="20"/>
        <v>0</v>
      </c>
      <c r="K22" s="2443">
        <f t="shared" si="20"/>
        <v>0</v>
      </c>
      <c r="L22" s="2443">
        <f t="shared" si="20"/>
        <v>0</v>
      </c>
      <c r="M22" s="4132"/>
      <c r="N22" s="4132"/>
      <c r="O22" s="2439"/>
    </row>
    <row r="23" spans="1:16" s="2440" customFormat="1" ht="14.25" customHeight="1">
      <c r="A23" s="2398"/>
      <c r="B23" s="2426" t="s">
        <v>18</v>
      </c>
      <c r="C23" s="2427"/>
      <c r="D23" s="2415">
        <f t="shared" ref="D23:J23" si="21">SUM(D24:D25)</f>
        <v>956738</v>
      </c>
      <c r="E23" s="2442">
        <f t="shared" si="21"/>
        <v>292115</v>
      </c>
      <c r="F23" s="2442">
        <f t="shared" si="21"/>
        <v>107202</v>
      </c>
      <c r="G23" s="2442">
        <f t="shared" si="21"/>
        <v>307063</v>
      </c>
      <c r="H23" s="2442">
        <f t="shared" si="21"/>
        <v>120956</v>
      </c>
      <c r="I23" s="2442">
        <f t="shared" si="21"/>
        <v>99540</v>
      </c>
      <c r="J23" s="2442">
        <f t="shared" si="21"/>
        <v>29862</v>
      </c>
      <c r="K23" s="2415">
        <f t="shared" ref="K23:L23" si="22">+K25</f>
        <v>0</v>
      </c>
      <c r="L23" s="2415">
        <f t="shared" si="22"/>
        <v>0</v>
      </c>
      <c r="M23" s="4132"/>
      <c r="N23" s="4132"/>
      <c r="O23" s="2417"/>
    </row>
    <row r="24" spans="1:16" s="2440" customFormat="1" ht="12">
      <c r="A24" s="2398"/>
      <c r="B24" s="2429" t="s">
        <v>21</v>
      </c>
      <c r="C24" s="2430"/>
      <c r="D24" s="2263">
        <f t="shared" ref="D24:L24" si="23">+D85</f>
        <v>210700</v>
      </c>
      <c r="E24" s="2443">
        <f t="shared" si="23"/>
        <v>0</v>
      </c>
      <c r="F24" s="2443">
        <f t="shared" si="23"/>
        <v>0</v>
      </c>
      <c r="G24" s="2443">
        <f t="shared" si="23"/>
        <v>189284</v>
      </c>
      <c r="H24" s="2443">
        <f t="shared" si="23"/>
        <v>21416</v>
      </c>
      <c r="I24" s="2443">
        <f t="shared" si="23"/>
        <v>0</v>
      </c>
      <c r="J24" s="2443">
        <f t="shared" si="23"/>
        <v>0</v>
      </c>
      <c r="K24" s="2443">
        <f t="shared" si="23"/>
        <v>0</v>
      </c>
      <c r="L24" s="2443">
        <f t="shared" si="23"/>
        <v>0</v>
      </c>
      <c r="M24" s="4132"/>
      <c r="N24" s="4132"/>
      <c r="O24" s="2417"/>
    </row>
    <row r="25" spans="1:16" s="2448" customFormat="1" ht="12.75" customHeight="1" thickBot="1">
      <c r="A25" s="2444"/>
      <c r="B25" s="2429" t="s">
        <v>20</v>
      </c>
      <c r="C25" s="2430"/>
      <c r="D25" s="2445">
        <f>+D36+D47+D54+D61+D68+D75</f>
        <v>746038</v>
      </c>
      <c r="E25" s="2446">
        <f t="shared" ref="E25" si="24">+E36+E47+E54+E61+E68+E75</f>
        <v>292115</v>
      </c>
      <c r="F25" s="2446">
        <f t="shared" ref="F25:L25" si="25">+F36+F47+F54+F61+F68+F75</f>
        <v>107202</v>
      </c>
      <c r="G25" s="2445">
        <f t="shared" si="25"/>
        <v>117779</v>
      </c>
      <c r="H25" s="2445">
        <f t="shared" si="25"/>
        <v>99540</v>
      </c>
      <c r="I25" s="2445">
        <f t="shared" si="25"/>
        <v>99540</v>
      </c>
      <c r="J25" s="2445">
        <f t="shared" si="25"/>
        <v>29862</v>
      </c>
      <c r="K25" s="2445">
        <f t="shared" si="25"/>
        <v>0</v>
      </c>
      <c r="L25" s="2445">
        <f t="shared" si="25"/>
        <v>0</v>
      </c>
      <c r="M25" s="4133"/>
      <c r="N25" s="4133"/>
      <c r="O25" s="2447"/>
      <c r="P25" s="2448">
        <f>D25-D19</f>
        <v>0</v>
      </c>
    </row>
    <row r="26" spans="1:16" ht="39" hidden="1" customHeight="1">
      <c r="A26" s="4119" t="s">
        <v>63</v>
      </c>
      <c r="B26" s="2449" t="s">
        <v>241</v>
      </c>
      <c r="C26" s="2450" t="s">
        <v>110</v>
      </c>
      <c r="D26" s="2451"/>
      <c r="E26" s="2452"/>
      <c r="F26" s="2452"/>
      <c r="G26" s="2452"/>
      <c r="H26" s="2452"/>
      <c r="I26" s="2452"/>
      <c r="J26" s="2452"/>
      <c r="K26" s="2452"/>
      <c r="L26" s="2452"/>
      <c r="M26" s="2453"/>
      <c r="N26" s="2453"/>
      <c r="O26" s="4134"/>
    </row>
    <row r="27" spans="1:16" ht="15" hidden="1" customHeight="1">
      <c r="A27" s="4120"/>
      <c r="B27" s="2454" t="s">
        <v>10</v>
      </c>
      <c r="C27" s="2455"/>
      <c r="D27" s="2456"/>
      <c r="E27" s="2456">
        <f t="shared" ref="E27" si="26">+E28+E30</f>
        <v>0</v>
      </c>
      <c r="F27" s="2456">
        <f>+F28+F30</f>
        <v>0</v>
      </c>
      <c r="G27" s="2456">
        <f>+G28+G30</f>
        <v>0</v>
      </c>
      <c r="H27" s="2456">
        <f>+H28+H30</f>
        <v>0</v>
      </c>
      <c r="I27" s="2456">
        <f>+I28+I30</f>
        <v>0</v>
      </c>
      <c r="J27" s="2456"/>
      <c r="K27" s="2456"/>
      <c r="L27" s="2456"/>
      <c r="M27" s="2457">
        <f>M28+M30</f>
        <v>0</v>
      </c>
      <c r="N27" s="2457" t="e">
        <f>N28+N30</f>
        <v>#REF!</v>
      </c>
      <c r="O27" s="4135"/>
    </row>
    <row r="28" spans="1:16" ht="12.75" hidden="1" customHeight="1">
      <c r="A28" s="4120"/>
      <c r="B28" s="2458" t="s">
        <v>24</v>
      </c>
      <c r="C28" s="4178" t="s">
        <v>133</v>
      </c>
      <c r="D28" s="2459"/>
      <c r="E28" s="2459">
        <f t="shared" ref="E28:I28" si="27">+E29</f>
        <v>0</v>
      </c>
      <c r="F28" s="2459">
        <f t="shared" si="27"/>
        <v>0</v>
      </c>
      <c r="G28" s="2459">
        <f t="shared" si="27"/>
        <v>0</v>
      </c>
      <c r="H28" s="2459">
        <f t="shared" si="27"/>
        <v>0</v>
      </c>
      <c r="I28" s="2459">
        <f t="shared" si="27"/>
        <v>0</v>
      </c>
      <c r="J28" s="2459"/>
      <c r="K28" s="2459"/>
      <c r="L28" s="2459"/>
      <c r="M28" s="2460">
        <f>+M29</f>
        <v>0</v>
      </c>
      <c r="N28" s="2460" t="e">
        <f>+N29</f>
        <v>#REF!</v>
      </c>
      <c r="O28" s="4135"/>
    </row>
    <row r="29" spans="1:16" ht="12.75" hidden="1" customHeight="1">
      <c r="A29" s="4120"/>
      <c r="B29" s="2461" t="s">
        <v>12</v>
      </c>
      <c r="C29" s="4173"/>
      <c r="D29" s="2462"/>
      <c r="E29" s="2462">
        <v>0</v>
      </c>
      <c r="F29" s="2463">
        <v>0</v>
      </c>
      <c r="G29" s="2463">
        <v>0</v>
      </c>
      <c r="H29" s="2463">
        <v>0</v>
      </c>
      <c r="I29" s="2463">
        <v>0</v>
      </c>
      <c r="J29" s="2463"/>
      <c r="K29" s="2463"/>
      <c r="L29" s="2463"/>
      <c r="M29" s="2464">
        <f>SUM(F29:K29)</f>
        <v>0</v>
      </c>
      <c r="N29" s="2464" t="e">
        <f>+#REF!+I29+H29+G29+F29+#REF!</f>
        <v>#REF!</v>
      </c>
      <c r="O29" s="4135"/>
    </row>
    <row r="30" spans="1:16" ht="12.75" hidden="1" customHeight="1">
      <c r="A30" s="4120"/>
      <c r="B30" s="2465" t="s">
        <v>18</v>
      </c>
      <c r="C30" s="4173"/>
      <c r="D30" s="2466"/>
      <c r="E30" s="2466">
        <f t="shared" ref="E30:I30" si="28">E31</f>
        <v>0</v>
      </c>
      <c r="F30" s="2466">
        <f t="shared" si="28"/>
        <v>0</v>
      </c>
      <c r="G30" s="2466">
        <f t="shared" si="28"/>
        <v>0</v>
      </c>
      <c r="H30" s="2466">
        <f t="shared" si="28"/>
        <v>0</v>
      </c>
      <c r="I30" s="2466">
        <f t="shared" si="28"/>
        <v>0</v>
      </c>
      <c r="J30" s="2466"/>
      <c r="K30" s="2466"/>
      <c r="L30" s="2466"/>
      <c r="M30" s="2460">
        <f>+M31</f>
        <v>0</v>
      </c>
      <c r="N30" s="2460" t="e">
        <f>+N31</f>
        <v>#REF!</v>
      </c>
      <c r="O30" s="4135"/>
    </row>
    <row r="31" spans="1:16" ht="12" hidden="1">
      <c r="A31" s="4120"/>
      <c r="B31" s="2467" t="s">
        <v>20</v>
      </c>
      <c r="C31" s="4138"/>
      <c r="D31" s="2468"/>
      <c r="E31" s="2469">
        <v>0</v>
      </c>
      <c r="F31" s="2470">
        <v>0</v>
      </c>
      <c r="G31" s="2470">
        <v>0</v>
      </c>
      <c r="H31" s="2470">
        <v>0</v>
      </c>
      <c r="I31" s="2470">
        <v>0</v>
      </c>
      <c r="J31" s="2470"/>
      <c r="K31" s="2470"/>
      <c r="L31" s="2470"/>
      <c r="M31" s="2464">
        <f>SUM(F31:K31)</f>
        <v>0</v>
      </c>
      <c r="N31" s="2464" t="e">
        <f>+#REF!+I31+H31+G31+F31+#REF!</f>
        <v>#REF!</v>
      </c>
      <c r="O31" s="4135"/>
    </row>
    <row r="32" spans="1:16" ht="12.75" hidden="1" customHeight="1">
      <c r="A32" s="4177"/>
      <c r="B32" s="2454" t="s">
        <v>22</v>
      </c>
      <c r="C32" s="2471"/>
      <c r="D32" s="2456"/>
      <c r="E32" s="2456">
        <f t="shared" ref="E32" si="29">E33+E35</f>
        <v>0</v>
      </c>
      <c r="F32" s="2456">
        <f>F33+F35</f>
        <v>0</v>
      </c>
      <c r="G32" s="2472">
        <f>G33+G35</f>
        <v>0</v>
      </c>
      <c r="H32" s="2472">
        <f>H33+H35</f>
        <v>0</v>
      </c>
      <c r="I32" s="2472">
        <f>I33+I35</f>
        <v>0</v>
      </c>
      <c r="J32" s="2473"/>
      <c r="K32" s="2473"/>
      <c r="L32" s="2473"/>
      <c r="M32" s="4125" t="s">
        <v>61</v>
      </c>
      <c r="N32" s="4125" t="s">
        <v>61</v>
      </c>
      <c r="O32" s="4135"/>
    </row>
    <row r="33" spans="1:15" ht="12" hidden="1" customHeight="1">
      <c r="A33" s="4177"/>
      <c r="B33" s="2474" t="s">
        <v>24</v>
      </c>
      <c r="C33" s="4178" t="s">
        <v>133</v>
      </c>
      <c r="D33" s="2459"/>
      <c r="E33" s="2459"/>
      <c r="F33" s="2459">
        <f t="shared" ref="F33:I33" si="30">F34</f>
        <v>0</v>
      </c>
      <c r="G33" s="2475">
        <f t="shared" si="30"/>
        <v>0</v>
      </c>
      <c r="H33" s="2475">
        <f t="shared" si="30"/>
        <v>0</v>
      </c>
      <c r="I33" s="2475">
        <f t="shared" si="30"/>
        <v>0</v>
      </c>
      <c r="J33" s="2476"/>
      <c r="K33" s="2476"/>
      <c r="L33" s="2476"/>
      <c r="M33" s="4126"/>
      <c r="N33" s="4126"/>
      <c r="O33" s="4135"/>
    </row>
    <row r="34" spans="1:15" ht="12" hidden="1" customHeight="1">
      <c r="A34" s="4177"/>
      <c r="B34" s="2477" t="s">
        <v>13</v>
      </c>
      <c r="C34" s="4173"/>
      <c r="D34" s="2462"/>
      <c r="E34" s="2310"/>
      <c r="F34" s="2310">
        <v>0</v>
      </c>
      <c r="G34" s="2310">
        <v>0</v>
      </c>
      <c r="H34" s="2310">
        <v>0</v>
      </c>
      <c r="I34" s="2310">
        <v>0</v>
      </c>
      <c r="J34" s="2478"/>
      <c r="K34" s="2478"/>
      <c r="L34" s="2478"/>
      <c r="M34" s="4126"/>
      <c r="N34" s="4126"/>
      <c r="O34" s="4135"/>
    </row>
    <row r="35" spans="1:15" ht="13.5" hidden="1" customHeight="1">
      <c r="A35" s="4177"/>
      <c r="B35" s="2479" t="s">
        <v>18</v>
      </c>
      <c r="C35" s="4173"/>
      <c r="D35" s="2466"/>
      <c r="E35" s="2466">
        <f t="shared" ref="E35:I35" si="31">E36</f>
        <v>0</v>
      </c>
      <c r="F35" s="2466">
        <f t="shared" si="31"/>
        <v>0</v>
      </c>
      <c r="G35" s="2480">
        <f t="shared" si="31"/>
        <v>0</v>
      </c>
      <c r="H35" s="2480">
        <f t="shared" si="31"/>
        <v>0</v>
      </c>
      <c r="I35" s="2480">
        <f t="shared" si="31"/>
        <v>0</v>
      </c>
      <c r="J35" s="2481"/>
      <c r="K35" s="2481"/>
      <c r="L35" s="2481"/>
      <c r="M35" s="4126"/>
      <c r="N35" s="4126"/>
      <c r="O35" s="4135"/>
    </row>
    <row r="36" spans="1:15" ht="13.5" hidden="1" customHeight="1" thickBot="1">
      <c r="A36" s="4121"/>
      <c r="B36" s="2482" t="s">
        <v>20</v>
      </c>
      <c r="C36" s="4139"/>
      <c r="D36" s="2483"/>
      <c r="E36" s="2484">
        <v>0</v>
      </c>
      <c r="F36" s="2484">
        <v>0</v>
      </c>
      <c r="G36" s="2484">
        <v>0</v>
      </c>
      <c r="H36" s="2484">
        <v>0</v>
      </c>
      <c r="I36" s="2484">
        <v>0</v>
      </c>
      <c r="J36" s="2485"/>
      <c r="K36" s="2485"/>
      <c r="L36" s="2485"/>
      <c r="M36" s="4127"/>
      <c r="N36" s="4127"/>
      <c r="O36" s="4136"/>
    </row>
    <row r="37" spans="1:15" ht="24.75" customHeight="1">
      <c r="A37" s="4119" t="s">
        <v>63</v>
      </c>
      <c r="B37" s="2449" t="s">
        <v>716</v>
      </c>
      <c r="C37" s="2450" t="s">
        <v>110</v>
      </c>
      <c r="D37" s="2451"/>
      <c r="E37" s="2452"/>
      <c r="F37" s="2452"/>
      <c r="G37" s="2452"/>
      <c r="H37" s="2452"/>
      <c r="I37" s="2452"/>
      <c r="J37" s="2452"/>
      <c r="K37" s="2452"/>
      <c r="L37" s="2452"/>
      <c r="M37" s="2453"/>
      <c r="N37" s="2453"/>
      <c r="O37" s="4134" t="s">
        <v>132</v>
      </c>
    </row>
    <row r="38" spans="1:15" ht="13.5" customHeight="1">
      <c r="A38" s="4120"/>
      <c r="B38" s="2454" t="s">
        <v>10</v>
      </c>
      <c r="C38" s="2455"/>
      <c r="D38" s="2456">
        <f>+D39+D41</f>
        <v>1335657</v>
      </c>
      <c r="E38" s="2456">
        <f t="shared" ref="E38" si="32">+E39+E41</f>
        <v>593887</v>
      </c>
      <c r="F38" s="2456">
        <f t="shared" ref="F38" si="33">+F39+F41</f>
        <v>144526</v>
      </c>
      <c r="G38" s="2456">
        <f t="shared" ref="G38:L38" si="34">+G39+G41</f>
        <v>199080</v>
      </c>
      <c r="H38" s="2486">
        <f t="shared" si="34"/>
        <v>199084</v>
      </c>
      <c r="I38" s="2486">
        <f t="shared" si="34"/>
        <v>199080</v>
      </c>
      <c r="J38" s="2486">
        <f t="shared" si="34"/>
        <v>0</v>
      </c>
      <c r="K38" s="2486">
        <f t="shared" si="34"/>
        <v>0</v>
      </c>
      <c r="L38" s="2486">
        <f t="shared" si="34"/>
        <v>0</v>
      </c>
      <c r="M38" s="2457">
        <f>M39+M41</f>
        <v>741770</v>
      </c>
      <c r="N38" s="2457">
        <f>N39+N41</f>
        <v>597244</v>
      </c>
      <c r="O38" s="4135"/>
    </row>
    <row r="39" spans="1:15" ht="11.25" customHeight="1">
      <c r="A39" s="4120"/>
      <c r="B39" s="2458" t="s">
        <v>24</v>
      </c>
      <c r="C39" s="4178" t="s">
        <v>133</v>
      </c>
      <c r="D39" s="2459">
        <f>+D40</f>
        <v>640352</v>
      </c>
      <c r="E39" s="2459">
        <f t="shared" ref="E39:L39" si="35">+E40</f>
        <v>274500</v>
      </c>
      <c r="F39" s="2459">
        <f t="shared" si="35"/>
        <v>67232</v>
      </c>
      <c r="G39" s="2459">
        <f t="shared" si="35"/>
        <v>99540</v>
      </c>
      <c r="H39" s="2487">
        <f t="shared" si="35"/>
        <v>99540</v>
      </c>
      <c r="I39" s="2487">
        <f t="shared" si="35"/>
        <v>99540</v>
      </c>
      <c r="J39" s="2487">
        <f t="shared" si="35"/>
        <v>0</v>
      </c>
      <c r="K39" s="2487">
        <f t="shared" si="35"/>
        <v>0</v>
      </c>
      <c r="L39" s="2487">
        <f t="shared" si="35"/>
        <v>0</v>
      </c>
      <c r="M39" s="2460">
        <f>+M40</f>
        <v>365852</v>
      </c>
      <c r="N39" s="2460">
        <f>+N40</f>
        <v>298620</v>
      </c>
      <c r="O39" s="4135"/>
    </row>
    <row r="40" spans="1:15" ht="13.5" customHeight="1">
      <c r="A40" s="4120"/>
      <c r="B40" s="2461" t="s">
        <v>12</v>
      </c>
      <c r="C40" s="4173"/>
      <c r="D40" s="2308">
        <f>E40+F40+G40+H40+I40+J40+K40+L40</f>
        <v>640352</v>
      </c>
      <c r="E40" s="2309">
        <f>274500</f>
        <v>274500</v>
      </c>
      <c r="F40" s="2463">
        <f>69883+5032-7683</f>
        <v>67232</v>
      </c>
      <c r="G40" s="2463">
        <v>99540</v>
      </c>
      <c r="H40" s="2488">
        <v>99540</v>
      </c>
      <c r="I40" s="2488">
        <v>99540</v>
      </c>
      <c r="J40" s="2488">
        <v>0</v>
      </c>
      <c r="K40" s="2488">
        <v>0</v>
      </c>
      <c r="L40" s="2488">
        <v>0</v>
      </c>
      <c r="M40" s="2464">
        <f>SUM(F40:K40)</f>
        <v>365852</v>
      </c>
      <c r="N40" s="2464">
        <f>SUM(G40:L40)</f>
        <v>298620</v>
      </c>
      <c r="O40" s="4135"/>
    </row>
    <row r="41" spans="1:15" ht="13.5" customHeight="1">
      <c r="A41" s="4120"/>
      <c r="B41" s="2465" t="s">
        <v>18</v>
      </c>
      <c r="C41" s="4173"/>
      <c r="D41" s="2466">
        <f>+D42</f>
        <v>695305</v>
      </c>
      <c r="E41" s="2466">
        <f t="shared" ref="E41:L41" si="36">E42</f>
        <v>319387</v>
      </c>
      <c r="F41" s="2466">
        <f t="shared" si="36"/>
        <v>77294</v>
      </c>
      <c r="G41" s="2466">
        <f t="shared" si="36"/>
        <v>99540</v>
      </c>
      <c r="H41" s="2489">
        <f t="shared" si="36"/>
        <v>99544</v>
      </c>
      <c r="I41" s="2489">
        <f t="shared" si="36"/>
        <v>99540</v>
      </c>
      <c r="J41" s="2489">
        <f t="shared" si="36"/>
        <v>0</v>
      </c>
      <c r="K41" s="2489">
        <f t="shared" si="36"/>
        <v>0</v>
      </c>
      <c r="L41" s="2489">
        <f t="shared" si="36"/>
        <v>0</v>
      </c>
      <c r="M41" s="2460">
        <f>+M42</f>
        <v>375918</v>
      </c>
      <c r="N41" s="2460">
        <f>+N42</f>
        <v>298624</v>
      </c>
      <c r="O41" s="4135"/>
    </row>
    <row r="42" spans="1:15" ht="12">
      <c r="A42" s="4120"/>
      <c r="B42" s="2467" t="s">
        <v>20</v>
      </c>
      <c r="C42" s="4138"/>
      <c r="D42" s="2308">
        <f>E42+F42+G42+H42+I42+J42+K42+L42</f>
        <v>695305</v>
      </c>
      <c r="E42" s="2309">
        <f>319387</f>
        <v>319387</v>
      </c>
      <c r="F42" s="2470">
        <f>75707+1591-4</f>
        <v>77294</v>
      </c>
      <c r="G42" s="2470">
        <v>99540</v>
      </c>
      <c r="H42" s="2490">
        <f>99540+4</f>
        <v>99544</v>
      </c>
      <c r="I42" s="2490">
        <v>99540</v>
      </c>
      <c r="J42" s="2490">
        <v>0</v>
      </c>
      <c r="K42" s="2490">
        <v>0</v>
      </c>
      <c r="L42" s="2490">
        <v>0</v>
      </c>
      <c r="M42" s="2464">
        <f>SUM(F42:K42)</f>
        <v>375918</v>
      </c>
      <c r="N42" s="2464">
        <f>SUM(G42:L42)</f>
        <v>298624</v>
      </c>
      <c r="O42" s="4135"/>
    </row>
    <row r="43" spans="1:15" ht="13.5" customHeight="1">
      <c r="A43" s="4177"/>
      <c r="B43" s="2454" t="s">
        <v>22</v>
      </c>
      <c r="C43" s="2471"/>
      <c r="D43" s="2456">
        <f>+D46</f>
        <v>695305</v>
      </c>
      <c r="E43" s="2456">
        <f t="shared" ref="E43" si="37">E44+E46</f>
        <v>291312</v>
      </c>
      <c r="F43" s="2456">
        <f t="shared" ref="F43:L43" si="38">F44+F46</f>
        <v>79154</v>
      </c>
      <c r="G43" s="2456">
        <f t="shared" si="38"/>
        <v>95897</v>
      </c>
      <c r="H43" s="2486">
        <f t="shared" si="38"/>
        <v>99540</v>
      </c>
      <c r="I43" s="2486">
        <f t="shared" si="38"/>
        <v>99540</v>
      </c>
      <c r="J43" s="2486">
        <f t="shared" si="38"/>
        <v>29862</v>
      </c>
      <c r="K43" s="2486">
        <f t="shared" si="38"/>
        <v>0</v>
      </c>
      <c r="L43" s="2486">
        <f t="shared" si="38"/>
        <v>0</v>
      </c>
      <c r="M43" s="4125" t="s">
        <v>61</v>
      </c>
      <c r="N43" s="4125" t="s">
        <v>61</v>
      </c>
      <c r="O43" s="4135"/>
    </row>
    <row r="44" spans="1:15" ht="12" hidden="1" customHeight="1">
      <c r="A44" s="4177"/>
      <c r="B44" s="2474" t="s">
        <v>24</v>
      </c>
      <c r="C44" s="4178" t="s">
        <v>133</v>
      </c>
      <c r="D44" s="2459">
        <f t="shared" ref="D44:G44" si="39">D45</f>
        <v>0</v>
      </c>
      <c r="E44" s="2459">
        <f t="shared" si="39"/>
        <v>0</v>
      </c>
      <c r="F44" s="2459">
        <f t="shared" si="39"/>
        <v>0</v>
      </c>
      <c r="G44" s="2459">
        <f t="shared" si="39"/>
        <v>0</v>
      </c>
      <c r="H44" s="2487"/>
      <c r="I44" s="2487"/>
      <c r="J44" s="2487"/>
      <c r="K44" s="2487"/>
      <c r="L44" s="2487"/>
      <c r="M44" s="4126"/>
      <c r="N44" s="4126"/>
      <c r="O44" s="4135"/>
    </row>
    <row r="45" spans="1:15" ht="12" hidden="1" customHeight="1">
      <c r="A45" s="4177"/>
      <c r="B45" s="2477" t="s">
        <v>13</v>
      </c>
      <c r="C45" s="4173"/>
      <c r="D45" s="2308">
        <f>E45+F45+G45+H45+I45+J45+K45+L45</f>
        <v>0</v>
      </c>
      <c r="E45" s="2310"/>
      <c r="F45" s="2310">
        <v>0</v>
      </c>
      <c r="G45" s="2463">
        <v>0</v>
      </c>
      <c r="H45" s="2488"/>
      <c r="I45" s="2488"/>
      <c r="J45" s="2488"/>
      <c r="K45" s="2488"/>
      <c r="L45" s="2488"/>
      <c r="M45" s="4126"/>
      <c r="N45" s="4126"/>
      <c r="O45" s="4135"/>
    </row>
    <row r="46" spans="1:15" ht="13.5" customHeight="1">
      <c r="A46" s="4177"/>
      <c r="B46" s="2479" t="s">
        <v>18</v>
      </c>
      <c r="C46" s="4173"/>
      <c r="D46" s="2466">
        <f>+D47</f>
        <v>695305</v>
      </c>
      <c r="E46" s="2466">
        <f t="shared" ref="E46:L46" si="40">E47</f>
        <v>291312</v>
      </c>
      <c r="F46" s="2466">
        <f t="shared" si="40"/>
        <v>79154</v>
      </c>
      <c r="G46" s="2466">
        <f t="shared" si="40"/>
        <v>95897</v>
      </c>
      <c r="H46" s="2489">
        <f t="shared" si="40"/>
        <v>99540</v>
      </c>
      <c r="I46" s="2489">
        <f t="shared" si="40"/>
        <v>99540</v>
      </c>
      <c r="J46" s="2489">
        <f t="shared" si="40"/>
        <v>29862</v>
      </c>
      <c r="K46" s="2489">
        <f t="shared" si="40"/>
        <v>0</v>
      </c>
      <c r="L46" s="2489">
        <f t="shared" si="40"/>
        <v>0</v>
      </c>
      <c r="M46" s="4126"/>
      <c r="N46" s="4126"/>
      <c r="O46" s="4135"/>
    </row>
    <row r="47" spans="1:15" ht="12.75" customHeight="1" thickBot="1">
      <c r="A47" s="4121"/>
      <c r="B47" s="2482" t="s">
        <v>20</v>
      </c>
      <c r="C47" s="4139"/>
      <c r="D47" s="2308">
        <f>E47+F47+G47+H47+I47+J47+K47+L47</f>
        <v>695305</v>
      </c>
      <c r="E47" s="2309">
        <f>291312</f>
        <v>291312</v>
      </c>
      <c r="F47" s="2484">
        <f>79186+1110-1142</f>
        <v>79154</v>
      </c>
      <c r="G47" s="2484">
        <f>24105-909+1881+69678+1142</f>
        <v>95897</v>
      </c>
      <c r="H47" s="2491">
        <v>99540</v>
      </c>
      <c r="I47" s="2491">
        <v>99540</v>
      </c>
      <c r="J47" s="2491">
        <v>29862</v>
      </c>
      <c r="K47" s="2491">
        <v>0</v>
      </c>
      <c r="L47" s="2491">
        <v>0</v>
      </c>
      <c r="M47" s="4127"/>
      <c r="N47" s="4127"/>
      <c r="O47" s="4136"/>
    </row>
    <row r="48" spans="1:15" ht="36" hidden="1" customHeight="1">
      <c r="A48" s="4119" t="s">
        <v>64</v>
      </c>
      <c r="B48" s="2449" t="s">
        <v>308</v>
      </c>
      <c r="C48" s="2450" t="s">
        <v>110</v>
      </c>
      <c r="D48" s="2451"/>
      <c r="E48" s="2452"/>
      <c r="F48" s="2452"/>
      <c r="G48" s="2452"/>
      <c r="H48" s="2452"/>
      <c r="I48" s="2452"/>
      <c r="J48" s="2452"/>
      <c r="K48" s="2452"/>
      <c r="L48" s="2452"/>
      <c r="M48" s="2453"/>
      <c r="N48" s="2453"/>
      <c r="O48" s="4122" t="s">
        <v>134</v>
      </c>
    </row>
    <row r="49" spans="1:15" ht="15" hidden="1" customHeight="1">
      <c r="A49" s="4120"/>
      <c r="B49" s="2454" t="s">
        <v>10</v>
      </c>
      <c r="C49" s="2455"/>
      <c r="D49" s="2456"/>
      <c r="E49" s="2456">
        <v>0</v>
      </c>
      <c r="F49" s="2456">
        <f t="shared" ref="F49:J50" si="41">F50</f>
        <v>0</v>
      </c>
      <c r="G49" s="2456">
        <f t="shared" ref="G49:L49" si="42">+G50+G52</f>
        <v>0</v>
      </c>
      <c r="H49" s="2456">
        <f t="shared" si="42"/>
        <v>0</v>
      </c>
      <c r="I49" s="2456">
        <f t="shared" si="42"/>
        <v>0</v>
      </c>
      <c r="J49" s="2456">
        <f t="shared" si="42"/>
        <v>0</v>
      </c>
      <c r="K49" s="2456">
        <f t="shared" si="42"/>
        <v>0</v>
      </c>
      <c r="L49" s="2456">
        <f t="shared" si="42"/>
        <v>0</v>
      </c>
      <c r="M49" s="2457">
        <f>M50</f>
        <v>0</v>
      </c>
      <c r="N49" s="2457" t="e">
        <f>N50</f>
        <v>#REF!</v>
      </c>
      <c r="O49" s="4123"/>
    </row>
    <row r="50" spans="1:15" ht="12" hidden="1">
      <c r="A50" s="4120"/>
      <c r="B50" s="2492" t="s">
        <v>18</v>
      </c>
      <c r="C50" s="4137" t="s">
        <v>135</v>
      </c>
      <c r="D50" s="2466"/>
      <c r="E50" s="2466">
        <v>0</v>
      </c>
      <c r="F50" s="2466">
        <f t="shared" si="41"/>
        <v>0</v>
      </c>
      <c r="G50" s="2466">
        <f t="shared" si="41"/>
        <v>0</v>
      </c>
      <c r="H50" s="2466">
        <f t="shared" si="41"/>
        <v>0</v>
      </c>
      <c r="I50" s="2466">
        <f t="shared" si="41"/>
        <v>0</v>
      </c>
      <c r="J50" s="2466">
        <f t="shared" si="41"/>
        <v>0</v>
      </c>
      <c r="K50" s="2466">
        <f>K51</f>
        <v>0</v>
      </c>
      <c r="L50" s="2466">
        <f>L51</f>
        <v>0</v>
      </c>
      <c r="M50" s="2460">
        <f>+M51</f>
        <v>0</v>
      </c>
      <c r="N50" s="2460" t="e">
        <f>+N51</f>
        <v>#REF!</v>
      </c>
      <c r="O50" s="4123"/>
    </row>
    <row r="51" spans="1:15" ht="12" hidden="1">
      <c r="A51" s="4120"/>
      <c r="B51" s="2493" t="s">
        <v>20</v>
      </c>
      <c r="C51" s="4138"/>
      <c r="D51" s="2462"/>
      <c r="E51" s="2462">
        <v>0</v>
      </c>
      <c r="F51" s="2470">
        <v>0</v>
      </c>
      <c r="G51" s="2470">
        <v>0</v>
      </c>
      <c r="H51" s="2470">
        <v>0</v>
      </c>
      <c r="I51" s="2470">
        <v>0</v>
      </c>
      <c r="J51" s="2470">
        <v>0</v>
      </c>
      <c r="K51" s="2470">
        <v>0</v>
      </c>
      <c r="L51" s="2470">
        <v>0</v>
      </c>
      <c r="M51" s="2464">
        <f>SUM(F51:K51)</f>
        <v>0</v>
      </c>
      <c r="N51" s="2464" t="e">
        <f>+I51+H51+G51+F51+#REF!</f>
        <v>#REF!</v>
      </c>
      <c r="O51" s="4123"/>
    </row>
    <row r="52" spans="1:15" ht="15" hidden="1" customHeight="1">
      <c r="A52" s="4120"/>
      <c r="B52" s="2494" t="s">
        <v>22</v>
      </c>
      <c r="C52" s="2495"/>
      <c r="D52" s="2456"/>
      <c r="E52" s="2456">
        <v>0</v>
      </c>
      <c r="F52" s="2456">
        <f t="shared" ref="F52:L52" si="43">F53+F92</f>
        <v>0</v>
      </c>
      <c r="G52" s="2456">
        <f t="shared" si="43"/>
        <v>0</v>
      </c>
      <c r="H52" s="2456">
        <f t="shared" si="43"/>
        <v>0</v>
      </c>
      <c r="I52" s="2456">
        <f t="shared" si="43"/>
        <v>0</v>
      </c>
      <c r="J52" s="2456">
        <f t="shared" si="43"/>
        <v>0</v>
      </c>
      <c r="K52" s="2456">
        <f t="shared" si="43"/>
        <v>0</v>
      </c>
      <c r="L52" s="2456">
        <f t="shared" si="43"/>
        <v>0</v>
      </c>
      <c r="M52" s="4125" t="s">
        <v>61</v>
      </c>
      <c r="N52" s="4125" t="s">
        <v>61</v>
      </c>
      <c r="O52" s="4123"/>
    </row>
    <row r="53" spans="1:15" ht="12" hidden="1">
      <c r="A53" s="4120"/>
      <c r="B53" s="2492" t="s">
        <v>18</v>
      </c>
      <c r="C53" s="4137" t="s">
        <v>135</v>
      </c>
      <c r="D53" s="2466"/>
      <c r="E53" s="2466">
        <v>0</v>
      </c>
      <c r="F53" s="2466">
        <f t="shared" ref="F53:L53" si="44">F54</f>
        <v>0</v>
      </c>
      <c r="G53" s="2466">
        <f t="shared" si="44"/>
        <v>0</v>
      </c>
      <c r="H53" s="2466">
        <f t="shared" si="44"/>
        <v>0</v>
      </c>
      <c r="I53" s="2466">
        <f t="shared" si="44"/>
        <v>0</v>
      </c>
      <c r="J53" s="2466">
        <f t="shared" si="44"/>
        <v>0</v>
      </c>
      <c r="K53" s="2466">
        <f t="shared" si="44"/>
        <v>0</v>
      </c>
      <c r="L53" s="2466">
        <f t="shared" si="44"/>
        <v>0</v>
      </c>
      <c r="M53" s="4126"/>
      <c r="N53" s="4126"/>
      <c r="O53" s="4123"/>
    </row>
    <row r="54" spans="1:15" ht="12.75" hidden="1" thickBot="1">
      <c r="A54" s="4121"/>
      <c r="B54" s="2496" t="s">
        <v>20</v>
      </c>
      <c r="C54" s="4139"/>
      <c r="D54" s="2462"/>
      <c r="E54" s="2462">
        <v>0</v>
      </c>
      <c r="F54" s="2484">
        <v>0</v>
      </c>
      <c r="G54" s="2484">
        <v>0</v>
      </c>
      <c r="H54" s="2484">
        <v>0</v>
      </c>
      <c r="I54" s="2484">
        <v>0</v>
      </c>
      <c r="J54" s="2484">
        <v>0</v>
      </c>
      <c r="K54" s="2484">
        <v>0</v>
      </c>
      <c r="L54" s="2484">
        <v>0</v>
      </c>
      <c r="M54" s="4127"/>
      <c r="N54" s="4127"/>
      <c r="O54" s="4124"/>
    </row>
    <row r="55" spans="1:15" ht="42.75" hidden="1" customHeight="1">
      <c r="A55" s="4119" t="s">
        <v>64</v>
      </c>
      <c r="B55" s="2449" t="s">
        <v>622</v>
      </c>
      <c r="C55" s="2450" t="s">
        <v>110</v>
      </c>
      <c r="D55" s="2451"/>
      <c r="E55" s="2452"/>
      <c r="F55" s="2452"/>
      <c r="G55" s="2452"/>
      <c r="H55" s="2452"/>
      <c r="I55" s="2452"/>
      <c r="J55" s="2452"/>
      <c r="K55" s="2452"/>
      <c r="L55" s="2452"/>
      <c r="M55" s="2453"/>
      <c r="N55" s="2453"/>
      <c r="O55" s="4122" t="s">
        <v>134</v>
      </c>
    </row>
    <row r="56" spans="1:15" ht="15" hidden="1" customHeight="1">
      <c r="A56" s="4120"/>
      <c r="B56" s="2454" t="s">
        <v>10</v>
      </c>
      <c r="C56" s="2455"/>
      <c r="D56" s="2456">
        <f>D57</f>
        <v>0</v>
      </c>
      <c r="E56" s="2456">
        <f t="shared" ref="E56:J57" si="45">E57</f>
        <v>0</v>
      </c>
      <c r="F56" s="2456">
        <f t="shared" si="45"/>
        <v>0</v>
      </c>
      <c r="G56" s="2456">
        <f t="shared" ref="G56:L56" si="46">+G57+G59</f>
        <v>0</v>
      </c>
      <c r="H56" s="2456">
        <f t="shared" si="46"/>
        <v>0</v>
      </c>
      <c r="I56" s="2456">
        <f t="shared" si="46"/>
        <v>0</v>
      </c>
      <c r="J56" s="2456">
        <f t="shared" si="46"/>
        <v>0</v>
      </c>
      <c r="K56" s="2456">
        <f t="shared" si="46"/>
        <v>0</v>
      </c>
      <c r="L56" s="2456">
        <f t="shared" si="46"/>
        <v>0</v>
      </c>
      <c r="M56" s="2457">
        <f>M57</f>
        <v>0</v>
      </c>
      <c r="N56" s="2457">
        <f>N57</f>
        <v>0</v>
      </c>
      <c r="O56" s="4123"/>
    </row>
    <row r="57" spans="1:15" ht="12" hidden="1">
      <c r="A57" s="4120"/>
      <c r="B57" s="2492" t="s">
        <v>18</v>
      </c>
      <c r="C57" s="4137" t="s">
        <v>135</v>
      </c>
      <c r="D57" s="2466">
        <f>+D58</f>
        <v>0</v>
      </c>
      <c r="E57" s="2466">
        <f t="shared" si="45"/>
        <v>0</v>
      </c>
      <c r="F57" s="2466">
        <f t="shared" si="45"/>
        <v>0</v>
      </c>
      <c r="G57" s="2466">
        <f t="shared" si="45"/>
        <v>0</v>
      </c>
      <c r="H57" s="2466">
        <f t="shared" si="45"/>
        <v>0</v>
      </c>
      <c r="I57" s="2466">
        <f t="shared" si="45"/>
        <v>0</v>
      </c>
      <c r="J57" s="2466">
        <f t="shared" si="45"/>
        <v>0</v>
      </c>
      <c r="K57" s="2466">
        <f>K58</f>
        <v>0</v>
      </c>
      <c r="L57" s="2466">
        <f>L58</f>
        <v>0</v>
      </c>
      <c r="M57" s="2460">
        <f>+M58</f>
        <v>0</v>
      </c>
      <c r="N57" s="2460">
        <f>+N58</f>
        <v>0</v>
      </c>
      <c r="O57" s="4123"/>
    </row>
    <row r="58" spans="1:15" ht="12" hidden="1">
      <c r="A58" s="4120"/>
      <c r="B58" s="2493" t="s">
        <v>20</v>
      </c>
      <c r="C58" s="4138"/>
      <c r="D58" s="2308">
        <v>0</v>
      </c>
      <c r="E58" s="2309">
        <v>0</v>
      </c>
      <c r="F58" s="2470">
        <v>0</v>
      </c>
      <c r="G58" s="2470">
        <v>0</v>
      </c>
      <c r="H58" s="2470">
        <v>0</v>
      </c>
      <c r="I58" s="2470">
        <v>0</v>
      </c>
      <c r="J58" s="2470">
        <v>0</v>
      </c>
      <c r="K58" s="2470">
        <v>0</v>
      </c>
      <c r="L58" s="2470">
        <v>0</v>
      </c>
      <c r="M58" s="2464">
        <f>SUM(F58:K58)</f>
        <v>0</v>
      </c>
      <c r="N58" s="2464">
        <f>SUM(G58:L58)</f>
        <v>0</v>
      </c>
      <c r="O58" s="4123"/>
    </row>
    <row r="59" spans="1:15" ht="15" hidden="1" customHeight="1">
      <c r="A59" s="4120"/>
      <c r="B59" s="2494" t="s">
        <v>22</v>
      </c>
      <c r="C59" s="2495"/>
      <c r="D59" s="2456">
        <f>+D60</f>
        <v>0</v>
      </c>
      <c r="E59" s="2456">
        <f t="shared" ref="E59" si="47">+E60</f>
        <v>0</v>
      </c>
      <c r="F59" s="2456">
        <f t="shared" ref="F59:I59" si="48">F60</f>
        <v>0</v>
      </c>
      <c r="G59" s="2456">
        <f t="shared" si="48"/>
        <v>0</v>
      </c>
      <c r="H59" s="2456">
        <f t="shared" si="48"/>
        <v>0</v>
      </c>
      <c r="I59" s="2456">
        <f t="shared" si="48"/>
        <v>0</v>
      </c>
      <c r="J59" s="2456"/>
      <c r="K59" s="2456"/>
      <c r="L59" s="2456"/>
      <c r="M59" s="4125" t="s">
        <v>61</v>
      </c>
      <c r="N59" s="4125" t="s">
        <v>61</v>
      </c>
      <c r="O59" s="4123"/>
    </row>
    <row r="60" spans="1:15" ht="12" hidden="1">
      <c r="A60" s="4120"/>
      <c r="B60" s="2492" t="s">
        <v>18</v>
      </c>
      <c r="C60" s="4137" t="s">
        <v>135</v>
      </c>
      <c r="D60" s="2466">
        <f>+D61</f>
        <v>0</v>
      </c>
      <c r="E60" s="2466">
        <f t="shared" ref="E60:L60" si="49">E61</f>
        <v>0</v>
      </c>
      <c r="F60" s="2466">
        <f t="shared" si="49"/>
        <v>0</v>
      </c>
      <c r="G60" s="2466">
        <f t="shared" si="49"/>
        <v>0</v>
      </c>
      <c r="H60" s="2466">
        <f t="shared" si="49"/>
        <v>0</v>
      </c>
      <c r="I60" s="2466">
        <f t="shared" si="49"/>
        <v>0</v>
      </c>
      <c r="J60" s="2466">
        <f t="shared" si="49"/>
        <v>0</v>
      </c>
      <c r="K60" s="2466">
        <f t="shared" si="49"/>
        <v>0</v>
      </c>
      <c r="L60" s="2466">
        <f t="shared" si="49"/>
        <v>0</v>
      </c>
      <c r="M60" s="4126"/>
      <c r="N60" s="4126"/>
      <c r="O60" s="4123"/>
    </row>
    <row r="61" spans="1:15" ht="12.75" hidden="1" thickBot="1">
      <c r="A61" s="4121"/>
      <c r="B61" s="2496" t="s">
        <v>20</v>
      </c>
      <c r="C61" s="4139"/>
      <c r="D61" s="2308">
        <f>E61+F61+G61+H61+I61+J61+K61+L61</f>
        <v>0</v>
      </c>
      <c r="E61" s="2309">
        <v>0</v>
      </c>
      <c r="F61" s="2484">
        <v>0</v>
      </c>
      <c r="G61" s="2484">
        <v>0</v>
      </c>
      <c r="H61" s="2484">
        <v>0</v>
      </c>
      <c r="I61" s="2484">
        <v>0</v>
      </c>
      <c r="J61" s="2484">
        <v>0</v>
      </c>
      <c r="K61" s="2484">
        <v>0</v>
      </c>
      <c r="L61" s="2484">
        <v>0</v>
      </c>
      <c r="M61" s="4127"/>
      <c r="N61" s="4127"/>
      <c r="O61" s="4124"/>
    </row>
    <row r="62" spans="1:15" ht="26.25" hidden="1" customHeight="1">
      <c r="A62" s="4119" t="s">
        <v>65</v>
      </c>
      <c r="B62" s="2449" t="s">
        <v>403</v>
      </c>
      <c r="C62" s="2450" t="s">
        <v>110</v>
      </c>
      <c r="D62" s="2451"/>
      <c r="E62" s="2452"/>
      <c r="F62" s="2452"/>
      <c r="G62" s="2452"/>
      <c r="H62" s="2452"/>
      <c r="I62" s="2452"/>
      <c r="J62" s="2452"/>
      <c r="K62" s="2452"/>
      <c r="L62" s="2452"/>
      <c r="M62" s="2453"/>
      <c r="N62" s="2453"/>
      <c r="O62" s="4122" t="s">
        <v>267</v>
      </c>
    </row>
    <row r="63" spans="1:15" ht="15" hidden="1" customHeight="1">
      <c r="A63" s="4120"/>
      <c r="B63" s="2454" t="s">
        <v>10</v>
      </c>
      <c r="C63" s="2455"/>
      <c r="D63" s="2456"/>
      <c r="E63" s="2456">
        <v>0</v>
      </c>
      <c r="F63" s="2456">
        <f t="shared" ref="F63:J64" si="50">F64</f>
        <v>0</v>
      </c>
      <c r="G63" s="2456">
        <f t="shared" ref="G63:L63" si="51">+G64+G66</f>
        <v>0</v>
      </c>
      <c r="H63" s="2456">
        <f t="shared" si="51"/>
        <v>0</v>
      </c>
      <c r="I63" s="2456">
        <f t="shared" si="51"/>
        <v>0</v>
      </c>
      <c r="J63" s="2456">
        <f t="shared" si="51"/>
        <v>0</v>
      </c>
      <c r="K63" s="2456">
        <f t="shared" si="51"/>
        <v>0</v>
      </c>
      <c r="L63" s="2456">
        <f t="shared" si="51"/>
        <v>0</v>
      </c>
      <c r="M63" s="2457">
        <f>M64</f>
        <v>0</v>
      </c>
      <c r="N63" s="2457">
        <f>N64</f>
        <v>0</v>
      </c>
      <c r="O63" s="4123"/>
    </row>
    <row r="64" spans="1:15" ht="12.75" hidden="1" thickBot="1">
      <c r="A64" s="4120"/>
      <c r="B64" s="2492" t="s">
        <v>18</v>
      </c>
      <c r="C64" s="4137" t="s">
        <v>268</v>
      </c>
      <c r="D64" s="2466"/>
      <c r="E64" s="2466">
        <v>0</v>
      </c>
      <c r="F64" s="2466">
        <f t="shared" si="50"/>
        <v>0</v>
      </c>
      <c r="G64" s="2466">
        <f t="shared" si="50"/>
        <v>0</v>
      </c>
      <c r="H64" s="2466">
        <f t="shared" si="50"/>
        <v>0</v>
      </c>
      <c r="I64" s="2466">
        <f t="shared" si="50"/>
        <v>0</v>
      </c>
      <c r="J64" s="2466">
        <f t="shared" si="50"/>
        <v>0</v>
      </c>
      <c r="K64" s="2466">
        <f>K65</f>
        <v>0</v>
      </c>
      <c r="L64" s="2466">
        <f>L65</f>
        <v>0</v>
      </c>
      <c r="M64" s="2460">
        <f>+M65</f>
        <v>0</v>
      </c>
      <c r="N64" s="2460">
        <f>+N65</f>
        <v>0</v>
      </c>
      <c r="O64" s="4123"/>
    </row>
    <row r="65" spans="1:15" ht="12.75" hidden="1" thickBot="1">
      <c r="A65" s="4120"/>
      <c r="B65" s="2493" t="s">
        <v>20</v>
      </c>
      <c r="C65" s="4138"/>
      <c r="D65" s="2497"/>
      <c r="E65" s="2309">
        <v>0</v>
      </c>
      <c r="F65" s="2470">
        <v>0</v>
      </c>
      <c r="G65" s="2470">
        <v>0</v>
      </c>
      <c r="H65" s="2470">
        <v>0</v>
      </c>
      <c r="I65" s="2470">
        <v>0</v>
      </c>
      <c r="J65" s="2470">
        <v>0</v>
      </c>
      <c r="K65" s="2470">
        <v>0</v>
      </c>
      <c r="L65" s="2470">
        <v>0</v>
      </c>
      <c r="M65" s="2464">
        <f>SUM(E65:K65)</f>
        <v>0</v>
      </c>
      <c r="N65" s="2464">
        <f>SUM(F65:L65)</f>
        <v>0</v>
      </c>
      <c r="O65" s="4123"/>
    </row>
    <row r="66" spans="1:15" ht="15" hidden="1" customHeight="1">
      <c r="A66" s="4120"/>
      <c r="B66" s="2494" t="s">
        <v>22</v>
      </c>
      <c r="C66" s="2495"/>
      <c r="D66" s="2498"/>
      <c r="E66" s="2456">
        <v>0</v>
      </c>
      <c r="F66" s="2456">
        <f t="shared" ref="F66:L66" si="52">F67+F106</f>
        <v>0</v>
      </c>
      <c r="G66" s="2456">
        <f t="shared" si="52"/>
        <v>0</v>
      </c>
      <c r="H66" s="2456">
        <f t="shared" si="52"/>
        <v>0</v>
      </c>
      <c r="I66" s="2456">
        <f t="shared" si="52"/>
        <v>0</v>
      </c>
      <c r="J66" s="2456">
        <f t="shared" si="52"/>
        <v>0</v>
      </c>
      <c r="K66" s="2456">
        <f t="shared" si="52"/>
        <v>0</v>
      </c>
      <c r="L66" s="2456">
        <f t="shared" si="52"/>
        <v>0</v>
      </c>
      <c r="M66" s="4125" t="s">
        <v>61</v>
      </c>
      <c r="N66" s="4125" t="s">
        <v>61</v>
      </c>
      <c r="O66" s="4123"/>
    </row>
    <row r="67" spans="1:15" ht="12.75" hidden="1" thickBot="1">
      <c r="A67" s="4120"/>
      <c r="B67" s="2492" t="s">
        <v>18</v>
      </c>
      <c r="C67" s="4137" t="s">
        <v>268</v>
      </c>
      <c r="D67" s="2466"/>
      <c r="E67" s="2466">
        <v>0</v>
      </c>
      <c r="F67" s="2466">
        <f t="shared" ref="F67:L67" si="53">F68</f>
        <v>0</v>
      </c>
      <c r="G67" s="2466">
        <f t="shared" si="53"/>
        <v>0</v>
      </c>
      <c r="H67" s="2466">
        <f t="shared" si="53"/>
        <v>0</v>
      </c>
      <c r="I67" s="2466">
        <f t="shared" si="53"/>
        <v>0</v>
      </c>
      <c r="J67" s="2466">
        <f t="shared" si="53"/>
        <v>0</v>
      </c>
      <c r="K67" s="2466">
        <f t="shared" si="53"/>
        <v>0</v>
      </c>
      <c r="L67" s="2466">
        <f t="shared" si="53"/>
        <v>0</v>
      </c>
      <c r="M67" s="4126"/>
      <c r="N67" s="4126"/>
      <c r="O67" s="4123"/>
    </row>
    <row r="68" spans="1:15" ht="12.75" hidden="1" thickBot="1">
      <c r="A68" s="4121"/>
      <c r="B68" s="2496" t="s">
        <v>20</v>
      </c>
      <c r="C68" s="4139"/>
      <c r="D68" s="2497"/>
      <c r="E68" s="2309">
        <v>0</v>
      </c>
      <c r="F68" s="2484">
        <v>0</v>
      </c>
      <c r="G68" s="2484">
        <v>0</v>
      </c>
      <c r="H68" s="2484">
        <v>0</v>
      </c>
      <c r="I68" s="2484">
        <v>0</v>
      </c>
      <c r="J68" s="2484">
        <v>0</v>
      </c>
      <c r="K68" s="2484">
        <v>0</v>
      </c>
      <c r="L68" s="2484">
        <v>0</v>
      </c>
      <c r="M68" s="4127"/>
      <c r="N68" s="4127"/>
      <c r="O68" s="4124"/>
    </row>
    <row r="69" spans="1:15" ht="26.25" customHeight="1">
      <c r="A69" s="4119" t="s">
        <v>64</v>
      </c>
      <c r="B69" s="2449" t="s">
        <v>663</v>
      </c>
      <c r="C69" s="2450" t="s">
        <v>110</v>
      </c>
      <c r="D69" s="2451"/>
      <c r="E69" s="2452"/>
      <c r="F69" s="2452"/>
      <c r="G69" s="2452"/>
      <c r="H69" s="2452"/>
      <c r="I69" s="2452"/>
      <c r="J69" s="2452"/>
      <c r="K69" s="2452"/>
      <c r="L69" s="2452"/>
      <c r="M69" s="2453"/>
      <c r="N69" s="2453"/>
      <c r="O69" s="4122" t="s">
        <v>132</v>
      </c>
    </row>
    <row r="70" spans="1:15" ht="15" customHeight="1">
      <c r="A70" s="4120"/>
      <c r="B70" s="2454" t="s">
        <v>10</v>
      </c>
      <c r="C70" s="2455"/>
      <c r="D70" s="2456">
        <f>+D71</f>
        <v>50733</v>
      </c>
      <c r="E70" s="2456">
        <f t="shared" ref="E70:E71" si="54">+E71</f>
        <v>803</v>
      </c>
      <c r="F70" s="2456">
        <f>+F71</f>
        <v>20291</v>
      </c>
      <c r="G70" s="2456">
        <f>+G71</f>
        <v>29639</v>
      </c>
      <c r="H70" s="2456"/>
      <c r="I70" s="2456"/>
      <c r="J70" s="2456"/>
      <c r="K70" s="2456"/>
      <c r="L70" s="2456"/>
      <c r="M70" s="2457">
        <f>+M71</f>
        <v>49930</v>
      </c>
      <c r="N70" s="2457">
        <f>+N71</f>
        <v>29639</v>
      </c>
      <c r="O70" s="4123"/>
    </row>
    <row r="71" spans="1:15" ht="12">
      <c r="A71" s="4120"/>
      <c r="B71" s="2492" t="s">
        <v>18</v>
      </c>
      <c r="C71" s="4137" t="s">
        <v>133</v>
      </c>
      <c r="D71" s="2466">
        <f>+D72</f>
        <v>50733</v>
      </c>
      <c r="E71" s="2466">
        <f t="shared" si="54"/>
        <v>803</v>
      </c>
      <c r="F71" s="2466">
        <f>+F72</f>
        <v>20291</v>
      </c>
      <c r="G71" s="2466">
        <f>+G72</f>
        <v>29639</v>
      </c>
      <c r="H71" s="2466"/>
      <c r="I71" s="2466"/>
      <c r="J71" s="2466"/>
      <c r="K71" s="2466"/>
      <c r="L71" s="2466"/>
      <c r="M71" s="2460">
        <f>+M72</f>
        <v>49930</v>
      </c>
      <c r="N71" s="2460">
        <f>+N72</f>
        <v>29639</v>
      </c>
      <c r="O71" s="4123"/>
    </row>
    <row r="72" spans="1:15" ht="12">
      <c r="A72" s="4120"/>
      <c r="B72" s="2493" t="s">
        <v>20</v>
      </c>
      <c r="C72" s="4138"/>
      <c r="D72" s="2499">
        <f>E72+F72+G72+H72+I72+J72+K72+L72</f>
        <v>50733</v>
      </c>
      <c r="E72" s="2309">
        <f>803</f>
        <v>803</v>
      </c>
      <c r="F72" s="2470">
        <f>4200+3397+21882-9188</f>
        <v>20291</v>
      </c>
      <c r="G72" s="2470">
        <f>21882+7757</f>
        <v>29639</v>
      </c>
      <c r="H72" s="2470"/>
      <c r="I72" s="2470"/>
      <c r="J72" s="2470"/>
      <c r="K72" s="2470"/>
      <c r="L72" s="2470"/>
      <c r="M72" s="2464">
        <f>SUM(F72:K72)</f>
        <v>49930</v>
      </c>
      <c r="N72" s="2464">
        <f>SUM(G72:L72)</f>
        <v>29639</v>
      </c>
      <c r="O72" s="4123"/>
    </row>
    <row r="73" spans="1:15" ht="15" customHeight="1">
      <c r="A73" s="4120"/>
      <c r="B73" s="2494" t="s">
        <v>22</v>
      </c>
      <c r="C73" s="2495"/>
      <c r="D73" s="2498">
        <f>+D74</f>
        <v>50733</v>
      </c>
      <c r="E73" s="2498">
        <f t="shared" ref="E73:E74" si="55">+E74</f>
        <v>803</v>
      </c>
      <c r="F73" s="2456">
        <f>+F74</f>
        <v>28048</v>
      </c>
      <c r="G73" s="2456">
        <f>+G74</f>
        <v>21882</v>
      </c>
      <c r="H73" s="2456"/>
      <c r="I73" s="2456"/>
      <c r="J73" s="2456"/>
      <c r="K73" s="2456"/>
      <c r="L73" s="2456"/>
      <c r="M73" s="4125"/>
      <c r="N73" s="4125"/>
      <c r="O73" s="4123"/>
    </row>
    <row r="74" spans="1:15" ht="12">
      <c r="A74" s="4120"/>
      <c r="B74" s="2492" t="s">
        <v>18</v>
      </c>
      <c r="C74" s="4137" t="s">
        <v>133</v>
      </c>
      <c r="D74" s="2466">
        <f>+D75</f>
        <v>50733</v>
      </c>
      <c r="E74" s="2466">
        <f t="shared" si="55"/>
        <v>803</v>
      </c>
      <c r="F74" s="2466">
        <f>+F75</f>
        <v>28048</v>
      </c>
      <c r="G74" s="2466">
        <f>+G75</f>
        <v>21882</v>
      </c>
      <c r="H74" s="2466"/>
      <c r="I74" s="2466"/>
      <c r="J74" s="2466"/>
      <c r="K74" s="2466"/>
      <c r="L74" s="2466"/>
      <c r="M74" s="4126"/>
      <c r="N74" s="4126"/>
      <c r="O74" s="4123"/>
    </row>
    <row r="75" spans="1:15" ht="12.75" thickBot="1">
      <c r="A75" s="4121"/>
      <c r="B75" s="2496" t="s">
        <v>20</v>
      </c>
      <c r="C75" s="4139"/>
      <c r="D75" s="2342">
        <f>E75+F75+G75+H75+I75+J75+K75+L75</f>
        <v>50733</v>
      </c>
      <c r="E75" s="2331">
        <f>803</f>
        <v>803</v>
      </c>
      <c r="F75" s="2484">
        <f>4200+3397+21882-1431</f>
        <v>28048</v>
      </c>
      <c r="G75" s="2484">
        <v>21882</v>
      </c>
      <c r="H75" s="2484"/>
      <c r="I75" s="2484"/>
      <c r="J75" s="2484"/>
      <c r="K75" s="2484"/>
      <c r="L75" s="2484"/>
      <c r="M75" s="4127"/>
      <c r="N75" s="4127"/>
      <c r="O75" s="4124"/>
    </row>
    <row r="76" spans="1:15" ht="27" customHeight="1">
      <c r="A76" s="4119" t="s">
        <v>65</v>
      </c>
      <c r="B76" s="2449" t="s">
        <v>696</v>
      </c>
      <c r="C76" s="2450" t="s">
        <v>110</v>
      </c>
      <c r="D76" s="2451"/>
      <c r="E76" s="2452"/>
      <c r="F76" s="2452"/>
      <c r="G76" s="2452"/>
      <c r="H76" s="2452"/>
      <c r="I76" s="2452"/>
      <c r="J76" s="2452"/>
      <c r="K76" s="2452"/>
      <c r="L76" s="2452"/>
      <c r="M76" s="2453"/>
      <c r="N76" s="2453"/>
      <c r="O76" s="4122" t="s">
        <v>330</v>
      </c>
    </row>
    <row r="77" spans="1:15" ht="12">
      <c r="A77" s="4120"/>
      <c r="B77" s="2282" t="s">
        <v>10</v>
      </c>
      <c r="C77" s="2455"/>
      <c r="D77" s="2456">
        <f t="shared" ref="D77:L77" si="56">+D78+D80</f>
        <v>250000</v>
      </c>
      <c r="E77" s="2456">
        <f t="shared" si="56"/>
        <v>0</v>
      </c>
      <c r="F77" s="2456">
        <f t="shared" si="56"/>
        <v>0</v>
      </c>
      <c r="G77" s="2456">
        <f t="shared" si="56"/>
        <v>224590</v>
      </c>
      <c r="H77" s="2456">
        <f t="shared" si="56"/>
        <v>25410</v>
      </c>
      <c r="I77" s="2456">
        <f t="shared" si="56"/>
        <v>0</v>
      </c>
      <c r="J77" s="2456">
        <f t="shared" si="56"/>
        <v>0</v>
      </c>
      <c r="K77" s="2456">
        <f t="shared" si="56"/>
        <v>0</v>
      </c>
      <c r="L77" s="2456">
        <f t="shared" si="56"/>
        <v>0</v>
      </c>
      <c r="M77" s="2457" t="e">
        <f>+#REF!</f>
        <v>#REF!</v>
      </c>
      <c r="N77" s="2457">
        <f>+N78+N80</f>
        <v>250000</v>
      </c>
      <c r="O77" s="4123"/>
    </row>
    <row r="78" spans="1:15" ht="12">
      <c r="A78" s="4120"/>
      <c r="B78" s="2325" t="s">
        <v>24</v>
      </c>
      <c r="C78" s="4128" t="s">
        <v>149</v>
      </c>
      <c r="D78" s="2500">
        <f>+D79</f>
        <v>39300</v>
      </c>
      <c r="E78" s="2500">
        <f>+E79</f>
        <v>0</v>
      </c>
      <c r="F78" s="2500">
        <f t="shared" ref="F78:L78" si="57">+F79</f>
        <v>0</v>
      </c>
      <c r="G78" s="2500">
        <f t="shared" si="57"/>
        <v>35306</v>
      </c>
      <c r="H78" s="2500">
        <f t="shared" si="57"/>
        <v>3994</v>
      </c>
      <c r="I78" s="2500">
        <f t="shared" si="57"/>
        <v>0</v>
      </c>
      <c r="J78" s="2500">
        <f t="shared" si="57"/>
        <v>0</v>
      </c>
      <c r="K78" s="2500">
        <f t="shared" si="57"/>
        <v>0</v>
      </c>
      <c r="L78" s="2500">
        <f t="shared" si="57"/>
        <v>0</v>
      </c>
      <c r="M78" s="2457"/>
      <c r="N78" s="2457">
        <f>+N79</f>
        <v>39300</v>
      </c>
      <c r="O78" s="4123"/>
    </row>
    <row r="79" spans="1:15" ht="12">
      <c r="A79" s="4120"/>
      <c r="B79" s="2501" t="s">
        <v>13</v>
      </c>
      <c r="C79" s="4129"/>
      <c r="D79" s="2499">
        <f>E79+F79+G79+H79+I79+J79+K79+L79</f>
        <v>39300</v>
      </c>
      <c r="E79" s="2499">
        <v>0</v>
      </c>
      <c r="F79" s="2499">
        <v>0</v>
      </c>
      <c r="G79" s="2499">
        <v>35306</v>
      </c>
      <c r="H79" s="2499">
        <v>3994</v>
      </c>
      <c r="I79" s="2499"/>
      <c r="J79" s="2499"/>
      <c r="K79" s="2499"/>
      <c r="L79" s="2499"/>
      <c r="M79" s="2457"/>
      <c r="N79" s="2502">
        <f>SUM(G79:L79)</f>
        <v>39300</v>
      </c>
      <c r="O79" s="4123"/>
    </row>
    <row r="80" spans="1:15" ht="12">
      <c r="A80" s="4120"/>
      <c r="B80" s="2503" t="s">
        <v>18</v>
      </c>
      <c r="C80" s="4129"/>
      <c r="D80" s="2500">
        <f>+D81</f>
        <v>210700</v>
      </c>
      <c r="E80" s="2500">
        <f t="shared" ref="E80:L80" si="58">+E81</f>
        <v>0</v>
      </c>
      <c r="F80" s="2500">
        <f t="shared" si="58"/>
        <v>0</v>
      </c>
      <c r="G80" s="2500">
        <f t="shared" si="58"/>
        <v>189284</v>
      </c>
      <c r="H80" s="2500">
        <f t="shared" si="58"/>
        <v>21416</v>
      </c>
      <c r="I80" s="2500">
        <f t="shared" si="58"/>
        <v>0</v>
      </c>
      <c r="J80" s="2500">
        <f t="shared" si="58"/>
        <v>0</v>
      </c>
      <c r="K80" s="2500">
        <f t="shared" si="58"/>
        <v>0</v>
      </c>
      <c r="L80" s="2500">
        <f t="shared" si="58"/>
        <v>0</v>
      </c>
      <c r="M80" s="2457"/>
      <c r="N80" s="2457">
        <f>+N81</f>
        <v>210700</v>
      </c>
      <c r="O80" s="4123"/>
    </row>
    <row r="81" spans="1:109" ht="12">
      <c r="A81" s="4120"/>
      <c r="B81" s="2504" t="s">
        <v>21</v>
      </c>
      <c r="C81" s="4129"/>
      <c r="D81" s="2499">
        <f>E81+F81+G81+H81+I81+J81+K81+L81</f>
        <v>210700</v>
      </c>
      <c r="E81" s="2499">
        <v>0</v>
      </c>
      <c r="F81" s="2499">
        <v>0</v>
      </c>
      <c r="G81" s="2499">
        <v>189284</v>
      </c>
      <c r="H81" s="2499">
        <v>21416</v>
      </c>
      <c r="I81" s="2499"/>
      <c r="J81" s="2499"/>
      <c r="K81" s="2499"/>
      <c r="L81" s="2499"/>
      <c r="M81" s="2457"/>
      <c r="N81" s="2502">
        <f>SUM(G81:L81)</f>
        <v>210700</v>
      </c>
      <c r="O81" s="4123"/>
    </row>
    <row r="82" spans="1:109" ht="12">
      <c r="A82" s="4120"/>
      <c r="B82" s="2494" t="s">
        <v>22</v>
      </c>
      <c r="C82" s="2495"/>
      <c r="D82" s="2498">
        <f>+D83+D85</f>
        <v>250000</v>
      </c>
      <c r="E82" s="2498">
        <f t="shared" ref="E82:L82" si="59">+E83+E85</f>
        <v>0</v>
      </c>
      <c r="F82" s="2498">
        <f t="shared" si="59"/>
        <v>0</v>
      </c>
      <c r="G82" s="2498">
        <f t="shared" si="59"/>
        <v>224590</v>
      </c>
      <c r="H82" s="2498">
        <f t="shared" si="59"/>
        <v>25410</v>
      </c>
      <c r="I82" s="2498">
        <f t="shared" si="59"/>
        <v>0</v>
      </c>
      <c r="J82" s="2498">
        <f t="shared" si="59"/>
        <v>0</v>
      </c>
      <c r="K82" s="2498">
        <f t="shared" si="59"/>
        <v>0</v>
      </c>
      <c r="L82" s="2498">
        <f t="shared" si="59"/>
        <v>0</v>
      </c>
      <c r="M82" s="4125"/>
      <c r="N82" s="4125"/>
      <c r="O82" s="4123"/>
    </row>
    <row r="83" spans="1:109" ht="12">
      <c r="A83" s="4120"/>
      <c r="B83" s="2505" t="s">
        <v>24</v>
      </c>
      <c r="C83" s="4128" t="s">
        <v>149</v>
      </c>
      <c r="D83" s="2506">
        <f>+D84</f>
        <v>39300</v>
      </c>
      <c r="E83" s="2506">
        <f t="shared" ref="E83:L83" si="60">+E84</f>
        <v>0</v>
      </c>
      <c r="F83" s="2506">
        <f t="shared" si="60"/>
        <v>0</v>
      </c>
      <c r="G83" s="2506">
        <f t="shared" si="60"/>
        <v>35306</v>
      </c>
      <c r="H83" s="2506">
        <f t="shared" si="60"/>
        <v>3994</v>
      </c>
      <c r="I83" s="2506">
        <f t="shared" si="60"/>
        <v>0</v>
      </c>
      <c r="J83" s="2506">
        <f t="shared" si="60"/>
        <v>0</v>
      </c>
      <c r="K83" s="2506">
        <f t="shared" si="60"/>
        <v>0</v>
      </c>
      <c r="L83" s="2506">
        <f t="shared" si="60"/>
        <v>0</v>
      </c>
      <c r="M83" s="4126"/>
      <c r="N83" s="4126"/>
      <c r="O83" s="4123"/>
    </row>
    <row r="84" spans="1:109" ht="12">
      <c r="A84" s="4120"/>
      <c r="B84" s="2507" t="s">
        <v>13</v>
      </c>
      <c r="C84" s="4129"/>
      <c r="D84" s="2499">
        <f>E84+F84+G84+H84+I84+J84+K84+L84</f>
        <v>39300</v>
      </c>
      <c r="E84" s="2508">
        <v>0</v>
      </c>
      <c r="F84" s="2509">
        <v>0</v>
      </c>
      <c r="G84" s="2509">
        <v>35306</v>
      </c>
      <c r="H84" s="2509">
        <v>3994</v>
      </c>
      <c r="I84" s="2509"/>
      <c r="J84" s="2509"/>
      <c r="K84" s="2509"/>
      <c r="L84" s="2509"/>
      <c r="M84" s="4126"/>
      <c r="N84" s="4126"/>
      <c r="O84" s="4123"/>
    </row>
    <row r="85" spans="1:109" ht="12" customHeight="1">
      <c r="A85" s="4120"/>
      <c r="B85" s="2510" t="s">
        <v>18</v>
      </c>
      <c r="C85" s="4129"/>
      <c r="D85" s="2511">
        <f>+D86</f>
        <v>210700</v>
      </c>
      <c r="E85" s="2511">
        <f t="shared" ref="E85:L85" si="61">+E86</f>
        <v>0</v>
      </c>
      <c r="F85" s="2511">
        <f t="shared" si="61"/>
        <v>0</v>
      </c>
      <c r="G85" s="2511">
        <f t="shared" si="61"/>
        <v>189284</v>
      </c>
      <c r="H85" s="2511">
        <f t="shared" si="61"/>
        <v>21416</v>
      </c>
      <c r="I85" s="2511">
        <f t="shared" si="61"/>
        <v>0</v>
      </c>
      <c r="J85" s="2511">
        <f t="shared" si="61"/>
        <v>0</v>
      </c>
      <c r="K85" s="2511">
        <f t="shared" si="61"/>
        <v>0</v>
      </c>
      <c r="L85" s="2511">
        <f t="shared" si="61"/>
        <v>0</v>
      </c>
      <c r="M85" s="4126"/>
      <c r="N85" s="4126"/>
      <c r="O85" s="4123"/>
    </row>
    <row r="86" spans="1:109" ht="12.75" thickBot="1">
      <c r="A86" s="4121"/>
      <c r="B86" s="2512" t="s">
        <v>21</v>
      </c>
      <c r="C86" s="4130"/>
      <c r="D86" s="2330">
        <f>E86+F86+G86+H86+I86+J86+K86+L86</f>
        <v>210700</v>
      </c>
      <c r="E86" s="2513">
        <v>0</v>
      </c>
      <c r="F86" s="2514">
        <v>0</v>
      </c>
      <c r="G86" s="2514">
        <v>189284</v>
      </c>
      <c r="H86" s="2514">
        <v>21416</v>
      </c>
      <c r="I86" s="2514"/>
      <c r="J86" s="2514"/>
      <c r="K86" s="2514"/>
      <c r="L86" s="2514"/>
      <c r="M86" s="4127"/>
      <c r="N86" s="4127"/>
      <c r="O86" s="4124"/>
    </row>
    <row r="87" spans="1:109" ht="12.75">
      <c r="A87" s="2515"/>
      <c r="B87" s="2516"/>
      <c r="C87" s="2517"/>
      <c r="D87" s="2518"/>
      <c r="E87" s="2519"/>
      <c r="F87" s="2520"/>
      <c r="G87" s="2520"/>
      <c r="H87" s="2520"/>
      <c r="I87" s="2520"/>
      <c r="J87" s="2520"/>
      <c r="K87" s="2520"/>
      <c r="L87" s="2520"/>
      <c r="M87" s="2521"/>
      <c r="N87" s="2521"/>
      <c r="O87" s="2522"/>
    </row>
    <row r="88" spans="1:109" ht="12.75">
      <c r="A88" s="2515"/>
      <c r="B88" s="2516"/>
      <c r="C88" s="2517"/>
      <c r="D88" s="2518"/>
      <c r="E88" s="2519"/>
      <c r="F88" s="2520"/>
      <c r="G88" s="2520"/>
      <c r="H88" s="2520"/>
      <c r="I88" s="2520"/>
      <c r="J88" s="2520"/>
      <c r="K88" s="2520"/>
      <c r="L88" s="2520"/>
      <c r="M88" s="2521"/>
      <c r="N88" s="2521"/>
      <c r="O88" s="2522"/>
    </row>
    <row r="89" spans="1:109" ht="12.75">
      <c r="A89" s="2515"/>
      <c r="B89" s="2516"/>
      <c r="C89" s="2517"/>
      <c r="D89" s="2518"/>
      <c r="E89" s="2519"/>
      <c r="F89" s="2520"/>
      <c r="G89" s="2520"/>
      <c r="H89" s="2520"/>
      <c r="I89" s="2520"/>
      <c r="J89" s="2520"/>
      <c r="K89" s="2520"/>
      <c r="L89" s="2520"/>
      <c r="M89" s="2521"/>
      <c r="N89" s="2521"/>
      <c r="O89" s="2522"/>
    </row>
    <row r="90" spans="1:109" ht="12.75">
      <c r="A90" s="2515"/>
      <c r="B90" s="2516"/>
      <c r="C90" s="2517"/>
      <c r="D90" s="2518"/>
      <c r="E90" s="2519"/>
      <c r="F90" s="2520"/>
      <c r="G90" s="2520"/>
      <c r="H90" s="2520"/>
      <c r="I90" s="2520"/>
      <c r="J90" s="2520"/>
      <c r="K90" s="2520"/>
      <c r="L90" s="2520"/>
      <c r="M90" s="2521"/>
      <c r="N90" s="2521"/>
      <c r="O90" s="2522"/>
    </row>
    <row r="91" spans="1:109" ht="9" customHeight="1">
      <c r="A91" s="2515"/>
      <c r="B91" s="2523"/>
      <c r="C91" s="2524"/>
      <c r="D91" s="2525"/>
      <c r="E91" s="2526"/>
      <c r="F91" s="2526"/>
      <c r="G91" s="2526"/>
      <c r="H91" s="2526"/>
      <c r="I91" s="2527"/>
      <c r="J91" s="2527"/>
      <c r="K91" s="2527"/>
      <c r="L91" s="2527"/>
      <c r="M91" s="2528"/>
      <c r="N91" s="2528"/>
      <c r="O91" s="2524"/>
    </row>
    <row r="92" spans="1:109" s="2532" customFormat="1" ht="26.25" hidden="1" customHeight="1" thickBot="1">
      <c r="A92" s="4140" t="s">
        <v>136</v>
      </c>
      <c r="B92" s="4140"/>
      <c r="C92" s="4140"/>
      <c r="D92" s="4140"/>
      <c r="E92" s="4140"/>
      <c r="F92" s="4140"/>
      <c r="G92" s="4140"/>
      <c r="H92" s="4140"/>
      <c r="I92" s="4140"/>
      <c r="J92" s="4140"/>
      <c r="K92" s="4140"/>
      <c r="L92" s="4140"/>
      <c r="M92" s="2529"/>
      <c r="N92" s="2529"/>
      <c r="O92" s="2530"/>
      <c r="P92" s="2531"/>
      <c r="Q92" s="2531"/>
      <c r="R92" s="2531"/>
      <c r="S92" s="2531"/>
      <c r="T92" s="2531"/>
      <c r="U92" s="2531"/>
      <c r="V92" s="2531"/>
      <c r="W92" s="2531"/>
      <c r="X92" s="2531"/>
      <c r="Y92" s="2531"/>
      <c r="Z92" s="2531"/>
      <c r="AA92" s="2531"/>
      <c r="AB92" s="2531"/>
      <c r="AC92" s="2531"/>
      <c r="AD92" s="2531"/>
      <c r="AE92" s="2531"/>
      <c r="AF92" s="2531"/>
      <c r="AG92" s="2531"/>
      <c r="AH92" s="2531"/>
      <c r="AI92" s="2531"/>
      <c r="AJ92" s="2531"/>
      <c r="AK92" s="2531"/>
      <c r="AL92" s="2531"/>
      <c r="AM92" s="2531"/>
      <c r="AN92" s="2531"/>
      <c r="AO92" s="2531"/>
      <c r="AP92" s="2531"/>
      <c r="AQ92" s="2531"/>
      <c r="AR92" s="2531"/>
      <c r="AS92" s="2531"/>
      <c r="AT92" s="2531"/>
      <c r="AU92" s="2531"/>
      <c r="AV92" s="2531"/>
      <c r="AW92" s="2531"/>
      <c r="AX92" s="2531"/>
      <c r="AY92" s="2531"/>
      <c r="AZ92" s="2531"/>
      <c r="BA92" s="2531"/>
      <c r="BB92" s="2531"/>
      <c r="BC92" s="2531"/>
      <c r="BD92" s="2531"/>
      <c r="BE92" s="2531"/>
      <c r="BF92" s="2531"/>
      <c r="BG92" s="2531"/>
      <c r="BH92" s="2531"/>
      <c r="BI92" s="2531"/>
      <c r="BJ92" s="2531"/>
      <c r="BK92" s="2531"/>
      <c r="BL92" s="2531"/>
      <c r="BM92" s="2531"/>
      <c r="BN92" s="2531"/>
      <c r="BO92" s="2531"/>
      <c r="BP92" s="2531"/>
      <c r="BQ92" s="2531"/>
      <c r="BR92" s="2531"/>
      <c r="BS92" s="2531"/>
      <c r="BT92" s="2531"/>
      <c r="BU92" s="2531"/>
      <c r="BV92" s="2531"/>
      <c r="BW92" s="2531"/>
      <c r="BX92" s="2531"/>
      <c r="BY92" s="2531"/>
      <c r="BZ92" s="2531"/>
      <c r="CA92" s="2531"/>
      <c r="CB92" s="2531"/>
      <c r="CC92" s="2531"/>
      <c r="CD92" s="2531"/>
      <c r="CE92" s="2531"/>
      <c r="CF92" s="2531"/>
      <c r="CG92" s="2531"/>
      <c r="CH92" s="2531"/>
      <c r="CI92" s="2531"/>
      <c r="CJ92" s="2531"/>
      <c r="CK92" s="2531"/>
      <c r="CL92" s="2531"/>
      <c r="CM92" s="2531"/>
      <c r="CN92" s="2531"/>
      <c r="CO92" s="2531"/>
      <c r="CP92" s="2531"/>
      <c r="CQ92" s="2531"/>
      <c r="CR92" s="2531"/>
      <c r="CS92" s="2531"/>
      <c r="CT92" s="2531"/>
      <c r="CU92" s="2531"/>
      <c r="CV92" s="2531"/>
      <c r="CW92" s="2531"/>
      <c r="CX92" s="2531"/>
      <c r="CY92" s="2531"/>
      <c r="CZ92" s="2531"/>
      <c r="DA92" s="2531"/>
      <c r="DB92" s="2531"/>
      <c r="DC92" s="2531"/>
      <c r="DD92" s="2531"/>
      <c r="DE92" s="2531"/>
    </row>
    <row r="93" spans="1:109" s="2391" customFormat="1" ht="14.25" hidden="1" customHeight="1">
      <c r="A93" s="2432"/>
      <c r="B93" s="2533" t="s">
        <v>76</v>
      </c>
      <c r="C93" s="2534"/>
      <c r="D93" s="2535">
        <f>+D94+D95</f>
        <v>0</v>
      </c>
      <c r="E93" s="2535">
        <f t="shared" ref="E93:L93" si="62">+E94+E95</f>
        <v>0</v>
      </c>
      <c r="F93" s="2535">
        <f t="shared" si="62"/>
        <v>0</v>
      </c>
      <c r="G93" s="2535">
        <f t="shared" si="62"/>
        <v>0</v>
      </c>
      <c r="H93" s="2535">
        <f t="shared" si="62"/>
        <v>0</v>
      </c>
      <c r="I93" s="2535">
        <f t="shared" si="62"/>
        <v>0</v>
      </c>
      <c r="J93" s="2535">
        <f t="shared" si="62"/>
        <v>0</v>
      </c>
      <c r="K93" s="2535">
        <f t="shared" si="62"/>
        <v>0</v>
      </c>
      <c r="L93" s="2535">
        <f t="shared" si="62"/>
        <v>0</v>
      </c>
      <c r="M93" s="2536">
        <f>+M94+M95</f>
        <v>0</v>
      </c>
      <c r="N93" s="2536">
        <f>+N94+N95</f>
        <v>0</v>
      </c>
      <c r="O93" s="4193"/>
    </row>
    <row r="94" spans="1:109" s="2391" customFormat="1" ht="13.5" hidden="1" customHeight="1">
      <c r="A94" s="2432"/>
      <c r="B94" s="2404" t="s">
        <v>77</v>
      </c>
      <c r="C94" s="2405"/>
      <c r="D94" s="2537">
        <v>0</v>
      </c>
      <c r="E94" s="2537">
        <v>0</v>
      </c>
      <c r="F94" s="2537">
        <v>0</v>
      </c>
      <c r="G94" s="2537">
        <v>0</v>
      </c>
      <c r="H94" s="2537">
        <v>0</v>
      </c>
      <c r="I94" s="2537">
        <v>0</v>
      </c>
      <c r="J94" s="2537">
        <v>0</v>
      </c>
      <c r="K94" s="2537">
        <v>0</v>
      </c>
      <c r="L94" s="2537">
        <v>0</v>
      </c>
      <c r="M94" s="2538">
        <f>SUM(E94:G94)</f>
        <v>0</v>
      </c>
      <c r="N94" s="2538">
        <f>SUM(F94:H94)</f>
        <v>0</v>
      </c>
      <c r="O94" s="4194"/>
    </row>
    <row r="95" spans="1:109" s="2391" customFormat="1" ht="13.5" hidden="1" customHeight="1" thickBot="1">
      <c r="A95" s="2432"/>
      <c r="B95" s="2539" t="s">
        <v>9</v>
      </c>
      <c r="C95" s="2540"/>
      <c r="D95" s="2541">
        <f>+D112+D116+D121+D133</f>
        <v>0</v>
      </c>
      <c r="E95" s="2541">
        <f t="shared" ref="E95:F95" si="63">+E112+E116+E121+E133</f>
        <v>0</v>
      </c>
      <c r="F95" s="2541">
        <f t="shared" si="63"/>
        <v>0</v>
      </c>
      <c r="G95" s="2541">
        <f t="shared" ref="G95:L95" si="64">+G112+G116+G121+G133</f>
        <v>0</v>
      </c>
      <c r="H95" s="2541">
        <f t="shared" si="64"/>
        <v>0</v>
      </c>
      <c r="I95" s="2541">
        <f t="shared" si="64"/>
        <v>0</v>
      </c>
      <c r="J95" s="2541">
        <f t="shared" si="64"/>
        <v>0</v>
      </c>
      <c r="K95" s="2541">
        <f t="shared" si="64"/>
        <v>0</v>
      </c>
      <c r="L95" s="2541">
        <f t="shared" si="64"/>
        <v>0</v>
      </c>
      <c r="M95" s="2538">
        <f>SUM(E95:G95)</f>
        <v>0</v>
      </c>
      <c r="N95" s="2538">
        <f>SUM(F95:H95)</f>
        <v>0</v>
      </c>
      <c r="O95" s="4194"/>
    </row>
    <row r="96" spans="1:109" s="2532" customFormat="1" ht="13.5" hidden="1" customHeight="1">
      <c r="A96" s="2432"/>
      <c r="B96" s="2542" t="s">
        <v>10</v>
      </c>
      <c r="C96" s="2543"/>
      <c r="D96" s="2544">
        <f>D97+D101</f>
        <v>0</v>
      </c>
      <c r="E96" s="2544">
        <f>+E97+E101</f>
        <v>0</v>
      </c>
      <c r="F96" s="2544">
        <f t="shared" ref="F96:L96" si="65">+F97+F101</f>
        <v>0</v>
      </c>
      <c r="G96" s="2544">
        <f t="shared" si="65"/>
        <v>0</v>
      </c>
      <c r="H96" s="2544">
        <f t="shared" si="65"/>
        <v>0</v>
      </c>
      <c r="I96" s="2544">
        <f t="shared" si="65"/>
        <v>0</v>
      </c>
      <c r="J96" s="2544">
        <f t="shared" si="65"/>
        <v>0</v>
      </c>
      <c r="K96" s="2544">
        <f t="shared" si="65"/>
        <v>0</v>
      </c>
      <c r="L96" s="2544">
        <f t="shared" si="65"/>
        <v>0</v>
      </c>
      <c r="M96" s="2545" t="e">
        <f>+M97</f>
        <v>#REF!</v>
      </c>
      <c r="N96" s="2545" t="e">
        <f>+N97</f>
        <v>#REF!</v>
      </c>
      <c r="O96" s="4193"/>
      <c r="P96" s="2531"/>
      <c r="Q96" s="2531"/>
      <c r="R96" s="2531"/>
      <c r="S96" s="2531"/>
      <c r="T96" s="2531"/>
      <c r="U96" s="2531"/>
      <c r="V96" s="2531"/>
      <c r="W96" s="2531"/>
      <c r="X96" s="2531"/>
      <c r="Y96" s="2531"/>
      <c r="Z96" s="2531"/>
      <c r="AA96" s="2531"/>
      <c r="AB96" s="2531"/>
      <c r="AC96" s="2531"/>
      <c r="AD96" s="2531"/>
      <c r="AE96" s="2531"/>
      <c r="AF96" s="2531"/>
      <c r="AG96" s="2531"/>
      <c r="AH96" s="2531"/>
      <c r="AI96" s="2531"/>
      <c r="AJ96" s="2531"/>
      <c r="AK96" s="2531"/>
      <c r="AL96" s="2531"/>
      <c r="AM96" s="2531"/>
      <c r="AN96" s="2531"/>
      <c r="AO96" s="2531"/>
      <c r="AP96" s="2531"/>
      <c r="AQ96" s="2531"/>
      <c r="AR96" s="2531"/>
      <c r="AS96" s="2531"/>
      <c r="AT96" s="2531"/>
      <c r="AU96" s="2531"/>
      <c r="AV96" s="2531"/>
      <c r="AW96" s="2531"/>
      <c r="AX96" s="2531"/>
      <c r="AY96" s="2531"/>
      <c r="AZ96" s="2531"/>
      <c r="BA96" s="2531"/>
      <c r="BB96" s="2531"/>
      <c r="BC96" s="2531"/>
      <c r="BD96" s="2531"/>
      <c r="BE96" s="2531"/>
      <c r="BF96" s="2531"/>
      <c r="BG96" s="2531"/>
      <c r="BH96" s="2531"/>
      <c r="BI96" s="2531"/>
      <c r="BJ96" s="2531"/>
      <c r="BK96" s="2531"/>
      <c r="BL96" s="2531"/>
      <c r="BM96" s="2531"/>
      <c r="BN96" s="2531"/>
      <c r="BO96" s="2531"/>
      <c r="BP96" s="2531"/>
      <c r="BQ96" s="2531"/>
      <c r="BR96" s="2531"/>
      <c r="BS96" s="2531"/>
      <c r="BT96" s="2531"/>
      <c r="BU96" s="2531"/>
      <c r="BV96" s="2531"/>
      <c r="BW96" s="2531"/>
      <c r="BX96" s="2531"/>
      <c r="BY96" s="2531"/>
      <c r="BZ96" s="2531"/>
      <c r="CA96" s="2531"/>
      <c r="CB96" s="2531"/>
      <c r="CC96" s="2531"/>
      <c r="CD96" s="2531"/>
      <c r="CE96" s="2531"/>
      <c r="CF96" s="2531"/>
      <c r="CG96" s="2531"/>
      <c r="CH96" s="2531"/>
      <c r="CI96" s="2531"/>
      <c r="CJ96" s="2531"/>
      <c r="CK96" s="2531"/>
      <c r="CL96" s="2531"/>
      <c r="CM96" s="2531"/>
      <c r="CN96" s="2531"/>
      <c r="CO96" s="2531"/>
      <c r="CP96" s="2531"/>
      <c r="CQ96" s="2531"/>
      <c r="CR96" s="2531"/>
      <c r="CS96" s="2531"/>
      <c r="CT96" s="2531"/>
      <c r="CU96" s="2531"/>
      <c r="CV96" s="2531"/>
      <c r="CW96" s="2531"/>
      <c r="CX96" s="2531"/>
      <c r="CY96" s="2531"/>
      <c r="CZ96" s="2531"/>
      <c r="DA96" s="2531"/>
      <c r="DB96" s="2531"/>
      <c r="DC96" s="2531"/>
      <c r="DD96" s="2531"/>
      <c r="DE96" s="2531"/>
    </row>
    <row r="97" spans="1:109" s="2532" customFormat="1" ht="13.5" hidden="1" customHeight="1">
      <c r="A97" s="2432"/>
      <c r="B97" s="2546" t="s">
        <v>11</v>
      </c>
      <c r="C97" s="2547"/>
      <c r="D97" s="2547">
        <f>+D98+D99+D100</f>
        <v>0</v>
      </c>
      <c r="E97" s="2547">
        <f t="shared" ref="E97:L97" si="66">+E98+E99+E100</f>
        <v>0</v>
      </c>
      <c r="F97" s="2547">
        <f t="shared" si="66"/>
        <v>0</v>
      </c>
      <c r="G97" s="2547">
        <f t="shared" si="66"/>
        <v>0</v>
      </c>
      <c r="H97" s="2547">
        <f t="shared" si="66"/>
        <v>0</v>
      </c>
      <c r="I97" s="2547">
        <f t="shared" si="66"/>
        <v>0</v>
      </c>
      <c r="J97" s="2547">
        <f t="shared" si="66"/>
        <v>0</v>
      </c>
      <c r="K97" s="2547">
        <f t="shared" si="66"/>
        <v>0</v>
      </c>
      <c r="L97" s="2547">
        <f t="shared" si="66"/>
        <v>0</v>
      </c>
      <c r="M97" s="2548" t="e">
        <f>+M100+M99</f>
        <v>#REF!</v>
      </c>
      <c r="N97" s="2548" t="e">
        <f>+N100+N99</f>
        <v>#REF!</v>
      </c>
      <c r="O97" s="4194"/>
      <c r="P97" s="2531"/>
      <c r="Q97" s="2531"/>
      <c r="R97" s="2531"/>
      <c r="S97" s="2531"/>
      <c r="T97" s="2531"/>
      <c r="U97" s="2531"/>
      <c r="V97" s="2531"/>
      <c r="W97" s="2531"/>
      <c r="X97" s="2531"/>
      <c r="Y97" s="2531"/>
      <c r="Z97" s="2531"/>
      <c r="AA97" s="2531"/>
      <c r="AB97" s="2531"/>
      <c r="AC97" s="2531"/>
      <c r="AD97" s="2531"/>
      <c r="AE97" s="2531"/>
      <c r="AF97" s="2531"/>
      <c r="AG97" s="2531"/>
      <c r="AH97" s="2531"/>
      <c r="AI97" s="2531"/>
      <c r="AJ97" s="2531"/>
      <c r="AK97" s="2531"/>
      <c r="AL97" s="2531"/>
      <c r="AM97" s="2531"/>
      <c r="AN97" s="2531"/>
      <c r="AO97" s="2531"/>
      <c r="AP97" s="2531"/>
      <c r="AQ97" s="2531"/>
      <c r="AR97" s="2531"/>
      <c r="AS97" s="2531"/>
      <c r="AT97" s="2531"/>
      <c r="AU97" s="2531"/>
      <c r="AV97" s="2531"/>
      <c r="AW97" s="2531"/>
      <c r="AX97" s="2531"/>
      <c r="AY97" s="2531"/>
      <c r="AZ97" s="2531"/>
      <c r="BA97" s="2531"/>
      <c r="BB97" s="2531"/>
      <c r="BC97" s="2531"/>
      <c r="BD97" s="2531"/>
      <c r="BE97" s="2531"/>
      <c r="BF97" s="2531"/>
      <c r="BG97" s="2531"/>
      <c r="BH97" s="2531"/>
      <c r="BI97" s="2531"/>
      <c r="BJ97" s="2531"/>
      <c r="BK97" s="2531"/>
      <c r="BL97" s="2531"/>
      <c r="BM97" s="2531"/>
      <c r="BN97" s="2531"/>
      <c r="BO97" s="2531"/>
      <c r="BP97" s="2531"/>
      <c r="BQ97" s="2531"/>
      <c r="BR97" s="2531"/>
      <c r="BS97" s="2531"/>
      <c r="BT97" s="2531"/>
      <c r="BU97" s="2531"/>
      <c r="BV97" s="2531"/>
      <c r="BW97" s="2531"/>
      <c r="BX97" s="2531"/>
      <c r="BY97" s="2531"/>
      <c r="BZ97" s="2531"/>
      <c r="CA97" s="2531"/>
      <c r="CB97" s="2531"/>
      <c r="CC97" s="2531"/>
      <c r="CD97" s="2531"/>
      <c r="CE97" s="2531"/>
      <c r="CF97" s="2531"/>
      <c r="CG97" s="2531"/>
      <c r="CH97" s="2531"/>
      <c r="CI97" s="2531"/>
      <c r="CJ97" s="2531"/>
      <c r="CK97" s="2531"/>
      <c r="CL97" s="2531"/>
      <c r="CM97" s="2531"/>
      <c r="CN97" s="2531"/>
      <c r="CO97" s="2531"/>
      <c r="CP97" s="2531"/>
      <c r="CQ97" s="2531"/>
      <c r="CR97" s="2531"/>
      <c r="CS97" s="2531"/>
      <c r="CT97" s="2531"/>
      <c r="CU97" s="2531"/>
      <c r="CV97" s="2531"/>
      <c r="CW97" s="2531"/>
      <c r="CX97" s="2531"/>
      <c r="CY97" s="2531"/>
      <c r="CZ97" s="2531"/>
      <c r="DA97" s="2531"/>
      <c r="DB97" s="2531"/>
      <c r="DC97" s="2531"/>
      <c r="DD97" s="2531"/>
      <c r="DE97" s="2531"/>
    </row>
    <row r="98" spans="1:109" s="2532" customFormat="1" ht="13.5" hidden="1" customHeight="1">
      <c r="A98" s="2432"/>
      <c r="B98" s="2549" t="s">
        <v>137</v>
      </c>
      <c r="C98" s="2550"/>
      <c r="D98" s="2550">
        <f>+D120</f>
        <v>0</v>
      </c>
      <c r="E98" s="2550">
        <f t="shared" ref="E98:F98" si="67">+E120</f>
        <v>0</v>
      </c>
      <c r="F98" s="2550">
        <f t="shared" si="67"/>
        <v>0</v>
      </c>
      <c r="G98" s="2550">
        <v>0</v>
      </c>
      <c r="H98" s="2550">
        <v>0</v>
      </c>
      <c r="I98" s="2550">
        <v>0</v>
      </c>
      <c r="J98" s="2550">
        <v>0</v>
      </c>
      <c r="K98" s="2550">
        <v>0</v>
      </c>
      <c r="L98" s="2550">
        <v>0</v>
      </c>
      <c r="M98" s="2551" t="s">
        <v>61</v>
      </c>
      <c r="N98" s="2551" t="s">
        <v>61</v>
      </c>
      <c r="O98" s="4194"/>
      <c r="P98" s="2531"/>
      <c r="Q98" s="2531"/>
      <c r="R98" s="2531"/>
      <c r="S98" s="2531"/>
      <c r="T98" s="2531"/>
      <c r="U98" s="2531"/>
      <c r="V98" s="2531"/>
      <c r="W98" s="2531"/>
      <c r="X98" s="2531"/>
      <c r="Y98" s="2531"/>
      <c r="Z98" s="2531"/>
      <c r="AA98" s="2531"/>
      <c r="AB98" s="2531"/>
      <c r="AC98" s="2531"/>
      <c r="AD98" s="2531"/>
      <c r="AE98" s="2531"/>
      <c r="AF98" s="2531"/>
      <c r="AG98" s="2531"/>
      <c r="AH98" s="2531"/>
      <c r="AI98" s="2531"/>
      <c r="AJ98" s="2531"/>
      <c r="AK98" s="2531"/>
      <c r="AL98" s="2531"/>
      <c r="AM98" s="2531"/>
      <c r="AN98" s="2531"/>
      <c r="AO98" s="2531"/>
      <c r="AP98" s="2531"/>
      <c r="AQ98" s="2531"/>
      <c r="AR98" s="2531"/>
      <c r="AS98" s="2531"/>
      <c r="AT98" s="2531"/>
      <c r="AU98" s="2531"/>
      <c r="AV98" s="2531"/>
      <c r="AW98" s="2531"/>
      <c r="AX98" s="2531"/>
      <c r="AY98" s="2531"/>
      <c r="AZ98" s="2531"/>
      <c r="BA98" s="2531"/>
      <c r="BB98" s="2531"/>
      <c r="BC98" s="2531"/>
      <c r="BD98" s="2531"/>
      <c r="BE98" s="2531"/>
      <c r="BF98" s="2531"/>
      <c r="BG98" s="2531"/>
      <c r="BH98" s="2531"/>
      <c r="BI98" s="2531"/>
      <c r="BJ98" s="2531"/>
      <c r="BK98" s="2531"/>
      <c r="BL98" s="2531"/>
      <c r="BM98" s="2531"/>
      <c r="BN98" s="2531"/>
      <c r="BO98" s="2531"/>
      <c r="BP98" s="2531"/>
      <c r="BQ98" s="2531"/>
      <c r="BR98" s="2531"/>
      <c r="BS98" s="2531"/>
      <c r="BT98" s="2531"/>
      <c r="BU98" s="2531"/>
      <c r="BV98" s="2531"/>
      <c r="BW98" s="2531"/>
      <c r="BX98" s="2531"/>
      <c r="BY98" s="2531"/>
      <c r="BZ98" s="2531"/>
      <c r="CA98" s="2531"/>
      <c r="CB98" s="2531"/>
      <c r="CC98" s="2531"/>
      <c r="CD98" s="2531"/>
      <c r="CE98" s="2531"/>
      <c r="CF98" s="2531"/>
      <c r="CG98" s="2531"/>
      <c r="CH98" s="2531"/>
      <c r="CI98" s="2531"/>
      <c r="CJ98" s="2531"/>
      <c r="CK98" s="2531"/>
      <c r="CL98" s="2531"/>
      <c r="CM98" s="2531"/>
      <c r="CN98" s="2531"/>
      <c r="CO98" s="2531"/>
      <c r="CP98" s="2531"/>
      <c r="CQ98" s="2531"/>
      <c r="CR98" s="2531"/>
      <c r="CS98" s="2531"/>
      <c r="CT98" s="2531"/>
      <c r="CU98" s="2531"/>
      <c r="CV98" s="2531"/>
      <c r="CW98" s="2531"/>
      <c r="CX98" s="2531"/>
      <c r="CY98" s="2531"/>
      <c r="CZ98" s="2531"/>
      <c r="DA98" s="2531"/>
      <c r="DB98" s="2531"/>
      <c r="DC98" s="2531"/>
      <c r="DD98" s="2531"/>
      <c r="DE98" s="2531"/>
    </row>
    <row r="99" spans="1:109" s="2532" customFormat="1" ht="13.5" hidden="1" customHeight="1">
      <c r="A99" s="2432"/>
      <c r="B99" s="2549" t="s">
        <v>138</v>
      </c>
      <c r="C99" s="2550"/>
      <c r="D99" s="2550">
        <f>+D121+D133</f>
        <v>0</v>
      </c>
      <c r="E99" s="2550">
        <f t="shared" ref="E99:I99" si="68">+E121+E133</f>
        <v>0</v>
      </c>
      <c r="F99" s="2550">
        <f t="shared" si="68"/>
        <v>0</v>
      </c>
      <c r="G99" s="2550">
        <f t="shared" si="68"/>
        <v>0</v>
      </c>
      <c r="H99" s="2550">
        <f t="shared" si="68"/>
        <v>0</v>
      </c>
      <c r="I99" s="2550">
        <f t="shared" si="68"/>
        <v>0</v>
      </c>
      <c r="J99" s="2550">
        <v>0</v>
      </c>
      <c r="K99" s="2550">
        <v>0</v>
      </c>
      <c r="L99" s="2550">
        <v>0</v>
      </c>
      <c r="M99" s="2552" t="e">
        <f>+H99+G99+F99+E99+#REF!</f>
        <v>#REF!</v>
      </c>
      <c r="N99" s="2552" t="e">
        <f>+I99+H99+G99+F99+#REF!</f>
        <v>#REF!</v>
      </c>
      <c r="O99" s="4194"/>
      <c r="P99" s="2531"/>
      <c r="Q99" s="2531"/>
      <c r="R99" s="2531"/>
      <c r="S99" s="2531"/>
      <c r="T99" s="2531"/>
      <c r="U99" s="2531"/>
      <c r="V99" s="2531"/>
      <c r="W99" s="2531"/>
      <c r="X99" s="2531"/>
      <c r="Y99" s="2531"/>
      <c r="Z99" s="2531"/>
      <c r="AA99" s="2531"/>
      <c r="AB99" s="2531"/>
      <c r="AC99" s="2531"/>
      <c r="AD99" s="2531"/>
      <c r="AE99" s="2531"/>
      <c r="AF99" s="2531"/>
      <c r="AG99" s="2531"/>
      <c r="AH99" s="2531"/>
      <c r="AI99" s="2531"/>
      <c r="AJ99" s="2531"/>
      <c r="AK99" s="2531"/>
      <c r="AL99" s="2531"/>
      <c r="AM99" s="2531"/>
      <c r="AN99" s="2531"/>
      <c r="AO99" s="2531"/>
      <c r="AP99" s="2531"/>
      <c r="AQ99" s="2531"/>
      <c r="AR99" s="2531"/>
      <c r="AS99" s="2531"/>
      <c r="AT99" s="2531"/>
      <c r="AU99" s="2531"/>
      <c r="AV99" s="2531"/>
      <c r="AW99" s="2531"/>
      <c r="AX99" s="2531"/>
      <c r="AY99" s="2531"/>
      <c r="AZ99" s="2531"/>
      <c r="BA99" s="2531"/>
      <c r="BB99" s="2531"/>
      <c r="BC99" s="2531"/>
      <c r="BD99" s="2531"/>
      <c r="BE99" s="2531"/>
      <c r="BF99" s="2531"/>
      <c r="BG99" s="2531"/>
      <c r="BH99" s="2531"/>
      <c r="BI99" s="2531"/>
      <c r="BJ99" s="2531"/>
      <c r="BK99" s="2531"/>
      <c r="BL99" s="2531"/>
      <c r="BM99" s="2531"/>
      <c r="BN99" s="2531"/>
      <c r="BO99" s="2531"/>
      <c r="BP99" s="2531"/>
      <c r="BQ99" s="2531"/>
      <c r="BR99" s="2531"/>
      <c r="BS99" s="2531"/>
      <c r="BT99" s="2531"/>
      <c r="BU99" s="2531"/>
      <c r="BV99" s="2531"/>
      <c r="BW99" s="2531"/>
      <c r="BX99" s="2531"/>
      <c r="BY99" s="2531"/>
      <c r="BZ99" s="2531"/>
      <c r="CA99" s="2531"/>
      <c r="CB99" s="2531"/>
      <c r="CC99" s="2531"/>
      <c r="CD99" s="2531"/>
      <c r="CE99" s="2531"/>
      <c r="CF99" s="2531"/>
      <c r="CG99" s="2531"/>
      <c r="CH99" s="2531"/>
      <c r="CI99" s="2531"/>
      <c r="CJ99" s="2531"/>
      <c r="CK99" s="2531"/>
      <c r="CL99" s="2531"/>
      <c r="CM99" s="2531"/>
      <c r="CN99" s="2531"/>
      <c r="CO99" s="2531"/>
      <c r="CP99" s="2531"/>
      <c r="CQ99" s="2531"/>
      <c r="CR99" s="2531"/>
      <c r="CS99" s="2531"/>
      <c r="CT99" s="2531"/>
      <c r="CU99" s="2531"/>
      <c r="CV99" s="2531"/>
      <c r="CW99" s="2531"/>
      <c r="CX99" s="2531"/>
      <c r="CY99" s="2531"/>
      <c r="CZ99" s="2531"/>
      <c r="DA99" s="2531"/>
      <c r="DB99" s="2531"/>
      <c r="DC99" s="2531"/>
      <c r="DD99" s="2531"/>
      <c r="DE99" s="2531"/>
    </row>
    <row r="100" spans="1:109" s="2557" customFormat="1" ht="13.5" hidden="1" customHeight="1">
      <c r="A100" s="2398"/>
      <c r="B100" s="2553" t="s">
        <v>12</v>
      </c>
      <c r="C100" s="2554"/>
      <c r="D100" s="2554">
        <f>+D112+D116</f>
        <v>0</v>
      </c>
      <c r="E100" s="2554">
        <f t="shared" ref="E100:F100" si="69">+E112+E116</f>
        <v>0</v>
      </c>
      <c r="F100" s="2554">
        <f t="shared" si="69"/>
        <v>0</v>
      </c>
      <c r="G100" s="2554">
        <v>0</v>
      </c>
      <c r="H100" s="2554">
        <v>0</v>
      </c>
      <c r="I100" s="2554">
        <v>0</v>
      </c>
      <c r="J100" s="2554"/>
      <c r="K100" s="2554"/>
      <c r="L100" s="2554"/>
      <c r="M100" s="2555">
        <f>SUM(E100:F100)</f>
        <v>0</v>
      </c>
      <c r="N100" s="2555">
        <f>SUM(F100:G100)</f>
        <v>0</v>
      </c>
      <c r="O100" s="4194"/>
      <c r="P100" s="2556"/>
      <c r="Q100" s="2556"/>
      <c r="R100" s="2556"/>
      <c r="S100" s="2556"/>
      <c r="T100" s="2556"/>
      <c r="U100" s="2556"/>
      <c r="V100" s="2556"/>
      <c r="W100" s="2556"/>
      <c r="X100" s="2556"/>
      <c r="Y100" s="2556"/>
      <c r="Z100" s="2556"/>
      <c r="AA100" s="2556"/>
      <c r="AB100" s="2556"/>
      <c r="AC100" s="2556"/>
      <c r="AD100" s="2556"/>
      <c r="AE100" s="2556"/>
      <c r="AF100" s="2556"/>
      <c r="AG100" s="2556"/>
      <c r="AH100" s="2556"/>
      <c r="AI100" s="2556"/>
      <c r="AJ100" s="2556"/>
      <c r="AK100" s="2556"/>
      <c r="AL100" s="2556"/>
      <c r="AM100" s="2556"/>
      <c r="AN100" s="2556"/>
      <c r="AO100" s="2556"/>
      <c r="AP100" s="2556"/>
      <c r="AQ100" s="2556"/>
      <c r="AR100" s="2556"/>
      <c r="AS100" s="2556"/>
      <c r="AT100" s="2556"/>
      <c r="AU100" s="2556"/>
      <c r="AV100" s="2556"/>
      <c r="AW100" s="2556"/>
      <c r="AX100" s="2556"/>
      <c r="AY100" s="2556"/>
      <c r="AZ100" s="2556"/>
      <c r="BA100" s="2556"/>
      <c r="BB100" s="2556"/>
      <c r="BC100" s="2556"/>
      <c r="BD100" s="2556"/>
      <c r="BE100" s="2556"/>
      <c r="BF100" s="2556"/>
      <c r="BG100" s="2556"/>
      <c r="BH100" s="2556"/>
      <c r="BI100" s="2556"/>
      <c r="BJ100" s="2556"/>
      <c r="BK100" s="2556"/>
      <c r="BL100" s="2556"/>
      <c r="BM100" s="2556"/>
      <c r="BN100" s="2556"/>
      <c r="BO100" s="2556"/>
      <c r="BP100" s="2556"/>
      <c r="BQ100" s="2556"/>
      <c r="BR100" s="2556"/>
      <c r="BS100" s="2556"/>
      <c r="BT100" s="2556"/>
      <c r="BU100" s="2556"/>
      <c r="BV100" s="2556"/>
      <c r="BW100" s="2556"/>
      <c r="BX100" s="2556"/>
      <c r="BY100" s="2556"/>
      <c r="BZ100" s="2556"/>
      <c r="CA100" s="2556"/>
      <c r="CB100" s="2556"/>
      <c r="CC100" s="2556"/>
      <c r="CD100" s="2556"/>
      <c r="CE100" s="2556"/>
      <c r="CF100" s="2556"/>
      <c r="CG100" s="2556"/>
      <c r="CH100" s="2556"/>
      <c r="CI100" s="2556"/>
      <c r="CJ100" s="2556"/>
      <c r="CK100" s="2556"/>
      <c r="CL100" s="2556"/>
      <c r="CM100" s="2556"/>
      <c r="CN100" s="2556"/>
      <c r="CO100" s="2556"/>
      <c r="CP100" s="2556"/>
      <c r="CQ100" s="2556"/>
      <c r="CR100" s="2556"/>
      <c r="CS100" s="2556"/>
      <c r="CT100" s="2556"/>
      <c r="CU100" s="2556"/>
      <c r="CV100" s="2556"/>
      <c r="CW100" s="2556"/>
      <c r="CX100" s="2556"/>
      <c r="CY100" s="2556"/>
      <c r="CZ100" s="2556"/>
      <c r="DA100" s="2556"/>
      <c r="DB100" s="2556"/>
      <c r="DC100" s="2556"/>
      <c r="DD100" s="2556"/>
      <c r="DE100" s="2556"/>
    </row>
    <row r="101" spans="1:109" s="2532" customFormat="1" ht="13.5" hidden="1" customHeight="1">
      <c r="A101" s="2432"/>
      <c r="B101" s="2546" t="s">
        <v>18</v>
      </c>
      <c r="C101" s="2558"/>
      <c r="D101" s="2559">
        <f>D102</f>
        <v>0</v>
      </c>
      <c r="E101" s="2559">
        <f t="shared" ref="E101:L101" si="70">E102</f>
        <v>0</v>
      </c>
      <c r="F101" s="2559">
        <f t="shared" si="70"/>
        <v>0</v>
      </c>
      <c r="G101" s="2558">
        <f t="shared" si="70"/>
        <v>0</v>
      </c>
      <c r="H101" s="2558">
        <f t="shared" si="70"/>
        <v>0</v>
      </c>
      <c r="I101" s="2558">
        <f t="shared" si="70"/>
        <v>0</v>
      </c>
      <c r="J101" s="2558">
        <f t="shared" si="70"/>
        <v>0</v>
      </c>
      <c r="K101" s="2558">
        <f t="shared" si="70"/>
        <v>0</v>
      </c>
      <c r="L101" s="2558">
        <f t="shared" si="70"/>
        <v>0</v>
      </c>
      <c r="M101" s="2560" t="s">
        <v>61</v>
      </c>
      <c r="N101" s="2560" t="s">
        <v>61</v>
      </c>
      <c r="O101" s="2561"/>
      <c r="P101" s="2531"/>
      <c r="Q101" s="2531"/>
      <c r="R101" s="2531"/>
      <c r="S101" s="2531"/>
      <c r="T101" s="2531"/>
      <c r="U101" s="2531"/>
      <c r="V101" s="2531"/>
      <c r="W101" s="2531"/>
      <c r="X101" s="2531"/>
      <c r="Y101" s="2531"/>
      <c r="Z101" s="2531"/>
      <c r="AA101" s="2531"/>
      <c r="AB101" s="2531"/>
      <c r="AC101" s="2531"/>
      <c r="AD101" s="2531"/>
      <c r="AE101" s="2531"/>
      <c r="AF101" s="2531"/>
      <c r="AG101" s="2531"/>
      <c r="AH101" s="2531"/>
      <c r="AI101" s="2531"/>
      <c r="AJ101" s="2531"/>
      <c r="AK101" s="2531"/>
      <c r="AL101" s="2531"/>
      <c r="AM101" s="2531"/>
      <c r="AN101" s="2531"/>
      <c r="AO101" s="2531"/>
      <c r="AP101" s="2531"/>
      <c r="AQ101" s="2531"/>
      <c r="AR101" s="2531"/>
      <c r="AS101" s="2531"/>
      <c r="AT101" s="2531"/>
      <c r="AU101" s="2531"/>
      <c r="AV101" s="2531"/>
      <c r="AW101" s="2531"/>
      <c r="AX101" s="2531"/>
      <c r="AY101" s="2531"/>
      <c r="AZ101" s="2531"/>
      <c r="BA101" s="2531"/>
      <c r="BB101" s="2531"/>
      <c r="BC101" s="2531"/>
      <c r="BD101" s="2531"/>
      <c r="BE101" s="2531"/>
      <c r="BF101" s="2531"/>
      <c r="BG101" s="2531"/>
      <c r="BH101" s="2531"/>
      <c r="BI101" s="2531"/>
      <c r="BJ101" s="2531"/>
      <c r="BK101" s="2531"/>
      <c r="BL101" s="2531"/>
      <c r="BM101" s="2531"/>
      <c r="BN101" s="2531"/>
      <c r="BO101" s="2531"/>
      <c r="BP101" s="2531"/>
      <c r="BQ101" s="2531"/>
      <c r="BR101" s="2531"/>
      <c r="BS101" s="2531"/>
      <c r="BT101" s="2531"/>
      <c r="BU101" s="2531"/>
      <c r="BV101" s="2531"/>
      <c r="BW101" s="2531"/>
      <c r="BX101" s="2531"/>
      <c r="BY101" s="2531"/>
      <c r="BZ101" s="2531"/>
      <c r="CA101" s="2531"/>
      <c r="CB101" s="2531"/>
      <c r="CC101" s="2531"/>
      <c r="CD101" s="2531"/>
      <c r="CE101" s="2531"/>
      <c r="CF101" s="2531"/>
      <c r="CG101" s="2531"/>
      <c r="CH101" s="2531"/>
      <c r="CI101" s="2531"/>
      <c r="CJ101" s="2531"/>
      <c r="CK101" s="2531"/>
      <c r="CL101" s="2531"/>
      <c r="CM101" s="2531"/>
      <c r="CN101" s="2531"/>
      <c r="CO101" s="2531"/>
      <c r="CP101" s="2531"/>
      <c r="CQ101" s="2531"/>
      <c r="CR101" s="2531"/>
      <c r="CS101" s="2531"/>
      <c r="CT101" s="2531"/>
      <c r="CU101" s="2531"/>
      <c r="CV101" s="2531"/>
      <c r="CW101" s="2531"/>
      <c r="CX101" s="2531"/>
      <c r="CY101" s="2531"/>
      <c r="CZ101" s="2531"/>
      <c r="DA101" s="2531"/>
      <c r="DB101" s="2531"/>
      <c r="DC101" s="2531"/>
      <c r="DD101" s="2531"/>
      <c r="DE101" s="2531"/>
    </row>
    <row r="102" spans="1:109" s="2532" customFormat="1" ht="13.5" hidden="1" customHeight="1">
      <c r="A102" s="2432"/>
      <c r="B102" s="2549" t="s">
        <v>35</v>
      </c>
      <c r="C102" s="2550"/>
      <c r="D102" s="2562">
        <f>D123</f>
        <v>0</v>
      </c>
      <c r="E102" s="2562">
        <f>E123</f>
        <v>0</v>
      </c>
      <c r="F102" s="2562">
        <v>0</v>
      </c>
      <c r="G102" s="2550">
        <v>0</v>
      </c>
      <c r="H102" s="2550">
        <v>0</v>
      </c>
      <c r="I102" s="2550">
        <v>0</v>
      </c>
      <c r="J102" s="2550">
        <v>0</v>
      </c>
      <c r="K102" s="2550">
        <v>0</v>
      </c>
      <c r="L102" s="2550">
        <v>0</v>
      </c>
      <c r="M102" s="2563" t="s">
        <v>61</v>
      </c>
      <c r="N102" s="2563" t="s">
        <v>61</v>
      </c>
      <c r="O102" s="2561"/>
      <c r="P102" s="2531"/>
      <c r="Q102" s="2531"/>
      <c r="R102" s="2531"/>
      <c r="S102" s="2531"/>
      <c r="T102" s="2531"/>
      <c r="U102" s="2531"/>
      <c r="V102" s="2531"/>
      <c r="W102" s="2531"/>
      <c r="X102" s="2531"/>
      <c r="Y102" s="2531"/>
      <c r="Z102" s="2531"/>
      <c r="AA102" s="2531"/>
      <c r="AB102" s="2531"/>
      <c r="AC102" s="2531"/>
      <c r="AD102" s="2531"/>
      <c r="AE102" s="2531"/>
      <c r="AF102" s="2531"/>
      <c r="AG102" s="2531"/>
      <c r="AH102" s="2531"/>
      <c r="AI102" s="2531"/>
      <c r="AJ102" s="2531"/>
      <c r="AK102" s="2531"/>
      <c r="AL102" s="2531"/>
      <c r="AM102" s="2531"/>
      <c r="AN102" s="2531"/>
      <c r="AO102" s="2531"/>
      <c r="AP102" s="2531"/>
      <c r="AQ102" s="2531"/>
      <c r="AR102" s="2531"/>
      <c r="AS102" s="2531"/>
      <c r="AT102" s="2531"/>
      <c r="AU102" s="2531"/>
      <c r="AV102" s="2531"/>
      <c r="AW102" s="2531"/>
      <c r="AX102" s="2531"/>
      <c r="AY102" s="2531"/>
      <c r="AZ102" s="2531"/>
      <c r="BA102" s="2531"/>
      <c r="BB102" s="2531"/>
      <c r="BC102" s="2531"/>
      <c r="BD102" s="2531"/>
      <c r="BE102" s="2531"/>
      <c r="BF102" s="2531"/>
      <c r="BG102" s="2531"/>
      <c r="BH102" s="2531"/>
      <c r="BI102" s="2531"/>
      <c r="BJ102" s="2531"/>
      <c r="BK102" s="2531"/>
      <c r="BL102" s="2531"/>
      <c r="BM102" s="2531"/>
      <c r="BN102" s="2531"/>
      <c r="BO102" s="2531"/>
      <c r="BP102" s="2531"/>
      <c r="BQ102" s="2531"/>
      <c r="BR102" s="2531"/>
      <c r="BS102" s="2531"/>
      <c r="BT102" s="2531"/>
      <c r="BU102" s="2531"/>
      <c r="BV102" s="2531"/>
      <c r="BW102" s="2531"/>
      <c r="BX102" s="2531"/>
      <c r="BY102" s="2531"/>
      <c r="BZ102" s="2531"/>
      <c r="CA102" s="2531"/>
      <c r="CB102" s="2531"/>
      <c r="CC102" s="2531"/>
      <c r="CD102" s="2531"/>
      <c r="CE102" s="2531"/>
      <c r="CF102" s="2531"/>
      <c r="CG102" s="2531"/>
      <c r="CH102" s="2531"/>
      <c r="CI102" s="2531"/>
      <c r="CJ102" s="2531"/>
      <c r="CK102" s="2531"/>
      <c r="CL102" s="2531"/>
      <c r="CM102" s="2531"/>
      <c r="CN102" s="2531"/>
      <c r="CO102" s="2531"/>
      <c r="CP102" s="2531"/>
      <c r="CQ102" s="2531"/>
      <c r="CR102" s="2531"/>
      <c r="CS102" s="2531"/>
      <c r="CT102" s="2531"/>
      <c r="CU102" s="2531"/>
      <c r="CV102" s="2531"/>
      <c r="CW102" s="2531"/>
      <c r="CX102" s="2531"/>
      <c r="CY102" s="2531"/>
      <c r="CZ102" s="2531"/>
      <c r="DA102" s="2531"/>
      <c r="DB102" s="2531"/>
      <c r="DC102" s="2531"/>
      <c r="DD102" s="2531"/>
      <c r="DE102" s="2531"/>
    </row>
    <row r="103" spans="1:109" s="2532" customFormat="1" ht="13.5" hidden="1" customHeight="1">
      <c r="A103" s="2432"/>
      <c r="B103" s="2564" t="s">
        <v>22</v>
      </c>
      <c r="C103" s="2565"/>
      <c r="D103" s="2566">
        <f>D104+D107</f>
        <v>0</v>
      </c>
      <c r="E103" s="2566">
        <f t="shared" ref="E103:L103" si="71">E104+E107</f>
        <v>0</v>
      </c>
      <c r="F103" s="2566">
        <f t="shared" si="71"/>
        <v>0</v>
      </c>
      <c r="G103" s="2566">
        <f t="shared" si="71"/>
        <v>0</v>
      </c>
      <c r="H103" s="2566">
        <f t="shared" si="71"/>
        <v>0</v>
      </c>
      <c r="I103" s="2566">
        <f t="shared" si="71"/>
        <v>0</v>
      </c>
      <c r="J103" s="2566">
        <f t="shared" si="71"/>
        <v>0</v>
      </c>
      <c r="K103" s="2566">
        <f t="shared" si="71"/>
        <v>0</v>
      </c>
      <c r="L103" s="2566">
        <f t="shared" si="71"/>
        <v>0</v>
      </c>
      <c r="M103" s="2567"/>
      <c r="N103" s="2567"/>
      <c r="O103" s="2561"/>
      <c r="P103" s="2531"/>
      <c r="Q103" s="2531"/>
      <c r="R103" s="2531"/>
      <c r="S103" s="2531"/>
      <c r="T103" s="2531"/>
      <c r="U103" s="2531"/>
      <c r="V103" s="2531"/>
      <c r="W103" s="2531"/>
      <c r="X103" s="2531"/>
      <c r="Y103" s="2531"/>
      <c r="Z103" s="2531"/>
      <c r="AA103" s="2531"/>
      <c r="AB103" s="2531"/>
      <c r="AC103" s="2531"/>
      <c r="AD103" s="2531"/>
      <c r="AE103" s="2531"/>
      <c r="AF103" s="2531"/>
      <c r="AG103" s="2531"/>
      <c r="AH103" s="2531"/>
      <c r="AI103" s="2531"/>
      <c r="AJ103" s="2531"/>
      <c r="AK103" s="2531"/>
      <c r="AL103" s="2531"/>
      <c r="AM103" s="2531"/>
      <c r="AN103" s="2531"/>
      <c r="AO103" s="2531"/>
      <c r="AP103" s="2531"/>
      <c r="AQ103" s="2531"/>
      <c r="AR103" s="2531"/>
      <c r="AS103" s="2531"/>
      <c r="AT103" s="2531"/>
      <c r="AU103" s="2531"/>
      <c r="AV103" s="2531"/>
      <c r="AW103" s="2531"/>
      <c r="AX103" s="2531"/>
      <c r="AY103" s="2531"/>
      <c r="AZ103" s="2531"/>
      <c r="BA103" s="2531"/>
      <c r="BB103" s="2531"/>
      <c r="BC103" s="2531"/>
      <c r="BD103" s="2531"/>
      <c r="BE103" s="2531"/>
      <c r="BF103" s="2531"/>
      <c r="BG103" s="2531"/>
      <c r="BH103" s="2531"/>
      <c r="BI103" s="2531"/>
      <c r="BJ103" s="2531"/>
      <c r="BK103" s="2531"/>
      <c r="BL103" s="2531"/>
      <c r="BM103" s="2531"/>
      <c r="BN103" s="2531"/>
      <c r="BO103" s="2531"/>
      <c r="BP103" s="2531"/>
      <c r="BQ103" s="2531"/>
      <c r="BR103" s="2531"/>
      <c r="BS103" s="2531"/>
      <c r="BT103" s="2531"/>
      <c r="BU103" s="2531"/>
      <c r="BV103" s="2531"/>
      <c r="BW103" s="2531"/>
      <c r="BX103" s="2531"/>
      <c r="BY103" s="2531"/>
      <c r="BZ103" s="2531"/>
      <c r="CA103" s="2531"/>
      <c r="CB103" s="2531"/>
      <c r="CC103" s="2531"/>
      <c r="CD103" s="2531"/>
      <c r="CE103" s="2531"/>
      <c r="CF103" s="2531"/>
      <c r="CG103" s="2531"/>
      <c r="CH103" s="2531"/>
      <c r="CI103" s="2531"/>
      <c r="CJ103" s="2531"/>
      <c r="CK103" s="2531"/>
      <c r="CL103" s="2531"/>
      <c r="CM103" s="2531"/>
      <c r="CN103" s="2531"/>
      <c r="CO103" s="2531"/>
      <c r="CP103" s="2531"/>
      <c r="CQ103" s="2531"/>
      <c r="CR103" s="2531"/>
      <c r="CS103" s="2531"/>
      <c r="CT103" s="2531"/>
      <c r="CU103" s="2531"/>
      <c r="CV103" s="2531"/>
      <c r="CW103" s="2531"/>
      <c r="CX103" s="2531"/>
      <c r="CY103" s="2531"/>
      <c r="CZ103" s="2531"/>
      <c r="DA103" s="2531"/>
      <c r="DB103" s="2531"/>
      <c r="DC103" s="2531"/>
      <c r="DD103" s="2531"/>
      <c r="DE103" s="2531"/>
    </row>
    <row r="104" spans="1:109" s="2532" customFormat="1" ht="13.5" hidden="1" customHeight="1">
      <c r="A104" s="2432"/>
      <c r="B104" s="2568" t="s">
        <v>24</v>
      </c>
      <c r="C104" s="2569"/>
      <c r="D104" s="2570">
        <f>+D105+D106</f>
        <v>0</v>
      </c>
      <c r="E104" s="2570">
        <f t="shared" ref="E104:I104" si="72">+E105+E106</f>
        <v>0</v>
      </c>
      <c r="F104" s="2554">
        <f t="shared" si="72"/>
        <v>0</v>
      </c>
      <c r="G104" s="2554">
        <f t="shared" si="72"/>
        <v>0</v>
      </c>
      <c r="H104" s="2554">
        <f t="shared" si="72"/>
        <v>0</v>
      </c>
      <c r="I104" s="2554">
        <f t="shared" si="72"/>
        <v>0</v>
      </c>
      <c r="J104" s="2554">
        <v>0</v>
      </c>
      <c r="K104" s="2554">
        <v>0</v>
      </c>
      <c r="L104" s="2554">
        <v>0</v>
      </c>
      <c r="M104" s="4170" t="s">
        <v>61</v>
      </c>
      <c r="N104" s="4170" t="s">
        <v>61</v>
      </c>
      <c r="O104" s="2561"/>
      <c r="P104" s="2531"/>
      <c r="Q104" s="2531"/>
      <c r="R104" s="2531"/>
      <c r="S104" s="2531"/>
      <c r="T104" s="2531"/>
      <c r="U104" s="2531"/>
      <c r="V104" s="2531"/>
      <c r="W104" s="2531"/>
      <c r="X104" s="2531"/>
      <c r="Y104" s="2531"/>
      <c r="Z104" s="2531"/>
      <c r="AA104" s="2531"/>
      <c r="AB104" s="2531"/>
      <c r="AC104" s="2531"/>
      <c r="AD104" s="2531"/>
      <c r="AE104" s="2531"/>
      <c r="AF104" s="2531"/>
      <c r="AG104" s="2531"/>
      <c r="AH104" s="2531"/>
      <c r="AI104" s="2531"/>
      <c r="AJ104" s="2531"/>
      <c r="AK104" s="2531"/>
      <c r="AL104" s="2531"/>
      <c r="AM104" s="2531"/>
      <c r="AN104" s="2531"/>
      <c r="AO104" s="2531"/>
      <c r="AP104" s="2531"/>
      <c r="AQ104" s="2531"/>
      <c r="AR104" s="2531"/>
      <c r="AS104" s="2531"/>
      <c r="AT104" s="2531"/>
      <c r="AU104" s="2531"/>
      <c r="AV104" s="2531"/>
      <c r="AW104" s="2531"/>
      <c r="AX104" s="2531"/>
      <c r="AY104" s="2531"/>
      <c r="AZ104" s="2531"/>
      <c r="BA104" s="2531"/>
      <c r="BB104" s="2531"/>
      <c r="BC104" s="2531"/>
      <c r="BD104" s="2531"/>
      <c r="BE104" s="2531"/>
      <c r="BF104" s="2531"/>
      <c r="BG104" s="2531"/>
      <c r="BH104" s="2531"/>
      <c r="BI104" s="2531"/>
      <c r="BJ104" s="2531"/>
      <c r="BK104" s="2531"/>
      <c r="BL104" s="2531"/>
      <c r="BM104" s="2531"/>
      <c r="BN104" s="2531"/>
      <c r="BO104" s="2531"/>
      <c r="BP104" s="2531"/>
      <c r="BQ104" s="2531"/>
      <c r="BR104" s="2531"/>
      <c r="BS104" s="2531"/>
      <c r="BT104" s="2531"/>
      <c r="BU104" s="2531"/>
      <c r="BV104" s="2531"/>
      <c r="BW104" s="2531"/>
      <c r="BX104" s="2531"/>
      <c r="BY104" s="2531"/>
      <c r="BZ104" s="2531"/>
      <c r="CA104" s="2531"/>
      <c r="CB104" s="2531"/>
      <c r="CC104" s="2531"/>
      <c r="CD104" s="2531"/>
      <c r="CE104" s="2531"/>
      <c r="CF104" s="2531"/>
      <c r="CG104" s="2531"/>
      <c r="CH104" s="2531"/>
      <c r="CI104" s="2531"/>
      <c r="CJ104" s="2531"/>
      <c r="CK104" s="2531"/>
      <c r="CL104" s="2531"/>
      <c r="CM104" s="2531"/>
      <c r="CN104" s="2531"/>
      <c r="CO104" s="2531"/>
      <c r="CP104" s="2531"/>
      <c r="CQ104" s="2531"/>
      <c r="CR104" s="2531"/>
      <c r="CS104" s="2531"/>
      <c r="CT104" s="2531"/>
      <c r="CU104" s="2531"/>
      <c r="CV104" s="2531"/>
      <c r="CW104" s="2531"/>
      <c r="CX104" s="2531"/>
      <c r="CY104" s="2531"/>
      <c r="CZ104" s="2531"/>
      <c r="DA104" s="2531"/>
      <c r="DB104" s="2531"/>
      <c r="DC104" s="2531"/>
      <c r="DD104" s="2531"/>
      <c r="DE104" s="2531"/>
    </row>
    <row r="105" spans="1:109" s="2532" customFormat="1" ht="13.5" hidden="1" customHeight="1">
      <c r="A105" s="2432"/>
      <c r="B105" s="2553" t="s">
        <v>137</v>
      </c>
      <c r="C105" s="2554"/>
      <c r="D105" s="2554">
        <f>+D126</f>
        <v>0</v>
      </c>
      <c r="E105" s="2554">
        <f t="shared" ref="E105:F106" si="73">+E126</f>
        <v>0</v>
      </c>
      <c r="F105" s="2554">
        <f t="shared" si="73"/>
        <v>0</v>
      </c>
      <c r="G105" s="2554">
        <v>0</v>
      </c>
      <c r="H105" s="2554">
        <v>0</v>
      </c>
      <c r="I105" s="2554">
        <v>0</v>
      </c>
      <c r="J105" s="2554">
        <v>0</v>
      </c>
      <c r="K105" s="2554">
        <v>0</v>
      </c>
      <c r="L105" s="2554">
        <v>0</v>
      </c>
      <c r="M105" s="4171"/>
      <c r="N105" s="4171"/>
      <c r="O105" s="2561"/>
      <c r="P105" s="2531"/>
      <c r="Q105" s="2531"/>
      <c r="R105" s="2531"/>
      <c r="S105" s="2531"/>
      <c r="T105" s="2531"/>
      <c r="U105" s="2531"/>
      <c r="V105" s="2531"/>
      <c r="W105" s="2531"/>
      <c r="X105" s="2531"/>
      <c r="Y105" s="2531"/>
      <c r="Z105" s="2531"/>
      <c r="AA105" s="2531"/>
      <c r="AB105" s="2531"/>
      <c r="AC105" s="2531"/>
      <c r="AD105" s="2531"/>
      <c r="AE105" s="2531"/>
      <c r="AF105" s="2531"/>
      <c r="AG105" s="2531"/>
      <c r="AH105" s="2531"/>
      <c r="AI105" s="2531"/>
      <c r="AJ105" s="2531"/>
      <c r="AK105" s="2531"/>
      <c r="AL105" s="2531"/>
      <c r="AM105" s="2531"/>
      <c r="AN105" s="2531"/>
      <c r="AO105" s="2531"/>
      <c r="AP105" s="2531"/>
      <c r="AQ105" s="2531"/>
      <c r="AR105" s="2531"/>
      <c r="AS105" s="2531"/>
      <c r="AT105" s="2531"/>
      <c r="AU105" s="2531"/>
      <c r="AV105" s="2531"/>
      <c r="AW105" s="2531"/>
      <c r="AX105" s="2531"/>
      <c r="AY105" s="2531"/>
      <c r="AZ105" s="2531"/>
      <c r="BA105" s="2531"/>
      <c r="BB105" s="2531"/>
      <c r="BC105" s="2531"/>
      <c r="BD105" s="2531"/>
      <c r="BE105" s="2531"/>
      <c r="BF105" s="2531"/>
      <c r="BG105" s="2531"/>
      <c r="BH105" s="2531"/>
      <c r="BI105" s="2531"/>
      <c r="BJ105" s="2531"/>
      <c r="BK105" s="2531"/>
      <c r="BL105" s="2531"/>
      <c r="BM105" s="2531"/>
      <c r="BN105" s="2531"/>
      <c r="BO105" s="2531"/>
      <c r="BP105" s="2531"/>
      <c r="BQ105" s="2531"/>
      <c r="BR105" s="2531"/>
      <c r="BS105" s="2531"/>
      <c r="BT105" s="2531"/>
      <c r="BU105" s="2531"/>
      <c r="BV105" s="2531"/>
      <c r="BW105" s="2531"/>
      <c r="BX105" s="2531"/>
      <c r="BY105" s="2531"/>
      <c r="BZ105" s="2531"/>
      <c r="CA105" s="2531"/>
      <c r="CB105" s="2531"/>
      <c r="CC105" s="2531"/>
      <c r="CD105" s="2531"/>
      <c r="CE105" s="2531"/>
      <c r="CF105" s="2531"/>
      <c r="CG105" s="2531"/>
      <c r="CH105" s="2531"/>
      <c r="CI105" s="2531"/>
      <c r="CJ105" s="2531"/>
      <c r="CK105" s="2531"/>
      <c r="CL105" s="2531"/>
      <c r="CM105" s="2531"/>
      <c r="CN105" s="2531"/>
      <c r="CO105" s="2531"/>
      <c r="CP105" s="2531"/>
      <c r="CQ105" s="2531"/>
      <c r="CR105" s="2531"/>
      <c r="CS105" s="2531"/>
      <c r="CT105" s="2531"/>
      <c r="CU105" s="2531"/>
      <c r="CV105" s="2531"/>
      <c r="CW105" s="2531"/>
      <c r="CX105" s="2531"/>
      <c r="CY105" s="2531"/>
      <c r="CZ105" s="2531"/>
      <c r="DA105" s="2531"/>
      <c r="DB105" s="2531"/>
      <c r="DC105" s="2531"/>
      <c r="DD105" s="2531"/>
      <c r="DE105" s="2531"/>
    </row>
    <row r="106" spans="1:109" s="2532" customFormat="1" ht="13.5" hidden="1" customHeight="1">
      <c r="A106" s="2432"/>
      <c r="B106" s="2553" t="s">
        <v>139</v>
      </c>
      <c r="C106" s="2554"/>
      <c r="D106" s="2554">
        <f>+D127</f>
        <v>0</v>
      </c>
      <c r="E106" s="2554">
        <f t="shared" si="73"/>
        <v>0</v>
      </c>
      <c r="F106" s="2554">
        <f t="shared" si="73"/>
        <v>0</v>
      </c>
      <c r="G106" s="2554">
        <v>0</v>
      </c>
      <c r="H106" s="2554">
        <v>0</v>
      </c>
      <c r="I106" s="2554">
        <v>0</v>
      </c>
      <c r="J106" s="2554"/>
      <c r="K106" s="2554"/>
      <c r="L106" s="2554"/>
      <c r="M106" s="4171"/>
      <c r="N106" s="4171"/>
      <c r="O106" s="2561"/>
      <c r="P106" s="2531"/>
      <c r="Q106" s="2531"/>
      <c r="R106" s="2531"/>
      <c r="S106" s="2531"/>
      <c r="T106" s="2531"/>
      <c r="U106" s="2531"/>
      <c r="V106" s="2531"/>
      <c r="W106" s="2531"/>
      <c r="X106" s="2531"/>
      <c r="Y106" s="2531"/>
      <c r="Z106" s="2531"/>
      <c r="AA106" s="2531"/>
      <c r="AB106" s="2531"/>
      <c r="AC106" s="2531"/>
      <c r="AD106" s="2531"/>
      <c r="AE106" s="2531"/>
      <c r="AF106" s="2531"/>
      <c r="AG106" s="2531"/>
      <c r="AH106" s="2531"/>
      <c r="AI106" s="2531"/>
      <c r="AJ106" s="2531"/>
      <c r="AK106" s="2531"/>
      <c r="AL106" s="2531"/>
      <c r="AM106" s="2531"/>
      <c r="AN106" s="2531"/>
      <c r="AO106" s="2531"/>
      <c r="AP106" s="2531"/>
      <c r="AQ106" s="2531"/>
      <c r="AR106" s="2531"/>
      <c r="AS106" s="2531"/>
      <c r="AT106" s="2531"/>
      <c r="AU106" s="2531"/>
      <c r="AV106" s="2531"/>
      <c r="AW106" s="2531"/>
      <c r="AX106" s="2531"/>
      <c r="AY106" s="2531"/>
      <c r="AZ106" s="2531"/>
      <c r="BA106" s="2531"/>
      <c r="BB106" s="2531"/>
      <c r="BC106" s="2531"/>
      <c r="BD106" s="2531"/>
      <c r="BE106" s="2531"/>
      <c r="BF106" s="2531"/>
      <c r="BG106" s="2531"/>
      <c r="BH106" s="2531"/>
      <c r="BI106" s="2531"/>
      <c r="BJ106" s="2531"/>
      <c r="BK106" s="2531"/>
      <c r="BL106" s="2531"/>
      <c r="BM106" s="2531"/>
      <c r="BN106" s="2531"/>
      <c r="BO106" s="2531"/>
      <c r="BP106" s="2531"/>
      <c r="BQ106" s="2531"/>
      <c r="BR106" s="2531"/>
      <c r="BS106" s="2531"/>
      <c r="BT106" s="2531"/>
      <c r="BU106" s="2531"/>
      <c r="BV106" s="2531"/>
      <c r="BW106" s="2531"/>
      <c r="BX106" s="2531"/>
      <c r="BY106" s="2531"/>
      <c r="BZ106" s="2531"/>
      <c r="CA106" s="2531"/>
      <c r="CB106" s="2531"/>
      <c r="CC106" s="2531"/>
      <c r="CD106" s="2531"/>
      <c r="CE106" s="2531"/>
      <c r="CF106" s="2531"/>
      <c r="CG106" s="2531"/>
      <c r="CH106" s="2531"/>
      <c r="CI106" s="2531"/>
      <c r="CJ106" s="2531"/>
      <c r="CK106" s="2531"/>
      <c r="CL106" s="2531"/>
      <c r="CM106" s="2531"/>
      <c r="CN106" s="2531"/>
      <c r="CO106" s="2531"/>
      <c r="CP106" s="2531"/>
      <c r="CQ106" s="2531"/>
      <c r="CR106" s="2531"/>
      <c r="CS106" s="2531"/>
      <c r="CT106" s="2531"/>
      <c r="CU106" s="2531"/>
      <c r="CV106" s="2531"/>
      <c r="CW106" s="2531"/>
      <c r="CX106" s="2531"/>
      <c r="CY106" s="2531"/>
      <c r="CZ106" s="2531"/>
      <c r="DA106" s="2531"/>
      <c r="DB106" s="2531"/>
      <c r="DC106" s="2531"/>
      <c r="DD106" s="2531"/>
      <c r="DE106" s="2531"/>
    </row>
    <row r="107" spans="1:109" s="2575" customFormat="1" ht="13.5" hidden="1" customHeight="1">
      <c r="A107" s="2571"/>
      <c r="B107" s="2568" t="s">
        <v>18</v>
      </c>
      <c r="C107" s="2572"/>
      <c r="D107" s="2572">
        <f>+D108</f>
        <v>0</v>
      </c>
      <c r="E107" s="2572">
        <f t="shared" ref="E107:L107" si="74">+E108</f>
        <v>0</v>
      </c>
      <c r="F107" s="2572">
        <f t="shared" si="74"/>
        <v>0</v>
      </c>
      <c r="G107" s="2572">
        <f t="shared" si="74"/>
        <v>0</v>
      </c>
      <c r="H107" s="2572">
        <f t="shared" si="74"/>
        <v>0</v>
      </c>
      <c r="I107" s="2572">
        <f t="shared" si="74"/>
        <v>0</v>
      </c>
      <c r="J107" s="2572">
        <f t="shared" si="74"/>
        <v>0</v>
      </c>
      <c r="K107" s="2572">
        <f t="shared" si="74"/>
        <v>0</v>
      </c>
      <c r="L107" s="2572">
        <f t="shared" si="74"/>
        <v>0</v>
      </c>
      <c r="M107" s="4171"/>
      <c r="N107" s="4171"/>
      <c r="O107" s="2573"/>
      <c r="P107" s="2574"/>
      <c r="Q107" s="2574"/>
      <c r="R107" s="2574"/>
      <c r="S107" s="2574"/>
      <c r="T107" s="2574"/>
      <c r="U107" s="2574"/>
      <c r="V107" s="2574"/>
      <c r="W107" s="2574"/>
      <c r="X107" s="2574"/>
      <c r="Y107" s="2574"/>
      <c r="Z107" s="2574"/>
      <c r="AA107" s="2574"/>
      <c r="AB107" s="2574"/>
      <c r="AC107" s="2574"/>
      <c r="AD107" s="2574"/>
      <c r="AE107" s="2574"/>
      <c r="AF107" s="2574"/>
      <c r="AG107" s="2574"/>
      <c r="AH107" s="2574"/>
      <c r="AI107" s="2574"/>
      <c r="AJ107" s="2574"/>
      <c r="AK107" s="2574"/>
      <c r="AL107" s="2574"/>
      <c r="AM107" s="2574"/>
      <c r="AN107" s="2574"/>
      <c r="AO107" s="2574"/>
      <c r="AP107" s="2574"/>
      <c r="AQ107" s="2574"/>
      <c r="AR107" s="2574"/>
      <c r="AS107" s="2574"/>
      <c r="AT107" s="2574"/>
      <c r="AU107" s="2574"/>
      <c r="AV107" s="2574"/>
      <c r="AW107" s="2574"/>
      <c r="AX107" s="2574"/>
      <c r="AY107" s="2574"/>
      <c r="AZ107" s="2574"/>
      <c r="BA107" s="2574"/>
      <c r="BB107" s="2574"/>
      <c r="BC107" s="2574"/>
      <c r="BD107" s="2574"/>
      <c r="BE107" s="2574"/>
      <c r="BF107" s="2574"/>
      <c r="BG107" s="2574"/>
      <c r="BH107" s="2574"/>
      <c r="BI107" s="2574"/>
      <c r="BJ107" s="2574"/>
      <c r="BK107" s="2574"/>
      <c r="BL107" s="2574"/>
      <c r="BM107" s="2574"/>
      <c r="BN107" s="2574"/>
      <c r="BO107" s="2574"/>
      <c r="BP107" s="2574"/>
      <c r="BQ107" s="2574"/>
      <c r="BR107" s="2574"/>
      <c r="BS107" s="2574"/>
      <c r="BT107" s="2574"/>
      <c r="BU107" s="2574"/>
      <c r="BV107" s="2574"/>
      <c r="BW107" s="2574"/>
      <c r="BX107" s="2574"/>
      <c r="BY107" s="2574"/>
      <c r="BZ107" s="2574"/>
      <c r="CA107" s="2574"/>
      <c r="CB107" s="2574"/>
      <c r="CC107" s="2574"/>
      <c r="CD107" s="2574"/>
      <c r="CE107" s="2574"/>
      <c r="CF107" s="2574"/>
      <c r="CG107" s="2574"/>
      <c r="CH107" s="2574"/>
      <c r="CI107" s="2574"/>
      <c r="CJ107" s="2574"/>
      <c r="CK107" s="2574"/>
      <c r="CL107" s="2574"/>
      <c r="CM107" s="2574"/>
      <c r="CN107" s="2574"/>
      <c r="CO107" s="2574"/>
      <c r="CP107" s="2574"/>
      <c r="CQ107" s="2574"/>
      <c r="CR107" s="2574"/>
      <c r="CS107" s="2574"/>
      <c r="CT107" s="2574"/>
      <c r="CU107" s="2574"/>
      <c r="CV107" s="2574"/>
      <c r="CW107" s="2574"/>
      <c r="CX107" s="2574"/>
      <c r="CY107" s="2574"/>
      <c r="CZ107" s="2574"/>
      <c r="DA107" s="2574"/>
      <c r="DB107" s="2574"/>
      <c r="DC107" s="2574"/>
      <c r="DD107" s="2574"/>
      <c r="DE107" s="2574"/>
    </row>
    <row r="108" spans="1:109" s="2532" customFormat="1" ht="13.5" hidden="1" customHeight="1" thickBot="1">
      <c r="A108" s="2432"/>
      <c r="B108" s="2553" t="s">
        <v>35</v>
      </c>
      <c r="C108" s="2554"/>
      <c r="D108" s="2554">
        <f>+D129</f>
        <v>0</v>
      </c>
      <c r="E108" s="2554">
        <f t="shared" ref="E108:F108" si="75">+E129</f>
        <v>0</v>
      </c>
      <c r="F108" s="2554">
        <f t="shared" si="75"/>
        <v>0</v>
      </c>
      <c r="G108" s="2554">
        <v>0</v>
      </c>
      <c r="H108" s="2554">
        <v>0</v>
      </c>
      <c r="I108" s="2554">
        <v>0</v>
      </c>
      <c r="J108" s="2554">
        <v>0</v>
      </c>
      <c r="K108" s="2554">
        <v>0</v>
      </c>
      <c r="L108" s="2554">
        <v>0</v>
      </c>
      <c r="M108" s="4172"/>
      <c r="N108" s="4172"/>
      <c r="O108" s="2561"/>
      <c r="P108" s="2531"/>
      <c r="Q108" s="2531"/>
      <c r="R108" s="2531"/>
      <c r="S108" s="2531"/>
      <c r="T108" s="2531"/>
      <c r="U108" s="2531"/>
      <c r="V108" s="2531"/>
      <c r="W108" s="2531"/>
      <c r="X108" s="2531"/>
      <c r="Y108" s="2531"/>
      <c r="Z108" s="2531"/>
      <c r="AA108" s="2531"/>
      <c r="AB108" s="2531"/>
      <c r="AC108" s="2531"/>
      <c r="AD108" s="2531"/>
      <c r="AE108" s="2531"/>
      <c r="AF108" s="2531"/>
      <c r="AG108" s="2531"/>
      <c r="AH108" s="2531"/>
      <c r="AI108" s="2531"/>
      <c r="AJ108" s="2531"/>
      <c r="AK108" s="2531"/>
      <c r="AL108" s="2531"/>
      <c r="AM108" s="2531"/>
      <c r="AN108" s="2531"/>
      <c r="AO108" s="2531"/>
      <c r="AP108" s="2531"/>
      <c r="AQ108" s="2531"/>
      <c r="AR108" s="2531"/>
      <c r="AS108" s="2531"/>
      <c r="AT108" s="2531"/>
      <c r="AU108" s="2531"/>
      <c r="AV108" s="2531"/>
      <c r="AW108" s="2531"/>
      <c r="AX108" s="2531"/>
      <c r="AY108" s="2531"/>
      <c r="AZ108" s="2531"/>
      <c r="BA108" s="2531"/>
      <c r="BB108" s="2531"/>
      <c r="BC108" s="2531"/>
      <c r="BD108" s="2531"/>
      <c r="BE108" s="2531"/>
      <c r="BF108" s="2531"/>
      <c r="BG108" s="2531"/>
      <c r="BH108" s="2531"/>
      <c r="BI108" s="2531"/>
      <c r="BJ108" s="2531"/>
      <c r="BK108" s="2531"/>
      <c r="BL108" s="2531"/>
      <c r="BM108" s="2531"/>
      <c r="BN108" s="2531"/>
      <c r="BO108" s="2531"/>
      <c r="BP108" s="2531"/>
      <c r="BQ108" s="2531"/>
      <c r="BR108" s="2531"/>
      <c r="BS108" s="2531"/>
      <c r="BT108" s="2531"/>
      <c r="BU108" s="2531"/>
      <c r="BV108" s="2531"/>
      <c r="BW108" s="2531"/>
      <c r="BX108" s="2531"/>
      <c r="BY108" s="2531"/>
      <c r="BZ108" s="2531"/>
      <c r="CA108" s="2531"/>
      <c r="CB108" s="2531"/>
      <c r="CC108" s="2531"/>
      <c r="CD108" s="2531"/>
      <c r="CE108" s="2531"/>
      <c r="CF108" s="2531"/>
      <c r="CG108" s="2531"/>
      <c r="CH108" s="2531"/>
      <c r="CI108" s="2531"/>
      <c r="CJ108" s="2531"/>
      <c r="CK108" s="2531"/>
      <c r="CL108" s="2531"/>
      <c r="CM108" s="2531"/>
      <c r="CN108" s="2531"/>
      <c r="CO108" s="2531"/>
      <c r="CP108" s="2531"/>
      <c r="CQ108" s="2531"/>
      <c r="CR108" s="2531"/>
      <c r="CS108" s="2531"/>
      <c r="CT108" s="2531"/>
      <c r="CU108" s="2531"/>
      <c r="CV108" s="2531"/>
      <c r="CW108" s="2531"/>
      <c r="CX108" s="2531"/>
      <c r="CY108" s="2531"/>
      <c r="CZ108" s="2531"/>
      <c r="DA108" s="2531"/>
      <c r="DB108" s="2531"/>
      <c r="DC108" s="2531"/>
      <c r="DD108" s="2531"/>
      <c r="DE108" s="2531"/>
    </row>
    <row r="109" spans="1:109" s="2532" customFormat="1" ht="39.75" hidden="1" customHeight="1">
      <c r="A109" s="4174" t="s">
        <v>63</v>
      </c>
      <c r="B109" s="2576" t="s">
        <v>140</v>
      </c>
      <c r="C109" s="2577" t="s">
        <v>82</v>
      </c>
      <c r="D109" s="2578"/>
      <c r="E109" s="2579"/>
      <c r="F109" s="2579"/>
      <c r="G109" s="2579"/>
      <c r="H109" s="2579"/>
      <c r="I109" s="2579"/>
      <c r="J109" s="2579"/>
      <c r="K109" s="2579"/>
      <c r="L109" s="2579"/>
      <c r="M109" s="2580"/>
      <c r="N109" s="2580"/>
      <c r="O109" s="4190" t="s">
        <v>141</v>
      </c>
      <c r="P109" s="2531"/>
      <c r="Q109" s="2531"/>
      <c r="R109" s="2531"/>
      <c r="S109" s="2531"/>
      <c r="T109" s="2531"/>
      <c r="U109" s="2531"/>
      <c r="V109" s="2531"/>
      <c r="W109" s="2531"/>
      <c r="X109" s="2531"/>
      <c r="Y109" s="2531"/>
      <c r="Z109" s="2531"/>
      <c r="AA109" s="2531"/>
      <c r="AB109" s="2531"/>
      <c r="AC109" s="2531"/>
      <c r="AD109" s="2531"/>
      <c r="AE109" s="2531"/>
      <c r="AF109" s="2531"/>
      <c r="AG109" s="2531"/>
      <c r="AH109" s="2531"/>
      <c r="AI109" s="2531"/>
      <c r="AJ109" s="2531"/>
      <c r="AK109" s="2531"/>
      <c r="AL109" s="2531"/>
      <c r="AM109" s="2531"/>
      <c r="AN109" s="2531"/>
      <c r="AO109" s="2531"/>
      <c r="AP109" s="2531"/>
      <c r="AQ109" s="2531"/>
      <c r="AR109" s="2531"/>
      <c r="AS109" s="2531"/>
      <c r="AT109" s="2531"/>
      <c r="AU109" s="2531"/>
      <c r="AV109" s="2531"/>
      <c r="AW109" s="2531"/>
      <c r="AX109" s="2531"/>
      <c r="AY109" s="2531"/>
      <c r="AZ109" s="2531"/>
      <c r="BA109" s="2531"/>
      <c r="BB109" s="2531"/>
      <c r="BC109" s="2531"/>
      <c r="BD109" s="2531"/>
      <c r="BE109" s="2531"/>
      <c r="BF109" s="2531"/>
      <c r="BG109" s="2531"/>
      <c r="BH109" s="2531"/>
      <c r="BI109" s="2531"/>
      <c r="BJ109" s="2531"/>
      <c r="BK109" s="2531"/>
      <c r="BL109" s="2531"/>
      <c r="BM109" s="2531"/>
      <c r="BN109" s="2531"/>
      <c r="BO109" s="2531"/>
      <c r="BP109" s="2531"/>
      <c r="BQ109" s="2531"/>
      <c r="BR109" s="2531"/>
      <c r="BS109" s="2531"/>
      <c r="BT109" s="2531"/>
      <c r="BU109" s="2531"/>
      <c r="BV109" s="2531"/>
      <c r="BW109" s="2531"/>
      <c r="BX109" s="2531"/>
      <c r="BY109" s="2531"/>
      <c r="BZ109" s="2531"/>
      <c r="CA109" s="2531"/>
      <c r="CB109" s="2531"/>
      <c r="CC109" s="2531"/>
      <c r="CD109" s="2531"/>
      <c r="CE109" s="2531"/>
      <c r="CF109" s="2531"/>
      <c r="CG109" s="2531"/>
      <c r="CH109" s="2531"/>
      <c r="CI109" s="2531"/>
      <c r="CJ109" s="2531"/>
      <c r="CK109" s="2531"/>
      <c r="CL109" s="2531"/>
      <c r="CM109" s="2531"/>
      <c r="CN109" s="2531"/>
      <c r="CO109" s="2531"/>
      <c r="CP109" s="2531"/>
      <c r="CQ109" s="2531"/>
      <c r="CR109" s="2531"/>
      <c r="CS109" s="2531"/>
      <c r="CT109" s="2531"/>
      <c r="CU109" s="2531"/>
      <c r="CV109" s="2531"/>
      <c r="CW109" s="2531"/>
      <c r="CX109" s="2531"/>
      <c r="CY109" s="2531"/>
      <c r="CZ109" s="2531"/>
      <c r="DA109" s="2531"/>
      <c r="DB109" s="2531"/>
      <c r="DC109" s="2531"/>
      <c r="DD109" s="2531"/>
      <c r="DE109" s="2531"/>
    </row>
    <row r="110" spans="1:109" s="2532" customFormat="1" ht="18.75" hidden="1" customHeight="1">
      <c r="A110" s="4175"/>
      <c r="B110" s="2581" t="s">
        <v>10</v>
      </c>
      <c r="C110" s="2582"/>
      <c r="D110" s="2583"/>
      <c r="E110" s="2583"/>
      <c r="F110" s="2583">
        <f t="shared" ref="F110:G111" si="76">F111</f>
        <v>0</v>
      </c>
      <c r="G110" s="2583">
        <f t="shared" si="76"/>
        <v>0</v>
      </c>
      <c r="H110" s="2583"/>
      <c r="I110" s="2583"/>
      <c r="J110" s="2583"/>
      <c r="K110" s="2583"/>
      <c r="L110" s="2583"/>
      <c r="M110" s="2567">
        <f>+M111</f>
        <v>0</v>
      </c>
      <c r="N110" s="2567">
        <f>+N111</f>
        <v>0</v>
      </c>
      <c r="O110" s="4191"/>
      <c r="P110" s="2531"/>
      <c r="Q110" s="2531"/>
      <c r="R110" s="2531"/>
      <c r="S110" s="2531"/>
      <c r="T110" s="2531"/>
      <c r="U110" s="2531"/>
      <c r="V110" s="2531"/>
      <c r="W110" s="2531"/>
      <c r="X110" s="2531"/>
      <c r="Y110" s="2531"/>
      <c r="Z110" s="2531"/>
      <c r="AA110" s="2531"/>
      <c r="AB110" s="2531"/>
      <c r="AC110" s="2531"/>
      <c r="AD110" s="2531"/>
      <c r="AE110" s="2531"/>
      <c r="AF110" s="2531"/>
      <c r="AG110" s="2531"/>
      <c r="AH110" s="2531"/>
      <c r="AI110" s="2531"/>
      <c r="AJ110" s="2531"/>
      <c r="AK110" s="2531"/>
      <c r="AL110" s="2531"/>
      <c r="AM110" s="2531"/>
      <c r="AN110" s="2531"/>
      <c r="AO110" s="2531"/>
      <c r="AP110" s="2531"/>
      <c r="AQ110" s="2531"/>
      <c r="AR110" s="2531"/>
      <c r="AS110" s="2531"/>
      <c r="AT110" s="2531"/>
      <c r="AU110" s="2531"/>
      <c r="AV110" s="2531"/>
      <c r="AW110" s="2531"/>
      <c r="AX110" s="2531"/>
      <c r="AY110" s="2531"/>
      <c r="AZ110" s="2531"/>
      <c r="BA110" s="2531"/>
      <c r="BB110" s="2531"/>
      <c r="BC110" s="2531"/>
      <c r="BD110" s="2531"/>
      <c r="BE110" s="2531"/>
      <c r="BF110" s="2531"/>
      <c r="BG110" s="2531"/>
      <c r="BH110" s="2531"/>
      <c r="BI110" s="2531"/>
      <c r="BJ110" s="2531"/>
      <c r="BK110" s="2531"/>
      <c r="BL110" s="2531"/>
      <c r="BM110" s="2531"/>
      <c r="BN110" s="2531"/>
      <c r="BO110" s="2531"/>
      <c r="BP110" s="2531"/>
      <c r="BQ110" s="2531"/>
      <c r="BR110" s="2531"/>
      <c r="BS110" s="2531"/>
      <c r="BT110" s="2531"/>
      <c r="BU110" s="2531"/>
      <c r="BV110" s="2531"/>
      <c r="BW110" s="2531"/>
      <c r="BX110" s="2531"/>
      <c r="BY110" s="2531"/>
      <c r="BZ110" s="2531"/>
      <c r="CA110" s="2531"/>
      <c r="CB110" s="2531"/>
      <c r="CC110" s="2531"/>
      <c r="CD110" s="2531"/>
      <c r="CE110" s="2531"/>
      <c r="CF110" s="2531"/>
      <c r="CG110" s="2531"/>
      <c r="CH110" s="2531"/>
      <c r="CI110" s="2531"/>
      <c r="CJ110" s="2531"/>
      <c r="CK110" s="2531"/>
      <c r="CL110" s="2531"/>
      <c r="CM110" s="2531"/>
      <c r="CN110" s="2531"/>
      <c r="CO110" s="2531"/>
      <c r="CP110" s="2531"/>
      <c r="CQ110" s="2531"/>
      <c r="CR110" s="2531"/>
      <c r="CS110" s="2531"/>
      <c r="CT110" s="2531"/>
      <c r="CU110" s="2531"/>
      <c r="CV110" s="2531"/>
      <c r="CW110" s="2531"/>
      <c r="CX110" s="2531"/>
      <c r="CY110" s="2531"/>
      <c r="CZ110" s="2531"/>
      <c r="DA110" s="2531"/>
      <c r="DB110" s="2531"/>
      <c r="DC110" s="2531"/>
      <c r="DD110" s="2531"/>
      <c r="DE110" s="2531"/>
    </row>
    <row r="111" spans="1:109" s="2556" customFormat="1" ht="18.75" hidden="1" customHeight="1">
      <c r="A111" s="4175"/>
      <c r="B111" s="2584" t="s">
        <v>24</v>
      </c>
      <c r="C111" s="4137" t="s">
        <v>142</v>
      </c>
      <c r="D111" s="2585"/>
      <c r="E111" s="2585"/>
      <c r="F111" s="2585">
        <f t="shared" si="76"/>
        <v>0</v>
      </c>
      <c r="G111" s="2585">
        <f t="shared" si="76"/>
        <v>0</v>
      </c>
      <c r="H111" s="2585"/>
      <c r="I111" s="2585"/>
      <c r="J111" s="2585"/>
      <c r="K111" s="2585"/>
      <c r="L111" s="2585"/>
      <c r="M111" s="2586">
        <f>+M112</f>
        <v>0</v>
      </c>
      <c r="N111" s="2586">
        <f>+N112</f>
        <v>0</v>
      </c>
      <c r="O111" s="4191"/>
    </row>
    <row r="112" spans="1:109" s="2532" customFormat="1" ht="18.75" hidden="1" customHeight="1" thickBot="1">
      <c r="A112" s="4176"/>
      <c r="B112" s="2587" t="s">
        <v>12</v>
      </c>
      <c r="C112" s="4139"/>
      <c r="D112" s="2588"/>
      <c r="E112" s="2588"/>
      <c r="F112" s="2588">
        <v>0</v>
      </c>
      <c r="G112" s="2588">
        <v>0</v>
      </c>
      <c r="H112" s="2588"/>
      <c r="I112" s="2588"/>
      <c r="J112" s="2588"/>
      <c r="K112" s="2588"/>
      <c r="L112" s="2588"/>
      <c r="M112" s="2555">
        <f>SUM(E112:G112)</f>
        <v>0</v>
      </c>
      <c r="N112" s="2555">
        <f>SUM(F112:H112)</f>
        <v>0</v>
      </c>
      <c r="O112" s="4192"/>
      <c r="P112" s="2531"/>
      <c r="Q112" s="2531"/>
      <c r="R112" s="2531"/>
      <c r="S112" s="2531"/>
      <c r="T112" s="2531"/>
      <c r="U112" s="2531"/>
      <c r="V112" s="2531"/>
      <c r="W112" s="2531"/>
      <c r="X112" s="2531"/>
      <c r="Y112" s="2531"/>
      <c r="Z112" s="2531"/>
      <c r="AA112" s="2531"/>
      <c r="AB112" s="2531"/>
      <c r="AC112" s="2531"/>
      <c r="AD112" s="2531"/>
      <c r="AE112" s="2531"/>
      <c r="AF112" s="2531"/>
      <c r="AG112" s="2531"/>
      <c r="AH112" s="2531"/>
      <c r="AI112" s="2531"/>
      <c r="AJ112" s="2531"/>
      <c r="AK112" s="2531"/>
      <c r="AL112" s="2531"/>
      <c r="AM112" s="2531"/>
      <c r="AN112" s="2531"/>
      <c r="AO112" s="2531"/>
      <c r="AP112" s="2531"/>
      <c r="AQ112" s="2531"/>
      <c r="AR112" s="2531"/>
      <c r="AS112" s="2531"/>
      <c r="AT112" s="2531"/>
      <c r="AU112" s="2531"/>
      <c r="AV112" s="2531"/>
      <c r="AW112" s="2531"/>
      <c r="AX112" s="2531"/>
      <c r="AY112" s="2531"/>
      <c r="AZ112" s="2531"/>
      <c r="BA112" s="2531"/>
      <c r="BB112" s="2531"/>
      <c r="BC112" s="2531"/>
      <c r="BD112" s="2531"/>
      <c r="BE112" s="2531"/>
      <c r="BF112" s="2531"/>
      <c r="BG112" s="2531"/>
      <c r="BH112" s="2531"/>
      <c r="BI112" s="2531"/>
      <c r="BJ112" s="2531"/>
      <c r="BK112" s="2531"/>
      <c r="BL112" s="2531"/>
      <c r="BM112" s="2531"/>
      <c r="BN112" s="2531"/>
      <c r="BO112" s="2531"/>
      <c r="BP112" s="2531"/>
      <c r="BQ112" s="2531"/>
      <c r="BR112" s="2531"/>
      <c r="BS112" s="2531"/>
      <c r="BT112" s="2531"/>
      <c r="BU112" s="2531"/>
      <c r="BV112" s="2531"/>
      <c r="BW112" s="2531"/>
      <c r="BX112" s="2531"/>
      <c r="BY112" s="2531"/>
      <c r="BZ112" s="2531"/>
      <c r="CA112" s="2531"/>
      <c r="CB112" s="2531"/>
      <c r="CC112" s="2531"/>
      <c r="CD112" s="2531"/>
      <c r="CE112" s="2531"/>
      <c r="CF112" s="2531"/>
      <c r="CG112" s="2531"/>
      <c r="CH112" s="2531"/>
      <c r="CI112" s="2531"/>
      <c r="CJ112" s="2531"/>
      <c r="CK112" s="2531"/>
      <c r="CL112" s="2531"/>
      <c r="CM112" s="2531"/>
      <c r="CN112" s="2531"/>
      <c r="CO112" s="2531"/>
      <c r="CP112" s="2531"/>
      <c r="CQ112" s="2531"/>
      <c r="CR112" s="2531"/>
      <c r="CS112" s="2531"/>
      <c r="CT112" s="2531"/>
      <c r="CU112" s="2531"/>
      <c r="CV112" s="2531"/>
      <c r="CW112" s="2531"/>
      <c r="CX112" s="2531"/>
      <c r="CY112" s="2531"/>
      <c r="CZ112" s="2531"/>
      <c r="DA112" s="2531"/>
      <c r="DB112" s="2531"/>
      <c r="DC112" s="2531"/>
      <c r="DD112" s="2531"/>
      <c r="DE112" s="2531"/>
    </row>
    <row r="113" spans="1:15" ht="12.75" hidden="1" customHeight="1">
      <c r="A113" s="4184" t="s">
        <v>64</v>
      </c>
      <c r="B113" s="2589" t="s">
        <v>143</v>
      </c>
      <c r="C113" s="2391" t="s">
        <v>82</v>
      </c>
      <c r="D113" s="2391"/>
      <c r="E113" s="2391"/>
      <c r="F113" s="2391"/>
      <c r="G113" s="2391"/>
      <c r="H113" s="2391"/>
      <c r="I113" s="2391"/>
      <c r="J113" s="2391"/>
      <c r="K113" s="2391"/>
      <c r="L113" s="2391"/>
      <c r="M113" s="2590"/>
      <c r="N113" s="2590"/>
      <c r="O113" s="4185" t="s">
        <v>144</v>
      </c>
    </row>
    <row r="114" spans="1:15" ht="13.5" hidden="1" customHeight="1">
      <c r="A114" s="4180"/>
      <c r="B114" s="2454" t="s">
        <v>10</v>
      </c>
      <c r="C114" s="2591"/>
      <c r="D114" s="2391"/>
      <c r="E114" s="2391"/>
      <c r="F114" s="2391">
        <v>0</v>
      </c>
      <c r="G114" s="2391">
        <v>0</v>
      </c>
      <c r="H114" s="2391"/>
      <c r="I114" s="2391"/>
      <c r="J114" s="2391"/>
      <c r="K114" s="2391"/>
      <c r="L114" s="2391"/>
      <c r="M114" s="2590"/>
      <c r="N114" s="2590"/>
      <c r="O114" s="4185"/>
    </row>
    <row r="115" spans="1:15" ht="14.25" hidden="1" customHeight="1">
      <c r="A115" s="4180"/>
      <c r="B115" s="2589" t="s">
        <v>24</v>
      </c>
      <c r="C115" s="4187" t="s">
        <v>145</v>
      </c>
      <c r="D115" s="2391"/>
      <c r="E115" s="2391"/>
      <c r="F115" s="2391">
        <v>0</v>
      </c>
      <c r="G115" s="2391">
        <v>0</v>
      </c>
      <c r="H115" s="2391"/>
      <c r="I115" s="2391"/>
      <c r="J115" s="2391"/>
      <c r="K115" s="2391"/>
      <c r="L115" s="2391"/>
      <c r="M115" s="2590"/>
      <c r="N115" s="2590"/>
      <c r="O115" s="4186"/>
    </row>
    <row r="116" spans="1:15" ht="15" hidden="1" customHeight="1" thickBot="1">
      <c r="A116" s="4180"/>
      <c r="B116" s="2589" t="s">
        <v>12</v>
      </c>
      <c r="C116" s="4187"/>
      <c r="D116" s="2391"/>
      <c r="E116" s="2391"/>
      <c r="F116" s="2391">
        <v>0</v>
      </c>
      <c r="G116" s="2391">
        <v>0</v>
      </c>
      <c r="H116" s="2391"/>
      <c r="I116" s="2391"/>
      <c r="J116" s="2391"/>
      <c r="K116" s="2391"/>
      <c r="L116" s="2391"/>
      <c r="M116" s="2590"/>
      <c r="N116" s="2590"/>
      <c r="O116" s="4186"/>
    </row>
    <row r="117" spans="1:15" ht="36.75" hidden="1" customHeight="1">
      <c r="A117" s="4179" t="s">
        <v>63</v>
      </c>
      <c r="B117" s="2576" t="s">
        <v>242</v>
      </c>
      <c r="C117" s="2592" t="s">
        <v>82</v>
      </c>
      <c r="D117" s="2593"/>
      <c r="E117" s="2579"/>
      <c r="F117" s="2579"/>
      <c r="G117" s="2579"/>
      <c r="H117" s="2579"/>
      <c r="I117" s="2579"/>
      <c r="J117" s="2579"/>
      <c r="K117" s="2579"/>
      <c r="L117" s="2579"/>
      <c r="M117" s="2594"/>
      <c r="N117" s="2594"/>
      <c r="O117" s="4188" t="s">
        <v>208</v>
      </c>
    </row>
    <row r="118" spans="1:15" ht="14.25" hidden="1" customHeight="1">
      <c r="A118" s="4184"/>
      <c r="B118" s="2436" t="s">
        <v>10</v>
      </c>
      <c r="C118" s="2591"/>
      <c r="D118" s="2595"/>
      <c r="E118" s="2595">
        <f>+E119+E122</f>
        <v>0</v>
      </c>
      <c r="F118" s="2595">
        <v>0</v>
      </c>
      <c r="G118" s="2595">
        <v>0</v>
      </c>
      <c r="H118" s="2595">
        <v>0</v>
      </c>
      <c r="I118" s="2595">
        <v>0</v>
      </c>
      <c r="J118" s="2595">
        <v>0</v>
      </c>
      <c r="K118" s="2595">
        <v>0</v>
      </c>
      <c r="L118" s="2595">
        <v>0</v>
      </c>
      <c r="M118" s="2567">
        <f>+M119</f>
        <v>0</v>
      </c>
      <c r="N118" s="2567">
        <f>+N119</f>
        <v>0</v>
      </c>
      <c r="O118" s="4188"/>
    </row>
    <row r="119" spans="1:15" ht="15.75" hidden="1" customHeight="1">
      <c r="A119" s="4184"/>
      <c r="B119" s="2596" t="s">
        <v>24</v>
      </c>
      <c r="C119" s="4137" t="s">
        <v>146</v>
      </c>
      <c r="D119" s="2597"/>
      <c r="E119" s="2597">
        <f t="shared" ref="E119" si="77">E120+E121</f>
        <v>0</v>
      </c>
      <c r="F119" s="2597">
        <f t="shared" ref="F119:L119" si="78">F120+F121</f>
        <v>0</v>
      </c>
      <c r="G119" s="2597">
        <f t="shared" si="78"/>
        <v>0</v>
      </c>
      <c r="H119" s="2597">
        <f t="shared" si="78"/>
        <v>0</v>
      </c>
      <c r="I119" s="2597">
        <f t="shared" si="78"/>
        <v>0</v>
      </c>
      <c r="J119" s="2597">
        <f t="shared" si="78"/>
        <v>0</v>
      </c>
      <c r="K119" s="2597">
        <f t="shared" si="78"/>
        <v>0</v>
      </c>
      <c r="L119" s="2597">
        <f t="shared" si="78"/>
        <v>0</v>
      </c>
      <c r="M119" s="2552">
        <f>+M121</f>
        <v>0</v>
      </c>
      <c r="N119" s="2552">
        <f>+N121</f>
        <v>0</v>
      </c>
      <c r="O119" s="4188"/>
    </row>
    <row r="120" spans="1:15" ht="13.5" hidden="1" customHeight="1">
      <c r="A120" s="4184"/>
      <c r="B120" s="2598" t="s">
        <v>137</v>
      </c>
      <c r="C120" s="4173"/>
      <c r="D120" s="2599"/>
      <c r="E120" s="2599"/>
      <c r="F120" s="2600">
        <v>0</v>
      </c>
      <c r="G120" s="2600">
        <v>0</v>
      </c>
      <c r="H120" s="2600">
        <v>0</v>
      </c>
      <c r="I120" s="2600">
        <v>0</v>
      </c>
      <c r="J120" s="2600">
        <v>0</v>
      </c>
      <c r="K120" s="2600">
        <v>0</v>
      </c>
      <c r="L120" s="2600">
        <v>0</v>
      </c>
      <c r="M120" s="2560" t="s">
        <v>61</v>
      </c>
      <c r="N120" s="2560" t="s">
        <v>61</v>
      </c>
      <c r="O120" s="4188"/>
    </row>
    <row r="121" spans="1:15" ht="13.5" hidden="1" customHeight="1">
      <c r="A121" s="4184"/>
      <c r="B121" s="2601" t="s">
        <v>138</v>
      </c>
      <c r="C121" s="4173"/>
      <c r="D121" s="2599"/>
      <c r="E121" s="2599"/>
      <c r="F121" s="2602">
        <v>0</v>
      </c>
      <c r="G121" s="2602">
        <v>0</v>
      </c>
      <c r="H121" s="2602">
        <v>0</v>
      </c>
      <c r="I121" s="2602">
        <v>0</v>
      </c>
      <c r="J121" s="2602">
        <v>0</v>
      </c>
      <c r="K121" s="2602">
        <v>0</v>
      </c>
      <c r="L121" s="2602">
        <v>0</v>
      </c>
      <c r="M121" s="2552"/>
      <c r="N121" s="2552"/>
      <c r="O121" s="4188"/>
    </row>
    <row r="122" spans="1:15" ht="12" hidden="1" customHeight="1">
      <c r="A122" s="4184"/>
      <c r="B122" s="2596" t="s">
        <v>18</v>
      </c>
      <c r="C122" s="4173"/>
      <c r="D122" s="2597"/>
      <c r="E122" s="2597">
        <f t="shared" ref="E122" si="79">+E123</f>
        <v>0</v>
      </c>
      <c r="F122" s="2597">
        <v>0</v>
      </c>
      <c r="G122" s="2597">
        <v>0</v>
      </c>
      <c r="H122" s="2597">
        <v>0</v>
      </c>
      <c r="I122" s="2597">
        <v>0</v>
      </c>
      <c r="J122" s="2597">
        <v>0</v>
      </c>
      <c r="K122" s="2597">
        <v>0</v>
      </c>
      <c r="L122" s="2597">
        <v>0</v>
      </c>
      <c r="M122" s="2560" t="str">
        <f>+M123</f>
        <v>x</v>
      </c>
      <c r="N122" s="2560" t="str">
        <f>+N123</f>
        <v>x</v>
      </c>
      <c r="O122" s="4188"/>
    </row>
    <row r="123" spans="1:15" ht="14.25" hidden="1" customHeight="1">
      <c r="A123" s="4184"/>
      <c r="B123" s="2603" t="s">
        <v>35</v>
      </c>
      <c r="C123" s="4138"/>
      <c r="D123" s="2599"/>
      <c r="E123" s="2599"/>
      <c r="F123" s="2604">
        <v>0</v>
      </c>
      <c r="G123" s="2604">
        <v>0</v>
      </c>
      <c r="H123" s="2604">
        <v>0</v>
      </c>
      <c r="I123" s="2604">
        <v>0</v>
      </c>
      <c r="J123" s="2604">
        <v>0</v>
      </c>
      <c r="K123" s="2604">
        <v>0</v>
      </c>
      <c r="L123" s="2604">
        <v>0</v>
      </c>
      <c r="M123" s="2605" t="s">
        <v>61</v>
      </c>
      <c r="N123" s="2605" t="s">
        <v>61</v>
      </c>
      <c r="O123" s="4188"/>
    </row>
    <row r="124" spans="1:15" ht="13.5" hidden="1" customHeight="1">
      <c r="A124" s="4184"/>
      <c r="B124" s="2454" t="s">
        <v>22</v>
      </c>
      <c r="C124" s="2591"/>
      <c r="D124" s="2595"/>
      <c r="E124" s="2595">
        <f>E128+E125</f>
        <v>0</v>
      </c>
      <c r="F124" s="2595">
        <v>0</v>
      </c>
      <c r="G124" s="2595">
        <v>0</v>
      </c>
      <c r="H124" s="2595">
        <v>0</v>
      </c>
      <c r="I124" s="2595">
        <v>0</v>
      </c>
      <c r="J124" s="2595">
        <v>0</v>
      </c>
      <c r="K124" s="2595">
        <v>0</v>
      </c>
      <c r="L124" s="2595">
        <v>0</v>
      </c>
      <c r="M124" s="2567"/>
      <c r="N124" s="2567"/>
      <c r="O124" s="4188"/>
    </row>
    <row r="125" spans="1:15" ht="14.25" hidden="1" customHeight="1">
      <c r="A125" s="4184"/>
      <c r="B125" s="2458" t="s">
        <v>24</v>
      </c>
      <c r="C125" s="4167" t="s">
        <v>23</v>
      </c>
      <c r="D125" s="2606"/>
      <c r="E125" s="2606">
        <f t="shared" ref="E125" si="80">+E127+E126</f>
        <v>0</v>
      </c>
      <c r="F125" s="2597">
        <f t="shared" ref="F125:L125" si="81">+F127+F126</f>
        <v>0</v>
      </c>
      <c r="G125" s="2597">
        <f t="shared" si="81"/>
        <v>0</v>
      </c>
      <c r="H125" s="2597">
        <f t="shared" si="81"/>
        <v>0</v>
      </c>
      <c r="I125" s="2597">
        <f t="shared" si="81"/>
        <v>0</v>
      </c>
      <c r="J125" s="2597">
        <f t="shared" si="81"/>
        <v>0</v>
      </c>
      <c r="K125" s="2597">
        <f t="shared" si="81"/>
        <v>0</v>
      </c>
      <c r="L125" s="2597">
        <f t="shared" si="81"/>
        <v>0</v>
      </c>
      <c r="M125" s="4170" t="s">
        <v>61</v>
      </c>
      <c r="N125" s="4170" t="s">
        <v>61</v>
      </c>
      <c r="O125" s="4188"/>
    </row>
    <row r="126" spans="1:15" ht="13.5" hidden="1" customHeight="1">
      <c r="A126" s="4184"/>
      <c r="B126" s="2598" t="s">
        <v>137</v>
      </c>
      <c r="C126" s="4168"/>
      <c r="D126" s="2599"/>
      <c r="E126" s="2599"/>
      <c r="F126" s="2607">
        <v>0</v>
      </c>
      <c r="G126" s="2607">
        <v>0</v>
      </c>
      <c r="H126" s="2607">
        <v>0</v>
      </c>
      <c r="I126" s="2607">
        <v>0</v>
      </c>
      <c r="J126" s="2607">
        <v>0</v>
      </c>
      <c r="K126" s="2607">
        <v>0</v>
      </c>
      <c r="L126" s="2607">
        <v>0</v>
      </c>
      <c r="M126" s="4171"/>
      <c r="N126" s="4171"/>
      <c r="O126" s="4188"/>
    </row>
    <row r="127" spans="1:15" ht="13.5" hidden="1" customHeight="1">
      <c r="A127" s="4184"/>
      <c r="B127" s="2601" t="s">
        <v>147</v>
      </c>
      <c r="C127" s="4168"/>
      <c r="D127" s="2599"/>
      <c r="E127" s="2608"/>
      <c r="F127" s="2602">
        <v>0</v>
      </c>
      <c r="G127" s="2602">
        <v>0</v>
      </c>
      <c r="H127" s="2602">
        <v>0</v>
      </c>
      <c r="I127" s="2602">
        <v>0</v>
      </c>
      <c r="J127" s="2602">
        <v>0</v>
      </c>
      <c r="K127" s="2602">
        <v>0</v>
      </c>
      <c r="L127" s="2602">
        <v>0</v>
      </c>
      <c r="M127" s="4171"/>
      <c r="N127" s="4171"/>
      <c r="O127" s="4188"/>
    </row>
    <row r="128" spans="1:15" ht="12.75" hidden="1" customHeight="1">
      <c r="A128" s="4184"/>
      <c r="B128" s="2596" t="s">
        <v>18</v>
      </c>
      <c r="C128" s="4168"/>
      <c r="D128" s="2606"/>
      <c r="E128" s="2606">
        <f t="shared" ref="E128" si="82">+E129</f>
        <v>0</v>
      </c>
      <c r="F128" s="2597">
        <v>0</v>
      </c>
      <c r="G128" s="2597">
        <v>0</v>
      </c>
      <c r="H128" s="2597">
        <v>0</v>
      </c>
      <c r="I128" s="2597">
        <v>0</v>
      </c>
      <c r="J128" s="2597"/>
      <c r="K128" s="2597"/>
      <c r="L128" s="2597"/>
      <c r="M128" s="4171"/>
      <c r="N128" s="4171"/>
      <c r="O128" s="4188"/>
    </row>
    <row r="129" spans="1:15" ht="13.5" hidden="1" customHeight="1" thickBot="1">
      <c r="A129" s="4184"/>
      <c r="B129" s="2609" t="s">
        <v>35</v>
      </c>
      <c r="C129" s="4169"/>
      <c r="D129" s="2599"/>
      <c r="E129" s="2599">
        <v>0</v>
      </c>
      <c r="F129" s="2607">
        <v>0</v>
      </c>
      <c r="G129" s="2607">
        <v>0</v>
      </c>
      <c r="H129" s="2607">
        <v>0</v>
      </c>
      <c r="I129" s="2607">
        <v>0</v>
      </c>
      <c r="J129" s="2607">
        <v>0</v>
      </c>
      <c r="K129" s="2607">
        <v>0</v>
      </c>
      <c r="L129" s="2607">
        <v>0</v>
      </c>
      <c r="M129" s="4172"/>
      <c r="N129" s="4172"/>
      <c r="O129" s="4189"/>
    </row>
    <row r="130" spans="1:15" ht="26.25" hidden="1" customHeight="1">
      <c r="A130" s="4179" t="s">
        <v>63</v>
      </c>
      <c r="B130" s="2610" t="s">
        <v>212</v>
      </c>
      <c r="C130" s="2611" t="s">
        <v>82</v>
      </c>
      <c r="D130" s="2612"/>
      <c r="E130" s="2579"/>
      <c r="F130" s="2579"/>
      <c r="G130" s="2579"/>
      <c r="H130" s="2579"/>
      <c r="I130" s="2579"/>
      <c r="J130" s="2579"/>
      <c r="K130" s="2579"/>
      <c r="L130" s="2579"/>
      <c r="M130" s="2613"/>
      <c r="N130" s="2613"/>
      <c r="O130" s="4122" t="s">
        <v>217</v>
      </c>
    </row>
    <row r="131" spans="1:15" s="2440" customFormat="1" ht="17.25" hidden="1" customHeight="1">
      <c r="A131" s="4180"/>
      <c r="B131" s="2614" t="s">
        <v>10</v>
      </c>
      <c r="C131" s="2591"/>
      <c r="D131" s="2615"/>
      <c r="E131" s="2615">
        <f t="shared" ref="E131:J132" si="83">E132</f>
        <v>0</v>
      </c>
      <c r="F131" s="2615">
        <f t="shared" si="83"/>
        <v>0</v>
      </c>
      <c r="G131" s="2615">
        <f t="shared" si="83"/>
        <v>0</v>
      </c>
      <c r="H131" s="2615">
        <f t="shared" si="83"/>
        <v>0</v>
      </c>
      <c r="I131" s="2615">
        <f t="shared" si="83"/>
        <v>0</v>
      </c>
      <c r="J131" s="2615">
        <f t="shared" si="83"/>
        <v>0</v>
      </c>
      <c r="K131" s="2615">
        <f>K132</f>
        <v>0</v>
      </c>
      <c r="L131" s="2615">
        <f>L132</f>
        <v>0</v>
      </c>
      <c r="M131" s="2616">
        <f>+M132</f>
        <v>0</v>
      </c>
      <c r="N131" s="2616">
        <f>+N132</f>
        <v>0</v>
      </c>
      <c r="O131" s="4123"/>
    </row>
    <row r="132" spans="1:15" s="2619" customFormat="1" ht="15" hidden="1" customHeight="1">
      <c r="A132" s="4180"/>
      <c r="B132" s="2617" t="s">
        <v>24</v>
      </c>
      <c r="C132" s="4182" t="s">
        <v>146</v>
      </c>
      <c r="D132" s="2606"/>
      <c r="E132" s="2606">
        <f>E133</f>
        <v>0</v>
      </c>
      <c r="F132" s="2606">
        <f t="shared" si="83"/>
        <v>0</v>
      </c>
      <c r="G132" s="2606">
        <f t="shared" si="83"/>
        <v>0</v>
      </c>
      <c r="H132" s="2606">
        <f t="shared" si="83"/>
        <v>0</v>
      </c>
      <c r="I132" s="2606">
        <f t="shared" si="83"/>
        <v>0</v>
      </c>
      <c r="J132" s="2606">
        <f t="shared" si="83"/>
        <v>0</v>
      </c>
      <c r="K132" s="2606">
        <f>K133</f>
        <v>0</v>
      </c>
      <c r="L132" s="2606">
        <f>L133</f>
        <v>0</v>
      </c>
      <c r="M132" s="2618">
        <f>+M133</f>
        <v>0</v>
      </c>
      <c r="N132" s="2618">
        <f>+N133</f>
        <v>0</v>
      </c>
      <c r="O132" s="4123"/>
    </row>
    <row r="133" spans="1:15" s="2440" customFormat="1" ht="15" hidden="1" customHeight="1" thickBot="1">
      <c r="A133" s="4181"/>
      <c r="B133" s="2620" t="s">
        <v>138</v>
      </c>
      <c r="C133" s="4183"/>
      <c r="D133" s="2621"/>
      <c r="E133" s="2621">
        <v>0</v>
      </c>
      <c r="F133" s="2622">
        <v>0</v>
      </c>
      <c r="G133" s="2622">
        <v>0</v>
      </c>
      <c r="H133" s="2622">
        <v>0</v>
      </c>
      <c r="I133" s="2622">
        <v>0</v>
      </c>
      <c r="J133" s="2622">
        <v>0</v>
      </c>
      <c r="K133" s="2622">
        <v>0</v>
      </c>
      <c r="L133" s="2622">
        <v>0</v>
      </c>
      <c r="M133" s="2623"/>
      <c r="N133" s="2623"/>
      <c r="O133" s="4124"/>
    </row>
    <row r="134" spans="1:15" ht="12.75">
      <c r="A134" s="2391"/>
      <c r="B134" s="2391"/>
      <c r="C134" s="2391"/>
      <c r="D134" s="2391"/>
      <c r="E134" s="2391"/>
      <c r="F134" s="2391"/>
      <c r="G134" s="2391"/>
      <c r="H134" s="2391"/>
      <c r="I134" s="2391"/>
      <c r="J134" s="2391"/>
      <c r="K134" s="2391"/>
      <c r="L134" s="2391"/>
      <c r="M134" s="2391"/>
      <c r="N134" s="2391"/>
    </row>
    <row r="135" spans="1:15" ht="12.75">
      <c r="A135" s="2391"/>
      <c r="B135" s="2625" t="s">
        <v>481</v>
      </c>
      <c r="C135" s="2604"/>
      <c r="D135" s="2604"/>
      <c r="E135" s="2604"/>
      <c r="F135" s="2604"/>
      <c r="G135" s="2604"/>
      <c r="H135" s="2604"/>
      <c r="I135" s="2604"/>
      <c r="J135" s="2604"/>
      <c r="K135" s="2604"/>
      <c r="L135" s="2604"/>
      <c r="M135" s="2391"/>
      <c r="N135" s="2391"/>
    </row>
    <row r="136" spans="1:15" ht="12.75">
      <c r="A136" s="2391"/>
      <c r="B136" s="2625" t="s">
        <v>482</v>
      </c>
      <c r="C136" s="2604"/>
      <c r="D136" s="2626">
        <f>D73+D59+D43+D82</f>
        <v>996038</v>
      </c>
      <c r="E136" s="2626">
        <f t="shared" ref="E136:L136" si="84">E73+E59+E43+E82</f>
        <v>292115</v>
      </c>
      <c r="F136" s="2626">
        <f t="shared" si="84"/>
        <v>107202</v>
      </c>
      <c r="G136" s="2626">
        <f t="shared" si="84"/>
        <v>342369</v>
      </c>
      <c r="H136" s="2626">
        <f t="shared" si="84"/>
        <v>124950</v>
      </c>
      <c r="I136" s="2626">
        <f t="shared" si="84"/>
        <v>99540</v>
      </c>
      <c r="J136" s="2626">
        <f t="shared" si="84"/>
        <v>29862</v>
      </c>
      <c r="K136" s="2626">
        <f t="shared" si="84"/>
        <v>0</v>
      </c>
      <c r="L136" s="2626">
        <f t="shared" si="84"/>
        <v>0</v>
      </c>
      <c r="M136" s="2391"/>
      <c r="N136" s="2391"/>
    </row>
    <row r="137" spans="1:15" ht="12.75">
      <c r="A137" s="2391"/>
      <c r="B137" s="2625" t="s">
        <v>483</v>
      </c>
      <c r="C137" s="2604"/>
      <c r="D137" s="2626">
        <v>0</v>
      </c>
      <c r="E137" s="2626">
        <v>0</v>
      </c>
      <c r="F137" s="2626">
        <v>0</v>
      </c>
      <c r="G137" s="2626">
        <v>0</v>
      </c>
      <c r="H137" s="2626">
        <v>0</v>
      </c>
      <c r="I137" s="2626">
        <v>0</v>
      </c>
      <c r="J137" s="2626">
        <v>0</v>
      </c>
      <c r="K137" s="2626">
        <v>0</v>
      </c>
      <c r="L137" s="2626">
        <v>0</v>
      </c>
      <c r="M137" s="2391"/>
      <c r="N137" s="2391"/>
    </row>
    <row r="138" spans="1:15" ht="12.75">
      <c r="A138" s="2391"/>
      <c r="B138" s="2625" t="s">
        <v>484</v>
      </c>
      <c r="C138" s="2604"/>
      <c r="D138" s="2627">
        <f>D136+D137</f>
        <v>996038</v>
      </c>
      <c r="E138" s="2627">
        <f t="shared" ref="E138:L138" si="85">E136+E137</f>
        <v>292115</v>
      </c>
      <c r="F138" s="2627">
        <f t="shared" si="85"/>
        <v>107202</v>
      </c>
      <c r="G138" s="2627">
        <f t="shared" si="85"/>
        <v>342369</v>
      </c>
      <c r="H138" s="2627">
        <f t="shared" si="85"/>
        <v>124950</v>
      </c>
      <c r="I138" s="2627">
        <f t="shared" si="85"/>
        <v>99540</v>
      </c>
      <c r="J138" s="2627">
        <f t="shared" si="85"/>
        <v>29862</v>
      </c>
      <c r="K138" s="2627">
        <f t="shared" si="85"/>
        <v>0</v>
      </c>
      <c r="L138" s="2627">
        <f t="shared" si="85"/>
        <v>0</v>
      </c>
      <c r="M138" s="2391"/>
      <c r="N138" s="2391"/>
    </row>
    <row r="139" spans="1:15" ht="12.75">
      <c r="B139" s="2628" t="s">
        <v>42</v>
      </c>
      <c r="C139" s="2629"/>
      <c r="D139" s="2630">
        <f t="shared" ref="D139:L139" si="86">D20-D138</f>
        <v>0</v>
      </c>
      <c r="E139" s="2630">
        <f t="shared" si="86"/>
        <v>0</v>
      </c>
      <c r="F139" s="2630">
        <f t="shared" si="86"/>
        <v>0</v>
      </c>
      <c r="G139" s="2630">
        <f t="shared" si="86"/>
        <v>0</v>
      </c>
      <c r="H139" s="2630">
        <f t="shared" si="86"/>
        <v>0</v>
      </c>
      <c r="I139" s="2630">
        <f t="shared" si="86"/>
        <v>0</v>
      </c>
      <c r="J139" s="2630">
        <f t="shared" si="86"/>
        <v>0</v>
      </c>
      <c r="K139" s="2630">
        <f t="shared" si="86"/>
        <v>0</v>
      </c>
      <c r="L139" s="2630">
        <f t="shared" si="86"/>
        <v>0</v>
      </c>
    </row>
    <row r="144" spans="1:15" ht="12" thickBot="1">
      <c r="A144" s="2631"/>
      <c r="B144" s="2632"/>
      <c r="C144" s="2632"/>
      <c r="D144" s="2632"/>
      <c r="E144" s="2632"/>
      <c r="F144" s="2632"/>
      <c r="G144" s="2632"/>
      <c r="H144" s="2632"/>
      <c r="I144" s="2632"/>
      <c r="J144" s="2632"/>
      <c r="K144" s="2632"/>
      <c r="L144" s="2632"/>
      <c r="M144" s="2632"/>
      <c r="N144" s="2632"/>
      <c r="O144" s="2633"/>
    </row>
    <row r="203" spans="1:15" ht="12.75">
      <c r="A203" s="2391"/>
      <c r="B203" s="2391" t="s">
        <v>69</v>
      </c>
      <c r="C203" s="2391"/>
      <c r="D203" s="2391"/>
      <c r="E203" s="2391"/>
      <c r="F203" s="2391"/>
      <c r="G203" s="2391"/>
      <c r="H203" s="2391"/>
      <c r="I203" s="2391"/>
      <c r="J203" s="2391"/>
      <c r="K203" s="2391"/>
      <c r="L203" s="2391"/>
      <c r="M203" s="2391"/>
      <c r="N203" s="2391"/>
      <c r="O203" s="2391"/>
    </row>
    <row r="204" spans="1:15" ht="12.75">
      <c r="A204" s="2391"/>
      <c r="O204" s="2391"/>
    </row>
    <row r="205" spans="1:15" ht="12.75">
      <c r="A205" s="2391"/>
      <c r="O205" s="2391"/>
    </row>
    <row r="206" spans="1:15" ht="12.75">
      <c r="A206" s="2391"/>
      <c r="O206" s="2391"/>
    </row>
    <row r="207" spans="1:15" ht="12.75">
      <c r="A207" s="2391"/>
      <c r="O207" s="2391"/>
    </row>
    <row r="208" spans="1:15" ht="12.75">
      <c r="A208" s="2391"/>
      <c r="O208" s="2391"/>
    </row>
    <row r="209" spans="1:15" ht="12.75">
      <c r="A209" s="2391"/>
      <c r="O209" s="2391"/>
    </row>
    <row r="210" spans="1:15" ht="12.75">
      <c r="A210" s="2391"/>
      <c r="O210" s="2391"/>
    </row>
    <row r="211" spans="1:15" ht="12.75">
      <c r="A211" s="2391"/>
      <c r="O211" s="2391"/>
    </row>
    <row r="212" spans="1:15" ht="12.75">
      <c r="A212" s="2391"/>
      <c r="O212" s="2391"/>
    </row>
    <row r="213" spans="1:15" ht="12.75">
      <c r="A213" s="2391"/>
      <c r="O213" s="2391"/>
    </row>
    <row r="214" spans="1:15" ht="12.75">
      <c r="A214" s="2391"/>
      <c r="B214" s="2391"/>
      <c r="C214" s="2391"/>
      <c r="D214" s="2391"/>
      <c r="E214" s="2391"/>
      <c r="F214" s="2391"/>
      <c r="G214" s="2391"/>
      <c r="H214" s="2391"/>
      <c r="I214" s="2391"/>
      <c r="J214" s="2391"/>
      <c r="K214" s="2391"/>
      <c r="L214" s="2391"/>
      <c r="M214" s="2391"/>
      <c r="N214" s="2391"/>
      <c r="O214" s="2391"/>
    </row>
  </sheetData>
  <mergeCells count="80">
    <mergeCell ref="M20:M25"/>
    <mergeCell ref="M32:M36"/>
    <mergeCell ref="M43:M47"/>
    <mergeCell ref="M52:M54"/>
    <mergeCell ref="M59:M61"/>
    <mergeCell ref="A130:A133"/>
    <mergeCell ref="O130:O133"/>
    <mergeCell ref="C132:C133"/>
    <mergeCell ref="A55:A61"/>
    <mergeCell ref="O55:O61"/>
    <mergeCell ref="C57:C58"/>
    <mergeCell ref="C60:C61"/>
    <mergeCell ref="A113:A116"/>
    <mergeCell ref="O113:O116"/>
    <mergeCell ref="C115:C116"/>
    <mergeCell ref="A117:A129"/>
    <mergeCell ref="O117:O129"/>
    <mergeCell ref="O109:O112"/>
    <mergeCell ref="C111:C112"/>
    <mergeCell ref="O93:O95"/>
    <mergeCell ref="O96:O100"/>
    <mergeCell ref="A48:A54"/>
    <mergeCell ref="A37:A47"/>
    <mergeCell ref="C39:C42"/>
    <mergeCell ref="A26:A36"/>
    <mergeCell ref="C33:C36"/>
    <mergeCell ref="C28:C31"/>
    <mergeCell ref="C44:C47"/>
    <mergeCell ref="C50:C51"/>
    <mergeCell ref="C53:C54"/>
    <mergeCell ref="C125:C129"/>
    <mergeCell ref="A92:L92"/>
    <mergeCell ref="N125:N129"/>
    <mergeCell ref="N59:N61"/>
    <mergeCell ref="C67:C68"/>
    <mergeCell ref="N66:N68"/>
    <mergeCell ref="C119:C123"/>
    <mergeCell ref="A62:A68"/>
    <mergeCell ref="A109:A112"/>
    <mergeCell ref="N104:N108"/>
    <mergeCell ref="A69:A75"/>
    <mergeCell ref="C64:C65"/>
    <mergeCell ref="M66:M68"/>
    <mergeCell ref="M73:M75"/>
    <mergeCell ref="M104:M108"/>
    <mergeCell ref="M125:M129"/>
    <mergeCell ref="A5:O5"/>
    <mergeCell ref="B6:B8"/>
    <mergeCell ref="C6:C8"/>
    <mergeCell ref="D6:D8"/>
    <mergeCell ref="O6:O8"/>
    <mergeCell ref="N6:N8"/>
    <mergeCell ref="E6:E8"/>
    <mergeCell ref="F6:F8"/>
    <mergeCell ref="G6:L6"/>
    <mergeCell ref="G7:G8"/>
    <mergeCell ref="H7:H8"/>
    <mergeCell ref="I7:I8"/>
    <mergeCell ref="J7:J8"/>
    <mergeCell ref="K7:K8"/>
    <mergeCell ref="L7:L8"/>
    <mergeCell ref="M6:M8"/>
    <mergeCell ref="O48:O54"/>
    <mergeCell ref="N52:N54"/>
    <mergeCell ref="O69:O75"/>
    <mergeCell ref="C71:C72"/>
    <mergeCell ref="N73:N75"/>
    <mergeCell ref="C74:C75"/>
    <mergeCell ref="O62:O68"/>
    <mergeCell ref="N20:N25"/>
    <mergeCell ref="N32:N36"/>
    <mergeCell ref="O26:O36"/>
    <mergeCell ref="N43:N47"/>
    <mergeCell ref="O37:O47"/>
    <mergeCell ref="A76:A86"/>
    <mergeCell ref="O76:O86"/>
    <mergeCell ref="M82:M86"/>
    <mergeCell ref="N82:N86"/>
    <mergeCell ref="C78:C81"/>
    <mergeCell ref="C83:C86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70" firstPageNumber="34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__________________________________________________________________________________________________________________________________</oddHeader>
    <oddFooter>&amp;C&amp;8&amp;P</oddFooter>
  </headerFooter>
  <rowBreaks count="1" manualBreakCount="1">
    <brk id="90" max="24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BY552"/>
  <sheetViews>
    <sheetView showGridLines="0" view="pageBreakPreview" topLeftCell="A4" zoomScaleSheetLayoutView="100" workbookViewId="0">
      <pane xSplit="2" ySplit="5" topLeftCell="C254" activePane="bottomRight" state="frozen"/>
      <selection activeCell="A4" sqref="A4"/>
      <selection pane="topRight" activeCell="C4" sqref="C4"/>
      <selection pane="bottomLeft" activeCell="A9" sqref="A9"/>
      <selection pane="bottomRight" activeCell="H221" sqref="H221"/>
    </sheetView>
  </sheetViews>
  <sheetFormatPr defaultColWidth="9.140625" defaultRowHeight="12.75"/>
  <cols>
    <col min="1" max="1" width="4.7109375" style="271" customWidth="1"/>
    <col min="2" max="2" width="61" style="272" customWidth="1"/>
    <col min="3" max="3" width="10" style="272" customWidth="1"/>
    <col min="4" max="4" width="14.28515625" style="272" customWidth="1"/>
    <col min="5" max="5" width="13.7109375" style="272" customWidth="1"/>
    <col min="6" max="6" width="10.28515625" style="272" customWidth="1"/>
    <col min="7" max="7" width="9.85546875" style="272" customWidth="1"/>
    <col min="8" max="8" width="11.28515625" style="272" customWidth="1"/>
    <col min="9" max="9" width="11" style="272" customWidth="1"/>
    <col min="10" max="10" width="9.85546875" style="272" customWidth="1"/>
    <col min="11" max="12" width="10.42578125" style="272" bestFit="1" customWidth="1"/>
    <col min="13" max="13" width="12.5703125" style="272" hidden="1" customWidth="1"/>
    <col min="14" max="14" width="12.5703125" style="272" customWidth="1"/>
    <col min="15" max="15" width="13.5703125" style="335" customWidth="1"/>
    <col min="16" max="16" width="15.140625" style="272" customWidth="1"/>
    <col min="17" max="17" width="16.42578125" style="272" customWidth="1"/>
    <col min="18" max="18" width="9.5703125" style="272" bestFit="1" customWidth="1"/>
    <col min="19" max="16384" width="9.140625" style="272"/>
  </cols>
  <sheetData>
    <row r="1" spans="1:77" ht="3.75" customHeight="1">
      <c r="M1" s="6"/>
      <c r="N1" s="6"/>
      <c r="O1" s="7"/>
    </row>
    <row r="2" spans="1:77" ht="15" customHeight="1">
      <c r="B2" s="273"/>
      <c r="E2" s="274"/>
      <c r="F2" s="274"/>
      <c r="I2" s="275" t="s">
        <v>764</v>
      </c>
      <c r="J2" s="275"/>
      <c r="K2" s="275"/>
      <c r="L2" s="275"/>
      <c r="M2" s="6"/>
      <c r="N2" s="6"/>
      <c r="O2" s="7"/>
    </row>
    <row r="3" spans="1:77" ht="0.75" customHeight="1">
      <c r="G3" s="276"/>
      <c r="H3" s="276"/>
      <c r="I3" s="276"/>
      <c r="J3" s="276"/>
      <c r="K3" s="276"/>
      <c r="L3" s="276"/>
      <c r="M3" s="6"/>
      <c r="N3" s="6"/>
      <c r="O3" s="7"/>
    </row>
    <row r="4" spans="1:77" ht="3" customHeight="1"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6"/>
      <c r="O4" s="7"/>
    </row>
    <row r="5" spans="1:77" s="277" customFormat="1" ht="40.5" customHeight="1" thickBot="1">
      <c r="A5" s="4239" t="s">
        <v>148</v>
      </c>
      <c r="B5" s="4239"/>
      <c r="C5" s="4239"/>
      <c r="D5" s="4239"/>
      <c r="E5" s="4239"/>
      <c r="F5" s="4239"/>
      <c r="G5" s="4239"/>
      <c r="H5" s="4239"/>
      <c r="I5" s="4239"/>
      <c r="J5" s="4239"/>
      <c r="K5" s="4239"/>
      <c r="L5" s="4239"/>
      <c r="M5" s="4239"/>
      <c r="N5" s="4239"/>
      <c r="O5" s="4239"/>
    </row>
    <row r="6" spans="1:77" s="279" customFormat="1" ht="55.5" customHeight="1" thickBot="1">
      <c r="A6" s="140"/>
      <c r="B6" s="4240" t="s">
        <v>75</v>
      </c>
      <c r="C6" s="3907" t="s">
        <v>71</v>
      </c>
      <c r="D6" s="4241" t="s">
        <v>118</v>
      </c>
      <c r="E6" s="4249" t="s">
        <v>557</v>
      </c>
      <c r="F6" s="3790" t="s">
        <v>625</v>
      </c>
      <c r="G6" s="3924" t="s">
        <v>553</v>
      </c>
      <c r="H6" s="3925"/>
      <c r="I6" s="3925"/>
      <c r="J6" s="3925"/>
      <c r="K6" s="3925"/>
      <c r="L6" s="3926"/>
      <c r="M6" s="3916" t="s">
        <v>570</v>
      </c>
      <c r="N6" s="3916" t="s">
        <v>554</v>
      </c>
      <c r="O6" s="4243" t="s">
        <v>73</v>
      </c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278"/>
      <c r="AO6" s="278"/>
      <c r="AP6" s="278"/>
      <c r="AQ6" s="278"/>
      <c r="AR6" s="278"/>
      <c r="AS6" s="278"/>
      <c r="AT6" s="278"/>
      <c r="AU6" s="278"/>
      <c r="AV6" s="278"/>
      <c r="AW6" s="278"/>
      <c r="AX6" s="278"/>
      <c r="AY6" s="278"/>
      <c r="AZ6" s="278"/>
      <c r="BA6" s="278"/>
      <c r="BB6" s="278"/>
      <c r="BC6" s="278"/>
      <c r="BD6" s="278"/>
      <c r="BE6" s="278"/>
      <c r="BF6" s="278"/>
      <c r="BG6" s="278"/>
      <c r="BH6" s="278"/>
      <c r="BI6" s="278"/>
      <c r="BJ6" s="278"/>
      <c r="BK6" s="278"/>
      <c r="BL6" s="278"/>
      <c r="BM6" s="278"/>
      <c r="BN6" s="278"/>
      <c r="BO6" s="278"/>
      <c r="BP6" s="278"/>
      <c r="BQ6" s="278"/>
      <c r="BR6" s="278"/>
      <c r="BS6" s="278"/>
      <c r="BT6" s="278"/>
      <c r="BU6" s="278"/>
      <c r="BV6" s="278"/>
      <c r="BW6" s="278"/>
      <c r="BX6" s="278"/>
      <c r="BY6" s="278"/>
    </row>
    <row r="7" spans="1:77" s="279" customFormat="1" ht="14.25" customHeight="1" thickBot="1">
      <c r="A7" s="141"/>
      <c r="B7" s="4240"/>
      <c r="C7" s="3908"/>
      <c r="D7" s="4242"/>
      <c r="E7" s="4250"/>
      <c r="F7" s="3792"/>
      <c r="G7" s="2041" t="s">
        <v>6</v>
      </c>
      <c r="H7" s="280" t="s">
        <v>214</v>
      </c>
      <c r="I7" s="280" t="s">
        <v>215</v>
      </c>
      <c r="J7" s="280" t="s">
        <v>262</v>
      </c>
      <c r="K7" s="280" t="s">
        <v>263</v>
      </c>
      <c r="L7" s="280" t="s">
        <v>264</v>
      </c>
      <c r="M7" s="4245"/>
      <c r="N7" s="4245"/>
      <c r="O7" s="4244"/>
      <c r="P7" s="172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  <c r="AH7" s="278"/>
      <c r="AI7" s="278"/>
      <c r="AJ7" s="278"/>
      <c r="AK7" s="278"/>
      <c r="AL7" s="278"/>
      <c r="AM7" s="278"/>
      <c r="AN7" s="278"/>
      <c r="AO7" s="278"/>
      <c r="AP7" s="278"/>
      <c r="AQ7" s="278"/>
      <c r="AR7" s="278"/>
      <c r="AS7" s="278"/>
      <c r="AT7" s="278"/>
      <c r="AU7" s="278"/>
      <c r="AV7" s="278"/>
      <c r="AW7" s="278"/>
      <c r="AX7" s="278"/>
      <c r="AY7" s="278"/>
      <c r="AZ7" s="278"/>
      <c r="BA7" s="278"/>
      <c r="BB7" s="278"/>
      <c r="BC7" s="278"/>
      <c r="BD7" s="278"/>
      <c r="BE7" s="278"/>
      <c r="BF7" s="278"/>
      <c r="BG7" s="278"/>
      <c r="BH7" s="278"/>
      <c r="BI7" s="278"/>
      <c r="BJ7" s="278"/>
      <c r="BK7" s="278"/>
      <c r="BL7" s="278"/>
      <c r="BM7" s="278"/>
      <c r="BN7" s="278"/>
      <c r="BO7" s="278"/>
      <c r="BP7" s="278"/>
      <c r="BQ7" s="278"/>
      <c r="BR7" s="278"/>
      <c r="BS7" s="278"/>
      <c r="BT7" s="278"/>
      <c r="BU7" s="278"/>
      <c r="BV7" s="278"/>
      <c r="BW7" s="278"/>
      <c r="BX7" s="278"/>
      <c r="BY7" s="278"/>
    </row>
    <row r="8" spans="1:77" s="279" customFormat="1" ht="12.75" customHeight="1">
      <c r="A8" s="771">
        <v>1</v>
      </c>
      <c r="B8" s="772">
        <v>2</v>
      </c>
      <c r="C8" s="773" t="s">
        <v>119</v>
      </c>
      <c r="D8" s="773" t="s">
        <v>120</v>
      </c>
      <c r="E8" s="1158">
        <v>5</v>
      </c>
      <c r="F8" s="773">
        <v>6</v>
      </c>
      <c r="G8" s="773">
        <v>7</v>
      </c>
      <c r="H8" s="773">
        <v>8</v>
      </c>
      <c r="I8" s="773">
        <v>9</v>
      </c>
      <c r="J8" s="773">
        <v>10</v>
      </c>
      <c r="K8" s="773">
        <v>11</v>
      </c>
      <c r="L8" s="773">
        <v>12</v>
      </c>
      <c r="M8" s="774">
        <v>13</v>
      </c>
      <c r="N8" s="774">
        <v>13</v>
      </c>
      <c r="O8" s="775">
        <v>14</v>
      </c>
      <c r="P8" s="279" t="s">
        <v>254</v>
      </c>
    </row>
    <row r="9" spans="1:77" s="1258" customFormat="1" ht="16.5" customHeight="1">
      <c r="A9" s="179"/>
      <c r="B9" s="373" t="s">
        <v>76</v>
      </c>
      <c r="C9" s="357"/>
      <c r="D9" s="358">
        <f>+D10+D11</f>
        <v>335894272</v>
      </c>
      <c r="E9" s="358">
        <f t="shared" ref="E9" si="0">+E10+E11</f>
        <v>27735923</v>
      </c>
      <c r="F9" s="358">
        <f t="shared" ref="F9:N9" si="1">+F10+F11</f>
        <v>30615437</v>
      </c>
      <c r="G9" s="358">
        <f t="shared" si="1"/>
        <v>47990920</v>
      </c>
      <c r="H9" s="206">
        <f t="shared" si="1"/>
        <v>91723054</v>
      </c>
      <c r="I9" s="206">
        <f t="shared" si="1"/>
        <v>59284086</v>
      </c>
      <c r="J9" s="206">
        <f t="shared" si="1"/>
        <v>27018513</v>
      </c>
      <c r="K9" s="206">
        <f t="shared" si="1"/>
        <v>26073404</v>
      </c>
      <c r="L9" s="206">
        <f t="shared" si="1"/>
        <v>25452935</v>
      </c>
      <c r="M9" s="143">
        <f t="shared" ref="M9" si="2">+M10+M11</f>
        <v>308158349</v>
      </c>
      <c r="N9" s="143">
        <f t="shared" si="1"/>
        <v>277542912</v>
      </c>
      <c r="O9" s="17"/>
      <c r="P9" s="281">
        <f>M9-M12</f>
        <v>0</v>
      </c>
      <c r="Q9" s="281"/>
    </row>
    <row r="10" spans="1:77" s="1258" customFormat="1">
      <c r="A10" s="179"/>
      <c r="B10" s="198" t="s">
        <v>77</v>
      </c>
      <c r="C10" s="199"/>
      <c r="D10" s="200">
        <f t="shared" ref="D10:L10" si="3">+D27+D72+D94-D102+D156+D186+D213-D217+D39</f>
        <v>235737524</v>
      </c>
      <c r="E10" s="200">
        <f t="shared" si="3"/>
        <v>26974240</v>
      </c>
      <c r="F10" s="200">
        <f t="shared" si="3"/>
        <v>29157729</v>
      </c>
      <c r="G10" s="200">
        <f t="shared" si="3"/>
        <v>38558620</v>
      </c>
      <c r="H10" s="200">
        <f t="shared" si="3"/>
        <v>33389582</v>
      </c>
      <c r="I10" s="200">
        <f t="shared" si="3"/>
        <v>29546001</v>
      </c>
      <c r="J10" s="200">
        <f t="shared" si="3"/>
        <v>26874013</v>
      </c>
      <c r="K10" s="200">
        <f t="shared" si="3"/>
        <v>25928904</v>
      </c>
      <c r="L10" s="200">
        <f t="shared" si="3"/>
        <v>25308435</v>
      </c>
      <c r="M10" s="512">
        <f>+M27+M72+M94+M156+M186+M213+M39</f>
        <v>208763284</v>
      </c>
      <c r="N10" s="512">
        <f>+N27+N72+N94+N156+N186+N213+N39</f>
        <v>179605555</v>
      </c>
      <c r="O10" s="17"/>
      <c r="P10" s="281">
        <f>F10+G10+H10+I10+J10+K10+L10-M10</f>
        <v>0</v>
      </c>
      <c r="Q10" s="281"/>
    </row>
    <row r="11" spans="1:77" s="1258" customFormat="1" ht="13.5" thickBot="1">
      <c r="A11" s="179"/>
      <c r="B11" s="201" t="s">
        <v>9</v>
      </c>
      <c r="C11" s="202"/>
      <c r="D11" s="203">
        <f>D60+D83+D119-D121+D170+D197+D226</f>
        <v>100156748</v>
      </c>
      <c r="E11" s="203">
        <f t="shared" ref="E11:L11" si="4">E60+E83+E119-E121+E170+E197+E226</f>
        <v>761683</v>
      </c>
      <c r="F11" s="203">
        <f t="shared" si="4"/>
        <v>1457708</v>
      </c>
      <c r="G11" s="203">
        <f t="shared" si="4"/>
        <v>9432300</v>
      </c>
      <c r="H11" s="203">
        <f t="shared" si="4"/>
        <v>58333472</v>
      </c>
      <c r="I11" s="203">
        <f t="shared" si="4"/>
        <v>29738085</v>
      </c>
      <c r="J11" s="203">
        <f t="shared" si="4"/>
        <v>144500</v>
      </c>
      <c r="K11" s="203">
        <f t="shared" si="4"/>
        <v>144500</v>
      </c>
      <c r="L11" s="203">
        <f t="shared" si="4"/>
        <v>144500</v>
      </c>
      <c r="M11" s="18">
        <f>+M60+M83+M119+M170+M197+M226</f>
        <v>99395065</v>
      </c>
      <c r="N11" s="18">
        <f>+N60+N83+N119+N170+N197+N226</f>
        <v>97937357</v>
      </c>
      <c r="O11" s="17"/>
      <c r="P11" s="281">
        <f>F11+G11+H11+I11+J11+K11+L11-M11</f>
        <v>0</v>
      </c>
    </row>
    <row r="12" spans="1:77" s="284" customFormat="1" ht="13.5" customHeight="1">
      <c r="A12" s="146"/>
      <c r="B12" s="147" t="s">
        <v>10</v>
      </c>
      <c r="C12" s="148"/>
      <c r="D12" s="149">
        <f>+D13+D18</f>
        <v>337500702</v>
      </c>
      <c r="E12" s="149">
        <f t="shared" ref="E12" si="5">+E13+E18</f>
        <v>28127039</v>
      </c>
      <c r="F12" s="149">
        <f t="shared" ref="F12:L12" si="6">+F13+F18</f>
        <v>31005316</v>
      </c>
      <c r="G12" s="149">
        <f t="shared" si="6"/>
        <v>48452567</v>
      </c>
      <c r="H12" s="149">
        <f t="shared" si="6"/>
        <v>91817322</v>
      </c>
      <c r="I12" s="149">
        <f t="shared" si="6"/>
        <v>59361551</v>
      </c>
      <c r="J12" s="149">
        <f t="shared" si="6"/>
        <v>27082532</v>
      </c>
      <c r="K12" s="149">
        <f t="shared" si="6"/>
        <v>26137422</v>
      </c>
      <c r="L12" s="149">
        <f t="shared" si="6"/>
        <v>25516953</v>
      </c>
      <c r="M12" s="180">
        <f>+M13+M18</f>
        <v>308158349</v>
      </c>
      <c r="N12" s="180">
        <f>+N13+N18</f>
        <v>277542912</v>
      </c>
      <c r="O12" s="144"/>
      <c r="P12" s="281"/>
      <c r="Q12" s="283"/>
    </row>
    <row r="13" spans="1:77" s="289" customFormat="1" ht="13.5" customHeight="1">
      <c r="A13" s="142"/>
      <c r="B13" s="150" t="s">
        <v>11</v>
      </c>
      <c r="C13" s="151"/>
      <c r="D13" s="285">
        <f>+D14+D15+D16+D17</f>
        <v>67684586</v>
      </c>
      <c r="E13" s="285">
        <f t="shared" ref="E13" si="7">+E14+E15+E16+E17</f>
        <v>4923411</v>
      </c>
      <c r="F13" s="285">
        <f t="shared" ref="F13:L13" si="8">+F14+F15+F16+F17</f>
        <v>5815596</v>
      </c>
      <c r="G13" s="285">
        <f t="shared" si="8"/>
        <v>8272200</v>
      </c>
      <c r="H13" s="285">
        <f t="shared" si="8"/>
        <v>21737595</v>
      </c>
      <c r="I13" s="285">
        <f t="shared" si="8"/>
        <v>16281498</v>
      </c>
      <c r="J13" s="285">
        <f t="shared" si="8"/>
        <v>4487584</v>
      </c>
      <c r="K13" s="285">
        <f t="shared" si="8"/>
        <v>3052728</v>
      </c>
      <c r="L13" s="285">
        <f t="shared" si="8"/>
        <v>3113974</v>
      </c>
      <c r="M13" s="286">
        <f>+M14+M15+M16+M17</f>
        <v>61545861</v>
      </c>
      <c r="N13" s="286">
        <f>+N14+N15+N16+N17</f>
        <v>56120144</v>
      </c>
      <c r="O13" s="287"/>
      <c r="P13" s="281"/>
      <c r="Q13" s="288"/>
      <c r="R13" s="288"/>
      <c r="S13" s="288"/>
      <c r="T13" s="288"/>
      <c r="U13" s="288"/>
      <c r="V13" s="288"/>
      <c r="W13" s="288"/>
      <c r="X13" s="288"/>
      <c r="Y13" s="288"/>
      <c r="Z13" s="288"/>
      <c r="AA13" s="288"/>
    </row>
    <row r="14" spans="1:77" s="292" customFormat="1" ht="12" customHeight="1">
      <c r="A14" s="152"/>
      <c r="B14" s="153" t="s">
        <v>12</v>
      </c>
      <c r="C14" s="154"/>
      <c r="D14" s="290">
        <f t="shared" ref="D14:L14" si="9">+D96+D140+D215+D29+D41+D62</f>
        <v>63814873</v>
      </c>
      <c r="E14" s="290">
        <f t="shared" si="9"/>
        <v>4110906</v>
      </c>
      <c r="F14" s="290">
        <f t="shared" si="9"/>
        <v>5030072</v>
      </c>
      <c r="G14" s="290">
        <f t="shared" si="9"/>
        <v>6852560</v>
      </c>
      <c r="H14" s="290">
        <f t="shared" si="9"/>
        <v>21391699</v>
      </c>
      <c r="I14" s="290">
        <f t="shared" si="9"/>
        <v>15967405</v>
      </c>
      <c r="J14" s="290">
        <f t="shared" si="9"/>
        <v>4423565</v>
      </c>
      <c r="K14" s="290">
        <f t="shared" si="9"/>
        <v>2988710</v>
      </c>
      <c r="L14" s="290">
        <f t="shared" si="9"/>
        <v>3049956</v>
      </c>
      <c r="M14" s="291">
        <f>SUM(F14:L14)</f>
        <v>59703967</v>
      </c>
      <c r="N14" s="291">
        <f t="shared" ref="M14:N16" si="10">SUM(G14:L14)</f>
        <v>54673895</v>
      </c>
      <c r="O14" s="144"/>
      <c r="P14" s="281">
        <f t="shared" ref="P14:P19" si="11">F14+G14+H14+I14+J14+K14+L14-M14</f>
        <v>0</v>
      </c>
      <c r="Q14" s="292" t="s">
        <v>292</v>
      </c>
    </row>
    <row r="15" spans="1:77" s="292" customFormat="1" ht="11.25" customHeight="1">
      <c r="A15" s="152"/>
      <c r="B15" s="293" t="s">
        <v>13</v>
      </c>
      <c r="C15" s="294"/>
      <c r="D15" s="290">
        <f t="shared" ref="D15:L15" si="12">+D63+D74+D85+D216+D228+D45</f>
        <v>2263283</v>
      </c>
      <c r="E15" s="290">
        <f t="shared" si="12"/>
        <v>421389</v>
      </c>
      <c r="F15" s="290">
        <f t="shared" si="12"/>
        <v>395645</v>
      </c>
      <c r="G15" s="290">
        <f t="shared" si="12"/>
        <v>957993</v>
      </c>
      <c r="H15" s="290">
        <f t="shared" si="12"/>
        <v>251628</v>
      </c>
      <c r="I15" s="290">
        <f t="shared" si="12"/>
        <v>236628</v>
      </c>
      <c r="J15" s="290">
        <f t="shared" si="12"/>
        <v>0</v>
      </c>
      <c r="K15" s="290">
        <f t="shared" si="12"/>
        <v>0</v>
      </c>
      <c r="L15" s="290">
        <f t="shared" si="12"/>
        <v>0</v>
      </c>
      <c r="M15" s="291">
        <f>SUM(F15:L15)</f>
        <v>1841894</v>
      </c>
      <c r="N15" s="291">
        <f t="shared" si="10"/>
        <v>1446249</v>
      </c>
      <c r="O15" s="144"/>
      <c r="P15" s="281">
        <f t="shared" si="11"/>
        <v>0</v>
      </c>
    </row>
    <row r="16" spans="1:77" s="292" customFormat="1" ht="15" hidden="1" customHeight="1">
      <c r="A16" s="152"/>
      <c r="B16" s="293" t="s">
        <v>16</v>
      </c>
      <c r="C16" s="294"/>
      <c r="D16" s="295">
        <f>+D141</f>
        <v>0</v>
      </c>
      <c r="E16" s="295">
        <f t="shared" ref="E16:L16" si="13">+E141</f>
        <v>0</v>
      </c>
      <c r="F16" s="295">
        <f t="shared" si="13"/>
        <v>0</v>
      </c>
      <c r="G16" s="295">
        <f t="shared" si="13"/>
        <v>0</v>
      </c>
      <c r="H16" s="295">
        <f t="shared" si="13"/>
        <v>0</v>
      </c>
      <c r="I16" s="295">
        <f t="shared" si="13"/>
        <v>0</v>
      </c>
      <c r="J16" s="295">
        <f t="shared" si="13"/>
        <v>0</v>
      </c>
      <c r="K16" s="295">
        <f t="shared" si="13"/>
        <v>0</v>
      </c>
      <c r="L16" s="295">
        <f t="shared" si="13"/>
        <v>0</v>
      </c>
      <c r="M16" s="291">
        <f t="shared" si="10"/>
        <v>0</v>
      </c>
      <c r="N16" s="291">
        <f t="shared" si="10"/>
        <v>0</v>
      </c>
      <c r="O16" s="144"/>
      <c r="P16" s="281">
        <f t="shared" si="11"/>
        <v>0</v>
      </c>
    </row>
    <row r="17" spans="1:27" s="292" customFormat="1" ht="12" customHeight="1">
      <c r="A17" s="152"/>
      <c r="B17" s="293" t="s">
        <v>32</v>
      </c>
      <c r="C17" s="294"/>
      <c r="D17" s="295">
        <f t="shared" ref="D17:L17" si="14">D102+D121+D217</f>
        <v>1606430</v>
      </c>
      <c r="E17" s="295">
        <f t="shared" si="14"/>
        <v>391116</v>
      </c>
      <c r="F17" s="295">
        <f t="shared" si="14"/>
        <v>389879</v>
      </c>
      <c r="G17" s="295">
        <f t="shared" si="14"/>
        <v>461647</v>
      </c>
      <c r="H17" s="295">
        <f t="shared" si="14"/>
        <v>94268</v>
      </c>
      <c r="I17" s="295">
        <f t="shared" si="14"/>
        <v>77465</v>
      </c>
      <c r="J17" s="295">
        <f t="shared" si="14"/>
        <v>64019</v>
      </c>
      <c r="K17" s="295">
        <f t="shared" si="14"/>
        <v>64018</v>
      </c>
      <c r="L17" s="295">
        <f t="shared" si="14"/>
        <v>64018</v>
      </c>
      <c r="M17" s="296">
        <f>M102+M121</f>
        <v>0</v>
      </c>
      <c r="N17" s="296">
        <f>N102+N121</f>
        <v>0</v>
      </c>
      <c r="O17" s="144"/>
      <c r="P17" s="281">
        <f>D15-D22</f>
        <v>0</v>
      </c>
    </row>
    <row r="18" spans="1:27" s="289" customFormat="1" ht="12" customHeight="1">
      <c r="A18" s="142"/>
      <c r="B18" s="155" t="s">
        <v>18</v>
      </c>
      <c r="C18" s="156"/>
      <c r="D18" s="157">
        <f>SUM(D19)</f>
        <v>269816116</v>
      </c>
      <c r="E18" s="157">
        <f t="shared" ref="E18" si="15">SUM(E19)</f>
        <v>23203628</v>
      </c>
      <c r="F18" s="157">
        <f t="shared" ref="F18:N18" si="16">SUM(F19)</f>
        <v>25189720</v>
      </c>
      <c r="G18" s="157">
        <f t="shared" si="16"/>
        <v>40180367</v>
      </c>
      <c r="H18" s="157">
        <f t="shared" si="16"/>
        <v>70079727</v>
      </c>
      <c r="I18" s="157">
        <f t="shared" si="16"/>
        <v>43080053</v>
      </c>
      <c r="J18" s="157">
        <f t="shared" si="16"/>
        <v>22594948</v>
      </c>
      <c r="K18" s="157">
        <f t="shared" si="16"/>
        <v>23084694</v>
      </c>
      <c r="L18" s="157">
        <f t="shared" si="16"/>
        <v>22402979</v>
      </c>
      <c r="M18" s="286">
        <f t="shared" si="16"/>
        <v>246612488</v>
      </c>
      <c r="N18" s="286">
        <f t="shared" si="16"/>
        <v>221422768</v>
      </c>
      <c r="O18" s="287"/>
      <c r="P18" s="281">
        <f t="shared" si="11"/>
        <v>0</v>
      </c>
      <c r="Q18" s="288"/>
      <c r="R18" s="288"/>
      <c r="S18" s="288"/>
      <c r="T18" s="288"/>
      <c r="U18" s="288"/>
      <c r="V18" s="288"/>
      <c r="W18" s="288"/>
      <c r="X18" s="288"/>
      <c r="Y18" s="288"/>
      <c r="Z18" s="288"/>
      <c r="AA18" s="288"/>
    </row>
    <row r="19" spans="1:27" s="301" customFormat="1" ht="12" customHeight="1">
      <c r="A19" s="158"/>
      <c r="B19" s="297" t="s">
        <v>21</v>
      </c>
      <c r="C19" s="298"/>
      <c r="D19" s="290">
        <f t="shared" ref="D19:L19" si="17">+D31+D65+D76+D87+D106+D125+D143+D219+D230+D50</f>
        <v>269816116</v>
      </c>
      <c r="E19" s="290">
        <f t="shared" si="17"/>
        <v>23203628</v>
      </c>
      <c r="F19" s="290">
        <f t="shared" si="17"/>
        <v>25189720</v>
      </c>
      <c r="G19" s="290">
        <f t="shared" si="17"/>
        <v>40180367</v>
      </c>
      <c r="H19" s="290">
        <f t="shared" si="17"/>
        <v>70079727</v>
      </c>
      <c r="I19" s="290">
        <f t="shared" si="17"/>
        <v>43080053</v>
      </c>
      <c r="J19" s="290">
        <f t="shared" si="17"/>
        <v>22594948</v>
      </c>
      <c r="K19" s="290">
        <f t="shared" si="17"/>
        <v>23084694</v>
      </c>
      <c r="L19" s="290">
        <f t="shared" si="17"/>
        <v>22402979</v>
      </c>
      <c r="M19" s="291">
        <f>SUM(F19:L19)</f>
        <v>246612488</v>
      </c>
      <c r="N19" s="291">
        <f>SUM(G19:L19)</f>
        <v>221422768</v>
      </c>
      <c r="O19" s="299"/>
      <c r="P19" s="281">
        <f t="shared" si="11"/>
        <v>0</v>
      </c>
      <c r="Q19" s="300"/>
      <c r="R19" s="300"/>
      <c r="S19" s="300"/>
      <c r="T19" s="300"/>
      <c r="U19" s="300"/>
      <c r="V19" s="300"/>
      <c r="W19" s="300"/>
      <c r="X19" s="300"/>
      <c r="Y19" s="300"/>
      <c r="Z19" s="300"/>
      <c r="AA19" s="300"/>
    </row>
    <row r="20" spans="1:27" s="301" customFormat="1" ht="12.75" customHeight="1">
      <c r="A20" s="158"/>
      <c r="B20" s="77" t="s">
        <v>22</v>
      </c>
      <c r="C20" s="362"/>
      <c r="D20" s="363">
        <f>+D21+D24</f>
        <v>272079399</v>
      </c>
      <c r="E20" s="363">
        <f t="shared" ref="E20" si="18">+E21+E24</f>
        <v>17792390</v>
      </c>
      <c r="F20" s="363">
        <f t="shared" ref="F20:L20" si="19">+F21+F24</f>
        <v>26599494</v>
      </c>
      <c r="G20" s="363">
        <f t="shared" si="19"/>
        <v>41406593</v>
      </c>
      <c r="H20" s="363">
        <f t="shared" si="19"/>
        <v>67035201</v>
      </c>
      <c r="I20" s="363">
        <f t="shared" si="19"/>
        <v>43430016</v>
      </c>
      <c r="J20" s="363">
        <f t="shared" si="19"/>
        <v>22721431</v>
      </c>
      <c r="K20" s="363">
        <f t="shared" si="19"/>
        <v>22935629</v>
      </c>
      <c r="L20" s="363">
        <f t="shared" si="19"/>
        <v>22764014</v>
      </c>
      <c r="M20" s="4246" t="s">
        <v>61</v>
      </c>
      <c r="N20" s="4246" t="s">
        <v>61</v>
      </c>
      <c r="O20" s="144"/>
      <c r="P20" s="305">
        <f>D77+D88+D115+D134+D147+D220+D54+D35+D66+D231</f>
        <v>272079399</v>
      </c>
      <c r="Q20" s="300"/>
      <c r="R20" s="300"/>
      <c r="S20" s="300"/>
      <c r="T20" s="300"/>
      <c r="U20" s="300"/>
      <c r="V20" s="300"/>
      <c r="W20" s="300"/>
      <c r="X20" s="300"/>
      <c r="Y20" s="300"/>
      <c r="Z20" s="300"/>
      <c r="AA20" s="300"/>
    </row>
    <row r="21" spans="1:27" s="289" customFormat="1" ht="12" customHeight="1">
      <c r="A21" s="142"/>
      <c r="B21" s="150" t="s">
        <v>11</v>
      </c>
      <c r="C21" s="151"/>
      <c r="D21" s="285">
        <f>+D22+D23</f>
        <v>2263283</v>
      </c>
      <c r="E21" s="285">
        <f t="shared" ref="E21" si="20">+E22+E23</f>
        <v>413005</v>
      </c>
      <c r="F21" s="285">
        <f t="shared" ref="F21:L21" si="21">+F22+F23</f>
        <v>369575</v>
      </c>
      <c r="G21" s="285">
        <f t="shared" si="21"/>
        <v>969040</v>
      </c>
      <c r="H21" s="285">
        <f t="shared" si="21"/>
        <v>261721</v>
      </c>
      <c r="I21" s="285">
        <f t="shared" si="21"/>
        <v>236628</v>
      </c>
      <c r="J21" s="285">
        <f t="shared" si="21"/>
        <v>13314</v>
      </c>
      <c r="K21" s="285">
        <f t="shared" si="21"/>
        <v>0</v>
      </c>
      <c r="L21" s="285">
        <f t="shared" si="21"/>
        <v>0</v>
      </c>
      <c r="M21" s="4247"/>
      <c r="N21" s="4247"/>
      <c r="O21" s="287"/>
      <c r="P21" s="305"/>
      <c r="Q21" s="288"/>
      <c r="R21" s="288"/>
      <c r="S21" s="288"/>
      <c r="T21" s="288"/>
      <c r="U21" s="288"/>
      <c r="V21" s="288"/>
      <c r="W21" s="288"/>
      <c r="X21" s="288"/>
      <c r="Y21" s="288"/>
      <c r="Z21" s="288"/>
      <c r="AA21" s="288"/>
    </row>
    <row r="22" spans="1:27" s="301" customFormat="1" ht="12" customHeight="1">
      <c r="A22" s="158"/>
      <c r="B22" s="293" t="s">
        <v>13</v>
      </c>
      <c r="C22" s="302"/>
      <c r="D22" s="290">
        <f t="shared" ref="D22:L22" si="22">+D68+D79+D222+D233+D90+D56</f>
        <v>2263283</v>
      </c>
      <c r="E22" s="290">
        <f t="shared" si="22"/>
        <v>413005</v>
      </c>
      <c r="F22" s="290">
        <f t="shared" si="22"/>
        <v>369575</v>
      </c>
      <c r="G22" s="290">
        <f t="shared" si="22"/>
        <v>969040</v>
      </c>
      <c r="H22" s="290">
        <f t="shared" si="22"/>
        <v>261721</v>
      </c>
      <c r="I22" s="290">
        <f t="shared" si="22"/>
        <v>236628</v>
      </c>
      <c r="J22" s="290">
        <f t="shared" si="22"/>
        <v>13314</v>
      </c>
      <c r="K22" s="290">
        <f t="shared" si="22"/>
        <v>0</v>
      </c>
      <c r="L22" s="290">
        <f t="shared" si="22"/>
        <v>0</v>
      </c>
      <c r="M22" s="4247"/>
      <c r="N22" s="4247"/>
      <c r="O22" s="299"/>
      <c r="P22" s="305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</row>
    <row r="23" spans="1:27" s="301" customFormat="1" ht="12" hidden="1" customHeight="1">
      <c r="A23" s="158"/>
      <c r="B23" s="293" t="s">
        <v>16</v>
      </c>
      <c r="C23" s="302"/>
      <c r="D23" s="295">
        <f>+D149</f>
        <v>0</v>
      </c>
      <c r="E23" s="295">
        <f>+E149</f>
        <v>0</v>
      </c>
      <c r="F23" s="295">
        <f>+F149</f>
        <v>0</v>
      </c>
      <c r="G23" s="295">
        <f t="shared" ref="G23:L23" si="23">+G149</f>
        <v>0</v>
      </c>
      <c r="H23" s="295">
        <f t="shared" si="23"/>
        <v>0</v>
      </c>
      <c r="I23" s="295">
        <f t="shared" si="23"/>
        <v>0</v>
      </c>
      <c r="J23" s="295">
        <f t="shared" si="23"/>
        <v>0</v>
      </c>
      <c r="K23" s="295">
        <f t="shared" si="23"/>
        <v>0</v>
      </c>
      <c r="L23" s="295">
        <f t="shared" si="23"/>
        <v>0</v>
      </c>
      <c r="M23" s="4247"/>
      <c r="N23" s="4247"/>
      <c r="O23" s="299"/>
      <c r="P23" s="305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</row>
    <row r="24" spans="1:27" s="289" customFormat="1" ht="12" customHeight="1">
      <c r="A24" s="142"/>
      <c r="B24" s="155" t="s">
        <v>18</v>
      </c>
      <c r="C24" s="156"/>
      <c r="D24" s="157">
        <f>+D25</f>
        <v>269816116</v>
      </c>
      <c r="E24" s="157">
        <f t="shared" ref="E24" si="24">+E25</f>
        <v>17379385</v>
      </c>
      <c r="F24" s="157">
        <f t="shared" ref="F24:L24" si="25">+F25</f>
        <v>26229919</v>
      </c>
      <c r="G24" s="157">
        <f t="shared" si="25"/>
        <v>40437553</v>
      </c>
      <c r="H24" s="157">
        <f t="shared" si="25"/>
        <v>66773480</v>
      </c>
      <c r="I24" s="157">
        <f t="shared" si="25"/>
        <v>43193388</v>
      </c>
      <c r="J24" s="157">
        <f t="shared" si="25"/>
        <v>22708117</v>
      </c>
      <c r="K24" s="157">
        <f t="shared" si="25"/>
        <v>22935629</v>
      </c>
      <c r="L24" s="157">
        <f t="shared" si="25"/>
        <v>22764014</v>
      </c>
      <c r="M24" s="4247"/>
      <c r="N24" s="4247"/>
      <c r="O24" s="287"/>
      <c r="P24" s="305"/>
      <c r="Q24" s="288"/>
      <c r="R24" s="288"/>
      <c r="S24" s="288"/>
      <c r="T24" s="288"/>
      <c r="U24" s="288"/>
      <c r="V24" s="288"/>
      <c r="W24" s="288"/>
      <c r="X24" s="288"/>
      <c r="Y24" s="288"/>
      <c r="Z24" s="288"/>
      <c r="AA24" s="288"/>
    </row>
    <row r="25" spans="1:27" s="301" customFormat="1" ht="12" customHeight="1" thickBot="1">
      <c r="A25" s="159"/>
      <c r="B25" s="303" t="s">
        <v>21</v>
      </c>
      <c r="C25" s="160"/>
      <c r="D25" s="161">
        <f t="shared" ref="D25:L25" si="26">+D37+D70+D81+D92+D117+D136+D151+D224+D235+D58</f>
        <v>269816116</v>
      </c>
      <c r="E25" s="161">
        <f t="shared" si="26"/>
        <v>17379385</v>
      </c>
      <c r="F25" s="161">
        <f t="shared" si="26"/>
        <v>26229919</v>
      </c>
      <c r="G25" s="161">
        <f t="shared" si="26"/>
        <v>40437553</v>
      </c>
      <c r="H25" s="161">
        <f t="shared" si="26"/>
        <v>66773480</v>
      </c>
      <c r="I25" s="161">
        <f t="shared" si="26"/>
        <v>43193388</v>
      </c>
      <c r="J25" s="161">
        <f t="shared" si="26"/>
        <v>22708117</v>
      </c>
      <c r="K25" s="161">
        <f t="shared" si="26"/>
        <v>22935629</v>
      </c>
      <c r="L25" s="161">
        <f t="shared" si="26"/>
        <v>22764014</v>
      </c>
      <c r="M25" s="4248"/>
      <c r="N25" s="4248"/>
      <c r="O25" s="304"/>
      <c r="P25" s="305">
        <f>D19-D25</f>
        <v>0</v>
      </c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</row>
    <row r="26" spans="1:27" s="300" customFormat="1" ht="25.5" customHeight="1">
      <c r="A26" s="4220" t="s">
        <v>63</v>
      </c>
      <c r="B26" s="162" t="s">
        <v>664</v>
      </c>
      <c r="C26" s="163" t="s">
        <v>110</v>
      </c>
      <c r="D26" s="177"/>
      <c r="E26" s="176"/>
      <c r="F26" s="176"/>
      <c r="G26" s="176"/>
      <c r="H26" s="176"/>
      <c r="I26" s="176"/>
      <c r="J26" s="176"/>
      <c r="K26" s="176"/>
      <c r="L26" s="237"/>
      <c r="M26" s="306"/>
      <c r="N26" s="306"/>
      <c r="O26" s="4257" t="s">
        <v>390</v>
      </c>
      <c r="P26" s="305"/>
    </row>
    <row r="27" spans="1:27" s="300" customFormat="1" ht="14.25" customHeight="1">
      <c r="A27" s="4221"/>
      <c r="B27" s="21" t="s">
        <v>10</v>
      </c>
      <c r="C27" s="1681"/>
      <c r="D27" s="307">
        <f>+D28+D30</f>
        <v>1966760</v>
      </c>
      <c r="E27" s="307">
        <f t="shared" ref="E27" si="27">+E28+E30</f>
        <v>192432</v>
      </c>
      <c r="F27" s="307">
        <f t="shared" ref="F27:K27" si="28">+F28+F30</f>
        <v>190282</v>
      </c>
      <c r="G27" s="307">
        <f t="shared" si="28"/>
        <v>310701</v>
      </c>
      <c r="H27" s="307">
        <f t="shared" si="28"/>
        <v>281170</v>
      </c>
      <c r="I27" s="307">
        <f t="shared" si="28"/>
        <v>281170</v>
      </c>
      <c r="J27" s="307">
        <f t="shared" si="28"/>
        <v>280970</v>
      </c>
      <c r="K27" s="307">
        <f t="shared" si="28"/>
        <v>430035</v>
      </c>
      <c r="L27" s="307"/>
      <c r="M27" s="1682">
        <f>M28+M30</f>
        <v>1774328</v>
      </c>
      <c r="N27" s="1682">
        <f>N28+N30</f>
        <v>1584046</v>
      </c>
      <c r="O27" s="4258"/>
      <c r="P27" s="281"/>
    </row>
    <row r="28" spans="1:27" s="1390" customFormat="1" ht="12" customHeight="1">
      <c r="A28" s="4221"/>
      <c r="B28" s="513" t="s">
        <v>24</v>
      </c>
      <c r="C28" s="4230" t="s">
        <v>149</v>
      </c>
      <c r="D28" s="308">
        <f>+D29</f>
        <v>2000</v>
      </c>
      <c r="E28" s="308">
        <f t="shared" ref="E28" si="29">+E29</f>
        <v>10</v>
      </c>
      <c r="F28" s="308">
        <f t="shared" ref="F28:K28" si="30">+F29</f>
        <v>0</v>
      </c>
      <c r="G28" s="308">
        <f t="shared" si="30"/>
        <v>790</v>
      </c>
      <c r="H28" s="308">
        <f t="shared" si="30"/>
        <v>400</v>
      </c>
      <c r="I28" s="308">
        <f t="shared" si="30"/>
        <v>400</v>
      </c>
      <c r="J28" s="308">
        <f t="shared" si="30"/>
        <v>200</v>
      </c>
      <c r="K28" s="308">
        <f t="shared" si="30"/>
        <v>200</v>
      </c>
      <c r="L28" s="308"/>
      <c r="M28" s="309">
        <f>+M29</f>
        <v>1990</v>
      </c>
      <c r="N28" s="309">
        <f>+N29</f>
        <v>1990</v>
      </c>
      <c r="O28" s="4258"/>
      <c r="P28" s="1389"/>
    </row>
    <row r="29" spans="1:27" s="1390" customFormat="1" ht="11.25" customHeight="1">
      <c r="A29" s="4221"/>
      <c r="B29" s="165" t="s">
        <v>12</v>
      </c>
      <c r="C29" s="4199"/>
      <c r="D29" s="226">
        <f>E29+F29+G29+H29+I29+J29+K29+L29</f>
        <v>2000</v>
      </c>
      <c r="E29" s="1091">
        <v>10</v>
      </c>
      <c r="F29" s="1091">
        <f>300-300</f>
        <v>0</v>
      </c>
      <c r="G29" s="1091">
        <f>400+90+300</f>
        <v>790</v>
      </c>
      <c r="H29" s="1091">
        <v>400</v>
      </c>
      <c r="I29" s="1091">
        <v>400</v>
      </c>
      <c r="J29" s="1091">
        <v>200</v>
      </c>
      <c r="K29" s="1091">
        <v>200</v>
      </c>
      <c r="L29" s="1683"/>
      <c r="M29" s="562">
        <f>SUM(F29:K29)</f>
        <v>1990</v>
      </c>
      <c r="N29" s="562">
        <f>SUM(G29:L29)</f>
        <v>1990</v>
      </c>
      <c r="O29" s="4258"/>
      <c r="P29" s="1391"/>
    </row>
    <row r="30" spans="1:27" s="300" customFormat="1" ht="12" customHeight="1">
      <c r="A30" s="4221"/>
      <c r="B30" s="552" t="s">
        <v>18</v>
      </c>
      <c r="C30" s="4200"/>
      <c r="D30" s="310">
        <f>+D31</f>
        <v>1964760</v>
      </c>
      <c r="E30" s="310">
        <f t="shared" ref="E30:K30" si="31">E31</f>
        <v>192422</v>
      </c>
      <c r="F30" s="310">
        <f t="shared" si="31"/>
        <v>190282</v>
      </c>
      <c r="G30" s="310">
        <f t="shared" si="31"/>
        <v>309911</v>
      </c>
      <c r="H30" s="310">
        <f t="shared" si="31"/>
        <v>280770</v>
      </c>
      <c r="I30" s="310">
        <f t="shared" si="31"/>
        <v>280770</v>
      </c>
      <c r="J30" s="310">
        <f t="shared" si="31"/>
        <v>280770</v>
      </c>
      <c r="K30" s="310">
        <f t="shared" si="31"/>
        <v>429835</v>
      </c>
      <c r="L30" s="310"/>
      <c r="M30" s="309">
        <f>+M31</f>
        <v>1772338</v>
      </c>
      <c r="N30" s="309">
        <f>+N31</f>
        <v>1582056</v>
      </c>
      <c r="O30" s="4258"/>
      <c r="P30" s="305"/>
      <c r="Q30" s="305"/>
    </row>
    <row r="31" spans="1:27" s="1258" customFormat="1">
      <c r="A31" s="4221"/>
      <c r="B31" s="1092" t="s">
        <v>21</v>
      </c>
      <c r="C31" s="4201"/>
      <c r="D31" s="226">
        <f>E31+F31+G31+H31+I31+J31+K31+L31</f>
        <v>1964760</v>
      </c>
      <c r="E31" s="1091">
        <f>+E33+E34</f>
        <v>192422</v>
      </c>
      <c r="F31" s="226">
        <f t="shared" ref="F31:K31" si="32">SUM(F33:F34)</f>
        <v>190282</v>
      </c>
      <c r="G31" s="226">
        <f t="shared" si="32"/>
        <v>309911</v>
      </c>
      <c r="H31" s="226">
        <f t="shared" si="32"/>
        <v>280770</v>
      </c>
      <c r="I31" s="226">
        <f t="shared" si="32"/>
        <v>280770</v>
      </c>
      <c r="J31" s="226">
        <f t="shared" si="32"/>
        <v>280770</v>
      </c>
      <c r="K31" s="226">
        <f t="shared" si="32"/>
        <v>429835</v>
      </c>
      <c r="L31" s="1684"/>
      <c r="M31" s="562">
        <f>SUM(F31:L31)</f>
        <v>1772338</v>
      </c>
      <c r="N31" s="562">
        <f>SUM(G31:L31)</f>
        <v>1582056</v>
      </c>
      <c r="O31" s="4258"/>
      <c r="P31" s="281"/>
    </row>
    <row r="32" spans="1:27" s="1258" customFormat="1" hidden="1">
      <c r="A32" s="4221"/>
      <c r="B32" s="1685" t="s">
        <v>474</v>
      </c>
      <c r="C32" s="2050"/>
      <c r="D32" s="704"/>
      <c r="E32" s="1686"/>
      <c r="F32" s="1686"/>
      <c r="G32" s="1686"/>
      <c r="H32" s="1686"/>
      <c r="I32" s="1686"/>
      <c r="J32" s="1686"/>
      <c r="K32" s="1686"/>
      <c r="L32" s="1686"/>
      <c r="M32" s="1687"/>
      <c r="N32" s="1687"/>
      <c r="O32" s="4258"/>
      <c r="P32" s="281"/>
    </row>
    <row r="33" spans="1:16" s="1258" customFormat="1" hidden="1">
      <c r="A33" s="4221"/>
      <c r="B33" s="1688" t="s">
        <v>304</v>
      </c>
      <c r="C33" s="2069"/>
      <c r="D33" s="753">
        <f>SUM(E33:K33)</f>
        <v>1881600</v>
      </c>
      <c r="E33" s="1689">
        <v>187905</v>
      </c>
      <c r="F33" s="1689">
        <f>268800-68800-19862</f>
        <v>180138</v>
      </c>
      <c r="G33" s="1689">
        <f>268800+19862</f>
        <v>288662</v>
      </c>
      <c r="H33" s="1689">
        <v>268800</v>
      </c>
      <c r="I33" s="1689">
        <v>268800</v>
      </c>
      <c r="J33" s="1689">
        <v>268800</v>
      </c>
      <c r="K33" s="1689">
        <f>268800+80895+68800</f>
        <v>418495</v>
      </c>
      <c r="L33" s="1689"/>
      <c r="M33" s="1690">
        <f>SUM(F33:K33)</f>
        <v>1693695</v>
      </c>
      <c r="N33" s="1690">
        <f>SUM(G33:L33)</f>
        <v>1513557</v>
      </c>
      <c r="O33" s="4258"/>
      <c r="P33" s="281"/>
    </row>
    <row r="34" spans="1:16" s="1258" customFormat="1" hidden="1">
      <c r="A34" s="4221"/>
      <c r="B34" s="1688" t="s">
        <v>111</v>
      </c>
      <c r="C34" s="2069"/>
      <c r="D34" s="704">
        <f>+E34+F34+G34+H34+I34+J34+K34</f>
        <v>83160</v>
      </c>
      <c r="E34" s="1691">
        <v>4517</v>
      </c>
      <c r="F34" s="1691">
        <f>11970-1826</f>
        <v>10144</v>
      </c>
      <c r="G34" s="1691">
        <f>11970+7453+1826</f>
        <v>21249</v>
      </c>
      <c r="H34" s="1691">
        <v>11970</v>
      </c>
      <c r="I34" s="1691">
        <v>11970</v>
      </c>
      <c r="J34" s="1691">
        <v>11970</v>
      </c>
      <c r="K34" s="1691">
        <v>11340</v>
      </c>
      <c r="L34" s="1691"/>
      <c r="M34" s="1692">
        <f>SUM(F34:K34)</f>
        <v>78643</v>
      </c>
      <c r="N34" s="1692">
        <f>SUM(G34:L34)</f>
        <v>68499</v>
      </c>
      <c r="O34" s="4258"/>
      <c r="P34" s="281"/>
    </row>
    <row r="35" spans="1:16" s="1258" customFormat="1" ht="12.75" customHeight="1">
      <c r="A35" s="3813"/>
      <c r="B35" s="21" t="s">
        <v>22</v>
      </c>
      <c r="C35" s="167"/>
      <c r="D35" s="307">
        <f>+D36</f>
        <v>1964760</v>
      </c>
      <c r="E35" s="307">
        <f t="shared" ref="E35:L35" si="33">+E36</f>
        <v>0</v>
      </c>
      <c r="F35" s="307">
        <f t="shared" si="33"/>
        <v>0</v>
      </c>
      <c r="G35" s="307">
        <f t="shared" si="33"/>
        <v>473192</v>
      </c>
      <c r="H35" s="307">
        <f t="shared" si="33"/>
        <v>288223</v>
      </c>
      <c r="I35" s="307">
        <f t="shared" si="33"/>
        <v>280770</v>
      </c>
      <c r="J35" s="307">
        <f t="shared" si="33"/>
        <v>280770</v>
      </c>
      <c r="K35" s="307">
        <f t="shared" si="33"/>
        <v>280770</v>
      </c>
      <c r="L35" s="307">
        <f t="shared" si="33"/>
        <v>361035</v>
      </c>
      <c r="M35" s="4202" t="s">
        <v>61</v>
      </c>
      <c r="N35" s="4202" t="s">
        <v>61</v>
      </c>
      <c r="O35" s="4258"/>
      <c r="P35" s="281">
        <f>G35-'[1]Tab. 6E - Administracja'!$G$35</f>
        <v>0</v>
      </c>
    </row>
    <row r="36" spans="1:16" s="1258" customFormat="1" ht="12.75" customHeight="1">
      <c r="A36" s="3813"/>
      <c r="B36" s="1693" t="s">
        <v>18</v>
      </c>
      <c r="C36" s="4200" t="s">
        <v>149</v>
      </c>
      <c r="D36" s="310">
        <f>+D37</f>
        <v>1964760</v>
      </c>
      <c r="E36" s="310">
        <f t="shared" ref="E36:L36" si="34">E37</f>
        <v>0</v>
      </c>
      <c r="F36" s="310">
        <f t="shared" si="34"/>
        <v>0</v>
      </c>
      <c r="G36" s="310">
        <f t="shared" si="34"/>
        <v>473192</v>
      </c>
      <c r="H36" s="310">
        <f t="shared" si="34"/>
        <v>288223</v>
      </c>
      <c r="I36" s="310">
        <f t="shared" si="34"/>
        <v>280770</v>
      </c>
      <c r="J36" s="310">
        <f t="shared" si="34"/>
        <v>280770</v>
      </c>
      <c r="K36" s="310">
        <f t="shared" si="34"/>
        <v>280770</v>
      </c>
      <c r="L36" s="310">
        <f t="shared" si="34"/>
        <v>361035</v>
      </c>
      <c r="M36" s="4203"/>
      <c r="N36" s="4203"/>
      <c r="O36" s="4258"/>
    </row>
    <row r="37" spans="1:16" s="1258" customFormat="1" ht="12" customHeight="1" thickBot="1">
      <c r="A37" s="3814"/>
      <c r="B37" s="312" t="s">
        <v>21</v>
      </c>
      <c r="C37" s="4205"/>
      <c r="D37" s="226">
        <f>E37+F37+G37+H37+I37+J37+K37+L37</f>
        <v>1964760</v>
      </c>
      <c r="E37" s="1091">
        <v>0</v>
      </c>
      <c r="F37" s="1684">
        <f>192422-192422</f>
        <v>0</v>
      </c>
      <c r="G37" s="1684">
        <f>280770+192422</f>
        <v>473192</v>
      </c>
      <c r="H37" s="1684">
        <f>288223</f>
        <v>288223</v>
      </c>
      <c r="I37" s="1684">
        <v>280770</v>
      </c>
      <c r="J37" s="1684">
        <v>280770</v>
      </c>
      <c r="K37" s="1684">
        <v>280770</v>
      </c>
      <c r="L37" s="1684">
        <v>361035</v>
      </c>
      <c r="M37" s="4204"/>
      <c r="N37" s="4204"/>
      <c r="O37" s="4259"/>
      <c r="P37" s="281">
        <f>D37-D31</f>
        <v>0</v>
      </c>
    </row>
    <row r="38" spans="1:16" s="1258" customFormat="1" ht="30" customHeight="1">
      <c r="A38" s="4220" t="s">
        <v>64</v>
      </c>
      <c r="B38" s="162" t="s">
        <v>498</v>
      </c>
      <c r="C38" s="163" t="s">
        <v>110</v>
      </c>
      <c r="D38" s="177"/>
      <c r="E38" s="177"/>
      <c r="F38" s="177"/>
      <c r="G38" s="177"/>
      <c r="H38" s="177"/>
      <c r="I38" s="177"/>
      <c r="J38" s="177"/>
      <c r="K38" s="177"/>
      <c r="L38" s="177"/>
      <c r="M38" s="177">
        <f t="shared" ref="M38" si="35">M43+M47+M52</f>
        <v>783552</v>
      </c>
      <c r="N38" s="177"/>
      <c r="O38" s="4257" t="s">
        <v>327</v>
      </c>
      <c r="P38" s="1258" t="s">
        <v>512</v>
      </c>
    </row>
    <row r="39" spans="1:16" s="1258" customFormat="1" ht="12" customHeight="1">
      <c r="A39" s="4221"/>
      <c r="B39" s="534" t="s">
        <v>10</v>
      </c>
      <c r="C39" s="1180"/>
      <c r="D39" s="1694">
        <f t="shared" ref="D39:I39" si="36">+D40+D49</f>
        <v>1333052</v>
      </c>
      <c r="E39" s="1694">
        <f t="shared" si="36"/>
        <v>83853</v>
      </c>
      <c r="F39" s="1694">
        <f t="shared" si="36"/>
        <v>248327</v>
      </c>
      <c r="G39" s="1694">
        <f t="shared" si="36"/>
        <v>467622</v>
      </c>
      <c r="H39" s="1694">
        <f t="shared" si="36"/>
        <v>266680</v>
      </c>
      <c r="I39" s="1694">
        <f t="shared" si="36"/>
        <v>266570</v>
      </c>
      <c r="J39" s="1695">
        <v>0</v>
      </c>
      <c r="K39" s="1694"/>
      <c r="L39" s="1694"/>
      <c r="M39" s="1696">
        <f>+M40+M49</f>
        <v>1249199</v>
      </c>
      <c r="N39" s="1696">
        <f>+N40+N49</f>
        <v>1000872</v>
      </c>
      <c r="O39" s="4258"/>
      <c r="P39" s="281"/>
    </row>
    <row r="40" spans="1:16" s="1258" customFormat="1" ht="12" customHeight="1">
      <c r="A40" s="4221"/>
      <c r="B40" s="513" t="s">
        <v>24</v>
      </c>
      <c r="C40" s="4256" t="s">
        <v>149</v>
      </c>
      <c r="D40" s="1181">
        <f>+D41+D45</f>
        <v>201234</v>
      </c>
      <c r="E40" s="1181">
        <f>+E41+E45</f>
        <v>12587</v>
      </c>
      <c r="F40" s="1181">
        <f t="shared" ref="F40:I40" si="37">+F41+F45</f>
        <v>37319</v>
      </c>
      <c r="G40" s="1181">
        <f t="shared" si="37"/>
        <v>70754</v>
      </c>
      <c r="H40" s="1181">
        <f t="shared" si="37"/>
        <v>40342</v>
      </c>
      <c r="I40" s="1181">
        <f t="shared" si="37"/>
        <v>40232</v>
      </c>
      <c r="J40" s="1697">
        <v>0</v>
      </c>
      <c r="K40" s="1181"/>
      <c r="L40" s="1181"/>
      <c r="M40" s="1182">
        <f>+M41+M45</f>
        <v>188647</v>
      </c>
      <c r="N40" s="1182">
        <f>+N41+N45</f>
        <v>151328</v>
      </c>
      <c r="O40" s="4258"/>
    </row>
    <row r="41" spans="1:16" s="1258" customFormat="1" ht="12" customHeight="1">
      <c r="A41" s="4221"/>
      <c r="B41" s="165" t="s">
        <v>12</v>
      </c>
      <c r="C41" s="4199"/>
      <c r="D41" s="1159">
        <f>E41+F41+G41+H41+I41+J41+K41+L41</f>
        <v>68078</v>
      </c>
      <c r="E41" s="1183">
        <f>+E43+E44</f>
        <v>4203</v>
      </c>
      <c r="F41" s="1698">
        <f t="shared" ref="F41:I41" si="38">+F43+F44</f>
        <v>12494</v>
      </c>
      <c r="G41" s="1698">
        <f t="shared" si="38"/>
        <v>24063</v>
      </c>
      <c r="H41" s="1698">
        <f t="shared" si="38"/>
        <v>13714</v>
      </c>
      <c r="I41" s="1698">
        <f t="shared" si="38"/>
        <v>13604</v>
      </c>
      <c r="J41" s="1699">
        <v>0</v>
      </c>
      <c r="K41" s="379"/>
      <c r="L41" s="379"/>
      <c r="M41" s="562">
        <f>SUM(F41:K41)</f>
        <v>63875</v>
      </c>
      <c r="N41" s="562">
        <f>SUM(G41:L41)</f>
        <v>51381</v>
      </c>
      <c r="O41" s="4258"/>
    </row>
    <row r="42" spans="1:16" s="1258" customFormat="1" ht="12" hidden="1" customHeight="1">
      <c r="A42" s="4221"/>
      <c r="B42" s="165" t="s">
        <v>150</v>
      </c>
      <c r="C42" s="4199"/>
      <c r="D42" s="1159"/>
      <c r="E42" s="1183"/>
      <c r="F42" s="1698"/>
      <c r="G42" s="1698"/>
      <c r="H42" s="1698"/>
      <c r="I42" s="1698"/>
      <c r="J42" s="1699"/>
      <c r="K42" s="379"/>
      <c r="L42" s="379"/>
      <c r="M42" s="1182"/>
      <c r="N42" s="1182"/>
      <c r="O42" s="4258"/>
    </row>
    <row r="43" spans="1:16" s="1258" customFormat="1" ht="12" hidden="1" customHeight="1">
      <c r="A43" s="4221"/>
      <c r="B43" s="1632" t="s">
        <v>304</v>
      </c>
      <c r="C43" s="4199"/>
      <c r="D43" s="1159">
        <f>E43+F43+G43+H43+I43+J43+K43+L43</f>
        <v>43007</v>
      </c>
      <c r="E43" s="1183">
        <f>3610+217</f>
        <v>3827</v>
      </c>
      <c r="F43" s="1184">
        <f>9240+555-674</f>
        <v>9121</v>
      </c>
      <c r="G43" s="1184">
        <f>9240+555+674</f>
        <v>10469</v>
      </c>
      <c r="H43" s="166">
        <f>9240+555</f>
        <v>9795</v>
      </c>
      <c r="I43" s="166">
        <f>9240+555</f>
        <v>9795</v>
      </c>
      <c r="J43" s="1699">
        <v>0</v>
      </c>
      <c r="K43" s="379"/>
      <c r="L43" s="379"/>
      <c r="M43" s="562">
        <f t="shared" ref="M43:N45" si="39">SUM(F43:K43)</f>
        <v>39180</v>
      </c>
      <c r="N43" s="562">
        <f t="shared" si="39"/>
        <v>30059</v>
      </c>
      <c r="O43" s="4258"/>
    </row>
    <row r="44" spans="1:16" s="1258" customFormat="1" ht="12" hidden="1" customHeight="1">
      <c r="A44" s="4221"/>
      <c r="B44" s="733" t="s">
        <v>111</v>
      </c>
      <c r="C44" s="4199"/>
      <c r="D44" s="1159">
        <f>E44+F44+G44+H44+I44+J44+K44+L44</f>
        <v>25071</v>
      </c>
      <c r="E44" s="1183">
        <f>286+90</f>
        <v>376</v>
      </c>
      <c r="F44" s="1698">
        <f>13902-772-9757</f>
        <v>3373</v>
      </c>
      <c r="G44" s="1698">
        <f>4474-555+9675</f>
        <v>13594</v>
      </c>
      <c r="H44" s="1698">
        <f>4474-555</f>
        <v>3919</v>
      </c>
      <c r="I44" s="1698">
        <f>4364-555</f>
        <v>3809</v>
      </c>
      <c r="J44" s="1700">
        <v>0</v>
      </c>
      <c r="K44" s="1698"/>
      <c r="L44" s="1698"/>
      <c r="M44" s="562">
        <f t="shared" si="39"/>
        <v>24695</v>
      </c>
      <c r="N44" s="562">
        <f t="shared" si="39"/>
        <v>21322</v>
      </c>
      <c r="O44" s="4258"/>
    </row>
    <row r="45" spans="1:16" s="246" customFormat="1">
      <c r="A45" s="4221"/>
      <c r="B45" s="1701" t="s">
        <v>13</v>
      </c>
      <c r="C45" s="4199"/>
      <c r="D45" s="1159">
        <f>+E45+F45+G45+H45+I45</f>
        <v>133156</v>
      </c>
      <c r="E45" s="1702">
        <f>+E47+E48</f>
        <v>8384</v>
      </c>
      <c r="F45" s="1703">
        <f>+F47+F48</f>
        <v>24825</v>
      </c>
      <c r="G45" s="1703">
        <f>+G47+G48</f>
        <v>46691</v>
      </c>
      <c r="H45" s="1703">
        <f>+H47+H48</f>
        <v>26628</v>
      </c>
      <c r="I45" s="1703">
        <f>+I47+I48</f>
        <v>26628</v>
      </c>
      <c r="J45" s="1704">
        <v>0</v>
      </c>
      <c r="K45" s="1703"/>
      <c r="L45" s="1703"/>
      <c r="M45" s="1705">
        <f t="shared" si="39"/>
        <v>124772</v>
      </c>
      <c r="N45" s="1705">
        <f t="shared" si="39"/>
        <v>99947</v>
      </c>
      <c r="O45" s="4258"/>
    </row>
    <row r="46" spans="1:16" s="1258" customFormat="1" ht="11.25" hidden="1" customHeight="1">
      <c r="A46" s="4221"/>
      <c r="B46" s="165" t="s">
        <v>150</v>
      </c>
      <c r="C46" s="4199"/>
      <c r="D46" s="1184"/>
      <c r="E46" s="166"/>
      <c r="F46" s="166"/>
      <c r="G46" s="166"/>
      <c r="H46" s="166"/>
      <c r="I46" s="166"/>
      <c r="J46" s="1706"/>
      <c r="K46" s="166"/>
      <c r="L46" s="166"/>
      <c r="M46" s="1185"/>
      <c r="N46" s="1185"/>
      <c r="O46" s="4258"/>
    </row>
    <row r="47" spans="1:16" s="1258" customFormat="1" ht="13.5" hidden="1" customHeight="1">
      <c r="A47" s="4221"/>
      <c r="B47" s="1632" t="s">
        <v>304</v>
      </c>
      <c r="C47" s="4199"/>
      <c r="D47" s="1184">
        <f>+E47+F47+G47+H47+I47</f>
        <v>86006</v>
      </c>
      <c r="E47" s="166">
        <f>7221+433</f>
        <v>7654</v>
      </c>
      <c r="F47" s="166">
        <f>18480+1108-1345</f>
        <v>18243</v>
      </c>
      <c r="G47" s="166">
        <f>18480+1108+1345</f>
        <v>20933</v>
      </c>
      <c r="H47" s="166">
        <f>18480+1108</f>
        <v>19588</v>
      </c>
      <c r="I47" s="166">
        <f>18480+1108</f>
        <v>19588</v>
      </c>
      <c r="J47" s="1706">
        <v>0</v>
      </c>
      <c r="K47" s="166"/>
      <c r="L47" s="166"/>
      <c r="M47" s="562">
        <f>SUM(F47:K47)</f>
        <v>78352</v>
      </c>
      <c r="N47" s="562">
        <f>SUM(G47:L47)</f>
        <v>60109</v>
      </c>
      <c r="O47" s="4258"/>
    </row>
    <row r="48" spans="1:16" s="1258" customFormat="1" ht="10.5" hidden="1" customHeight="1">
      <c r="A48" s="4221"/>
      <c r="B48" s="1707" t="s">
        <v>111</v>
      </c>
      <c r="C48" s="4199"/>
      <c r="D48" s="1184">
        <f>+E48+F48+G48+H48+I48</f>
        <v>47150</v>
      </c>
      <c r="E48" s="166">
        <f>552+178</f>
        <v>730</v>
      </c>
      <c r="F48" s="166">
        <f>27004-1541-18881</f>
        <v>6582</v>
      </c>
      <c r="G48" s="166">
        <f>8148-1108+18718</f>
        <v>25758</v>
      </c>
      <c r="H48" s="166">
        <f>8148-1108</f>
        <v>7040</v>
      </c>
      <c r="I48" s="166">
        <f>8148-1108</f>
        <v>7040</v>
      </c>
      <c r="J48" s="1706">
        <v>0</v>
      </c>
      <c r="K48" s="166"/>
      <c r="L48" s="166"/>
      <c r="M48" s="562">
        <f>SUM(F48:K48)</f>
        <v>46420</v>
      </c>
      <c r="N48" s="562">
        <f>SUM(G48:L48)</f>
        <v>39838</v>
      </c>
      <c r="O48" s="4258"/>
    </row>
    <row r="49" spans="1:16" s="1258" customFormat="1" ht="12.75" customHeight="1">
      <c r="A49" s="4221"/>
      <c r="B49" s="552" t="s">
        <v>18</v>
      </c>
      <c r="C49" s="4200"/>
      <c r="D49" s="1186">
        <f>+D50</f>
        <v>1131818</v>
      </c>
      <c r="E49" s="1186">
        <f>+E50</f>
        <v>71266</v>
      </c>
      <c r="F49" s="1186">
        <f t="shared" ref="F49:I49" si="40">+F50</f>
        <v>211008</v>
      </c>
      <c r="G49" s="1186">
        <f t="shared" si="40"/>
        <v>396868</v>
      </c>
      <c r="H49" s="1186">
        <f t="shared" si="40"/>
        <v>226338</v>
      </c>
      <c r="I49" s="1186">
        <f t="shared" si="40"/>
        <v>226338</v>
      </c>
      <c r="J49" s="1187">
        <v>0</v>
      </c>
      <c r="K49" s="1186"/>
      <c r="L49" s="1186"/>
      <c r="M49" s="1182">
        <f>+M50</f>
        <v>1060552</v>
      </c>
      <c r="N49" s="1182">
        <f>+N50</f>
        <v>849544</v>
      </c>
      <c r="O49" s="4258"/>
    </row>
    <row r="50" spans="1:16" s="1258" customFormat="1" ht="12" customHeight="1">
      <c r="A50" s="4221"/>
      <c r="B50" s="1092" t="s">
        <v>21</v>
      </c>
      <c r="C50" s="4201"/>
      <c r="D50" s="1582">
        <f>E50+F50+G50+H50+I50+J50+K50+L50</f>
        <v>1131818</v>
      </c>
      <c r="E50" s="1183">
        <f>+E52+E53</f>
        <v>71266</v>
      </c>
      <c r="F50" s="1708">
        <f t="shared" ref="F50:I50" si="41">+F52+F53</f>
        <v>211008</v>
      </c>
      <c r="G50" s="1708">
        <f t="shared" si="41"/>
        <v>396868</v>
      </c>
      <c r="H50" s="1708">
        <f t="shared" si="41"/>
        <v>226338</v>
      </c>
      <c r="I50" s="1708">
        <f t="shared" si="41"/>
        <v>226338</v>
      </c>
      <c r="J50" s="1709">
        <v>0</v>
      </c>
      <c r="K50" s="1708"/>
      <c r="L50" s="1708"/>
      <c r="M50" s="562">
        <f>SUM(F50:K50)</f>
        <v>1060552</v>
      </c>
      <c r="N50" s="562">
        <f>SUM(G50:L50)</f>
        <v>849544</v>
      </c>
      <c r="O50" s="4258"/>
    </row>
    <row r="51" spans="1:16" s="1258" customFormat="1" ht="12" hidden="1" customHeight="1">
      <c r="A51" s="4221"/>
      <c r="B51" s="1710" t="s">
        <v>150</v>
      </c>
      <c r="C51" s="2069"/>
      <c r="D51" s="166"/>
      <c r="E51" s="1706"/>
      <c r="F51" s="1711"/>
      <c r="G51" s="1711"/>
      <c r="H51" s="1711"/>
      <c r="I51" s="1711"/>
      <c r="J51" s="1060"/>
      <c r="K51" s="1711"/>
      <c r="L51" s="1711"/>
      <c r="M51" s="1185"/>
      <c r="N51" s="1185"/>
      <c r="O51" s="4258"/>
    </row>
    <row r="52" spans="1:16" s="1258" customFormat="1" ht="12" hidden="1" customHeight="1">
      <c r="A52" s="4221"/>
      <c r="B52" s="1632" t="s">
        <v>304</v>
      </c>
      <c r="C52" s="2069"/>
      <c r="D52" s="166">
        <f>+F52+G52+H52+I52+E52</f>
        <v>731081</v>
      </c>
      <c r="E52" s="1712">
        <f>61378+3683</f>
        <v>65061</v>
      </c>
      <c r="F52" s="1188">
        <f>157080+9425-11439</f>
        <v>155066</v>
      </c>
      <c r="G52" s="1188">
        <f>157080+9425+11439</f>
        <v>177944</v>
      </c>
      <c r="H52" s="1188">
        <f>157080+9425</f>
        <v>166505</v>
      </c>
      <c r="I52" s="1188">
        <f>157080+9425</f>
        <v>166505</v>
      </c>
      <c r="J52" s="1189">
        <v>0</v>
      </c>
      <c r="K52" s="1188"/>
      <c r="L52" s="1188"/>
      <c r="M52" s="562">
        <f>SUM(F52:K52)</f>
        <v>666020</v>
      </c>
      <c r="N52" s="562">
        <f>SUM(G52:L52)</f>
        <v>510954</v>
      </c>
      <c r="O52" s="4258"/>
    </row>
    <row r="53" spans="1:16" s="1258" customFormat="1" ht="12" hidden="1" customHeight="1">
      <c r="A53" s="4221"/>
      <c r="B53" s="1707" t="s">
        <v>111</v>
      </c>
      <c r="C53" s="2069"/>
      <c r="D53" s="1184">
        <f>+F53+G53+H53+I53+E53</f>
        <v>400737</v>
      </c>
      <c r="E53" s="107">
        <f>4689+1516</f>
        <v>6205</v>
      </c>
      <c r="F53" s="107">
        <f>229528-13108-160478</f>
        <v>55942</v>
      </c>
      <c r="G53" s="107">
        <f>69258-9425+159091</f>
        <v>218924</v>
      </c>
      <c r="H53" s="107">
        <f>69258-9425</f>
        <v>59833</v>
      </c>
      <c r="I53" s="107">
        <f>69258-9425</f>
        <v>59833</v>
      </c>
      <c r="J53" s="424">
        <v>0</v>
      </c>
      <c r="K53" s="107"/>
      <c r="L53" s="107"/>
      <c r="M53" s="562">
        <f>SUM(F53:K53)</f>
        <v>394532</v>
      </c>
      <c r="N53" s="562">
        <f>SUM(G53:L53)</f>
        <v>338590</v>
      </c>
      <c r="O53" s="4258"/>
    </row>
    <row r="54" spans="1:16" s="1258" customFormat="1" ht="12" customHeight="1">
      <c r="A54" s="4221"/>
      <c r="B54" s="534" t="s">
        <v>22</v>
      </c>
      <c r="C54" s="1190"/>
      <c r="D54" s="1191">
        <f>+D55+D57</f>
        <v>1264974</v>
      </c>
      <c r="E54" s="1191">
        <f>+E55+E57</f>
        <v>0</v>
      </c>
      <c r="F54" s="1191">
        <f>+F55+F57</f>
        <v>0</v>
      </c>
      <c r="G54" s="1191">
        <f t="shared" ref="G54:J54" si="42">+G55+G57</f>
        <v>536685</v>
      </c>
      <c r="H54" s="1191">
        <f t="shared" si="42"/>
        <v>348840</v>
      </c>
      <c r="I54" s="1191">
        <f t="shared" si="42"/>
        <v>252966</v>
      </c>
      <c r="J54" s="1191">
        <f t="shared" si="42"/>
        <v>126483</v>
      </c>
      <c r="K54" s="1191"/>
      <c r="L54" s="1191"/>
      <c r="M54" s="4260"/>
      <c r="N54" s="4260"/>
      <c r="O54" s="4258"/>
      <c r="P54" s="281">
        <f>G54-'[1]Tab. 6E - Administracja'!$G$54</f>
        <v>-95730</v>
      </c>
    </row>
    <row r="55" spans="1:16" s="1258" customFormat="1" ht="12" customHeight="1">
      <c r="A55" s="4221"/>
      <c r="B55" s="1192" t="s">
        <v>24</v>
      </c>
      <c r="C55" s="4256" t="s">
        <v>149</v>
      </c>
      <c r="D55" s="1181">
        <f>+D56</f>
        <v>133156</v>
      </c>
      <c r="E55" s="1181">
        <f>+E56</f>
        <v>0</v>
      </c>
      <c r="F55" s="1181">
        <f>+F56</f>
        <v>0</v>
      </c>
      <c r="G55" s="1181">
        <f t="shared" ref="G55:J55" si="43">+G56</f>
        <v>56493</v>
      </c>
      <c r="H55" s="1181">
        <f t="shared" si="43"/>
        <v>36721</v>
      </c>
      <c r="I55" s="1181">
        <f t="shared" si="43"/>
        <v>26628</v>
      </c>
      <c r="J55" s="1181">
        <f t="shared" si="43"/>
        <v>13314</v>
      </c>
      <c r="K55" s="1181"/>
      <c r="L55" s="1181"/>
      <c r="M55" s="4203"/>
      <c r="N55" s="4203"/>
      <c r="O55" s="4258"/>
    </row>
    <row r="56" spans="1:16" s="1258" customFormat="1" ht="12" customHeight="1">
      <c r="A56" s="4221"/>
      <c r="B56" s="169" t="s">
        <v>13</v>
      </c>
      <c r="C56" s="4199"/>
      <c r="D56" s="1159">
        <f>E56+F56+G56+H56+I56+J56+K56+L56</f>
        <v>133156</v>
      </c>
      <c r="E56" s="1183">
        <v>0</v>
      </c>
      <c r="F56" s="1193">
        <v>0</v>
      </c>
      <c r="G56" s="1193">
        <f>58798+7773-10078</f>
        <v>56493</v>
      </c>
      <c r="H56" s="1193">
        <f>26628+10093</f>
        <v>36721</v>
      </c>
      <c r="I56" s="1193">
        <v>26628</v>
      </c>
      <c r="J56" s="1193">
        <v>13314</v>
      </c>
      <c r="K56" s="1193"/>
      <c r="L56" s="1193"/>
      <c r="M56" s="4203"/>
      <c r="N56" s="4203"/>
      <c r="O56" s="4258"/>
    </row>
    <row r="57" spans="1:16" s="1258" customFormat="1" ht="12" customHeight="1">
      <c r="A57" s="4221"/>
      <c r="B57" s="1194" t="s">
        <v>18</v>
      </c>
      <c r="C57" s="4200"/>
      <c r="D57" s="1186">
        <f>+D58</f>
        <v>1131818</v>
      </c>
      <c r="E57" s="1186">
        <f>+E58</f>
        <v>0</v>
      </c>
      <c r="F57" s="1186">
        <f>+F58</f>
        <v>0</v>
      </c>
      <c r="G57" s="1186">
        <f t="shared" ref="G57:J57" si="44">+G58</f>
        <v>480192</v>
      </c>
      <c r="H57" s="1186">
        <f t="shared" si="44"/>
        <v>312119</v>
      </c>
      <c r="I57" s="1186">
        <f t="shared" si="44"/>
        <v>226338</v>
      </c>
      <c r="J57" s="1186">
        <f t="shared" si="44"/>
        <v>113169</v>
      </c>
      <c r="K57" s="1186"/>
      <c r="L57" s="1186"/>
      <c r="M57" s="4203"/>
      <c r="N57" s="4203"/>
      <c r="O57" s="4258"/>
    </row>
    <row r="58" spans="1:16" s="1258" customFormat="1" ht="12" customHeight="1" thickBot="1">
      <c r="A58" s="4222"/>
      <c r="B58" s="312" t="s">
        <v>21</v>
      </c>
      <c r="C58" s="4205"/>
      <c r="D58" s="701">
        <f>E58+F58+G58+H58+I58+J58+K58+L58</f>
        <v>1131818</v>
      </c>
      <c r="E58" s="1195">
        <v>0</v>
      </c>
      <c r="F58" s="533">
        <f>66067-66067</f>
        <v>0</v>
      </c>
      <c r="G58" s="533">
        <f>499777+66067-85652</f>
        <v>480192</v>
      </c>
      <c r="H58" s="533">
        <f>226338+85781</f>
        <v>312119</v>
      </c>
      <c r="I58" s="533">
        <v>226338</v>
      </c>
      <c r="J58" s="533">
        <v>113169</v>
      </c>
      <c r="K58" s="533"/>
      <c r="L58" s="533"/>
      <c r="M58" s="4204"/>
      <c r="N58" s="4204"/>
      <c r="O58" s="4259"/>
    </row>
    <row r="59" spans="1:16" s="1258" customFormat="1" ht="27" customHeight="1">
      <c r="A59" s="4220" t="s">
        <v>65</v>
      </c>
      <c r="B59" s="162" t="s">
        <v>524</v>
      </c>
      <c r="C59" s="163" t="s">
        <v>82</v>
      </c>
      <c r="D59" s="177"/>
      <c r="E59" s="176"/>
      <c r="F59" s="176"/>
      <c r="G59" s="176"/>
      <c r="H59" s="176"/>
      <c r="I59" s="176"/>
      <c r="J59" s="176"/>
      <c r="K59" s="176"/>
      <c r="L59" s="237"/>
      <c r="M59" s="306"/>
      <c r="N59" s="306"/>
      <c r="O59" s="4257" t="s">
        <v>111</v>
      </c>
      <c r="P59" s="1258" t="s">
        <v>512</v>
      </c>
    </row>
    <row r="60" spans="1:16" s="1258" customFormat="1" ht="12" customHeight="1">
      <c r="A60" s="4221"/>
      <c r="B60" s="534" t="s">
        <v>10</v>
      </c>
      <c r="C60" s="1180"/>
      <c r="D60" s="1191">
        <f>+D61+D64</f>
        <v>12448</v>
      </c>
      <c r="E60" s="1191">
        <f t="shared" ref="E60" si="45">+E61+E64</f>
        <v>0</v>
      </c>
      <c r="F60" s="1191">
        <f t="shared" ref="F60:I60" si="46">+F61+F64</f>
        <v>12448</v>
      </c>
      <c r="G60" s="1291">
        <f t="shared" si="46"/>
        <v>0</v>
      </c>
      <c r="H60" s="1291">
        <f t="shared" si="46"/>
        <v>0</v>
      </c>
      <c r="I60" s="1291">
        <f t="shared" si="46"/>
        <v>0</v>
      </c>
      <c r="J60" s="1191"/>
      <c r="K60" s="1191"/>
      <c r="L60" s="1191"/>
      <c r="M60" s="1292">
        <f>M61+M64</f>
        <v>12448</v>
      </c>
      <c r="N60" s="1292">
        <f>N61+N64</f>
        <v>0</v>
      </c>
      <c r="O60" s="4258"/>
      <c r="P60" s="281"/>
    </row>
    <row r="61" spans="1:16" s="1258" customFormat="1" ht="12" customHeight="1">
      <c r="A61" s="4221"/>
      <c r="B61" s="513" t="s">
        <v>24</v>
      </c>
      <c r="C61" s="4230" t="s">
        <v>149</v>
      </c>
      <c r="D61" s="1181">
        <f>+D62+D63</f>
        <v>1867</v>
      </c>
      <c r="E61" s="1181">
        <f>+E62+E63</f>
        <v>0</v>
      </c>
      <c r="F61" s="1181">
        <f>+F62+F63</f>
        <v>1867</v>
      </c>
      <c r="G61" s="1697">
        <f t="shared" ref="G61:H61" si="47">+G63</f>
        <v>0</v>
      </c>
      <c r="H61" s="1697">
        <f t="shared" si="47"/>
        <v>0</v>
      </c>
      <c r="I61" s="1697">
        <f>+I63</f>
        <v>0</v>
      </c>
      <c r="J61" s="1181"/>
      <c r="K61" s="1181"/>
      <c r="L61" s="1181"/>
      <c r="M61" s="1182">
        <f>+M62+M63</f>
        <v>1867</v>
      </c>
      <c r="N61" s="1182">
        <f>+N62+N63</f>
        <v>0</v>
      </c>
      <c r="O61" s="4258"/>
    </row>
    <row r="62" spans="1:16" s="1258" customFormat="1" ht="12" customHeight="1">
      <c r="A62" s="4221"/>
      <c r="B62" s="165" t="s">
        <v>12</v>
      </c>
      <c r="C62" s="4199"/>
      <c r="D62" s="704">
        <f>E62+F62+G62+H62+I62+J62+K62+L62</f>
        <v>622</v>
      </c>
      <c r="E62" s="1183">
        <v>0</v>
      </c>
      <c r="F62" s="1698">
        <f>630-8</f>
        <v>622</v>
      </c>
      <c r="G62" s="1699">
        <v>0</v>
      </c>
      <c r="H62" s="1699">
        <v>0</v>
      </c>
      <c r="I62" s="1699">
        <v>0</v>
      </c>
      <c r="J62" s="379"/>
      <c r="K62" s="379"/>
      <c r="L62" s="379"/>
      <c r="M62" s="1185">
        <f>SUM(F62:K62)</f>
        <v>622</v>
      </c>
      <c r="N62" s="1185">
        <f>SUM(G62:L62)</f>
        <v>0</v>
      </c>
      <c r="O62" s="4258"/>
    </row>
    <row r="63" spans="1:16" s="1258" customFormat="1" ht="12" customHeight="1">
      <c r="A63" s="4221"/>
      <c r="B63" s="165" t="s">
        <v>13</v>
      </c>
      <c r="C63" s="4200"/>
      <c r="D63" s="704">
        <f>E63+F63+G63+H63+I63+J63+K63+L63</f>
        <v>1245</v>
      </c>
      <c r="E63" s="1183">
        <v>0</v>
      </c>
      <c r="F63" s="166">
        <f>1260-15</f>
        <v>1245</v>
      </c>
      <c r="G63" s="1706">
        <v>0</v>
      </c>
      <c r="H63" s="1706">
        <v>0</v>
      </c>
      <c r="I63" s="1706">
        <v>0</v>
      </c>
      <c r="J63" s="166"/>
      <c r="K63" s="166"/>
      <c r="L63" s="166"/>
      <c r="M63" s="1185">
        <f>SUM(F63:K63)</f>
        <v>1245</v>
      </c>
      <c r="N63" s="1185">
        <f>SUM(G63:L63)</f>
        <v>0</v>
      </c>
      <c r="O63" s="4258"/>
      <c r="P63" s="281">
        <f>D63-D68</f>
        <v>0</v>
      </c>
    </row>
    <row r="64" spans="1:16" s="1258" customFormat="1" ht="12" customHeight="1">
      <c r="A64" s="4221"/>
      <c r="B64" s="552" t="s">
        <v>18</v>
      </c>
      <c r="C64" s="4200"/>
      <c r="D64" s="1186">
        <f t="shared" ref="D64:I64" si="48">D65</f>
        <v>10581</v>
      </c>
      <c r="E64" s="1186">
        <f t="shared" si="48"/>
        <v>0</v>
      </c>
      <c r="F64" s="1186">
        <f t="shared" si="48"/>
        <v>10581</v>
      </c>
      <c r="G64" s="1187">
        <f t="shared" si="48"/>
        <v>0</v>
      </c>
      <c r="H64" s="1187">
        <f t="shared" si="48"/>
        <v>0</v>
      </c>
      <c r="I64" s="1187">
        <f t="shared" si="48"/>
        <v>0</v>
      </c>
      <c r="J64" s="1186"/>
      <c r="K64" s="1186"/>
      <c r="L64" s="1186"/>
      <c r="M64" s="1713">
        <f>+M65</f>
        <v>10581</v>
      </c>
      <c r="N64" s="1713">
        <f>+N65</f>
        <v>0</v>
      </c>
      <c r="O64" s="4258"/>
    </row>
    <row r="65" spans="1:16" s="1258" customFormat="1">
      <c r="A65" s="4221"/>
      <c r="B65" s="553" t="s">
        <v>21</v>
      </c>
      <c r="C65" s="4201"/>
      <c r="D65" s="704">
        <f>E65+F65+G65+H65+I65+J65+K65+L65</f>
        <v>10581</v>
      </c>
      <c r="E65" s="1183">
        <v>0</v>
      </c>
      <c r="F65" s="129">
        <f>10710-129</f>
        <v>10581</v>
      </c>
      <c r="G65" s="1714">
        <v>0</v>
      </c>
      <c r="H65" s="1714">
        <v>0</v>
      </c>
      <c r="I65" s="1714">
        <v>0</v>
      </c>
      <c r="J65" s="129"/>
      <c r="K65" s="129"/>
      <c r="L65" s="129"/>
      <c r="M65" s="1185">
        <f>SUM(F65:K65)</f>
        <v>10581</v>
      </c>
      <c r="N65" s="1185">
        <f>SUM(G65:L65)</f>
        <v>0</v>
      </c>
      <c r="O65" s="4258"/>
    </row>
    <row r="66" spans="1:16" s="1258" customFormat="1" ht="12" customHeight="1">
      <c r="A66" s="3813"/>
      <c r="B66" s="534" t="s">
        <v>22</v>
      </c>
      <c r="C66" s="1715"/>
      <c r="D66" s="1191">
        <f>+D67+D69</f>
        <v>11826</v>
      </c>
      <c r="E66" s="1191">
        <f t="shared" ref="E66" si="49">E67+E69</f>
        <v>0</v>
      </c>
      <c r="F66" s="1291">
        <f t="shared" ref="F66:I66" si="50">F67+F69</f>
        <v>0</v>
      </c>
      <c r="G66" s="1191">
        <f t="shared" si="50"/>
        <v>11826</v>
      </c>
      <c r="H66" s="1291">
        <f t="shared" si="50"/>
        <v>0</v>
      </c>
      <c r="I66" s="1291">
        <f t="shared" si="50"/>
        <v>0</v>
      </c>
      <c r="J66" s="1191"/>
      <c r="K66" s="1191"/>
      <c r="L66" s="1191"/>
      <c r="M66" s="4232" t="s">
        <v>61</v>
      </c>
      <c r="N66" s="4232" t="s">
        <v>61</v>
      </c>
      <c r="O66" s="4258"/>
      <c r="P66" s="281">
        <f>G66-'[1]Tab. 6E - Administracja'!$G$66</f>
        <v>-144</v>
      </c>
    </row>
    <row r="67" spans="1:16" s="1258" customFormat="1" ht="12" customHeight="1">
      <c r="A67" s="3813"/>
      <c r="B67" s="1293" t="s">
        <v>24</v>
      </c>
      <c r="C67" s="4230" t="s">
        <v>149</v>
      </c>
      <c r="D67" s="1181">
        <f t="shared" ref="D67:I67" si="51">D68</f>
        <v>1245</v>
      </c>
      <c r="E67" s="1181">
        <f t="shared" si="51"/>
        <v>0</v>
      </c>
      <c r="F67" s="1697">
        <f t="shared" si="51"/>
        <v>0</v>
      </c>
      <c r="G67" s="1181">
        <f t="shared" si="51"/>
        <v>1245</v>
      </c>
      <c r="H67" s="1697">
        <f t="shared" si="51"/>
        <v>0</v>
      </c>
      <c r="I67" s="1697">
        <f t="shared" si="51"/>
        <v>0</v>
      </c>
      <c r="J67" s="1181"/>
      <c r="K67" s="1181"/>
      <c r="L67" s="1181"/>
      <c r="M67" s="4203"/>
      <c r="N67" s="4203"/>
      <c r="O67" s="4258"/>
    </row>
    <row r="68" spans="1:16" s="1258" customFormat="1" ht="10.5" customHeight="1">
      <c r="A68" s="3813"/>
      <c r="B68" s="169" t="s">
        <v>13</v>
      </c>
      <c r="C68" s="4200"/>
      <c r="D68" s="704">
        <f>E68+F68+G68+H68+I68+J68+K68+L68</f>
        <v>1245</v>
      </c>
      <c r="E68" s="1183">
        <v>0</v>
      </c>
      <c r="F68" s="1716">
        <v>0</v>
      </c>
      <c r="G68" s="1193">
        <f>1260-15</f>
        <v>1245</v>
      </c>
      <c r="H68" s="1716">
        <v>0</v>
      </c>
      <c r="I68" s="1716">
        <v>0</v>
      </c>
      <c r="J68" s="1193"/>
      <c r="K68" s="1193"/>
      <c r="L68" s="1193"/>
      <c r="M68" s="4203"/>
      <c r="N68" s="4203"/>
      <c r="O68" s="4258"/>
    </row>
    <row r="69" spans="1:16" s="1258" customFormat="1" ht="12" customHeight="1">
      <c r="A69" s="3813"/>
      <c r="B69" s="1717" t="s">
        <v>18</v>
      </c>
      <c r="C69" s="4200"/>
      <c r="D69" s="1186">
        <f t="shared" ref="D69:I69" si="52">D70</f>
        <v>10581</v>
      </c>
      <c r="E69" s="1186">
        <f t="shared" si="52"/>
        <v>0</v>
      </c>
      <c r="F69" s="1187">
        <f t="shared" si="52"/>
        <v>0</v>
      </c>
      <c r="G69" s="1186">
        <f t="shared" si="52"/>
        <v>10581</v>
      </c>
      <c r="H69" s="1187">
        <f t="shared" si="52"/>
        <v>0</v>
      </c>
      <c r="I69" s="1187">
        <f t="shared" si="52"/>
        <v>0</v>
      </c>
      <c r="J69" s="1186"/>
      <c r="K69" s="1186"/>
      <c r="L69" s="1186"/>
      <c r="M69" s="4203"/>
      <c r="N69" s="4203"/>
      <c r="O69" s="4258"/>
    </row>
    <row r="70" spans="1:16" s="1258" customFormat="1" ht="12" customHeight="1" thickBot="1">
      <c r="A70" s="3814"/>
      <c r="B70" s="312" t="s">
        <v>21</v>
      </c>
      <c r="C70" s="4205"/>
      <c r="D70" s="701">
        <f>E70+F70+G70+H70+I70+J70+K70+L70</f>
        <v>10581</v>
      </c>
      <c r="E70" s="1195">
        <v>0</v>
      </c>
      <c r="F70" s="1290">
        <v>0</v>
      </c>
      <c r="G70" s="533">
        <f>10710-129</f>
        <v>10581</v>
      </c>
      <c r="H70" s="1290">
        <v>0</v>
      </c>
      <c r="I70" s="1290">
        <v>0</v>
      </c>
      <c r="J70" s="533"/>
      <c r="K70" s="533"/>
      <c r="L70" s="533"/>
      <c r="M70" s="4204"/>
      <c r="N70" s="4204"/>
      <c r="O70" s="4259"/>
    </row>
    <row r="71" spans="1:16" s="1258" customFormat="1" ht="36.75" customHeight="1">
      <c r="A71" s="4220" t="s">
        <v>66</v>
      </c>
      <c r="B71" s="162" t="s">
        <v>273</v>
      </c>
      <c r="C71" s="163" t="s">
        <v>110</v>
      </c>
      <c r="D71" s="177"/>
      <c r="E71" s="176"/>
      <c r="F71" s="177"/>
      <c r="G71" s="176"/>
      <c r="H71" s="176"/>
      <c r="I71" s="176"/>
      <c r="J71" s="176"/>
      <c r="K71" s="176"/>
      <c r="L71" s="237"/>
      <c r="M71" s="306"/>
      <c r="N71" s="306"/>
      <c r="O71" s="4195" t="s">
        <v>469</v>
      </c>
    </row>
    <row r="72" spans="1:16" s="1258" customFormat="1" ht="14.25" customHeight="1">
      <c r="A72" s="4221"/>
      <c r="B72" s="534" t="s">
        <v>10</v>
      </c>
      <c r="C72" s="558"/>
      <c r="D72" s="705">
        <f>+D73+D75</f>
        <v>9208690</v>
      </c>
      <c r="E72" s="705">
        <f t="shared" ref="E72" si="53">+E73+E75</f>
        <v>2589029</v>
      </c>
      <c r="F72" s="705">
        <f>+F73+F75</f>
        <v>1519661</v>
      </c>
      <c r="G72" s="705">
        <f>+G73+G75</f>
        <v>2200000</v>
      </c>
      <c r="H72" s="705">
        <f>+H73+H75</f>
        <v>1500000</v>
      </c>
      <c r="I72" s="705">
        <f>+I73+I75</f>
        <v>1400000</v>
      </c>
      <c r="J72" s="705"/>
      <c r="K72" s="705"/>
      <c r="L72" s="705"/>
      <c r="M72" s="706">
        <f>M73+M75</f>
        <v>6619661</v>
      </c>
      <c r="N72" s="706">
        <f>N73+N75</f>
        <v>5100000</v>
      </c>
      <c r="O72" s="4196"/>
    </row>
    <row r="73" spans="1:16" s="1258" customFormat="1">
      <c r="A73" s="4221"/>
      <c r="B73" s="513" t="s">
        <v>24</v>
      </c>
      <c r="C73" s="4230" t="s">
        <v>213</v>
      </c>
      <c r="D73" s="707">
        <f>+D74</f>
        <v>1381303</v>
      </c>
      <c r="E73" s="707">
        <f t="shared" ref="E73:I73" si="54">+E74</f>
        <v>388354</v>
      </c>
      <c r="F73" s="707">
        <f t="shared" si="54"/>
        <v>227949</v>
      </c>
      <c r="G73" s="707">
        <f t="shared" si="54"/>
        <v>330000</v>
      </c>
      <c r="H73" s="707">
        <f t="shared" si="54"/>
        <v>225000</v>
      </c>
      <c r="I73" s="707">
        <f t="shared" si="54"/>
        <v>210000</v>
      </c>
      <c r="J73" s="707"/>
      <c r="K73" s="707"/>
      <c r="L73" s="707"/>
      <c r="M73" s="551">
        <f>+M74</f>
        <v>992949</v>
      </c>
      <c r="N73" s="551">
        <f>+N74</f>
        <v>765000</v>
      </c>
      <c r="O73" s="4196"/>
    </row>
    <row r="74" spans="1:16" s="1258" customFormat="1">
      <c r="A74" s="4221"/>
      <c r="B74" s="165" t="s">
        <v>13</v>
      </c>
      <c r="C74" s="4200"/>
      <c r="D74" s="1213">
        <f>E74+F74+G74+H74+I74+J74+K74+L74</f>
        <v>1381303</v>
      </c>
      <c r="E74" s="1183">
        <v>388354</v>
      </c>
      <c r="F74" s="166">
        <f>330000-21328-80723</f>
        <v>227949</v>
      </c>
      <c r="G74" s="166">
        <v>330000</v>
      </c>
      <c r="H74" s="166">
        <v>225000</v>
      </c>
      <c r="I74" s="166">
        <v>210000</v>
      </c>
      <c r="J74" s="166"/>
      <c r="K74" s="166"/>
      <c r="L74" s="166"/>
      <c r="M74" s="562">
        <f>SUM(F74:K74)</f>
        <v>992949</v>
      </c>
      <c r="N74" s="562">
        <f>SUM(G74:L74)</f>
        <v>765000</v>
      </c>
      <c r="O74" s="4196"/>
    </row>
    <row r="75" spans="1:16" s="1258" customFormat="1" ht="12" customHeight="1">
      <c r="A75" s="4221"/>
      <c r="B75" s="552" t="s">
        <v>18</v>
      </c>
      <c r="C75" s="4200"/>
      <c r="D75" s="708">
        <f>+D76</f>
        <v>7827387</v>
      </c>
      <c r="E75" s="708">
        <f t="shared" ref="E75:I75" si="55">E76</f>
        <v>2200675</v>
      </c>
      <c r="F75" s="708">
        <f t="shared" si="55"/>
        <v>1291712</v>
      </c>
      <c r="G75" s="708">
        <f t="shared" si="55"/>
        <v>1870000</v>
      </c>
      <c r="H75" s="708">
        <f t="shared" si="55"/>
        <v>1275000</v>
      </c>
      <c r="I75" s="708">
        <f t="shared" si="55"/>
        <v>1190000</v>
      </c>
      <c r="J75" s="708"/>
      <c r="K75" s="708"/>
      <c r="L75" s="708"/>
      <c r="M75" s="551">
        <f>+M76</f>
        <v>5626712</v>
      </c>
      <c r="N75" s="551">
        <f>+N76</f>
        <v>4335000</v>
      </c>
      <c r="O75" s="4196"/>
    </row>
    <row r="76" spans="1:16" s="1258" customFormat="1" ht="12" customHeight="1">
      <c r="A76" s="4221"/>
      <c r="B76" s="553" t="s">
        <v>21</v>
      </c>
      <c r="C76" s="4201"/>
      <c r="D76" s="226">
        <f>E76+F76+G76+H76+I76+J76+K76+L76</f>
        <v>7827387</v>
      </c>
      <c r="E76" s="1091">
        <v>2200675</v>
      </c>
      <c r="F76" s="129">
        <f>1870000-120859-457429</f>
        <v>1291712</v>
      </c>
      <c r="G76" s="129">
        <v>1870000</v>
      </c>
      <c r="H76" s="129">
        <v>1275000</v>
      </c>
      <c r="I76" s="129">
        <v>1190000</v>
      </c>
      <c r="J76" s="129"/>
      <c r="K76" s="129"/>
      <c r="L76" s="129"/>
      <c r="M76" s="562">
        <f>SUM(F76:K76)</f>
        <v>5626712</v>
      </c>
      <c r="N76" s="562">
        <f>SUM(G76:L76)</f>
        <v>4335000</v>
      </c>
      <c r="O76" s="4196"/>
    </row>
    <row r="77" spans="1:16" s="1258" customFormat="1" ht="14.25" customHeight="1">
      <c r="A77" s="3813"/>
      <c r="B77" s="534" t="s">
        <v>22</v>
      </c>
      <c r="C77" s="554"/>
      <c r="D77" s="705">
        <f>+D78+D80</f>
        <v>9208690</v>
      </c>
      <c r="E77" s="705">
        <f t="shared" ref="E77" si="56">E78+E80</f>
        <v>2589029</v>
      </c>
      <c r="F77" s="705">
        <f>F78+F80</f>
        <v>1519661</v>
      </c>
      <c r="G77" s="705">
        <f>G78+G80</f>
        <v>2200000</v>
      </c>
      <c r="H77" s="535">
        <f>H78+H80</f>
        <v>1500000</v>
      </c>
      <c r="I77" s="705">
        <f>I78+I80</f>
        <v>1400000</v>
      </c>
      <c r="J77" s="705"/>
      <c r="K77" s="705"/>
      <c r="L77" s="705"/>
      <c r="M77" s="4281" t="s">
        <v>61</v>
      </c>
      <c r="N77" s="4281" t="s">
        <v>61</v>
      </c>
      <c r="O77" s="4196"/>
      <c r="P77" s="281">
        <f>G77-'[1]Tab. 6E - Administracja'!$G$77</f>
        <v>0</v>
      </c>
    </row>
    <row r="78" spans="1:16" s="1258" customFormat="1" ht="13.5" customHeight="1">
      <c r="A78" s="3813"/>
      <c r="B78" s="555" t="s">
        <v>24</v>
      </c>
      <c r="C78" s="4230" t="s">
        <v>213</v>
      </c>
      <c r="D78" s="707">
        <f>+D79</f>
        <v>1381303</v>
      </c>
      <c r="E78" s="707">
        <f t="shared" ref="E78:I78" si="57">E79</f>
        <v>388354</v>
      </c>
      <c r="F78" s="707">
        <f t="shared" si="57"/>
        <v>227949</v>
      </c>
      <c r="G78" s="707">
        <f t="shared" si="57"/>
        <v>330000</v>
      </c>
      <c r="H78" s="556">
        <f t="shared" si="57"/>
        <v>225000</v>
      </c>
      <c r="I78" s="707">
        <f t="shared" si="57"/>
        <v>210000</v>
      </c>
      <c r="J78" s="707"/>
      <c r="K78" s="707"/>
      <c r="L78" s="707"/>
      <c r="M78" s="4203"/>
      <c r="N78" s="4203"/>
      <c r="O78" s="4196"/>
    </row>
    <row r="79" spans="1:16" s="1258" customFormat="1" ht="13.5" customHeight="1">
      <c r="A79" s="3813"/>
      <c r="B79" s="169" t="s">
        <v>13</v>
      </c>
      <c r="C79" s="4200"/>
      <c r="D79" s="226">
        <f>E79+F79+G79+H79+I79+J79+K79+L79</f>
        <v>1381303</v>
      </c>
      <c r="E79" s="1091">
        <v>388354</v>
      </c>
      <c r="F79" s="539">
        <f>330000-21328-80723</f>
        <v>227949</v>
      </c>
      <c r="G79" s="539">
        <v>330000</v>
      </c>
      <c r="H79" s="539">
        <v>225000</v>
      </c>
      <c r="I79" s="539">
        <v>210000</v>
      </c>
      <c r="J79" s="539"/>
      <c r="K79" s="539"/>
      <c r="L79" s="539"/>
      <c r="M79" s="4203"/>
      <c r="N79" s="4203"/>
      <c r="O79" s="4196"/>
    </row>
    <row r="80" spans="1:16" s="1258" customFormat="1">
      <c r="A80" s="3813"/>
      <c r="B80" s="557" t="s">
        <v>18</v>
      </c>
      <c r="C80" s="4200"/>
      <c r="D80" s="708">
        <f>+D81</f>
        <v>7827387</v>
      </c>
      <c r="E80" s="708">
        <f t="shared" ref="E80:I80" si="58">E81</f>
        <v>2200675</v>
      </c>
      <c r="F80" s="708">
        <f t="shared" si="58"/>
        <v>1291712</v>
      </c>
      <c r="G80" s="708">
        <f t="shared" si="58"/>
        <v>1870000</v>
      </c>
      <c r="H80" s="541">
        <f t="shared" si="58"/>
        <v>1275000</v>
      </c>
      <c r="I80" s="708">
        <f t="shared" si="58"/>
        <v>1190000</v>
      </c>
      <c r="J80" s="708"/>
      <c r="K80" s="708"/>
      <c r="L80" s="708"/>
      <c r="M80" s="4203"/>
      <c r="N80" s="4203"/>
      <c r="O80" s="4196"/>
    </row>
    <row r="81" spans="1:18" s="1258" customFormat="1" ht="12" customHeight="1" thickBot="1">
      <c r="A81" s="3814"/>
      <c r="B81" s="312" t="s">
        <v>21</v>
      </c>
      <c r="C81" s="4205"/>
      <c r="D81" s="226">
        <f>E81+F81+G81+H81+I81+J81+K81+L81</f>
        <v>7827387</v>
      </c>
      <c r="E81" s="1091">
        <v>2200675</v>
      </c>
      <c r="F81" s="533">
        <f>1870000-120859-457429</f>
        <v>1291712</v>
      </c>
      <c r="G81" s="533">
        <v>1870000</v>
      </c>
      <c r="H81" s="533">
        <v>1275000</v>
      </c>
      <c r="I81" s="533">
        <v>1190000</v>
      </c>
      <c r="J81" s="533"/>
      <c r="K81" s="533"/>
      <c r="L81" s="533"/>
      <c r="M81" s="4204"/>
      <c r="N81" s="4204"/>
      <c r="O81" s="4197"/>
    </row>
    <row r="82" spans="1:18" s="1258" customFormat="1" ht="43.5" customHeight="1">
      <c r="A82" s="4220" t="s">
        <v>67</v>
      </c>
      <c r="B82" s="162" t="s">
        <v>320</v>
      </c>
      <c r="C82" s="163" t="s">
        <v>82</v>
      </c>
      <c r="D82" s="177"/>
      <c r="E82" s="349"/>
      <c r="F82" s="176"/>
      <c r="G82" s="176"/>
      <c r="H82" s="176"/>
      <c r="I82" s="176"/>
      <c r="J82" s="176"/>
      <c r="K82" s="176"/>
      <c r="L82" s="237"/>
      <c r="M82" s="306"/>
      <c r="N82" s="306"/>
      <c r="O82" s="4195" t="s">
        <v>469</v>
      </c>
    </row>
    <row r="83" spans="1:18" s="1258" customFormat="1" ht="12" customHeight="1">
      <c r="A83" s="4221"/>
      <c r="B83" s="21" t="s">
        <v>10</v>
      </c>
      <c r="C83" s="1118"/>
      <c r="D83" s="365">
        <f>+D84+D86</f>
        <v>41857</v>
      </c>
      <c r="E83" s="365">
        <f t="shared" ref="E83" si="59">+E84+E86</f>
        <v>38038</v>
      </c>
      <c r="F83" s="365">
        <f>+F84+F86</f>
        <v>3819</v>
      </c>
      <c r="G83" s="365">
        <f>+G84+G86</f>
        <v>0</v>
      </c>
      <c r="H83" s="365">
        <f>+H84+H86</f>
        <v>0</v>
      </c>
      <c r="I83" s="365">
        <f>+I84+I86</f>
        <v>0</v>
      </c>
      <c r="J83" s="365"/>
      <c r="K83" s="365"/>
      <c r="L83" s="365"/>
      <c r="M83" s="1093">
        <f>M84+M86</f>
        <v>3819</v>
      </c>
      <c r="N83" s="1093">
        <f>N84+N86</f>
        <v>0</v>
      </c>
      <c r="O83" s="4196"/>
    </row>
    <row r="84" spans="1:18" s="1258" customFormat="1" ht="12" customHeight="1">
      <c r="A84" s="4221"/>
      <c r="B84" s="164" t="s">
        <v>24</v>
      </c>
      <c r="C84" s="4251" t="s">
        <v>213</v>
      </c>
      <c r="D84" s="366">
        <f>+D85</f>
        <v>6279</v>
      </c>
      <c r="E84" s="366">
        <f t="shared" ref="E84:I84" si="60">+E85</f>
        <v>5706</v>
      </c>
      <c r="F84" s="366">
        <f t="shared" si="60"/>
        <v>573</v>
      </c>
      <c r="G84" s="366">
        <f t="shared" si="60"/>
        <v>0</v>
      </c>
      <c r="H84" s="366">
        <f t="shared" si="60"/>
        <v>0</v>
      </c>
      <c r="I84" s="366">
        <f t="shared" si="60"/>
        <v>0</v>
      </c>
      <c r="J84" s="366"/>
      <c r="K84" s="366"/>
      <c r="L84" s="366"/>
      <c r="M84" s="1094">
        <f>+M85</f>
        <v>573</v>
      </c>
      <c r="N84" s="1094">
        <f>+N85</f>
        <v>0</v>
      </c>
      <c r="O84" s="4196"/>
    </row>
    <row r="85" spans="1:18" s="1258" customFormat="1" ht="12" customHeight="1">
      <c r="A85" s="4221"/>
      <c r="B85" s="165" t="s">
        <v>13</v>
      </c>
      <c r="C85" s="4200"/>
      <c r="D85" s="226">
        <f>E85+F85+G85+H85+I85+J85+K85+L85</f>
        <v>6279</v>
      </c>
      <c r="E85" s="1091">
        <v>5706</v>
      </c>
      <c r="F85" s="166">
        <f>960-387</f>
        <v>573</v>
      </c>
      <c r="G85" s="166">
        <v>0</v>
      </c>
      <c r="H85" s="166">
        <v>0</v>
      </c>
      <c r="I85" s="166">
        <v>0</v>
      </c>
      <c r="J85" s="166"/>
      <c r="K85" s="166"/>
      <c r="L85" s="166"/>
      <c r="M85" s="562">
        <f>SUM(F85:K85)</f>
        <v>573</v>
      </c>
      <c r="N85" s="562">
        <f>SUM(G85:L85)</f>
        <v>0</v>
      </c>
      <c r="O85" s="4196"/>
    </row>
    <row r="86" spans="1:18" s="1258" customFormat="1" ht="12" customHeight="1">
      <c r="A86" s="4221"/>
      <c r="B86" s="80" t="s">
        <v>18</v>
      </c>
      <c r="C86" s="4200"/>
      <c r="D86" s="367">
        <f>D87</f>
        <v>35578</v>
      </c>
      <c r="E86" s="367">
        <f t="shared" ref="E86:I86" si="61">E87</f>
        <v>32332</v>
      </c>
      <c r="F86" s="367">
        <f t="shared" si="61"/>
        <v>3246</v>
      </c>
      <c r="G86" s="367">
        <f t="shared" si="61"/>
        <v>0</v>
      </c>
      <c r="H86" s="367">
        <f t="shared" si="61"/>
        <v>0</v>
      </c>
      <c r="I86" s="367">
        <f t="shared" si="61"/>
        <v>0</v>
      </c>
      <c r="J86" s="367"/>
      <c r="K86" s="367"/>
      <c r="L86" s="367"/>
      <c r="M86" s="1094">
        <f>+M87</f>
        <v>3246</v>
      </c>
      <c r="N86" s="1094">
        <f>+N87</f>
        <v>0</v>
      </c>
      <c r="O86" s="4196"/>
    </row>
    <row r="87" spans="1:18" s="1258" customFormat="1" ht="12" customHeight="1">
      <c r="A87" s="4221"/>
      <c r="B87" s="1119" t="s">
        <v>21</v>
      </c>
      <c r="C87" s="4201"/>
      <c r="D87" s="226">
        <f>E87+F87+G87+H87+I87+J87+K87+L87</f>
        <v>35578</v>
      </c>
      <c r="E87" s="1091">
        <v>32332</v>
      </c>
      <c r="F87" s="129">
        <f>5440-2194</f>
        <v>3246</v>
      </c>
      <c r="G87" s="129">
        <v>0</v>
      </c>
      <c r="H87" s="129">
        <v>0</v>
      </c>
      <c r="I87" s="129">
        <v>0</v>
      </c>
      <c r="J87" s="129"/>
      <c r="K87" s="129"/>
      <c r="L87" s="129"/>
      <c r="M87" s="562">
        <f>SUM(F87:K87)</f>
        <v>3246</v>
      </c>
      <c r="N87" s="562">
        <f>SUM(G87:L87)</f>
        <v>0</v>
      </c>
      <c r="O87" s="4196"/>
    </row>
    <row r="88" spans="1:18" s="1258" customFormat="1" ht="12" customHeight="1">
      <c r="A88" s="3813"/>
      <c r="B88" s="21" t="s">
        <v>22</v>
      </c>
      <c r="C88" s="1120"/>
      <c r="D88" s="365">
        <f>D89+D91</f>
        <v>41857</v>
      </c>
      <c r="E88" s="365">
        <f t="shared" ref="E88" si="62">E89+E91</f>
        <v>38038</v>
      </c>
      <c r="F88" s="365">
        <f>F89+F91</f>
        <v>3819</v>
      </c>
      <c r="G88" s="365">
        <f>G89+G91</f>
        <v>0</v>
      </c>
      <c r="H88" s="365">
        <f>H89+H91</f>
        <v>0</v>
      </c>
      <c r="I88" s="365">
        <f>I89+I91</f>
        <v>0</v>
      </c>
      <c r="J88" s="365"/>
      <c r="K88" s="365"/>
      <c r="L88" s="365"/>
      <c r="M88" s="4211" t="s">
        <v>61</v>
      </c>
      <c r="N88" s="4211" t="s">
        <v>61</v>
      </c>
      <c r="O88" s="4196"/>
      <c r="P88" s="281">
        <f>G88-'[1]Tab. 6E - Administracja'!$G$88</f>
        <v>0</v>
      </c>
    </row>
    <row r="89" spans="1:18" s="1258" customFormat="1" ht="12" customHeight="1">
      <c r="A89" s="3813"/>
      <c r="B89" s="1121" t="s">
        <v>24</v>
      </c>
      <c r="C89" s="4251" t="s">
        <v>213</v>
      </c>
      <c r="D89" s="366">
        <f>D90</f>
        <v>6279</v>
      </c>
      <c r="E89" s="366">
        <f t="shared" ref="E89:I89" si="63">E90</f>
        <v>5706</v>
      </c>
      <c r="F89" s="366">
        <f t="shared" si="63"/>
        <v>573</v>
      </c>
      <c r="G89" s="366">
        <f t="shared" si="63"/>
        <v>0</v>
      </c>
      <c r="H89" s="366">
        <f t="shared" si="63"/>
        <v>0</v>
      </c>
      <c r="I89" s="366">
        <f t="shared" si="63"/>
        <v>0</v>
      </c>
      <c r="J89" s="366"/>
      <c r="K89" s="366"/>
      <c r="L89" s="366"/>
      <c r="M89" s="4203"/>
      <c r="N89" s="4203"/>
      <c r="O89" s="4196"/>
    </row>
    <row r="90" spans="1:18" s="1258" customFormat="1" ht="12" customHeight="1">
      <c r="A90" s="3813"/>
      <c r="B90" s="169" t="s">
        <v>13</v>
      </c>
      <c r="C90" s="4200"/>
      <c r="D90" s="226">
        <f>E90+F90+G90+H90+I90+J90+K90+L90</f>
        <v>6279</v>
      </c>
      <c r="E90" s="1091">
        <v>5706</v>
      </c>
      <c r="F90" s="360">
        <f>960-387</f>
        <v>573</v>
      </c>
      <c r="G90" s="360">
        <v>0</v>
      </c>
      <c r="H90" s="210">
        <v>0</v>
      </c>
      <c r="I90" s="210">
        <v>0</v>
      </c>
      <c r="J90" s="210"/>
      <c r="K90" s="210"/>
      <c r="L90" s="210"/>
      <c r="M90" s="4203"/>
      <c r="N90" s="4203"/>
      <c r="O90" s="4196"/>
    </row>
    <row r="91" spans="1:18" s="1258" customFormat="1" ht="12" customHeight="1">
      <c r="A91" s="3813"/>
      <c r="B91" s="1122" t="s">
        <v>18</v>
      </c>
      <c r="C91" s="4200"/>
      <c r="D91" s="367">
        <f>D92</f>
        <v>35578</v>
      </c>
      <c r="E91" s="367">
        <f t="shared" ref="E91:I91" si="64">E92</f>
        <v>32332</v>
      </c>
      <c r="F91" s="367">
        <f t="shared" si="64"/>
        <v>3246</v>
      </c>
      <c r="G91" s="367">
        <f t="shared" si="64"/>
        <v>0</v>
      </c>
      <c r="H91" s="367">
        <f t="shared" si="64"/>
        <v>0</v>
      </c>
      <c r="I91" s="367">
        <f t="shared" si="64"/>
        <v>0</v>
      </c>
      <c r="J91" s="367"/>
      <c r="K91" s="367"/>
      <c r="L91" s="367"/>
      <c r="M91" s="4203"/>
      <c r="N91" s="4203"/>
      <c r="O91" s="4196"/>
    </row>
    <row r="92" spans="1:18" s="1258" customFormat="1" ht="12" customHeight="1" thickBot="1">
      <c r="A92" s="3814"/>
      <c r="B92" s="312" t="s">
        <v>21</v>
      </c>
      <c r="C92" s="4205"/>
      <c r="D92" s="226">
        <f>E92+F92+G92+H92+I92+J92+K92+L92</f>
        <v>35578</v>
      </c>
      <c r="E92" s="1091">
        <v>32332</v>
      </c>
      <c r="F92" s="170">
        <f>5440-2194</f>
        <v>3246</v>
      </c>
      <c r="G92" s="170">
        <v>0</v>
      </c>
      <c r="H92" s="108">
        <v>0</v>
      </c>
      <c r="I92" s="108">
        <v>0</v>
      </c>
      <c r="J92" s="108"/>
      <c r="K92" s="108"/>
      <c r="L92" s="108"/>
      <c r="M92" s="4204"/>
      <c r="N92" s="4204"/>
      <c r="O92" s="4197"/>
    </row>
    <row r="93" spans="1:18" s="300" customFormat="1" ht="17.25" customHeight="1">
      <c r="A93" s="4220" t="s">
        <v>116</v>
      </c>
      <c r="B93" s="162" t="s">
        <v>265</v>
      </c>
      <c r="C93" s="163" t="s">
        <v>110</v>
      </c>
      <c r="D93" s="349"/>
      <c r="E93" s="349"/>
      <c r="F93" s="349"/>
      <c r="G93" s="349"/>
      <c r="H93" s="349"/>
      <c r="I93" s="349"/>
      <c r="J93" s="349"/>
      <c r="K93" s="349"/>
      <c r="L93" s="349"/>
      <c r="M93" s="349"/>
      <c r="N93" s="349"/>
      <c r="O93" s="4278" t="s">
        <v>455</v>
      </c>
      <c r="P93" s="1062" t="s">
        <v>460</v>
      </c>
      <c r="Q93" s="1063" t="s">
        <v>461</v>
      </c>
      <c r="R93" s="305"/>
    </row>
    <row r="94" spans="1:18" s="300" customFormat="1" ht="15.75" customHeight="1">
      <c r="A94" s="4221"/>
      <c r="B94" s="534" t="s">
        <v>10</v>
      </c>
      <c r="C94" s="1196"/>
      <c r="D94" s="1197">
        <f>+D105+D95</f>
        <v>219308353</v>
      </c>
      <c r="E94" s="1197">
        <f t="shared" ref="E94" si="65">+E105+E95</f>
        <v>24333779</v>
      </c>
      <c r="F94" s="1197">
        <f t="shared" ref="F94:I94" si="66">+F105+F95</f>
        <v>26536529</v>
      </c>
      <c r="G94" s="1197">
        <f t="shared" si="66"/>
        <v>31733917</v>
      </c>
      <c r="H94" s="1197">
        <f t="shared" si="66"/>
        <v>31436000</v>
      </c>
      <c r="I94" s="1197">
        <f t="shared" si="66"/>
        <v>27675726</v>
      </c>
      <c r="J94" s="1197">
        <f>+J105+J95</f>
        <v>26657062</v>
      </c>
      <c r="K94" s="1197">
        <f>+K105+K95</f>
        <v>25562887</v>
      </c>
      <c r="L94" s="1197">
        <f>+L105+L95</f>
        <v>25372453</v>
      </c>
      <c r="M94" s="1198">
        <f>+M105+M95</f>
        <v>194215010</v>
      </c>
      <c r="N94" s="1198">
        <f>+N105+N95</f>
        <v>167981433</v>
      </c>
      <c r="O94" s="4279"/>
      <c r="P94" s="1065">
        <f>+P95+P105</f>
        <v>24456849</v>
      </c>
      <c r="Q94" s="1065"/>
    </row>
    <row r="95" spans="1:18" s="288" customFormat="1" ht="15.75" customHeight="1">
      <c r="A95" s="4221"/>
      <c r="B95" s="513" t="s">
        <v>24</v>
      </c>
      <c r="C95" s="4269" t="s">
        <v>453</v>
      </c>
      <c r="D95" s="1199">
        <f>D96+D102</f>
        <v>35857630</v>
      </c>
      <c r="E95" s="1199">
        <f t="shared" ref="E95" si="67">E96+E102</f>
        <v>4452085</v>
      </c>
      <c r="F95" s="1199">
        <f t="shared" ref="F95:I95" si="68">F96+F102</f>
        <v>5276732</v>
      </c>
      <c r="G95" s="1199">
        <f t="shared" si="68"/>
        <v>5252020</v>
      </c>
      <c r="H95" s="1199">
        <f t="shared" si="68"/>
        <v>5236646</v>
      </c>
      <c r="I95" s="1199">
        <f t="shared" si="68"/>
        <v>4986261</v>
      </c>
      <c r="J95" s="1199">
        <f>J96+J102</f>
        <v>4487384</v>
      </c>
      <c r="K95" s="1199">
        <f>K96+K102</f>
        <v>3052528</v>
      </c>
      <c r="L95" s="1199">
        <f>L96+L102</f>
        <v>3113974</v>
      </c>
      <c r="M95" s="1200">
        <f>M96+M102</f>
        <v>30645981</v>
      </c>
      <c r="N95" s="1200">
        <f>N96+N102</f>
        <v>25672201</v>
      </c>
      <c r="O95" s="4279"/>
      <c r="P95" s="1067">
        <f>+P96+P102</f>
        <v>2983757</v>
      </c>
      <c r="Q95" s="1067"/>
    </row>
    <row r="96" spans="1:18" s="300" customFormat="1" ht="12.75" customHeight="1">
      <c r="A96" s="4221"/>
      <c r="B96" s="165" t="s">
        <v>12</v>
      </c>
      <c r="C96" s="4200"/>
      <c r="D96" s="1159">
        <f t="shared" ref="D96:D104" si="69">E96+F96+G96+H96+I96+J96+K96+L96</f>
        <v>34742063</v>
      </c>
      <c r="E96" s="1201">
        <f t="shared" ref="E96:L96" si="70">+E98+E99+E100+E101</f>
        <v>4096082</v>
      </c>
      <c r="F96" s="1201">
        <f t="shared" si="70"/>
        <v>4973780</v>
      </c>
      <c r="G96" s="1201">
        <f t="shared" si="70"/>
        <v>5159196</v>
      </c>
      <c r="H96" s="1201">
        <f t="shared" si="70"/>
        <v>5142378</v>
      </c>
      <c r="I96" s="1201">
        <f t="shared" si="70"/>
        <v>4908796</v>
      </c>
      <c r="J96" s="1201">
        <f t="shared" si="70"/>
        <v>4423365</v>
      </c>
      <c r="K96" s="1201">
        <f t="shared" si="70"/>
        <v>2988510</v>
      </c>
      <c r="L96" s="1201">
        <f t="shared" si="70"/>
        <v>3049956</v>
      </c>
      <c r="M96" s="562">
        <f>SUM(F96:L96)</f>
        <v>30645981</v>
      </c>
      <c r="N96" s="562">
        <f>SUM(G96:L96)</f>
        <v>25672201</v>
      </c>
      <c r="O96" s="4279"/>
      <c r="P96" s="1064">
        <v>2627754</v>
      </c>
      <c r="Q96" s="1064"/>
    </row>
    <row r="97" spans="1:20" s="300" customFormat="1" ht="12.75" hidden="1" customHeight="1">
      <c r="A97" s="4221"/>
      <c r="B97" s="1092" t="s">
        <v>150</v>
      </c>
      <c r="C97" s="4200"/>
      <c r="D97" s="1159">
        <f t="shared" si="69"/>
        <v>0</v>
      </c>
      <c r="E97" s="1202"/>
      <c r="F97" s="1202"/>
      <c r="G97" s="1202"/>
      <c r="H97" s="1202"/>
      <c r="I97" s="1202"/>
      <c r="J97" s="1202"/>
      <c r="K97" s="1202"/>
      <c r="L97" s="1202"/>
      <c r="M97" s="1203"/>
      <c r="N97" s="1203"/>
      <c r="O97" s="4279"/>
      <c r="P97" s="1064"/>
      <c r="Q97" s="1064"/>
    </row>
    <row r="98" spans="1:20" s="300" customFormat="1" ht="12.75" hidden="1" customHeight="1">
      <c r="A98" s="4221"/>
      <c r="B98" s="375" t="s">
        <v>151</v>
      </c>
      <c r="C98" s="4200"/>
      <c r="D98" s="1159">
        <f t="shared" si="69"/>
        <v>7892172</v>
      </c>
      <c r="E98" s="1204">
        <v>2627754</v>
      </c>
      <c r="F98" s="1204">
        <f>9433+186725+10304+744248+897699+783429+5728+241266+25883+352396+742812-2</f>
        <v>3999921</v>
      </c>
      <c r="G98" s="1204">
        <f>29274+10755+5568+505031+197945+375087+140837</f>
        <v>1264497</v>
      </c>
      <c r="H98" s="1204"/>
      <c r="I98" s="1204">
        <f>152659-152659</f>
        <v>0</v>
      </c>
      <c r="J98" s="1204"/>
      <c r="K98" s="1204"/>
      <c r="L98" s="1204"/>
      <c r="M98" s="1049">
        <f t="shared" ref="M98:N101" si="71">+F98+G98+H98+I98+J98+K98</f>
        <v>5264418</v>
      </c>
      <c r="N98" s="1049">
        <f t="shared" si="71"/>
        <v>1264497</v>
      </c>
      <c r="O98" s="4279"/>
      <c r="P98" s="1064"/>
      <c r="Q98" s="1064"/>
    </row>
    <row r="99" spans="1:20" s="300" customFormat="1" ht="12.75" hidden="1" customHeight="1">
      <c r="A99" s="4221"/>
      <c r="B99" s="1100" t="s">
        <v>152</v>
      </c>
      <c r="C99" s="4200"/>
      <c r="D99" s="1159">
        <f t="shared" si="69"/>
        <v>0</v>
      </c>
      <c r="E99" s="1205"/>
      <c r="F99" s="1205"/>
      <c r="G99" s="1205"/>
      <c r="H99" s="1205"/>
      <c r="I99" s="1205"/>
      <c r="J99" s="1205"/>
      <c r="K99" s="1205"/>
      <c r="L99" s="1205"/>
      <c r="M99" s="1049">
        <f t="shared" si="71"/>
        <v>0</v>
      </c>
      <c r="N99" s="1049">
        <f t="shared" si="71"/>
        <v>0</v>
      </c>
      <c r="O99" s="4279"/>
      <c r="P99" s="1064"/>
      <c r="Q99" s="1064"/>
    </row>
    <row r="100" spans="1:20" s="300" customFormat="1" ht="12.75" hidden="1" customHeight="1">
      <c r="A100" s="4221"/>
      <c r="B100" s="1103" t="s">
        <v>153</v>
      </c>
      <c r="C100" s="4200"/>
      <c r="D100" s="1159">
        <f t="shared" si="69"/>
        <v>26849891</v>
      </c>
      <c r="E100" s="1206">
        <f>12575+1455753</f>
        <v>1468328</v>
      </c>
      <c r="F100" s="1718">
        <f>868747+1301922+95728+2022114+18844+588448-9433-186725-10304-744248-897699-783429-5728-241266-25883-352396-742812+77979</f>
        <v>973859</v>
      </c>
      <c r="G100" s="1045">
        <f>886122+1327960+97643+2062557+784914-29274-10755-197945-505031-5568-375087-140837</f>
        <v>3894699</v>
      </c>
      <c r="H100" s="1045">
        <f>903845+1354520+99595+2103807+347372+333239</f>
        <v>5142378</v>
      </c>
      <c r="I100" s="1045">
        <f>921922+1381610+101587+2145884+357793</f>
        <v>4908796</v>
      </c>
      <c r="J100" s="1045">
        <f>4642023+192558-411216</f>
        <v>4423365</v>
      </c>
      <c r="K100" s="1045">
        <f>2551196+450141-14983+2156</f>
        <v>2988510</v>
      </c>
      <c r="L100" s="1045">
        <f>2645893+416877-14984+2157+13</f>
        <v>3049956</v>
      </c>
      <c r="M100" s="1049">
        <f t="shared" si="71"/>
        <v>22331607</v>
      </c>
      <c r="N100" s="1049">
        <f t="shared" si="71"/>
        <v>24407704</v>
      </c>
      <c r="O100" s="4279"/>
      <c r="P100" s="1064"/>
      <c r="Q100" s="1064"/>
    </row>
    <row r="101" spans="1:20" s="300" customFormat="1" ht="12.75" hidden="1" customHeight="1">
      <c r="A101" s="4221"/>
      <c r="B101" s="376" t="s">
        <v>154</v>
      </c>
      <c r="C101" s="4200"/>
      <c r="D101" s="704">
        <f t="shared" si="69"/>
        <v>0</v>
      </c>
      <c r="E101" s="1207"/>
      <c r="F101" s="1207"/>
      <c r="G101" s="1207"/>
      <c r="H101" s="1207"/>
      <c r="I101" s="1207"/>
      <c r="J101" s="1207"/>
      <c r="K101" s="1207"/>
      <c r="L101" s="1207"/>
      <c r="M101" s="1049">
        <f t="shared" si="71"/>
        <v>0</v>
      </c>
      <c r="N101" s="1049">
        <f t="shared" si="71"/>
        <v>0</v>
      </c>
      <c r="O101" s="4279"/>
      <c r="P101" s="1064"/>
      <c r="Q101" s="1064"/>
    </row>
    <row r="102" spans="1:20" s="300" customFormat="1">
      <c r="A102" s="4221"/>
      <c r="B102" s="1208" t="s">
        <v>32</v>
      </c>
      <c r="C102" s="4200"/>
      <c r="D102" s="704">
        <f t="shared" si="69"/>
        <v>1115567</v>
      </c>
      <c r="E102" s="1201">
        <f t="shared" ref="E102:L102" si="72">SUM(E103:E104)</f>
        <v>356003</v>
      </c>
      <c r="F102" s="1201">
        <f t="shared" si="72"/>
        <v>302952</v>
      </c>
      <c r="G102" s="1201">
        <f t="shared" si="72"/>
        <v>92824</v>
      </c>
      <c r="H102" s="1201">
        <f t="shared" si="72"/>
        <v>94268</v>
      </c>
      <c r="I102" s="1201">
        <f t="shared" si="72"/>
        <v>77465</v>
      </c>
      <c r="J102" s="1201">
        <f t="shared" si="72"/>
        <v>64019</v>
      </c>
      <c r="K102" s="1201">
        <f t="shared" si="72"/>
        <v>64018</v>
      </c>
      <c r="L102" s="1201">
        <f t="shared" si="72"/>
        <v>64018</v>
      </c>
      <c r="M102" s="1209">
        <f>M103+M104</f>
        <v>0</v>
      </c>
      <c r="N102" s="1209">
        <f>N103+N104</f>
        <v>0</v>
      </c>
      <c r="O102" s="4279"/>
      <c r="P102" s="1064">
        <v>356003</v>
      </c>
      <c r="Q102" s="1064"/>
    </row>
    <row r="103" spans="1:20" s="300" customFormat="1" ht="12.75" hidden="1" customHeight="1">
      <c r="A103" s="4221"/>
      <c r="B103" s="1102" t="s">
        <v>252</v>
      </c>
      <c r="C103" s="4200"/>
      <c r="D103" s="704">
        <f t="shared" si="69"/>
        <v>576913</v>
      </c>
      <c r="E103" s="1210">
        <v>51728</v>
      </c>
      <c r="F103" s="1046">
        <f>70632+15201+19134+6435-3544-34119-5166</f>
        <v>68573</v>
      </c>
      <c r="G103" s="1047">
        <f>70167+14504+8153</f>
        <v>92824</v>
      </c>
      <c r="H103" s="1047">
        <f>64019+3544+20673+6032</f>
        <v>94268</v>
      </c>
      <c r="I103" s="1047">
        <f>64019+13446</f>
        <v>77465</v>
      </c>
      <c r="J103" s="1047">
        <v>64019</v>
      </c>
      <c r="K103" s="1047">
        <v>64018</v>
      </c>
      <c r="L103" s="1047">
        <v>64018</v>
      </c>
      <c r="M103" s="1211">
        <v>0</v>
      </c>
      <c r="N103" s="1211">
        <v>0</v>
      </c>
      <c r="O103" s="4279"/>
      <c r="P103" s="1064"/>
      <c r="Q103" s="1064"/>
    </row>
    <row r="104" spans="1:20" s="300" customFormat="1" ht="12.75" hidden="1" customHeight="1">
      <c r="A104" s="4221"/>
      <c r="B104" s="1102" t="s">
        <v>253</v>
      </c>
      <c r="C104" s="4200"/>
      <c r="D104" s="704">
        <f t="shared" si="69"/>
        <v>538654</v>
      </c>
      <c r="E104" s="1210">
        <v>304275</v>
      </c>
      <c r="F104" s="1046">
        <f>390656-525+1+195845-377239+29967-4313-13</f>
        <v>234379</v>
      </c>
      <c r="G104" s="1047">
        <f>441506+300-2-441804</f>
        <v>0</v>
      </c>
      <c r="H104" s="1047">
        <f>406479-406479</f>
        <v>0</v>
      </c>
      <c r="I104" s="1047">
        <f>406478-406478</f>
        <v>0</v>
      </c>
      <c r="J104" s="1047">
        <f>406478-406478</f>
        <v>0</v>
      </c>
      <c r="K104" s="1047">
        <f>406479-406479</f>
        <v>0</v>
      </c>
      <c r="L104" s="1047">
        <f>406479-406479</f>
        <v>0</v>
      </c>
      <c r="M104" s="1211">
        <v>0</v>
      </c>
      <c r="N104" s="1211">
        <v>0</v>
      </c>
      <c r="O104" s="4279"/>
      <c r="P104" s="1064"/>
      <c r="Q104" s="1064"/>
    </row>
    <row r="105" spans="1:20" s="300" customFormat="1" ht="12.75" customHeight="1">
      <c r="A105" s="4221"/>
      <c r="B105" s="552" t="s">
        <v>18</v>
      </c>
      <c r="C105" s="4200"/>
      <c r="D105" s="1186">
        <f>+D106</f>
        <v>183450723</v>
      </c>
      <c r="E105" s="1186">
        <f>+E106</f>
        <v>19881694</v>
      </c>
      <c r="F105" s="1186">
        <f>+F106</f>
        <v>21259797</v>
      </c>
      <c r="G105" s="1212">
        <f t="shared" ref="G105:N105" si="73">+G106</f>
        <v>26481897</v>
      </c>
      <c r="H105" s="1212">
        <f t="shared" si="73"/>
        <v>26199354</v>
      </c>
      <c r="I105" s="1212">
        <f t="shared" si="73"/>
        <v>22689465</v>
      </c>
      <c r="J105" s="1212">
        <f t="shared" si="73"/>
        <v>22169678</v>
      </c>
      <c r="K105" s="1212">
        <f t="shared" si="73"/>
        <v>22510359</v>
      </c>
      <c r="L105" s="1212">
        <f t="shared" si="73"/>
        <v>22258479</v>
      </c>
      <c r="M105" s="1203">
        <f t="shared" si="73"/>
        <v>163569029</v>
      </c>
      <c r="N105" s="1203">
        <f t="shared" si="73"/>
        <v>142309232</v>
      </c>
      <c r="O105" s="4279"/>
      <c r="P105" s="1067">
        <f>+P106</f>
        <v>21473092</v>
      </c>
      <c r="Q105" s="1067"/>
    </row>
    <row r="106" spans="1:20" s="1258" customFormat="1" ht="13.5" thickBot="1">
      <c r="A106" s="4221"/>
      <c r="B106" s="1092" t="s">
        <v>21</v>
      </c>
      <c r="C106" s="4201"/>
      <c r="D106" s="1213">
        <f>E106+F106+G106+H106+I106+J106+K106+L106</f>
        <v>183450723</v>
      </c>
      <c r="E106" s="1201">
        <f>+E108+E109+E110+E111+E112+E113+E114</f>
        <v>19881694</v>
      </c>
      <c r="F106" s="1201">
        <f t="shared" ref="F106:L106" si="74">+F108+F109+F110+F111+F112+F113+F114</f>
        <v>21259797</v>
      </c>
      <c r="G106" s="1201">
        <f t="shared" si="74"/>
        <v>26481897</v>
      </c>
      <c r="H106" s="1201">
        <f t="shared" si="74"/>
        <v>26199354</v>
      </c>
      <c r="I106" s="1201">
        <f t="shared" si="74"/>
        <v>22689465</v>
      </c>
      <c r="J106" s="1201">
        <f t="shared" si="74"/>
        <v>22169678</v>
      </c>
      <c r="K106" s="1201">
        <f t="shared" si="74"/>
        <v>22510359</v>
      </c>
      <c r="L106" s="1201">
        <f t="shared" si="74"/>
        <v>22258479</v>
      </c>
      <c r="M106" s="1185">
        <f>SUM(F106:L106)</f>
        <v>163569029</v>
      </c>
      <c r="N106" s="1185">
        <f>SUM(G106:L106)</f>
        <v>142309232</v>
      </c>
      <c r="O106" s="4279"/>
      <c r="P106" s="1064">
        <v>21473092</v>
      </c>
      <c r="Q106" s="1064">
        <f>G115-'[1]Tab. 6E - Administracja'!$G$115</f>
        <v>19922</v>
      </c>
      <c r="T106" s="317"/>
    </row>
    <row r="107" spans="1:20" s="1258" customFormat="1" ht="15.75" hidden="1" customHeight="1">
      <c r="A107" s="4221"/>
      <c r="B107" s="1092" t="s">
        <v>150</v>
      </c>
      <c r="C107" s="1214"/>
      <c r="D107" s="1193"/>
      <c r="E107" s="1184"/>
      <c r="F107" s="1188"/>
      <c r="G107" s="1188"/>
      <c r="H107" s="1188"/>
      <c r="I107" s="1188"/>
      <c r="J107" s="1188"/>
      <c r="K107" s="1188"/>
      <c r="L107" s="1188"/>
      <c r="M107" s="1215"/>
      <c r="N107" s="1215"/>
      <c r="O107" s="4279"/>
      <c r="P107" s="1064"/>
      <c r="Q107" s="1066"/>
      <c r="T107" s="173"/>
    </row>
    <row r="108" spans="1:20" s="1258" customFormat="1" ht="12.75" hidden="1" customHeight="1">
      <c r="A108" s="4221"/>
      <c r="B108" s="375" t="s">
        <v>151</v>
      </c>
      <c r="C108" s="322"/>
      <c r="D108" s="704">
        <f t="shared" ref="D108:D114" si="75">E108+F108+G108+H108+I108+J108+K108+L108</f>
        <v>39776392</v>
      </c>
      <c r="E108" s="1048">
        <f>6418+10696707-5063</f>
        <v>10698062</v>
      </c>
      <c r="F108" s="1038">
        <f>2407721+10000000-9866168-241553+53444+1058102+58380+2400014-50000+1938307+1976201-349079+32463+337289+146679+936304+2150284-222394</f>
        <v>12765994</v>
      </c>
      <c r="G108" s="1038">
        <f>2407721-107721+610000+165878+60947+31558+682567+1121686+1038222+798081</f>
        <v>6808939</v>
      </c>
      <c r="H108" s="1038">
        <f>1820395+620000-140395+15000+227456</f>
        <v>2542456</v>
      </c>
      <c r="I108" s="1038">
        <f>1820395+865067-985462+326000</f>
        <v>2026000</v>
      </c>
      <c r="J108" s="1038">
        <f>1820395-120395</f>
        <v>1700000</v>
      </c>
      <c r="K108" s="1038">
        <f>1820395-120395</f>
        <v>1700000</v>
      </c>
      <c r="L108" s="1038">
        <f>1820391-285524+74</f>
        <v>1534941</v>
      </c>
      <c r="M108" s="1049">
        <f t="shared" ref="M108:N114" si="76">+F108+G108+H108+I108+J108+K108</f>
        <v>27543389</v>
      </c>
      <c r="N108" s="1049">
        <f t="shared" si="76"/>
        <v>16312336</v>
      </c>
      <c r="O108" s="4279"/>
      <c r="P108" s="1064"/>
      <c r="Q108" s="1068"/>
      <c r="T108" s="173"/>
    </row>
    <row r="109" spans="1:20" s="1258" customFormat="1" ht="12.75" hidden="1" customHeight="1">
      <c r="A109" s="4221"/>
      <c r="B109" s="1100" t="s">
        <v>152</v>
      </c>
      <c r="C109" s="1216"/>
      <c r="D109" s="704">
        <f t="shared" si="75"/>
        <v>17817945</v>
      </c>
      <c r="E109" s="1205">
        <f>5406+2022679</f>
        <v>2028085</v>
      </c>
      <c r="F109" s="1205">
        <f>2618000+177406-295406+300000-133900-241869</f>
        <v>2424231</v>
      </c>
      <c r="G109" s="1205">
        <f>2618000-118000+599987+19922</f>
        <v>3119909</v>
      </c>
      <c r="H109" s="1205">
        <f>1813339+841315-154654+596852</f>
        <v>3096852</v>
      </c>
      <c r="I109" s="1205">
        <f>1813339-113339+446000+17000</f>
        <v>2163000</v>
      </c>
      <c r="J109" s="1205">
        <f>1813339-113339+17000</f>
        <v>1717000</v>
      </c>
      <c r="K109" s="1205">
        <f>1813339-113339+17000</f>
        <v>1717000</v>
      </c>
      <c r="L109" s="1205">
        <f>1813335-278467+17000</f>
        <v>1551868</v>
      </c>
      <c r="M109" s="1049">
        <f t="shared" si="76"/>
        <v>14237992</v>
      </c>
      <c r="N109" s="1049">
        <f t="shared" si="76"/>
        <v>13365629</v>
      </c>
      <c r="O109" s="4279"/>
      <c r="P109" s="1064"/>
      <c r="Q109" s="1061"/>
      <c r="T109" s="173"/>
    </row>
    <row r="110" spans="1:20" s="318" customFormat="1" ht="12.75" hidden="1" customHeight="1">
      <c r="A110" s="4221"/>
      <c r="B110" s="1103" t="s">
        <v>153</v>
      </c>
      <c r="C110" s="1217"/>
      <c r="D110" s="704">
        <f t="shared" si="75"/>
        <v>101642204</v>
      </c>
      <c r="E110" s="1218">
        <f>71254+3533980</f>
        <v>3605234</v>
      </c>
      <c r="F110" s="1050">
        <f>4922901+7377557+542459+106789+2990770-53444-1058102-58380-2500014-1938307-1976201-32463-337289-146679-936304-2150284-2006238</f>
        <v>2746771</v>
      </c>
      <c r="G110" s="1050">
        <f>5021358+7525108+553309+4097213-165878-60947-1121686-682567-31558-1038222-798081</f>
        <v>13298049</v>
      </c>
      <c r="H110" s="1050">
        <f>5121786+7675610+564375+1968441+2006240</f>
        <v>17336452</v>
      </c>
      <c r="I110" s="1050">
        <f>5224221+7829122+575662+2027494</f>
        <v>15656499</v>
      </c>
      <c r="J110" s="1050">
        <f>13901587+2088319</f>
        <v>15989906</v>
      </c>
      <c r="K110" s="1050">
        <f>14179618+2150968</f>
        <v>16330586</v>
      </c>
      <c r="L110" s="1050">
        <f>14463209+2215498</f>
        <v>16678707</v>
      </c>
      <c r="M110" s="1049">
        <f t="shared" si="76"/>
        <v>81358263</v>
      </c>
      <c r="N110" s="1049">
        <f t="shared" si="76"/>
        <v>95290199</v>
      </c>
      <c r="O110" s="4279"/>
      <c r="P110" s="1064"/>
      <c r="Q110" s="1061"/>
      <c r="T110" s="319"/>
    </row>
    <row r="111" spans="1:20" s="318" customFormat="1" ht="12.75" hidden="1" customHeight="1">
      <c r="A111" s="4221"/>
      <c r="B111" s="1299" t="s">
        <v>154</v>
      </c>
      <c r="C111" s="1219"/>
      <c r="D111" s="704">
        <f t="shared" si="75"/>
        <v>14708647</v>
      </c>
      <c r="E111" s="1207">
        <v>1532968</v>
      </c>
      <c r="F111" s="1207">
        <f>2190000-99000-10000-304021-331490</f>
        <v>1445489</v>
      </c>
      <c r="G111" s="1207">
        <f>2190000-190000</f>
        <v>2000000</v>
      </c>
      <c r="H111" s="1207">
        <f>2048339-48339</f>
        <v>2000000</v>
      </c>
      <c r="I111" s="1207">
        <f>2048339-48339</f>
        <v>2000000</v>
      </c>
      <c r="J111" s="1207">
        <f>2048339-48339</f>
        <v>2000000</v>
      </c>
      <c r="K111" s="1207">
        <f>2048339-48339</f>
        <v>2000000</v>
      </c>
      <c r="L111" s="1207">
        <f>2048336-148336-169810</f>
        <v>1730190</v>
      </c>
      <c r="M111" s="1049">
        <f t="shared" si="76"/>
        <v>11445489</v>
      </c>
      <c r="N111" s="1049">
        <f t="shared" si="76"/>
        <v>11730190</v>
      </c>
      <c r="O111" s="4279"/>
      <c r="P111" s="1064"/>
      <c r="Q111" s="1061"/>
      <c r="T111" s="319"/>
    </row>
    <row r="112" spans="1:20" s="318" customFormat="1" ht="12.75" hidden="1" customHeight="1">
      <c r="A112" s="4221"/>
      <c r="B112" s="1299" t="s">
        <v>435</v>
      </c>
      <c r="C112" s="1220"/>
      <c r="D112" s="704">
        <f t="shared" si="75"/>
        <v>3184000</v>
      </c>
      <c r="E112" s="1207"/>
      <c r="F112" s="1051">
        <f>330000+100000-88900-180510</f>
        <v>160590</v>
      </c>
      <c r="G112" s="1051">
        <f>420000+309000</f>
        <v>729000</v>
      </c>
      <c r="H112" s="1051">
        <f>420000+88900+180510</f>
        <v>689410</v>
      </c>
      <c r="I112" s="1051">
        <v>405000</v>
      </c>
      <c r="J112" s="1051">
        <v>400000</v>
      </c>
      <c r="K112" s="1051">
        <v>400000</v>
      </c>
      <c r="L112" s="1051">
        <v>400000</v>
      </c>
      <c r="M112" s="1049">
        <f t="shared" si="76"/>
        <v>2784000</v>
      </c>
      <c r="N112" s="1049">
        <f t="shared" si="76"/>
        <v>3023410</v>
      </c>
      <c r="O112" s="4279"/>
      <c r="P112" s="1064"/>
      <c r="Q112" s="1061"/>
      <c r="T112" s="319"/>
    </row>
    <row r="113" spans="1:20" s="318" customFormat="1" ht="12.75" hidden="1" customHeight="1">
      <c r="A113" s="4221"/>
      <c r="B113" s="1102" t="s">
        <v>271</v>
      </c>
      <c r="C113" s="1221"/>
      <c r="D113" s="704">
        <f t="shared" si="75"/>
        <v>3269172</v>
      </c>
      <c r="E113" s="1210">
        <v>293127</v>
      </c>
      <c r="F113" s="1719">
        <f>400248+86140-1+108427+36462-20083-193339-29277</f>
        <v>388577</v>
      </c>
      <c r="G113" s="1052">
        <f>397613+82194+46193</f>
        <v>526000</v>
      </c>
      <c r="H113" s="1052">
        <f>362772+20083+117145+34184</f>
        <v>534184</v>
      </c>
      <c r="I113" s="1052">
        <f>362772+76194</f>
        <v>438966</v>
      </c>
      <c r="J113" s="1052">
        <v>362772</v>
      </c>
      <c r="K113" s="1052">
        <v>362773</v>
      </c>
      <c r="L113" s="1052">
        <v>362773</v>
      </c>
      <c r="M113" s="1049">
        <f t="shared" si="76"/>
        <v>2613272</v>
      </c>
      <c r="N113" s="1049">
        <f t="shared" si="76"/>
        <v>2587468</v>
      </c>
      <c r="O113" s="4279"/>
      <c r="P113" s="1064"/>
      <c r="Q113" s="1061"/>
      <c r="T113" s="319"/>
    </row>
    <row r="114" spans="1:20" s="318" customFormat="1" ht="12.75" hidden="1" customHeight="1">
      <c r="A114" s="4221"/>
      <c r="B114" s="1102" t="s">
        <v>272</v>
      </c>
      <c r="C114" s="1222"/>
      <c r="D114" s="704">
        <f t="shared" si="75"/>
        <v>3052363</v>
      </c>
      <c r="E114" s="1210">
        <v>1724218</v>
      </c>
      <c r="F114" s="1719">
        <f>2213719-2975+1109794-2137692+169810-24436-74-1</f>
        <v>1328145</v>
      </c>
      <c r="G114" s="1052">
        <f>2501869+1700-1-2503568</f>
        <v>0</v>
      </c>
      <c r="H114" s="1052">
        <f>2303378-2303378</f>
        <v>0</v>
      </c>
      <c r="I114" s="1052">
        <f>2303378-2303378</f>
        <v>0</v>
      </c>
      <c r="J114" s="1052">
        <f>2303378-2303378</f>
        <v>0</v>
      </c>
      <c r="K114" s="1052">
        <f>2303377-2303377</f>
        <v>0</v>
      </c>
      <c r="L114" s="1052">
        <f>2303377-2303377</f>
        <v>0</v>
      </c>
      <c r="M114" s="1049">
        <f t="shared" si="76"/>
        <v>1328145</v>
      </c>
      <c r="N114" s="1049">
        <f t="shared" si="76"/>
        <v>0</v>
      </c>
      <c r="O114" s="4279"/>
      <c r="P114" s="1064"/>
      <c r="Q114" s="1061"/>
      <c r="T114" s="319"/>
    </row>
    <row r="115" spans="1:20" s="1258" customFormat="1" ht="16.5" customHeight="1">
      <c r="A115" s="3813"/>
      <c r="B115" s="79" t="s">
        <v>22</v>
      </c>
      <c r="C115" s="171"/>
      <c r="D115" s="323">
        <f>+D116</f>
        <v>183450723</v>
      </c>
      <c r="E115" s="323">
        <f t="shared" ref="E115:L115" si="77">+E116</f>
        <v>14576272</v>
      </c>
      <c r="F115" s="323">
        <f t="shared" si="77"/>
        <v>22881140</v>
      </c>
      <c r="G115" s="323">
        <f t="shared" si="77"/>
        <v>26481897</v>
      </c>
      <c r="H115" s="1223">
        <f t="shared" si="77"/>
        <v>22799873</v>
      </c>
      <c r="I115" s="1223">
        <f t="shared" si="77"/>
        <v>22689465</v>
      </c>
      <c r="J115" s="1223">
        <f t="shared" si="77"/>
        <v>22169678</v>
      </c>
      <c r="K115" s="1223">
        <f t="shared" si="77"/>
        <v>22510359</v>
      </c>
      <c r="L115" s="1223">
        <f t="shared" si="77"/>
        <v>22258479</v>
      </c>
      <c r="M115" s="4260" t="s">
        <v>61</v>
      </c>
      <c r="N115" s="4260" t="s">
        <v>61</v>
      </c>
      <c r="O115" s="4279"/>
      <c r="P115" s="4276" t="s">
        <v>765</v>
      </c>
      <c r="Q115" s="4277"/>
      <c r="R115" s="4277"/>
      <c r="S115" s="4277"/>
    </row>
    <row r="116" spans="1:20" s="1258" customFormat="1">
      <c r="A116" s="3813"/>
      <c r="B116" s="1224" t="s">
        <v>18</v>
      </c>
      <c r="C116" s="4269" t="s">
        <v>251</v>
      </c>
      <c r="D116" s="1186">
        <f t="shared" ref="D116:L116" si="78">+D117</f>
        <v>183450723</v>
      </c>
      <c r="E116" s="1186">
        <f t="shared" si="78"/>
        <v>14576272</v>
      </c>
      <c r="F116" s="1212">
        <f t="shared" si="78"/>
        <v>22881140</v>
      </c>
      <c r="G116" s="1212">
        <f t="shared" si="78"/>
        <v>26481897</v>
      </c>
      <c r="H116" s="1212">
        <f t="shared" si="78"/>
        <v>22799873</v>
      </c>
      <c r="I116" s="1212">
        <f t="shared" si="78"/>
        <v>22689465</v>
      </c>
      <c r="J116" s="1212">
        <f t="shared" si="78"/>
        <v>22169678</v>
      </c>
      <c r="K116" s="1212">
        <f t="shared" si="78"/>
        <v>22510359</v>
      </c>
      <c r="L116" s="1212">
        <f t="shared" si="78"/>
        <v>22258479</v>
      </c>
      <c r="M116" s="4203"/>
      <c r="N116" s="4203"/>
      <c r="O116" s="4279"/>
      <c r="P116" s="4276"/>
      <c r="Q116" s="4277"/>
      <c r="R116" s="4277"/>
      <c r="S116" s="4277"/>
    </row>
    <row r="117" spans="1:20" s="1258" customFormat="1" ht="13.5" thickBot="1">
      <c r="A117" s="3814"/>
      <c r="B117" s="312" t="s">
        <v>530</v>
      </c>
      <c r="C117" s="4205"/>
      <c r="D117" s="1896">
        <f>E117+F117+G117+H117+I117+J117+K117+L117+2029435+2998719+2055406</f>
        <v>183450723</v>
      </c>
      <c r="E117" s="1920">
        <f>14581335-5063</f>
        <v>14576272</v>
      </c>
      <c r="F117" s="1323">
        <f>51433208-8318334-17866393+1853416+1574979-50000-10000-74-4067958-1667704</f>
        <v>22881140</v>
      </c>
      <c r="G117" s="1323">
        <f>30885930-8318334+1316270-584995-2464989+5628093+19922</f>
        <v>26481897</v>
      </c>
      <c r="H117" s="1323">
        <f>29939078-8229084+354097+1107218+5454925-5693167+221045-354239</f>
        <v>22799873</v>
      </c>
      <c r="I117" s="1323">
        <f>30223312-8246084-386089+82192+1168964-1018024+848194+17000</f>
        <v>22689465</v>
      </c>
      <c r="J117" s="1323">
        <f>30407494-8157684-97132+17000</f>
        <v>22169678</v>
      </c>
      <c r="K117" s="1323">
        <f>30073524-7545683-34482+17000</f>
        <v>22510359</v>
      </c>
      <c r="L117" s="1323">
        <f>30175721-7364300-400206-169810+74+17000</f>
        <v>22258479</v>
      </c>
      <c r="M117" s="4204"/>
      <c r="N117" s="4204"/>
      <c r="O117" s="4280"/>
      <c r="P117" s="4276"/>
      <c r="Q117" s="4277"/>
      <c r="R117" s="4277"/>
      <c r="S117" s="4277"/>
    </row>
    <row r="118" spans="1:20" s="1258" customFormat="1" ht="26.25" customHeight="1">
      <c r="A118" s="4220" t="s">
        <v>88</v>
      </c>
      <c r="B118" s="162" t="s">
        <v>266</v>
      </c>
      <c r="C118" s="163" t="s">
        <v>82</v>
      </c>
      <c r="D118" s="348"/>
      <c r="E118" s="348"/>
      <c r="F118" s="348"/>
      <c r="G118" s="348"/>
      <c r="H118" s="348"/>
      <c r="I118" s="348"/>
      <c r="J118" s="348"/>
      <c r="K118" s="348"/>
      <c r="L118" s="348"/>
      <c r="M118" s="348">
        <f t="shared" ref="M118" si="79">M119-M121</f>
        <v>1587065</v>
      </c>
      <c r="N118" s="348"/>
      <c r="O118" s="4270" t="s">
        <v>464</v>
      </c>
      <c r="P118" s="4276"/>
      <c r="Q118" s="4277"/>
      <c r="R118" s="4277"/>
      <c r="S118" s="4277"/>
    </row>
    <row r="119" spans="1:20" s="1258" customFormat="1" ht="14.25" customHeight="1">
      <c r="A119" s="4221"/>
      <c r="B119" s="534" t="s">
        <v>10</v>
      </c>
      <c r="C119" s="1196"/>
      <c r="D119" s="1197">
        <f t="shared" ref="D119:I119" si="80">+D124+D120</f>
        <v>1980226</v>
      </c>
      <c r="E119" s="1197">
        <f t="shared" ref="E119" si="81">+E124+E120</f>
        <v>392617</v>
      </c>
      <c r="F119" s="1197">
        <f t="shared" si="80"/>
        <v>422482</v>
      </c>
      <c r="G119" s="1197">
        <f t="shared" si="80"/>
        <v>350000</v>
      </c>
      <c r="H119" s="1197">
        <f t="shared" si="80"/>
        <v>237127</v>
      </c>
      <c r="I119" s="1197">
        <f t="shared" si="80"/>
        <v>144500</v>
      </c>
      <c r="J119" s="1197">
        <f>+J124+J120</f>
        <v>144500</v>
      </c>
      <c r="K119" s="1197">
        <f>+K124+K120</f>
        <v>144500</v>
      </c>
      <c r="L119" s="1197">
        <f>+L124+L120</f>
        <v>144500</v>
      </c>
      <c r="M119" s="1198">
        <f>+M124</f>
        <v>1587065</v>
      </c>
      <c r="N119" s="1198">
        <f>+N124</f>
        <v>1165127</v>
      </c>
      <c r="O119" s="4271"/>
      <c r="P119" s="4276"/>
      <c r="Q119" s="4277"/>
      <c r="R119" s="4277"/>
      <c r="S119" s="4277"/>
    </row>
    <row r="120" spans="1:20" s="1258" customFormat="1" ht="13.5" customHeight="1">
      <c r="A120" s="4221"/>
      <c r="B120" s="513" t="s">
        <v>24</v>
      </c>
      <c r="C120" s="4269" t="s">
        <v>453</v>
      </c>
      <c r="D120" s="1199">
        <f>+D121</f>
        <v>35657</v>
      </c>
      <c r="E120" s="1199">
        <f t="shared" ref="E120:L120" si="82">+E121</f>
        <v>35113</v>
      </c>
      <c r="F120" s="1199">
        <f t="shared" si="82"/>
        <v>544</v>
      </c>
      <c r="G120" s="1199">
        <f t="shared" si="82"/>
        <v>0</v>
      </c>
      <c r="H120" s="1199">
        <f t="shared" si="82"/>
        <v>0</v>
      </c>
      <c r="I120" s="1199">
        <f t="shared" si="82"/>
        <v>0</v>
      </c>
      <c r="J120" s="1199">
        <f t="shared" si="82"/>
        <v>0</v>
      </c>
      <c r="K120" s="1199">
        <f t="shared" si="82"/>
        <v>0</v>
      </c>
      <c r="L120" s="1199">
        <f t="shared" si="82"/>
        <v>0</v>
      </c>
      <c r="M120" s="1294">
        <f>+M121</f>
        <v>0</v>
      </c>
      <c r="N120" s="1294">
        <f>+N121</f>
        <v>0</v>
      </c>
      <c r="O120" s="4271"/>
      <c r="P120" s="4276"/>
      <c r="Q120" s="4277"/>
      <c r="R120" s="4277"/>
      <c r="S120" s="4277"/>
    </row>
    <row r="121" spans="1:20" s="1258" customFormat="1" ht="13.5" customHeight="1">
      <c r="A121" s="4221"/>
      <c r="B121" s="1948" t="s">
        <v>32</v>
      </c>
      <c r="C121" s="4200"/>
      <c r="D121" s="1201">
        <f>E121+F121+G121+H121+I121+J121+K121+L121</f>
        <v>35657</v>
      </c>
      <c r="E121" s="1201">
        <f t="shared" ref="E121:L121" si="83">SUM(E122:E123)</f>
        <v>35113</v>
      </c>
      <c r="F121" s="1201">
        <f t="shared" si="83"/>
        <v>544</v>
      </c>
      <c r="G121" s="1201">
        <f t="shared" si="83"/>
        <v>0</v>
      </c>
      <c r="H121" s="1201">
        <f t="shared" si="83"/>
        <v>0</v>
      </c>
      <c r="I121" s="1201">
        <f t="shared" si="83"/>
        <v>0</v>
      </c>
      <c r="J121" s="1201">
        <f t="shared" si="83"/>
        <v>0</v>
      </c>
      <c r="K121" s="1201">
        <f t="shared" si="83"/>
        <v>0</v>
      </c>
      <c r="L121" s="1201">
        <f t="shared" si="83"/>
        <v>0</v>
      </c>
      <c r="M121" s="1295">
        <v>0</v>
      </c>
      <c r="N121" s="1295">
        <v>0</v>
      </c>
      <c r="O121" s="4271"/>
      <c r="P121" s="4276"/>
      <c r="Q121" s="4277"/>
      <c r="R121" s="4277"/>
      <c r="S121" s="4277"/>
    </row>
    <row r="122" spans="1:20" s="1258" customFormat="1" ht="13.5" hidden="1" customHeight="1">
      <c r="A122" s="4221"/>
      <c r="B122" s="1949" t="s">
        <v>252</v>
      </c>
      <c r="C122" s="4200"/>
      <c r="D122" s="1210">
        <f>E122+F122+G122+H122+I122+J122+K122+L122</f>
        <v>7180</v>
      </c>
      <c r="E122" s="1210">
        <v>6636</v>
      </c>
      <c r="F122" s="1046">
        <f>1410-865-1</f>
        <v>544</v>
      </c>
      <c r="G122" s="1047">
        <f>865-865</f>
        <v>0</v>
      </c>
      <c r="H122" s="1047">
        <f>865-865</f>
        <v>0</v>
      </c>
      <c r="I122" s="1047"/>
      <c r="J122" s="1047"/>
      <c r="K122" s="1047"/>
      <c r="L122" s="1047"/>
      <c r="M122" s="1211">
        <v>0</v>
      </c>
      <c r="N122" s="1211">
        <v>0</v>
      </c>
      <c r="O122" s="4271"/>
      <c r="P122" s="4276"/>
      <c r="Q122" s="4277"/>
      <c r="R122" s="4277"/>
      <c r="S122" s="4277"/>
    </row>
    <row r="123" spans="1:20" s="1258" customFormat="1" ht="13.5" hidden="1" customHeight="1">
      <c r="A123" s="4221"/>
      <c r="B123" s="1949" t="s">
        <v>253</v>
      </c>
      <c r="C123" s="4200"/>
      <c r="D123" s="1210">
        <f>E123+F123+G123+H123+I123+J123+K123+L123</f>
        <v>28477</v>
      </c>
      <c r="E123" s="1210">
        <v>28477</v>
      </c>
      <c r="F123" s="1046">
        <f>975+525+5215-6715</f>
        <v>0</v>
      </c>
      <c r="G123" s="1047">
        <f>1800-300-1500</f>
        <v>0</v>
      </c>
      <c r="H123" s="1047">
        <f>975-975</f>
        <v>0</v>
      </c>
      <c r="I123" s="1047">
        <f>975-975</f>
        <v>0</v>
      </c>
      <c r="J123" s="1047">
        <f>975-975</f>
        <v>0</v>
      </c>
      <c r="K123" s="1047">
        <f>975-975</f>
        <v>0</v>
      </c>
      <c r="L123" s="1047">
        <f>975-975</f>
        <v>0</v>
      </c>
      <c r="M123" s="1211">
        <v>0</v>
      </c>
      <c r="N123" s="1211">
        <v>0</v>
      </c>
      <c r="O123" s="4271"/>
      <c r="P123" s="4276"/>
      <c r="Q123" s="4277"/>
      <c r="R123" s="4277"/>
      <c r="S123" s="4277"/>
    </row>
    <row r="124" spans="1:20" s="1258" customFormat="1" ht="13.5" customHeight="1" thickBot="1">
      <c r="A124" s="4222"/>
      <c r="B124" s="1950" t="s">
        <v>18</v>
      </c>
      <c r="C124" s="4205"/>
      <c r="D124" s="1861">
        <f>+D125</f>
        <v>1944569</v>
      </c>
      <c r="E124" s="1951">
        <f>+E125</f>
        <v>357504</v>
      </c>
      <c r="F124" s="1951">
        <f>+F125</f>
        <v>421938</v>
      </c>
      <c r="G124" s="1861">
        <f t="shared" ref="G124:N124" si="84">+G125</f>
        <v>350000</v>
      </c>
      <c r="H124" s="1861">
        <f t="shared" si="84"/>
        <v>237127</v>
      </c>
      <c r="I124" s="1861">
        <f t="shared" si="84"/>
        <v>144500</v>
      </c>
      <c r="J124" s="1861">
        <f t="shared" si="84"/>
        <v>144500</v>
      </c>
      <c r="K124" s="1861">
        <f t="shared" si="84"/>
        <v>144500</v>
      </c>
      <c r="L124" s="1861">
        <f t="shared" si="84"/>
        <v>144500</v>
      </c>
      <c r="M124" s="1952">
        <f t="shared" si="84"/>
        <v>1587065</v>
      </c>
      <c r="N124" s="1952">
        <f t="shared" si="84"/>
        <v>1165127</v>
      </c>
      <c r="O124" s="4272"/>
      <c r="P124" s="4276"/>
      <c r="Q124" s="4277"/>
      <c r="R124" s="4277"/>
      <c r="S124" s="4277"/>
    </row>
    <row r="125" spans="1:20" s="1258" customFormat="1">
      <c r="A125" s="4221"/>
      <c r="B125" s="1710" t="s">
        <v>21</v>
      </c>
      <c r="C125" s="4201"/>
      <c r="D125" s="1698">
        <f>E125+F125+G125+H125+I125+J125+K125+L125</f>
        <v>1944569</v>
      </c>
      <c r="E125" s="1698">
        <f>+E127+E128+E129+E130+E131+E132+E133</f>
        <v>357504</v>
      </c>
      <c r="F125" s="1698">
        <f t="shared" ref="F125:L125" si="85">+F127+F128+F129+F130+F131+F132+F133</f>
        <v>421938</v>
      </c>
      <c r="G125" s="1698">
        <f t="shared" si="85"/>
        <v>350000</v>
      </c>
      <c r="H125" s="1698">
        <f t="shared" si="85"/>
        <v>237127</v>
      </c>
      <c r="I125" s="1698">
        <f t="shared" si="85"/>
        <v>144500</v>
      </c>
      <c r="J125" s="1698">
        <f t="shared" si="85"/>
        <v>144500</v>
      </c>
      <c r="K125" s="1698">
        <f t="shared" si="85"/>
        <v>144500</v>
      </c>
      <c r="L125" s="1698">
        <f t="shared" si="85"/>
        <v>144500</v>
      </c>
      <c r="M125" s="1321">
        <f>SUM(F125:L125)</f>
        <v>1587065</v>
      </c>
      <c r="N125" s="1321">
        <f>SUM(G125:L125)</f>
        <v>1165127</v>
      </c>
      <c r="O125" s="4271"/>
      <c r="P125" s="4276"/>
      <c r="Q125" s="4277"/>
      <c r="R125" s="4277"/>
      <c r="S125" s="4277"/>
    </row>
    <row r="126" spans="1:20" s="1258" customFormat="1" ht="12.75" hidden="1" customHeight="1">
      <c r="A126" s="4221"/>
      <c r="B126" s="1092" t="s">
        <v>150</v>
      </c>
      <c r="C126" s="1296"/>
      <c r="D126" s="1184"/>
      <c r="E126" s="1184"/>
      <c r="F126" s="1188"/>
      <c r="G126" s="1188"/>
      <c r="H126" s="1188"/>
      <c r="I126" s="1188"/>
      <c r="J126" s="1188"/>
      <c r="K126" s="1188"/>
      <c r="L126" s="1188"/>
      <c r="M126" s="1215"/>
      <c r="N126" s="1215"/>
      <c r="O126" s="4271"/>
      <c r="P126" s="4276"/>
      <c r="Q126" s="4277"/>
      <c r="R126" s="4277"/>
      <c r="S126" s="4277"/>
    </row>
    <row r="127" spans="1:20" s="1258" customFormat="1" ht="12.75" hidden="1" customHeight="1">
      <c r="A127" s="4221"/>
      <c r="B127" s="375" t="s">
        <v>151</v>
      </c>
      <c r="C127" s="322"/>
      <c r="D127" s="1048">
        <f t="shared" ref="D127:D133" si="86">E127+F127+G127+H127+I127+J127+K127+L127</f>
        <v>1660924</v>
      </c>
      <c r="E127" s="1048">
        <v>144449</v>
      </c>
      <c r="F127" s="1038">
        <f>144500+224475+25000+50000-50000-42627</f>
        <v>351348</v>
      </c>
      <c r="G127" s="1038">
        <f>144500+51+205449</f>
        <v>350000</v>
      </c>
      <c r="H127" s="1038">
        <f>144500+50000+42627</f>
        <v>237127</v>
      </c>
      <c r="I127" s="1038">
        <v>144500</v>
      </c>
      <c r="J127" s="1038">
        <v>144500</v>
      </c>
      <c r="K127" s="1038">
        <v>144500</v>
      </c>
      <c r="L127" s="1038">
        <v>144500</v>
      </c>
      <c r="M127" s="1185">
        <f>SUM(F127:L127)</f>
        <v>1516475</v>
      </c>
      <c r="N127" s="1185">
        <f t="shared" ref="M127:N133" si="87">SUM(G127:L127)</f>
        <v>1165127</v>
      </c>
      <c r="O127" s="4271"/>
      <c r="P127" s="4276"/>
      <c r="Q127" s="4277"/>
      <c r="R127" s="4277"/>
      <c r="S127" s="4277"/>
    </row>
    <row r="128" spans="1:20" s="1258" customFormat="1" ht="12.75" hidden="1" customHeight="1">
      <c r="A128" s="4221"/>
      <c r="B128" s="1100" t="s">
        <v>152</v>
      </c>
      <c r="C128" s="1297"/>
      <c r="D128" s="1205">
        <f t="shared" si="86"/>
        <v>59673</v>
      </c>
      <c r="E128" s="1205">
        <v>14078</v>
      </c>
      <c r="F128" s="1205">
        <f>17000+32000-3405</f>
        <v>45595</v>
      </c>
      <c r="G128" s="1205">
        <f>17000+2922-19922</f>
        <v>0</v>
      </c>
      <c r="H128" s="1205">
        <f>17000-17000</f>
        <v>0</v>
      </c>
      <c r="I128" s="1205">
        <f>17000-17000</f>
        <v>0</v>
      </c>
      <c r="J128" s="1205">
        <f>17000-17000</f>
        <v>0</v>
      </c>
      <c r="K128" s="1205">
        <f>17000-17000</f>
        <v>0</v>
      </c>
      <c r="L128" s="1205">
        <f>17000-17000</f>
        <v>0</v>
      </c>
      <c r="M128" s="1185">
        <f>SUM(F128:L128)</f>
        <v>45595</v>
      </c>
      <c r="N128" s="1185">
        <f t="shared" si="87"/>
        <v>0</v>
      </c>
      <c r="O128" s="4271"/>
      <c r="P128" s="4276"/>
      <c r="Q128" s="4277"/>
      <c r="R128" s="4277"/>
      <c r="S128" s="4277"/>
    </row>
    <row r="129" spans="1:19" s="1258" customFormat="1" ht="12.75" hidden="1" customHeight="1">
      <c r="A129" s="4221"/>
      <c r="B129" s="1103" t="s">
        <v>153</v>
      </c>
      <c r="C129" s="1298"/>
      <c r="D129" s="1218">
        <f t="shared" si="86"/>
        <v>0</v>
      </c>
      <c r="E129" s="1218"/>
      <c r="F129" s="1050"/>
      <c r="G129" s="1050"/>
      <c r="H129" s="1050"/>
      <c r="I129" s="1050"/>
      <c r="J129" s="1050"/>
      <c r="K129" s="1050"/>
      <c r="L129" s="1050"/>
      <c r="M129" s="1185">
        <f t="shared" si="87"/>
        <v>0</v>
      </c>
      <c r="N129" s="1185">
        <f t="shared" si="87"/>
        <v>0</v>
      </c>
      <c r="O129" s="4271"/>
      <c r="P129" s="4276"/>
      <c r="Q129" s="4277"/>
      <c r="R129" s="4277"/>
      <c r="S129" s="4277"/>
    </row>
    <row r="130" spans="1:19" s="1258" customFormat="1" ht="12.75" hidden="1" customHeight="1">
      <c r="A130" s="4221"/>
      <c r="B130" s="1299" t="s">
        <v>154</v>
      </c>
      <c r="C130" s="1300"/>
      <c r="D130" s="1207">
        <f t="shared" si="86"/>
        <v>21912</v>
      </c>
      <c r="E130" s="1207">
        <v>0</v>
      </c>
      <c r="F130" s="1207">
        <f>6000+9000+10000-3088</f>
        <v>21912</v>
      </c>
      <c r="G130" s="1207"/>
      <c r="H130" s="1207"/>
      <c r="I130" s="1207"/>
      <c r="J130" s="1207"/>
      <c r="K130" s="1207"/>
      <c r="L130" s="1207"/>
      <c r="M130" s="1185">
        <f>SUM(F130:L130)</f>
        <v>21912</v>
      </c>
      <c r="N130" s="1185">
        <f t="shared" si="87"/>
        <v>0</v>
      </c>
      <c r="O130" s="4271"/>
      <c r="P130" s="4276"/>
      <c r="Q130" s="4277"/>
      <c r="R130" s="4277"/>
      <c r="S130" s="4277"/>
    </row>
    <row r="131" spans="1:19" s="1258" customFormat="1" ht="12.75" hidden="1" customHeight="1">
      <c r="A131" s="4221"/>
      <c r="B131" s="1299" t="s">
        <v>436</v>
      </c>
      <c r="C131" s="1037"/>
      <c r="D131" s="1207">
        <f t="shared" si="86"/>
        <v>0</v>
      </c>
      <c r="E131" s="1207"/>
      <c r="F131" s="1207">
        <f>25000-25000</f>
        <v>0</v>
      </c>
      <c r="G131" s="1207"/>
      <c r="H131" s="1207"/>
      <c r="I131" s="1207"/>
      <c r="J131" s="1207"/>
      <c r="K131" s="1207"/>
      <c r="L131" s="1207"/>
      <c r="M131" s="1185">
        <f t="shared" si="87"/>
        <v>0</v>
      </c>
      <c r="N131" s="1185">
        <f t="shared" si="87"/>
        <v>0</v>
      </c>
      <c r="O131" s="4271"/>
      <c r="P131" s="4276"/>
      <c r="Q131" s="4277"/>
      <c r="R131" s="4277"/>
      <c r="S131" s="4277"/>
    </row>
    <row r="132" spans="1:19" s="1258" customFormat="1" ht="12.75" hidden="1" customHeight="1">
      <c r="A132" s="4221"/>
      <c r="B132" s="1102" t="s">
        <v>398</v>
      </c>
      <c r="C132" s="1301"/>
      <c r="D132" s="1210">
        <f t="shared" si="86"/>
        <v>40690</v>
      </c>
      <c r="E132" s="1210">
        <v>37607</v>
      </c>
      <c r="F132" s="1210">
        <f>7990-4907</f>
        <v>3083</v>
      </c>
      <c r="G132" s="1210">
        <f>4907-4907</f>
        <v>0</v>
      </c>
      <c r="H132" s="1210">
        <f>4907-4907</f>
        <v>0</v>
      </c>
      <c r="I132" s="1210"/>
      <c r="J132" s="1210"/>
      <c r="K132" s="1210"/>
      <c r="L132" s="1210"/>
      <c r="M132" s="1185">
        <f>SUM(F132:L132)</f>
        <v>3083</v>
      </c>
      <c r="N132" s="1185">
        <f t="shared" si="87"/>
        <v>0</v>
      </c>
      <c r="O132" s="4271"/>
      <c r="P132" s="4276"/>
      <c r="Q132" s="4277"/>
      <c r="R132" s="4277"/>
      <c r="S132" s="4277"/>
    </row>
    <row r="133" spans="1:19" s="1258" customFormat="1" ht="12.75" hidden="1" customHeight="1">
      <c r="A133" s="4221"/>
      <c r="B133" s="1102" t="s">
        <v>272</v>
      </c>
      <c r="C133" s="1302"/>
      <c r="D133" s="1210">
        <f t="shared" si="86"/>
        <v>161370</v>
      </c>
      <c r="E133" s="1210">
        <v>161370</v>
      </c>
      <c r="F133" s="1210">
        <f>5525+2975+29556-38056</f>
        <v>0</v>
      </c>
      <c r="G133" s="1210">
        <f>10200-1700-8500</f>
        <v>0</v>
      </c>
      <c r="H133" s="1210">
        <f>5525-5525</f>
        <v>0</v>
      </c>
      <c r="I133" s="1210">
        <f>5525-5525</f>
        <v>0</v>
      </c>
      <c r="J133" s="1210">
        <f>5525-5525</f>
        <v>0</v>
      </c>
      <c r="K133" s="1210">
        <f>5525-5525</f>
        <v>0</v>
      </c>
      <c r="L133" s="1210">
        <f>5525-5525</f>
        <v>0</v>
      </c>
      <c r="M133" s="1185">
        <f t="shared" si="87"/>
        <v>0</v>
      </c>
      <c r="N133" s="1185">
        <f t="shared" si="87"/>
        <v>0</v>
      </c>
      <c r="O133" s="4271"/>
      <c r="P133" s="4276"/>
      <c r="Q133" s="4277"/>
      <c r="R133" s="4277"/>
      <c r="S133" s="4277"/>
    </row>
    <row r="134" spans="1:19" s="1258" customFormat="1" ht="14.25" customHeight="1">
      <c r="A134" s="4221"/>
      <c r="B134" s="79" t="s">
        <v>22</v>
      </c>
      <c r="C134" s="171"/>
      <c r="D134" s="323">
        <f>+D135</f>
        <v>1944569</v>
      </c>
      <c r="E134" s="323">
        <f t="shared" ref="E134:L134" si="88">+E135</f>
        <v>236568</v>
      </c>
      <c r="F134" s="323">
        <f t="shared" si="88"/>
        <v>231803</v>
      </c>
      <c r="G134" s="323">
        <f t="shared" si="88"/>
        <v>350000</v>
      </c>
      <c r="H134" s="323">
        <f t="shared" si="88"/>
        <v>237127</v>
      </c>
      <c r="I134" s="323">
        <f t="shared" si="88"/>
        <v>144500</v>
      </c>
      <c r="J134" s="323">
        <f t="shared" si="88"/>
        <v>144500</v>
      </c>
      <c r="K134" s="323">
        <f t="shared" si="88"/>
        <v>144500</v>
      </c>
      <c r="L134" s="323">
        <f t="shared" si="88"/>
        <v>144500</v>
      </c>
      <c r="M134" s="4232" t="s">
        <v>61</v>
      </c>
      <c r="N134" s="4232" t="s">
        <v>61</v>
      </c>
      <c r="O134" s="4271"/>
      <c r="P134" s="4276"/>
      <c r="Q134" s="4277"/>
      <c r="R134" s="4277"/>
      <c r="S134" s="4277"/>
    </row>
    <row r="135" spans="1:19" s="1258" customFormat="1" ht="15.75" customHeight="1">
      <c r="A135" s="4221"/>
      <c r="B135" s="1264" t="s">
        <v>18</v>
      </c>
      <c r="C135" s="3971" t="s">
        <v>251</v>
      </c>
      <c r="D135" s="1303">
        <f t="shared" ref="D135:L135" si="89">+D136</f>
        <v>1944569</v>
      </c>
      <c r="E135" s="1303">
        <f t="shared" si="89"/>
        <v>236568</v>
      </c>
      <c r="F135" s="1303">
        <f t="shared" si="89"/>
        <v>231803</v>
      </c>
      <c r="G135" s="1303">
        <f t="shared" si="89"/>
        <v>350000</v>
      </c>
      <c r="H135" s="1303">
        <f t="shared" si="89"/>
        <v>237127</v>
      </c>
      <c r="I135" s="1303">
        <f t="shared" si="89"/>
        <v>144500</v>
      </c>
      <c r="J135" s="1303">
        <f t="shared" si="89"/>
        <v>144500</v>
      </c>
      <c r="K135" s="1303">
        <f t="shared" si="89"/>
        <v>144500</v>
      </c>
      <c r="L135" s="1303">
        <f t="shared" si="89"/>
        <v>144500</v>
      </c>
      <c r="M135" s="4203"/>
      <c r="N135" s="4203"/>
      <c r="O135" s="4271"/>
      <c r="P135" s="4276"/>
      <c r="Q135" s="4277"/>
      <c r="R135" s="4277"/>
      <c r="S135" s="4277"/>
    </row>
    <row r="136" spans="1:19" s="1258" customFormat="1" ht="13.5" customHeight="1" thickBot="1">
      <c r="A136" s="4222"/>
      <c r="B136" s="312" t="s">
        <v>592</v>
      </c>
      <c r="C136" s="4205"/>
      <c r="D136" s="701">
        <f>E136+F136+G136+H136+I136+J136+K136+L136+11590+299481</f>
        <v>1944569</v>
      </c>
      <c r="E136" s="1195">
        <v>236568</v>
      </c>
      <c r="F136" s="1053">
        <f>192515-22515+300021+111973+50000+10000-61590-348601</f>
        <v>231803</v>
      </c>
      <c r="G136" s="1053">
        <f>171700-1700-620+200542-19922</f>
        <v>350000</v>
      </c>
      <c r="H136" s="1053">
        <f>167025-5525+4907+50000+20720</f>
        <v>237127</v>
      </c>
      <c r="I136" s="1053">
        <f>167025-5525-17000</f>
        <v>144500</v>
      </c>
      <c r="J136" s="1053">
        <f>167025-5525-17000</f>
        <v>144500</v>
      </c>
      <c r="K136" s="1053">
        <f>167025-5525-17000</f>
        <v>144500</v>
      </c>
      <c r="L136" s="1053">
        <f>167025-5525-17000</f>
        <v>144500</v>
      </c>
      <c r="M136" s="4204"/>
      <c r="N136" s="4204"/>
      <c r="O136" s="4272"/>
      <c r="P136" s="4276"/>
      <c r="Q136" s="4277"/>
      <c r="R136" s="4277"/>
      <c r="S136" s="4277"/>
    </row>
    <row r="137" spans="1:19" s="1258" customFormat="1" ht="29.25" customHeight="1">
      <c r="A137" s="4220" t="s">
        <v>89</v>
      </c>
      <c r="B137" s="1123" t="s">
        <v>314</v>
      </c>
      <c r="C137" s="1720" t="s">
        <v>82</v>
      </c>
      <c r="D137" s="177"/>
      <c r="E137" s="349"/>
      <c r="F137" s="176"/>
      <c r="G137" s="176"/>
      <c r="H137" s="176"/>
      <c r="I137" s="176"/>
      <c r="J137" s="176"/>
      <c r="K137" s="176"/>
      <c r="L137" s="237"/>
      <c r="M137" s="1721"/>
      <c r="N137" s="1721"/>
      <c r="O137" s="4270" t="s">
        <v>331</v>
      </c>
      <c r="P137" s="281">
        <f>G134-'[1]Tab. 6E - Administracja'!$G$134</f>
        <v>-19922</v>
      </c>
    </row>
    <row r="138" spans="1:19" s="1258" customFormat="1" ht="13.5" customHeight="1">
      <c r="A138" s="4221"/>
      <c r="B138" s="427" t="s">
        <v>10</v>
      </c>
      <c r="C138" s="1722"/>
      <c r="D138" s="1723">
        <f>+D139+D142</f>
        <v>98152110</v>
      </c>
      <c r="E138" s="1724">
        <f>+E139+E142</f>
        <v>360377</v>
      </c>
      <c r="F138" s="1724">
        <f t="shared" ref="F138:L138" si="90">+F139+F142</f>
        <v>1019503</v>
      </c>
      <c r="G138" s="1724">
        <f t="shared" si="90"/>
        <v>9082300</v>
      </c>
      <c r="H138" s="1724">
        <f t="shared" si="90"/>
        <v>58096345</v>
      </c>
      <c r="I138" s="1724">
        <f t="shared" si="90"/>
        <v>29593585</v>
      </c>
      <c r="J138" s="1724">
        <f t="shared" si="90"/>
        <v>0</v>
      </c>
      <c r="K138" s="1724">
        <f t="shared" si="90"/>
        <v>0</v>
      </c>
      <c r="L138" s="1724">
        <f t="shared" si="90"/>
        <v>0</v>
      </c>
      <c r="M138" s="1725">
        <f>+M139+M142</f>
        <v>97791733</v>
      </c>
      <c r="N138" s="1725">
        <f>+N139+N142</f>
        <v>96772230</v>
      </c>
      <c r="O138" s="4271"/>
      <c r="P138" s="281"/>
    </row>
    <row r="139" spans="1:19" s="1258" customFormat="1" ht="13.5" customHeight="1">
      <c r="A139" s="4221"/>
      <c r="B139" s="538" t="s">
        <v>24</v>
      </c>
      <c r="C139" s="4261" t="s">
        <v>278</v>
      </c>
      <c r="D139" s="1726">
        <f>+D140+D141</f>
        <v>28902110</v>
      </c>
      <c r="E139" s="1727">
        <f t="shared" ref="E139" si="91">+E140+E141</f>
        <v>0</v>
      </c>
      <c r="F139" s="1727">
        <f t="shared" ref="F139:L139" si="92">+F140+F141</f>
        <v>17645</v>
      </c>
      <c r="G139" s="1727">
        <f t="shared" si="92"/>
        <v>1604653</v>
      </c>
      <c r="H139" s="1727">
        <f t="shared" si="92"/>
        <v>16235207</v>
      </c>
      <c r="I139" s="1727">
        <f t="shared" si="92"/>
        <v>11044605</v>
      </c>
      <c r="J139" s="1727">
        <f t="shared" si="92"/>
        <v>0</v>
      </c>
      <c r="K139" s="1727">
        <f t="shared" si="92"/>
        <v>0</v>
      </c>
      <c r="L139" s="1727">
        <f t="shared" si="92"/>
        <v>0</v>
      </c>
      <c r="M139" s="1728">
        <f>+M140</f>
        <v>28902110</v>
      </c>
      <c r="N139" s="1728">
        <f>+N140</f>
        <v>28884465</v>
      </c>
      <c r="O139" s="4271"/>
      <c r="P139" s="281"/>
    </row>
    <row r="140" spans="1:19" s="1258" customFormat="1" ht="13.5" customHeight="1">
      <c r="A140" s="4221"/>
      <c r="B140" s="1729" t="s">
        <v>12</v>
      </c>
      <c r="C140" s="4261"/>
      <c r="D140" s="1730">
        <f>E140+F140+G140+H140+I140+J140+K140+L140</f>
        <v>28902110</v>
      </c>
      <c r="E140" s="1091">
        <v>0</v>
      </c>
      <c r="F140" s="1731">
        <f t="shared" ref="F140:L140" si="93">+F158+F172+F188+F199</f>
        <v>17645</v>
      </c>
      <c r="G140" s="1731">
        <f t="shared" si="93"/>
        <v>1604653</v>
      </c>
      <c r="H140" s="1731">
        <f t="shared" si="93"/>
        <v>16235207</v>
      </c>
      <c r="I140" s="1731">
        <f t="shared" si="93"/>
        <v>11044605</v>
      </c>
      <c r="J140" s="1731">
        <f t="shared" si="93"/>
        <v>0</v>
      </c>
      <c r="K140" s="1731">
        <f t="shared" si="93"/>
        <v>0</v>
      </c>
      <c r="L140" s="1731">
        <f t="shared" si="93"/>
        <v>0</v>
      </c>
      <c r="M140" s="562">
        <f>SUM(F140:L140)</f>
        <v>28902110</v>
      </c>
      <c r="N140" s="562">
        <f>SUM(G140:L140)</f>
        <v>28884465</v>
      </c>
      <c r="O140" s="4271"/>
      <c r="P140" s="281"/>
    </row>
    <row r="141" spans="1:19" s="1258" customFormat="1" ht="13.5" hidden="1" customHeight="1">
      <c r="A141" s="4221"/>
      <c r="B141" s="1729" t="s">
        <v>16</v>
      </c>
      <c r="C141" s="4261"/>
      <c r="D141" s="1730">
        <f>E141+F141+G141+H141+I141+J141+K141+L141</f>
        <v>0</v>
      </c>
      <c r="E141" s="1732">
        <v>0</v>
      </c>
      <c r="F141" s="1731">
        <f t="shared" ref="F141:L141" si="94">+F159+F173+F200</f>
        <v>0</v>
      </c>
      <c r="G141" s="1731">
        <f t="shared" si="94"/>
        <v>0</v>
      </c>
      <c r="H141" s="1731">
        <f t="shared" si="94"/>
        <v>0</v>
      </c>
      <c r="I141" s="1731">
        <f t="shared" si="94"/>
        <v>0</v>
      </c>
      <c r="J141" s="1731">
        <f t="shared" si="94"/>
        <v>0</v>
      </c>
      <c r="K141" s="1731">
        <f t="shared" si="94"/>
        <v>0</v>
      </c>
      <c r="L141" s="1731">
        <f t="shared" si="94"/>
        <v>0</v>
      </c>
      <c r="M141" s="562">
        <f>SUM(F141:K141)</f>
        <v>0</v>
      </c>
      <c r="N141" s="562">
        <f>SUM(G141:L141)</f>
        <v>0</v>
      </c>
      <c r="O141" s="4271"/>
      <c r="P141" s="281"/>
    </row>
    <row r="142" spans="1:19" s="1258" customFormat="1" ht="13.5" customHeight="1">
      <c r="A142" s="4221"/>
      <c r="B142" s="1733" t="s">
        <v>18</v>
      </c>
      <c r="C142" s="4261"/>
      <c r="D142" s="1734">
        <f>+D143</f>
        <v>69250000</v>
      </c>
      <c r="E142" s="1734">
        <f t="shared" ref="E142" si="95">+E143</f>
        <v>360377</v>
      </c>
      <c r="F142" s="1735">
        <f t="shared" ref="F142:L142" si="96">+F143</f>
        <v>1001858</v>
      </c>
      <c r="G142" s="1735">
        <f t="shared" si="96"/>
        <v>7477647</v>
      </c>
      <c r="H142" s="1735">
        <f t="shared" si="96"/>
        <v>41861138</v>
      </c>
      <c r="I142" s="1735">
        <f t="shared" si="96"/>
        <v>18548980</v>
      </c>
      <c r="J142" s="1735">
        <f t="shared" si="96"/>
        <v>0</v>
      </c>
      <c r="K142" s="1735">
        <f t="shared" si="96"/>
        <v>0</v>
      </c>
      <c r="L142" s="1735">
        <f t="shared" si="96"/>
        <v>0</v>
      </c>
      <c r="M142" s="1728">
        <f>+M143</f>
        <v>68889623</v>
      </c>
      <c r="N142" s="1728">
        <f>+N143</f>
        <v>67887765</v>
      </c>
      <c r="O142" s="4271"/>
      <c r="P142" s="281"/>
    </row>
    <row r="143" spans="1:19" s="1258" customFormat="1" ht="12.75" customHeight="1">
      <c r="A143" s="4221"/>
      <c r="B143" s="572" t="s">
        <v>21</v>
      </c>
      <c r="C143" s="4261"/>
      <c r="D143" s="1736">
        <f>E143+F143+G143+H143+I143+J143+K143+L143</f>
        <v>69250000</v>
      </c>
      <c r="E143" s="1737">
        <f>+E144+E145+E146</f>
        <v>360377</v>
      </c>
      <c r="F143" s="1731">
        <f>+F144+F145+F146</f>
        <v>1001858</v>
      </c>
      <c r="G143" s="1731">
        <f t="shared" ref="G143:L143" si="97">+G144+G145+G146</f>
        <v>7477647</v>
      </c>
      <c r="H143" s="1731">
        <f t="shared" si="97"/>
        <v>41861138</v>
      </c>
      <c r="I143" s="1731">
        <f t="shared" si="97"/>
        <v>18548980</v>
      </c>
      <c r="J143" s="1731">
        <f t="shared" si="97"/>
        <v>0</v>
      </c>
      <c r="K143" s="1731">
        <f t="shared" si="97"/>
        <v>0</v>
      </c>
      <c r="L143" s="1731">
        <f t="shared" si="97"/>
        <v>0</v>
      </c>
      <c r="M143" s="562">
        <f>SUM(F143:L143)</f>
        <v>68889623</v>
      </c>
      <c r="N143" s="562">
        <f t="shared" ref="M143:N146" si="98">SUM(G143:L143)</f>
        <v>67887765</v>
      </c>
      <c r="O143" s="4271"/>
      <c r="P143" s="281"/>
    </row>
    <row r="144" spans="1:19" s="1258" customFormat="1" ht="23.25" hidden="1" customHeight="1">
      <c r="A144" s="4221"/>
      <c r="B144" s="1729" t="s">
        <v>279</v>
      </c>
      <c r="C144" s="4261"/>
      <c r="D144" s="1737">
        <f>+D176</f>
        <v>18000000</v>
      </c>
      <c r="E144" s="1737">
        <f t="shared" ref="E144:L144" si="99">+E162+E176+E191+E203</f>
        <v>360377</v>
      </c>
      <c r="F144" s="1731">
        <f t="shared" si="99"/>
        <v>1001858</v>
      </c>
      <c r="G144" s="1731">
        <f t="shared" si="99"/>
        <v>5294849</v>
      </c>
      <c r="H144" s="1731">
        <f t="shared" si="99"/>
        <v>11342916</v>
      </c>
      <c r="I144" s="1731">
        <f t="shared" si="99"/>
        <v>0</v>
      </c>
      <c r="J144" s="1731">
        <f t="shared" si="99"/>
        <v>0</v>
      </c>
      <c r="K144" s="1731">
        <f t="shared" si="99"/>
        <v>0</v>
      </c>
      <c r="L144" s="1731">
        <f t="shared" si="99"/>
        <v>0</v>
      </c>
      <c r="M144" s="1705">
        <f t="shared" si="98"/>
        <v>17639623</v>
      </c>
      <c r="N144" s="1705">
        <f t="shared" si="98"/>
        <v>16637765</v>
      </c>
      <c r="O144" s="4271"/>
      <c r="P144" s="281"/>
    </row>
    <row r="145" spans="1:16" s="1258" customFormat="1" ht="20.25" hidden="1" customHeight="1">
      <c r="A145" s="4221"/>
      <c r="B145" s="1729" t="s">
        <v>280</v>
      </c>
      <c r="C145" s="4261"/>
      <c r="D145" s="1737">
        <f>+D177</f>
        <v>10250000</v>
      </c>
      <c r="E145" s="1731">
        <v>0</v>
      </c>
      <c r="F145" s="1731">
        <f t="shared" ref="F145:L145" si="100">+F177</f>
        <v>0</v>
      </c>
      <c r="G145" s="1731">
        <f t="shared" si="100"/>
        <v>2182798</v>
      </c>
      <c r="H145" s="1731">
        <f t="shared" si="100"/>
        <v>8067202</v>
      </c>
      <c r="I145" s="1731">
        <f t="shared" si="100"/>
        <v>0</v>
      </c>
      <c r="J145" s="1731">
        <f t="shared" si="100"/>
        <v>0</v>
      </c>
      <c r="K145" s="1731">
        <f t="shared" si="100"/>
        <v>0</v>
      </c>
      <c r="L145" s="1731">
        <f t="shared" si="100"/>
        <v>0</v>
      </c>
      <c r="M145" s="1705">
        <f t="shared" si="98"/>
        <v>10250000</v>
      </c>
      <c r="N145" s="1705">
        <f t="shared" si="98"/>
        <v>10250000</v>
      </c>
      <c r="O145" s="4271"/>
      <c r="P145" s="281"/>
    </row>
    <row r="146" spans="1:16" s="1258" customFormat="1" ht="27" hidden="1" customHeight="1">
      <c r="A146" s="4221"/>
      <c r="B146" s="1729" t="s">
        <v>281</v>
      </c>
      <c r="C146" s="4261"/>
      <c r="D146" s="1737">
        <f>+D178</f>
        <v>28250000</v>
      </c>
      <c r="E146" s="1738">
        <v>0</v>
      </c>
      <c r="F146" s="1738">
        <f t="shared" ref="F146:L146" si="101">+F204</f>
        <v>0</v>
      </c>
      <c r="G146" s="1738">
        <f t="shared" si="101"/>
        <v>0</v>
      </c>
      <c r="H146" s="1738">
        <f t="shared" si="101"/>
        <v>22451020</v>
      </c>
      <c r="I146" s="1738">
        <f t="shared" si="101"/>
        <v>18548980</v>
      </c>
      <c r="J146" s="1738">
        <f t="shared" si="101"/>
        <v>0</v>
      </c>
      <c r="K146" s="1738">
        <f t="shared" si="101"/>
        <v>0</v>
      </c>
      <c r="L146" s="1738">
        <f t="shared" si="101"/>
        <v>0</v>
      </c>
      <c r="M146" s="1705">
        <f t="shared" si="98"/>
        <v>41000000</v>
      </c>
      <c r="N146" s="1705">
        <f t="shared" si="98"/>
        <v>41000000</v>
      </c>
      <c r="O146" s="4271"/>
      <c r="P146" s="281"/>
    </row>
    <row r="147" spans="1:16" s="1258" customFormat="1" ht="15">
      <c r="A147" s="4221"/>
      <c r="B147" s="178" t="s">
        <v>282</v>
      </c>
      <c r="C147" s="1722"/>
      <c r="D147" s="1723">
        <f t="shared" ref="D147:L147" si="102">+D148+D150</f>
        <v>69250000</v>
      </c>
      <c r="E147" s="1724">
        <f t="shared" si="102"/>
        <v>226180</v>
      </c>
      <c r="F147" s="1724">
        <f t="shared" si="102"/>
        <v>1022720</v>
      </c>
      <c r="G147" s="1724">
        <f t="shared" si="102"/>
        <v>7477647</v>
      </c>
      <c r="H147" s="1724">
        <f t="shared" si="102"/>
        <v>41861138</v>
      </c>
      <c r="I147" s="1724">
        <f t="shared" si="102"/>
        <v>18662315</v>
      </c>
      <c r="J147" s="1724">
        <f t="shared" si="102"/>
        <v>0</v>
      </c>
      <c r="K147" s="1724">
        <f t="shared" si="102"/>
        <v>0</v>
      </c>
      <c r="L147" s="1724">
        <f t="shared" si="102"/>
        <v>0</v>
      </c>
      <c r="M147" s="4275" t="s">
        <v>61</v>
      </c>
      <c r="N147" s="4275" t="s">
        <v>61</v>
      </c>
      <c r="O147" s="4271"/>
      <c r="P147" s="281">
        <f>G147-'[1]Tab. 6E - Administracja'!$G$147</f>
        <v>-2034502</v>
      </c>
    </row>
    <row r="148" spans="1:16" s="1258" customFormat="1" ht="13.5" hidden="1" customHeight="1">
      <c r="A148" s="4221"/>
      <c r="B148" s="538" t="s">
        <v>24</v>
      </c>
      <c r="C148" s="4273" t="s">
        <v>283</v>
      </c>
      <c r="D148" s="1726">
        <f>+D149</f>
        <v>0</v>
      </c>
      <c r="E148" s="1727">
        <f t="shared" ref="E148:L148" si="103">+E149</f>
        <v>0</v>
      </c>
      <c r="F148" s="1727">
        <f t="shared" si="103"/>
        <v>0</v>
      </c>
      <c r="G148" s="1727">
        <f t="shared" si="103"/>
        <v>0</v>
      </c>
      <c r="H148" s="1727">
        <f t="shared" si="103"/>
        <v>0</v>
      </c>
      <c r="I148" s="1727">
        <f t="shared" si="103"/>
        <v>0</v>
      </c>
      <c r="J148" s="1727">
        <f t="shared" si="103"/>
        <v>0</v>
      </c>
      <c r="K148" s="1727">
        <f t="shared" si="103"/>
        <v>0</v>
      </c>
      <c r="L148" s="1727">
        <f t="shared" si="103"/>
        <v>0</v>
      </c>
      <c r="M148" s="4247"/>
      <c r="N148" s="4247"/>
      <c r="O148" s="4271"/>
      <c r="P148" s="281"/>
    </row>
    <row r="149" spans="1:16" s="1258" customFormat="1" ht="13.5" hidden="1" customHeight="1">
      <c r="A149" s="4221"/>
      <c r="B149" s="1729" t="s">
        <v>16</v>
      </c>
      <c r="C149" s="4261"/>
      <c r="D149" s="1736">
        <f>E149+F149+G149+H149+I149+J149+K149+L149</f>
        <v>0</v>
      </c>
      <c r="E149" s="1739">
        <v>0</v>
      </c>
      <c r="F149" s="1740">
        <f t="shared" ref="F149:L149" si="104">+F180+F207</f>
        <v>0</v>
      </c>
      <c r="G149" s="1740">
        <f t="shared" si="104"/>
        <v>0</v>
      </c>
      <c r="H149" s="1740">
        <f t="shared" si="104"/>
        <v>0</v>
      </c>
      <c r="I149" s="1740">
        <f t="shared" si="104"/>
        <v>0</v>
      </c>
      <c r="J149" s="1740">
        <f t="shared" si="104"/>
        <v>0</v>
      </c>
      <c r="K149" s="1740">
        <f t="shared" si="104"/>
        <v>0</v>
      </c>
      <c r="L149" s="1740">
        <f t="shared" si="104"/>
        <v>0</v>
      </c>
      <c r="M149" s="4247"/>
      <c r="N149" s="4247"/>
      <c r="O149" s="4271"/>
      <c r="P149" s="281"/>
    </row>
    <row r="150" spans="1:16" s="1258" customFormat="1" ht="13.5" customHeight="1">
      <c r="A150" s="4221"/>
      <c r="B150" s="1733" t="s">
        <v>18</v>
      </c>
      <c r="C150" s="4261"/>
      <c r="D150" s="1726">
        <f>+D151</f>
        <v>69250000</v>
      </c>
      <c r="E150" s="1727">
        <f>+E151</f>
        <v>226180</v>
      </c>
      <c r="F150" s="1727">
        <f>+F151</f>
        <v>1022720</v>
      </c>
      <c r="G150" s="1727">
        <f t="shared" ref="G150:L150" si="105">+G151</f>
        <v>7477647</v>
      </c>
      <c r="H150" s="1727">
        <f t="shared" si="105"/>
        <v>41861138</v>
      </c>
      <c r="I150" s="1727">
        <f t="shared" si="105"/>
        <v>18662315</v>
      </c>
      <c r="J150" s="1727">
        <f t="shared" si="105"/>
        <v>0</v>
      </c>
      <c r="K150" s="1727">
        <f t="shared" si="105"/>
        <v>0</v>
      </c>
      <c r="L150" s="1727">
        <f t="shared" si="105"/>
        <v>0</v>
      </c>
      <c r="M150" s="4247"/>
      <c r="N150" s="4247"/>
      <c r="O150" s="4271"/>
      <c r="P150" s="281"/>
    </row>
    <row r="151" spans="1:16" s="1258" customFormat="1" ht="14.25" customHeight="1" thickBot="1">
      <c r="A151" s="4222"/>
      <c r="B151" s="78" t="s">
        <v>21</v>
      </c>
      <c r="C151" s="4274"/>
      <c r="D151" s="1741">
        <f>E151+F151+G151+H151+I151+J151+K151+L151</f>
        <v>69250000</v>
      </c>
      <c r="E151" s="1742">
        <f t="shared" ref="E151:L151" si="106">+E167+E182+E209+E194</f>
        <v>226180</v>
      </c>
      <c r="F151" s="1742">
        <f t="shared" si="106"/>
        <v>1022720</v>
      </c>
      <c r="G151" s="1742">
        <f t="shared" si="106"/>
        <v>7477647</v>
      </c>
      <c r="H151" s="1742">
        <f t="shared" si="106"/>
        <v>41861138</v>
      </c>
      <c r="I151" s="1742">
        <f t="shared" si="106"/>
        <v>18662315</v>
      </c>
      <c r="J151" s="1742">
        <f t="shared" si="106"/>
        <v>0</v>
      </c>
      <c r="K151" s="1742">
        <f t="shared" si="106"/>
        <v>0</v>
      </c>
      <c r="L151" s="1742">
        <f t="shared" si="106"/>
        <v>0</v>
      </c>
      <c r="M151" s="4248"/>
      <c r="N151" s="4248"/>
      <c r="O151" s="4272"/>
      <c r="P151" s="281"/>
    </row>
    <row r="152" spans="1:16" s="1258" customFormat="1" ht="24" hidden="1" customHeight="1">
      <c r="A152" s="2067"/>
      <c r="B152" s="1743" t="s">
        <v>279</v>
      </c>
      <c r="C152" s="1744"/>
      <c r="D152" s="1745">
        <f t="shared" ref="D152:L152" si="107">+D168+D183+D195+D210</f>
        <v>18000000</v>
      </c>
      <c r="E152" s="1745">
        <f t="shared" si="107"/>
        <v>226180</v>
      </c>
      <c r="F152" s="1745">
        <f t="shared" si="107"/>
        <v>1022720</v>
      </c>
      <c r="G152" s="1745">
        <f t="shared" si="107"/>
        <v>5294849</v>
      </c>
      <c r="H152" s="1745">
        <f t="shared" si="107"/>
        <v>11342916</v>
      </c>
      <c r="I152" s="1745">
        <f t="shared" si="107"/>
        <v>113335</v>
      </c>
      <c r="J152" s="1745">
        <f t="shared" si="107"/>
        <v>0</v>
      </c>
      <c r="K152" s="1745">
        <f t="shared" si="107"/>
        <v>0</v>
      </c>
      <c r="L152" s="1745">
        <f t="shared" si="107"/>
        <v>0</v>
      </c>
      <c r="M152" s="1746"/>
      <c r="N152" s="1746"/>
      <c r="O152" s="1747"/>
      <c r="P152" s="281"/>
    </row>
    <row r="153" spans="1:16" s="1258" customFormat="1" ht="24" hidden="1" customHeight="1">
      <c r="A153" s="2067"/>
      <c r="B153" s="1748" t="s">
        <v>280</v>
      </c>
      <c r="C153" s="1744"/>
      <c r="D153" s="1731">
        <f>+D184</f>
        <v>10250000</v>
      </c>
      <c r="E153" s="1731">
        <v>0</v>
      </c>
      <c r="F153" s="1731">
        <f t="shared" ref="F153:L153" si="108">+F184</f>
        <v>0</v>
      </c>
      <c r="G153" s="1731">
        <f t="shared" si="108"/>
        <v>2182798</v>
      </c>
      <c r="H153" s="1731">
        <f t="shared" si="108"/>
        <v>8067202</v>
      </c>
      <c r="I153" s="1731">
        <f t="shared" si="108"/>
        <v>0</v>
      </c>
      <c r="J153" s="1731">
        <f t="shared" si="108"/>
        <v>0</v>
      </c>
      <c r="K153" s="1731">
        <f t="shared" si="108"/>
        <v>0</v>
      </c>
      <c r="L153" s="1731">
        <f t="shared" si="108"/>
        <v>0</v>
      </c>
      <c r="M153" s="1746"/>
      <c r="N153" s="1746"/>
      <c r="O153" s="1747"/>
      <c r="P153" s="281"/>
    </row>
    <row r="154" spans="1:16" s="1258" customFormat="1" ht="24" hidden="1" customHeight="1" thickBot="1">
      <c r="A154" s="2068"/>
      <c r="B154" s="1749" t="s">
        <v>281</v>
      </c>
      <c r="C154" s="1750"/>
      <c r="D154" s="1742">
        <f>+D211</f>
        <v>41000000</v>
      </c>
      <c r="E154" s="1742">
        <v>0</v>
      </c>
      <c r="F154" s="1742">
        <f t="shared" ref="F154:L154" si="109">+F211</f>
        <v>0</v>
      </c>
      <c r="G154" s="1742">
        <f t="shared" si="109"/>
        <v>0</v>
      </c>
      <c r="H154" s="1742">
        <f t="shared" si="109"/>
        <v>22451020</v>
      </c>
      <c r="I154" s="1742">
        <f t="shared" si="109"/>
        <v>18548980</v>
      </c>
      <c r="J154" s="1742">
        <f t="shared" si="109"/>
        <v>0</v>
      </c>
      <c r="K154" s="1742">
        <f t="shared" si="109"/>
        <v>0</v>
      </c>
      <c r="L154" s="1742">
        <f t="shared" si="109"/>
        <v>0</v>
      </c>
      <c r="M154" s="1751"/>
      <c r="N154" s="1751"/>
      <c r="O154" s="1752"/>
      <c r="P154" s="281"/>
    </row>
    <row r="155" spans="1:16" s="1258" customFormat="1" ht="18.75" hidden="1" customHeight="1">
      <c r="A155" s="4220" t="s">
        <v>537</v>
      </c>
      <c r="B155" s="1753" t="s">
        <v>284</v>
      </c>
      <c r="C155" s="1754" t="s">
        <v>110</v>
      </c>
      <c r="D155" s="1755"/>
      <c r="E155" s="1756"/>
      <c r="F155" s="1757"/>
      <c r="G155" s="1757"/>
      <c r="H155" s="1757"/>
      <c r="I155" s="1757"/>
      <c r="J155" s="1757"/>
      <c r="K155" s="1757"/>
      <c r="L155" s="1758"/>
      <c r="M155" s="1759"/>
      <c r="N155" s="1759"/>
      <c r="O155" s="1747"/>
      <c r="P155" s="281"/>
    </row>
    <row r="156" spans="1:16" s="1258" customFormat="1" ht="13.5" hidden="1" customHeight="1">
      <c r="A156" s="4221"/>
      <c r="B156" s="79" t="s">
        <v>10</v>
      </c>
      <c r="C156" s="1760"/>
      <c r="D156" s="1124">
        <f t="shared" ref="D156:D168" si="110">SUM(E156:L156)</f>
        <v>0</v>
      </c>
      <c r="E156" s="323">
        <v>0</v>
      </c>
      <c r="F156" s="323">
        <f t="shared" ref="F156:L156" si="111">+F157+F160</f>
        <v>0</v>
      </c>
      <c r="G156" s="323">
        <f t="shared" si="111"/>
        <v>0</v>
      </c>
      <c r="H156" s="323">
        <f t="shared" si="111"/>
        <v>0</v>
      </c>
      <c r="I156" s="323">
        <f t="shared" si="111"/>
        <v>0</v>
      </c>
      <c r="J156" s="323">
        <f t="shared" si="111"/>
        <v>0</v>
      </c>
      <c r="K156" s="323">
        <f t="shared" si="111"/>
        <v>0</v>
      </c>
      <c r="L156" s="323">
        <f t="shared" si="111"/>
        <v>0</v>
      </c>
      <c r="M156" s="326">
        <f t="shared" ref="M156:N162" si="112">SUM(D156:K156)</f>
        <v>0</v>
      </c>
      <c r="N156" s="326">
        <f t="shared" si="112"/>
        <v>0</v>
      </c>
      <c r="O156" s="1747"/>
      <c r="P156" s="281"/>
    </row>
    <row r="157" spans="1:16" s="1258" customFormat="1" ht="13.5" hidden="1" customHeight="1">
      <c r="A157" s="4221"/>
      <c r="B157" s="164" t="s">
        <v>24</v>
      </c>
      <c r="C157" s="4255" t="s">
        <v>291</v>
      </c>
      <c r="D157" s="1761">
        <f t="shared" si="110"/>
        <v>0</v>
      </c>
      <c r="E157" s="310">
        <v>0</v>
      </c>
      <c r="F157" s="310">
        <f t="shared" ref="F157:L157" si="113">+F158+F159</f>
        <v>0</v>
      </c>
      <c r="G157" s="310">
        <f t="shared" si="113"/>
        <v>0</v>
      </c>
      <c r="H157" s="310">
        <f t="shared" si="113"/>
        <v>0</v>
      </c>
      <c r="I157" s="310">
        <f t="shared" si="113"/>
        <v>0</v>
      </c>
      <c r="J157" s="310">
        <f t="shared" si="113"/>
        <v>0</v>
      </c>
      <c r="K157" s="310">
        <f t="shared" si="113"/>
        <v>0</v>
      </c>
      <c r="L157" s="310">
        <f t="shared" si="113"/>
        <v>0</v>
      </c>
      <c r="M157" s="326">
        <f t="shared" si="112"/>
        <v>0</v>
      </c>
      <c r="N157" s="326">
        <f t="shared" si="112"/>
        <v>0</v>
      </c>
      <c r="O157" s="1747"/>
      <c r="P157" s="281"/>
    </row>
    <row r="158" spans="1:16" s="1258" customFormat="1" ht="13.5" hidden="1" customHeight="1">
      <c r="A158" s="4221"/>
      <c r="B158" s="1762" t="s">
        <v>12</v>
      </c>
      <c r="C158" s="4213"/>
      <c r="D158" s="1763">
        <f t="shared" si="110"/>
        <v>0</v>
      </c>
      <c r="E158" s="1764"/>
      <c r="F158" s="1763">
        <f>1524390-1524390</f>
        <v>0</v>
      </c>
      <c r="G158" s="1763">
        <f>1840690-1840690</f>
        <v>0</v>
      </c>
      <c r="H158" s="1763"/>
      <c r="I158" s="1763"/>
      <c r="J158" s="1765"/>
      <c r="K158" s="1765"/>
      <c r="L158" s="1765"/>
      <c r="M158" s="1766">
        <f t="shared" si="112"/>
        <v>0</v>
      </c>
      <c r="N158" s="1766">
        <f t="shared" si="112"/>
        <v>0</v>
      </c>
      <c r="O158" s="1747"/>
      <c r="P158" s="281"/>
    </row>
    <row r="159" spans="1:16" s="1258" customFormat="1" ht="13.5" hidden="1" customHeight="1">
      <c r="A159" s="4221"/>
      <c r="B159" s="1762" t="s">
        <v>62</v>
      </c>
      <c r="C159" s="4213"/>
      <c r="D159" s="1767">
        <f t="shared" si="110"/>
        <v>0</v>
      </c>
      <c r="E159" s="1768"/>
      <c r="F159" s="1767"/>
      <c r="G159" s="1767"/>
      <c r="H159" s="1767"/>
      <c r="I159" s="1767"/>
      <c r="J159" s="1769"/>
      <c r="K159" s="1769"/>
      <c r="L159" s="1769"/>
      <c r="M159" s="1770">
        <f t="shared" si="112"/>
        <v>0</v>
      </c>
      <c r="N159" s="1770">
        <f t="shared" si="112"/>
        <v>0</v>
      </c>
      <c r="O159" s="1747"/>
      <c r="P159" s="281"/>
    </row>
    <row r="160" spans="1:16" s="1258" customFormat="1" ht="13.5" hidden="1" customHeight="1">
      <c r="A160" s="4221"/>
      <c r="B160" s="80" t="s">
        <v>18</v>
      </c>
      <c r="C160" s="4213"/>
      <c r="D160" s="1761">
        <f t="shared" si="110"/>
        <v>0</v>
      </c>
      <c r="E160" s="310">
        <v>0</v>
      </c>
      <c r="F160" s="310">
        <f t="shared" ref="F160:L160" si="114">+F161</f>
        <v>0</v>
      </c>
      <c r="G160" s="310">
        <f t="shared" si="114"/>
        <v>0</v>
      </c>
      <c r="H160" s="310">
        <f t="shared" si="114"/>
        <v>0</v>
      </c>
      <c r="I160" s="310">
        <f t="shared" si="114"/>
        <v>0</v>
      </c>
      <c r="J160" s="310">
        <f t="shared" si="114"/>
        <v>0</v>
      </c>
      <c r="K160" s="310">
        <f t="shared" si="114"/>
        <v>0</v>
      </c>
      <c r="L160" s="310">
        <f t="shared" si="114"/>
        <v>0</v>
      </c>
      <c r="M160" s="1771">
        <f t="shared" si="112"/>
        <v>0</v>
      </c>
      <c r="N160" s="1771">
        <f t="shared" si="112"/>
        <v>0</v>
      </c>
      <c r="O160" s="1747"/>
      <c r="P160" s="281"/>
    </row>
    <row r="161" spans="1:16" s="1258" customFormat="1" ht="13.5" hidden="1" customHeight="1">
      <c r="A161" s="4221"/>
      <c r="B161" s="1772" t="s">
        <v>21</v>
      </c>
      <c r="C161" s="4213"/>
      <c r="D161" s="1763">
        <f t="shared" si="110"/>
        <v>0</v>
      </c>
      <c r="E161" s="1764">
        <v>0</v>
      </c>
      <c r="F161" s="1764">
        <f t="shared" ref="F161:L161" si="115">+F162</f>
        <v>0</v>
      </c>
      <c r="G161" s="1764">
        <f t="shared" si="115"/>
        <v>0</v>
      </c>
      <c r="H161" s="1764">
        <f t="shared" si="115"/>
        <v>0</v>
      </c>
      <c r="I161" s="1764">
        <f t="shared" si="115"/>
        <v>0</v>
      </c>
      <c r="J161" s="1764">
        <f t="shared" si="115"/>
        <v>0</v>
      </c>
      <c r="K161" s="1764">
        <f t="shared" si="115"/>
        <v>0</v>
      </c>
      <c r="L161" s="1764">
        <f t="shared" si="115"/>
        <v>0</v>
      </c>
      <c r="M161" s="1766">
        <f t="shared" si="112"/>
        <v>0</v>
      </c>
      <c r="N161" s="1766">
        <f t="shared" si="112"/>
        <v>0</v>
      </c>
      <c r="O161" s="1747"/>
      <c r="P161" s="281"/>
    </row>
    <row r="162" spans="1:16" s="1258" customFormat="1" ht="24.75" hidden="1" customHeight="1">
      <c r="A162" s="4221"/>
      <c r="B162" s="1773" t="s">
        <v>285</v>
      </c>
      <c r="C162" s="4214"/>
      <c r="D162" s="1767">
        <f t="shared" si="110"/>
        <v>0</v>
      </c>
      <c r="E162" s="1768"/>
      <c r="F162" s="1767">
        <f>624800-624800</f>
        <v>0</v>
      </c>
      <c r="G162" s="1767">
        <f>312400-312400</f>
        <v>0</v>
      </c>
      <c r="H162" s="1767"/>
      <c r="I162" s="1767"/>
      <c r="J162" s="1769"/>
      <c r="K162" s="1769"/>
      <c r="L162" s="1767"/>
      <c r="M162" s="1770">
        <f t="shared" si="112"/>
        <v>0</v>
      </c>
      <c r="N162" s="1770">
        <f t="shared" si="112"/>
        <v>0</v>
      </c>
      <c r="O162" s="1747"/>
      <c r="P162" s="281"/>
    </row>
    <row r="163" spans="1:16" s="1258" customFormat="1" ht="13.5" hidden="1" customHeight="1">
      <c r="A163" s="4221"/>
      <c r="B163" s="21" t="s">
        <v>282</v>
      </c>
      <c r="C163" s="167"/>
      <c r="D163" s="1774">
        <f t="shared" si="110"/>
        <v>0</v>
      </c>
      <c r="E163" s="1774">
        <v>0</v>
      </c>
      <c r="F163" s="1774">
        <f t="shared" ref="F163:L163" si="116">+F164+F166</f>
        <v>0</v>
      </c>
      <c r="G163" s="1774">
        <f t="shared" si="116"/>
        <v>0</v>
      </c>
      <c r="H163" s="1774">
        <f t="shared" si="116"/>
        <v>0</v>
      </c>
      <c r="I163" s="1774">
        <f t="shared" si="116"/>
        <v>0</v>
      </c>
      <c r="J163" s="1774">
        <f t="shared" si="116"/>
        <v>0</v>
      </c>
      <c r="K163" s="1774">
        <f t="shared" si="116"/>
        <v>0</v>
      </c>
      <c r="L163" s="1774">
        <f t="shared" si="116"/>
        <v>0</v>
      </c>
      <c r="M163" s="4260" t="s">
        <v>61</v>
      </c>
      <c r="N163" s="4260" t="s">
        <v>61</v>
      </c>
      <c r="O163" s="1747"/>
      <c r="P163" s="281"/>
    </row>
    <row r="164" spans="1:16" s="1258" customFormat="1" ht="13.5" hidden="1" customHeight="1">
      <c r="A164" s="4221"/>
      <c r="B164" s="164" t="s">
        <v>24</v>
      </c>
      <c r="C164" s="4255" t="s">
        <v>291</v>
      </c>
      <c r="D164" s="1775">
        <f t="shared" si="110"/>
        <v>0</v>
      </c>
      <c r="E164" s="1776">
        <v>0</v>
      </c>
      <c r="F164" s="1776">
        <f t="shared" ref="F164:L164" si="117">+F165</f>
        <v>0</v>
      </c>
      <c r="G164" s="1776">
        <f t="shared" si="117"/>
        <v>0</v>
      </c>
      <c r="H164" s="1776">
        <f t="shared" si="117"/>
        <v>0</v>
      </c>
      <c r="I164" s="1776">
        <f t="shared" si="117"/>
        <v>0</v>
      </c>
      <c r="J164" s="1776">
        <f t="shared" si="117"/>
        <v>0</v>
      </c>
      <c r="K164" s="1776">
        <f t="shared" si="117"/>
        <v>0</v>
      </c>
      <c r="L164" s="1776">
        <f t="shared" si="117"/>
        <v>0</v>
      </c>
      <c r="M164" s="4203"/>
      <c r="N164" s="4203"/>
      <c r="O164" s="1747"/>
      <c r="P164" s="281"/>
    </row>
    <row r="165" spans="1:16" s="1258" customFormat="1" ht="13.5" hidden="1" customHeight="1">
      <c r="A165" s="4221"/>
      <c r="B165" s="1762" t="s">
        <v>62</v>
      </c>
      <c r="C165" s="4214"/>
      <c r="D165" s="1777">
        <f t="shared" si="110"/>
        <v>0</v>
      </c>
      <c r="E165" s="360"/>
      <c r="F165" s="1778"/>
      <c r="G165" s="1778"/>
      <c r="H165" s="1778"/>
      <c r="I165" s="1778"/>
      <c r="J165" s="1778"/>
      <c r="K165" s="1778"/>
      <c r="L165" s="1778"/>
      <c r="M165" s="4203"/>
      <c r="N165" s="4203"/>
      <c r="O165" s="1747"/>
      <c r="P165" s="281"/>
    </row>
    <row r="166" spans="1:16" s="1258" customFormat="1" ht="12" hidden="1" customHeight="1">
      <c r="A166" s="4221"/>
      <c r="B166" s="80" t="s">
        <v>18</v>
      </c>
      <c r="C166" s="4252" t="s">
        <v>251</v>
      </c>
      <c r="D166" s="1779">
        <f t="shared" si="110"/>
        <v>0</v>
      </c>
      <c r="E166" s="1780">
        <v>0</v>
      </c>
      <c r="F166" s="1780">
        <f t="shared" ref="F166:L166" si="118">+F167</f>
        <v>0</v>
      </c>
      <c r="G166" s="1780">
        <f t="shared" si="118"/>
        <v>0</v>
      </c>
      <c r="H166" s="1780">
        <f t="shared" si="118"/>
        <v>0</v>
      </c>
      <c r="I166" s="1780">
        <f t="shared" si="118"/>
        <v>0</v>
      </c>
      <c r="J166" s="1780">
        <f t="shared" si="118"/>
        <v>0</v>
      </c>
      <c r="K166" s="1780">
        <f t="shared" si="118"/>
        <v>0</v>
      </c>
      <c r="L166" s="1780">
        <f t="shared" si="118"/>
        <v>0</v>
      </c>
      <c r="M166" s="4203"/>
      <c r="N166" s="4203"/>
      <c r="O166" s="1747"/>
      <c r="P166" s="281"/>
    </row>
    <row r="167" spans="1:16" s="1258" customFormat="1" ht="15" hidden="1" customHeight="1">
      <c r="A167" s="4221"/>
      <c r="B167" s="1772" t="s">
        <v>21</v>
      </c>
      <c r="C167" s="4253"/>
      <c r="D167" s="1777">
        <f t="shared" si="110"/>
        <v>0</v>
      </c>
      <c r="E167" s="360">
        <v>0</v>
      </c>
      <c r="F167" s="360">
        <f t="shared" ref="F167:L167" si="119">+F168</f>
        <v>0</v>
      </c>
      <c r="G167" s="360">
        <f t="shared" si="119"/>
        <v>0</v>
      </c>
      <c r="H167" s="360">
        <f t="shared" si="119"/>
        <v>0</v>
      </c>
      <c r="I167" s="360">
        <f t="shared" si="119"/>
        <v>0</v>
      </c>
      <c r="J167" s="360">
        <f t="shared" si="119"/>
        <v>0</v>
      </c>
      <c r="K167" s="360">
        <f t="shared" si="119"/>
        <v>0</v>
      </c>
      <c r="L167" s="360">
        <f t="shared" si="119"/>
        <v>0</v>
      </c>
      <c r="M167" s="4203"/>
      <c r="N167" s="4203"/>
      <c r="O167" s="1747"/>
      <c r="P167" s="281"/>
    </row>
    <row r="168" spans="1:16" s="1258" customFormat="1" ht="24" hidden="1" customHeight="1">
      <c r="A168" s="2071"/>
      <c r="B168" s="1781" t="s">
        <v>279</v>
      </c>
      <c r="C168" s="4254"/>
      <c r="D168" s="1782">
        <f t="shared" si="110"/>
        <v>0</v>
      </c>
      <c r="E168" s="1783"/>
      <c r="F168" s="1782">
        <f>624800-624800</f>
        <v>0</v>
      </c>
      <c r="G168" s="1782">
        <f>312400-312400</f>
        <v>0</v>
      </c>
      <c r="H168" s="1782"/>
      <c r="I168" s="1782"/>
      <c r="J168" s="1782"/>
      <c r="K168" s="1782"/>
      <c r="L168" s="1782"/>
      <c r="M168" s="4264"/>
      <c r="N168" s="4264"/>
      <c r="O168" s="1747"/>
      <c r="P168" s="281"/>
    </row>
    <row r="169" spans="1:16" s="1258" customFormat="1" ht="15.75" hidden="1" customHeight="1">
      <c r="A169" s="4265" t="s">
        <v>538</v>
      </c>
      <c r="B169" s="1784" t="s">
        <v>284</v>
      </c>
      <c r="C169" s="1785" t="s">
        <v>82</v>
      </c>
      <c r="D169" s="1786"/>
      <c r="E169" s="1787"/>
      <c r="F169" s="1788"/>
      <c r="G169" s="1788"/>
      <c r="H169" s="1788"/>
      <c r="I169" s="1788"/>
      <c r="J169" s="1788"/>
      <c r="K169" s="1788"/>
      <c r="L169" s="1789"/>
      <c r="M169" s="1790"/>
      <c r="N169" s="1790"/>
      <c r="O169" s="1747"/>
      <c r="P169" s="281"/>
    </row>
    <row r="170" spans="1:16" s="1258" customFormat="1" ht="13.5" hidden="1" customHeight="1">
      <c r="A170" s="4221"/>
      <c r="B170" s="178" t="s">
        <v>10</v>
      </c>
      <c r="C170" s="1791"/>
      <c r="D170" s="363">
        <f t="shared" ref="D170:D177" si="120">SUM(E170:L170)</f>
        <v>32593801</v>
      </c>
      <c r="E170" s="1792">
        <f t="shared" ref="E170" si="121">+E171+E174</f>
        <v>360377</v>
      </c>
      <c r="F170" s="1792">
        <f t="shared" ref="F170:L170" si="122">+F171+F174</f>
        <v>1019503</v>
      </c>
      <c r="G170" s="1792">
        <f t="shared" si="122"/>
        <v>8928585</v>
      </c>
      <c r="H170" s="1792">
        <f t="shared" si="122"/>
        <v>22280336</v>
      </c>
      <c r="I170" s="1792">
        <f t="shared" si="122"/>
        <v>5000</v>
      </c>
      <c r="J170" s="1792">
        <f t="shared" si="122"/>
        <v>0</v>
      </c>
      <c r="K170" s="1792">
        <f t="shared" si="122"/>
        <v>0</v>
      </c>
      <c r="L170" s="1792">
        <f t="shared" si="122"/>
        <v>0</v>
      </c>
      <c r="M170" s="1725">
        <f>+M171+M174</f>
        <v>32233424</v>
      </c>
      <c r="N170" s="1725">
        <f>+N171+N174</f>
        <v>31213921</v>
      </c>
      <c r="O170" s="1747"/>
      <c r="P170" s="281"/>
    </row>
    <row r="171" spans="1:16" s="1258" customFormat="1" ht="14.25" hidden="1" customHeight="1">
      <c r="A171" s="4221"/>
      <c r="B171" s="209" t="s">
        <v>24</v>
      </c>
      <c r="C171" s="4212" t="s">
        <v>291</v>
      </c>
      <c r="D171" s="1793">
        <f t="shared" si="120"/>
        <v>4343801</v>
      </c>
      <c r="E171" s="1794">
        <f t="shared" ref="E171" si="123">+E172+E173</f>
        <v>0</v>
      </c>
      <c r="F171" s="1794">
        <f t="shared" ref="F171:L171" si="124">+F172+F173</f>
        <v>17645</v>
      </c>
      <c r="G171" s="1794">
        <f t="shared" si="124"/>
        <v>1450938</v>
      </c>
      <c r="H171" s="1794">
        <f t="shared" si="124"/>
        <v>2870218</v>
      </c>
      <c r="I171" s="1794">
        <f t="shared" si="124"/>
        <v>5000</v>
      </c>
      <c r="J171" s="1794">
        <f t="shared" si="124"/>
        <v>0</v>
      </c>
      <c r="K171" s="1794">
        <f t="shared" si="124"/>
        <v>0</v>
      </c>
      <c r="L171" s="1794">
        <f t="shared" si="124"/>
        <v>0</v>
      </c>
      <c r="M171" s="1795">
        <f>+M172+M173</f>
        <v>4343801</v>
      </c>
      <c r="N171" s="1795">
        <f>+N172+N173</f>
        <v>4326156</v>
      </c>
      <c r="O171" s="1747"/>
      <c r="P171" s="281"/>
    </row>
    <row r="172" spans="1:16" s="1258" customFormat="1" ht="15" hidden="1" customHeight="1">
      <c r="A172" s="4221"/>
      <c r="B172" s="1762" t="s">
        <v>12</v>
      </c>
      <c r="C172" s="4213"/>
      <c r="D172" s="1796">
        <f t="shared" si="120"/>
        <v>4343801</v>
      </c>
      <c r="E172" s="1797">
        <v>0</v>
      </c>
      <c r="F172" s="1796">
        <f>2771900+1650960-4222860-196679+14324</f>
        <v>17645</v>
      </c>
      <c r="G172" s="1796">
        <f>1331570+1528290+1746993-424083+157710-2889542</f>
        <v>1450938</v>
      </c>
      <c r="H172" s="1796">
        <v>2870218</v>
      </c>
      <c r="I172" s="1796">
        <v>5000</v>
      </c>
      <c r="J172" s="1796"/>
      <c r="K172" s="1796"/>
      <c r="L172" s="1796"/>
      <c r="M172" s="1798">
        <f>SUM(F172:K172)</f>
        <v>4343801</v>
      </c>
      <c r="N172" s="1798">
        <f>SUM(G172:L172)</f>
        <v>4326156</v>
      </c>
      <c r="O172" s="1747"/>
      <c r="P172" s="281"/>
    </row>
    <row r="173" spans="1:16" s="1258" customFormat="1" ht="17.25" hidden="1" customHeight="1">
      <c r="A173" s="4221"/>
      <c r="B173" s="1762" t="s">
        <v>62</v>
      </c>
      <c r="C173" s="4213"/>
      <c r="D173" s="1799">
        <f t="shared" si="120"/>
        <v>0</v>
      </c>
      <c r="E173" s="1800"/>
      <c r="F173" s="1799"/>
      <c r="G173" s="1799"/>
      <c r="H173" s="1799"/>
      <c r="I173" s="1799"/>
      <c r="J173" s="1799"/>
      <c r="K173" s="1799"/>
      <c r="L173" s="1799"/>
      <c r="M173" s="1798">
        <f>SUM(F173:K173)</f>
        <v>0</v>
      </c>
      <c r="N173" s="1798">
        <f>SUM(G173:L173)</f>
        <v>0</v>
      </c>
      <c r="O173" s="1747"/>
      <c r="P173" s="281"/>
    </row>
    <row r="174" spans="1:16" s="246" customFormat="1" ht="15.75" hidden="1" customHeight="1">
      <c r="A174" s="4221"/>
      <c r="B174" s="629" t="s">
        <v>18</v>
      </c>
      <c r="C174" s="4213"/>
      <c r="D174" s="1793">
        <f t="shared" si="120"/>
        <v>28250000</v>
      </c>
      <c r="E174" s="1793">
        <f>+E175</f>
        <v>360377</v>
      </c>
      <c r="F174" s="1793">
        <f>+F175</f>
        <v>1001858</v>
      </c>
      <c r="G174" s="1793">
        <f t="shared" ref="G174:L174" si="125">+G175</f>
        <v>7477647</v>
      </c>
      <c r="H174" s="1793">
        <f t="shared" si="125"/>
        <v>19410118</v>
      </c>
      <c r="I174" s="1793">
        <f t="shared" si="125"/>
        <v>0</v>
      </c>
      <c r="J174" s="1793">
        <f t="shared" si="125"/>
        <v>0</v>
      </c>
      <c r="K174" s="1793">
        <f t="shared" si="125"/>
        <v>0</v>
      </c>
      <c r="L174" s="1793">
        <f t="shared" si="125"/>
        <v>0</v>
      </c>
      <c r="M174" s="1795">
        <f>+M175</f>
        <v>27889623</v>
      </c>
      <c r="N174" s="1795">
        <f>+N175</f>
        <v>26887765</v>
      </c>
      <c r="O174" s="1747"/>
      <c r="P174" s="321"/>
    </row>
    <row r="175" spans="1:16" s="1258" customFormat="1" ht="13.5" hidden="1" customHeight="1">
      <c r="A175" s="4221"/>
      <c r="B175" s="1772" t="s">
        <v>21</v>
      </c>
      <c r="C175" s="4213"/>
      <c r="D175" s="1796">
        <f t="shared" si="120"/>
        <v>28250000</v>
      </c>
      <c r="E175" s="1797">
        <f>+E176+E177</f>
        <v>360377</v>
      </c>
      <c r="F175" s="1797">
        <f>+F176+F177</f>
        <v>1001858</v>
      </c>
      <c r="G175" s="1797">
        <f t="shared" ref="G175:L175" si="126">+G176+G177</f>
        <v>7477647</v>
      </c>
      <c r="H175" s="1797">
        <f t="shared" si="126"/>
        <v>19410118</v>
      </c>
      <c r="I175" s="1797">
        <f t="shared" si="126"/>
        <v>0</v>
      </c>
      <c r="J175" s="1797">
        <f t="shared" si="126"/>
        <v>0</v>
      </c>
      <c r="K175" s="1797">
        <f t="shared" si="126"/>
        <v>0</v>
      </c>
      <c r="L175" s="1797">
        <f t="shared" si="126"/>
        <v>0</v>
      </c>
      <c r="M175" s="1798">
        <f>+M176+M177</f>
        <v>27889623</v>
      </c>
      <c r="N175" s="1798">
        <f>+N176+N177</f>
        <v>26887765</v>
      </c>
      <c r="O175" s="1747"/>
      <c r="P175" s="281"/>
    </row>
    <row r="176" spans="1:16" s="1258" customFormat="1" ht="27" hidden="1" customHeight="1">
      <c r="A176" s="4221"/>
      <c r="B176" s="1773" t="s">
        <v>279</v>
      </c>
      <c r="C176" s="4213"/>
      <c r="D176" s="1799">
        <f t="shared" si="120"/>
        <v>18000000</v>
      </c>
      <c r="E176" s="1800">
        <v>360377</v>
      </c>
      <c r="F176" s="1799">
        <f>6627800+624800-3893137-346286-1929747-81572</f>
        <v>1001858</v>
      </c>
      <c r="G176" s="1799">
        <f>8003000+624800+1372200+2609637-7314788</f>
        <v>5294849</v>
      </c>
      <c r="H176" s="1799">
        <f>3584737+432072+5314788+1929747+81572</f>
        <v>11342916</v>
      </c>
      <c r="I176" s="1799">
        <v>0</v>
      </c>
      <c r="J176" s="1799">
        <v>0</v>
      </c>
      <c r="K176" s="1799">
        <v>0</v>
      </c>
      <c r="L176" s="1799">
        <v>0</v>
      </c>
      <c r="M176" s="1798">
        <f>SUM(F176:K176)</f>
        <v>17639623</v>
      </c>
      <c r="N176" s="1798">
        <f>SUM(G176:L176)</f>
        <v>16637765</v>
      </c>
      <c r="O176" s="1747"/>
      <c r="P176" s="281"/>
    </row>
    <row r="177" spans="1:16" s="1258" customFormat="1" ht="21.75" hidden="1" customHeight="1">
      <c r="A177" s="4221"/>
      <c r="B177" s="1773" t="s">
        <v>280</v>
      </c>
      <c r="C177" s="4214"/>
      <c r="D177" s="1799">
        <f t="shared" si="120"/>
        <v>10250000</v>
      </c>
      <c r="E177" s="1800">
        <v>0</v>
      </c>
      <c r="F177" s="1799">
        <f>3000000-3000000</f>
        <v>0</v>
      </c>
      <c r="G177" s="1799">
        <f>7000000+143000-583000-2342700-2034502</f>
        <v>2182798</v>
      </c>
      <c r="H177" s="1799">
        <f>2857000+833000+2295496+2081706</f>
        <v>8067202</v>
      </c>
      <c r="I177" s="1799">
        <f>47204-47204</f>
        <v>0</v>
      </c>
      <c r="J177" s="1799">
        <v>0</v>
      </c>
      <c r="K177" s="1799">
        <v>0</v>
      </c>
      <c r="L177" s="1799">
        <v>0</v>
      </c>
      <c r="M177" s="1798">
        <f>SUM(F177:K177)</f>
        <v>10250000</v>
      </c>
      <c r="N177" s="1798">
        <f>SUM(G177:L177)</f>
        <v>10250000</v>
      </c>
      <c r="O177" s="1747"/>
      <c r="P177" s="281"/>
    </row>
    <row r="178" spans="1:16" s="1258" customFormat="1" ht="17.25" hidden="1" customHeight="1">
      <c r="A178" s="4221"/>
      <c r="B178" s="178" t="s">
        <v>282</v>
      </c>
      <c r="C178" s="167"/>
      <c r="D178" s="1792">
        <f t="shared" ref="D178:L178" si="127">+D179+D181</f>
        <v>28250000</v>
      </c>
      <c r="E178" s="1792">
        <f t="shared" ref="E178" si="128">+E179+E181</f>
        <v>226180</v>
      </c>
      <c r="F178" s="1792">
        <f t="shared" si="127"/>
        <v>1022720</v>
      </c>
      <c r="G178" s="1792">
        <f t="shared" si="127"/>
        <v>7477647</v>
      </c>
      <c r="H178" s="1792">
        <f t="shared" si="127"/>
        <v>19410118</v>
      </c>
      <c r="I178" s="1792">
        <f t="shared" si="127"/>
        <v>113335</v>
      </c>
      <c r="J178" s="1792">
        <f t="shared" si="127"/>
        <v>0</v>
      </c>
      <c r="K178" s="1792">
        <f t="shared" si="127"/>
        <v>0</v>
      </c>
      <c r="L178" s="1792">
        <f t="shared" si="127"/>
        <v>0</v>
      </c>
      <c r="M178" s="4262" t="s">
        <v>61</v>
      </c>
      <c r="N178" s="4262" t="s">
        <v>61</v>
      </c>
      <c r="O178" s="1747"/>
      <c r="P178" s="281"/>
    </row>
    <row r="179" spans="1:16" s="1258" customFormat="1" ht="13.5" hidden="1" customHeight="1">
      <c r="A179" s="4221"/>
      <c r="B179" s="209" t="s">
        <v>24</v>
      </c>
      <c r="C179" s="4212" t="s">
        <v>291</v>
      </c>
      <c r="D179" s="1793">
        <f t="shared" ref="D179:D184" si="129">SUM(E179:L179)</f>
        <v>0</v>
      </c>
      <c r="E179" s="1794">
        <f t="shared" ref="E179:L179" si="130">+E180</f>
        <v>0</v>
      </c>
      <c r="F179" s="1794">
        <f t="shared" si="130"/>
        <v>0</v>
      </c>
      <c r="G179" s="1794">
        <f t="shared" si="130"/>
        <v>0</v>
      </c>
      <c r="H179" s="1794">
        <f t="shared" si="130"/>
        <v>0</v>
      </c>
      <c r="I179" s="1794">
        <f t="shared" si="130"/>
        <v>0</v>
      </c>
      <c r="J179" s="1794">
        <f t="shared" si="130"/>
        <v>0</v>
      </c>
      <c r="K179" s="1794">
        <f t="shared" si="130"/>
        <v>0</v>
      </c>
      <c r="L179" s="1794">
        <f t="shared" si="130"/>
        <v>0</v>
      </c>
      <c r="M179" s="4247"/>
      <c r="N179" s="4247"/>
      <c r="O179" s="1747"/>
      <c r="P179" s="281"/>
    </row>
    <row r="180" spans="1:16" s="1258" customFormat="1" ht="15" hidden="1" customHeight="1">
      <c r="A180" s="4221"/>
      <c r="B180" s="1762" t="s">
        <v>62</v>
      </c>
      <c r="C180" s="4214"/>
      <c r="D180" s="1799">
        <f t="shared" si="129"/>
        <v>0</v>
      </c>
      <c r="E180" s="1799"/>
      <c r="F180" s="1799"/>
      <c r="G180" s="1799"/>
      <c r="H180" s="1799"/>
      <c r="I180" s="1799"/>
      <c r="J180" s="1799"/>
      <c r="K180" s="1799"/>
      <c r="L180" s="1799"/>
      <c r="M180" s="4247"/>
      <c r="N180" s="4247"/>
      <c r="O180" s="1747"/>
      <c r="P180" s="281"/>
    </row>
    <row r="181" spans="1:16" s="1258" customFormat="1" ht="18.75" hidden="1" customHeight="1">
      <c r="A181" s="4221"/>
      <c r="B181" s="629" t="s">
        <v>18</v>
      </c>
      <c r="C181" s="4212" t="s">
        <v>297</v>
      </c>
      <c r="D181" s="1793">
        <f t="shared" si="129"/>
        <v>28250000</v>
      </c>
      <c r="E181" s="1794">
        <f t="shared" ref="E181:L181" si="131">+E182</f>
        <v>226180</v>
      </c>
      <c r="F181" s="1794">
        <f t="shared" si="131"/>
        <v>1022720</v>
      </c>
      <c r="G181" s="1794">
        <f t="shared" si="131"/>
        <v>7477647</v>
      </c>
      <c r="H181" s="1794">
        <f t="shared" si="131"/>
        <v>19410118</v>
      </c>
      <c r="I181" s="1794">
        <f t="shared" si="131"/>
        <v>113335</v>
      </c>
      <c r="J181" s="1794">
        <f t="shared" si="131"/>
        <v>0</v>
      </c>
      <c r="K181" s="1794">
        <f t="shared" si="131"/>
        <v>0</v>
      </c>
      <c r="L181" s="1794">
        <f t="shared" si="131"/>
        <v>0</v>
      </c>
      <c r="M181" s="4247"/>
      <c r="N181" s="4247"/>
      <c r="O181" s="1747"/>
      <c r="P181" s="281"/>
    </row>
    <row r="182" spans="1:16" s="1258" customFormat="1" ht="18" hidden="1" customHeight="1">
      <c r="A182" s="4266"/>
      <c r="B182" s="381" t="s">
        <v>21</v>
      </c>
      <c r="C182" s="4217"/>
      <c r="D182" s="1796">
        <f t="shared" si="129"/>
        <v>28250000</v>
      </c>
      <c r="E182" s="1796">
        <f t="shared" ref="E182:L182" si="132">+E183+E184</f>
        <v>226180</v>
      </c>
      <c r="F182" s="1796">
        <f t="shared" si="132"/>
        <v>1022720</v>
      </c>
      <c r="G182" s="1796">
        <f t="shared" si="132"/>
        <v>7477647</v>
      </c>
      <c r="H182" s="1796">
        <f t="shared" si="132"/>
        <v>19410118</v>
      </c>
      <c r="I182" s="1796">
        <f t="shared" si="132"/>
        <v>113335</v>
      </c>
      <c r="J182" s="1796">
        <f t="shared" si="132"/>
        <v>0</v>
      </c>
      <c r="K182" s="1796">
        <f t="shared" si="132"/>
        <v>0</v>
      </c>
      <c r="L182" s="1796">
        <f t="shared" si="132"/>
        <v>0</v>
      </c>
      <c r="M182" s="4247"/>
      <c r="N182" s="4247"/>
      <c r="O182" s="1747"/>
      <c r="P182" s="281"/>
    </row>
    <row r="183" spans="1:16" s="1258" customFormat="1" ht="22.5" hidden="1" customHeight="1">
      <c r="A183" s="1801"/>
      <c r="B183" s="1743" t="s">
        <v>286</v>
      </c>
      <c r="C183" s="1802" t="s">
        <v>251</v>
      </c>
      <c r="D183" s="1799">
        <f t="shared" si="129"/>
        <v>18000000</v>
      </c>
      <c r="E183" s="1800">
        <v>226180</v>
      </c>
      <c r="F183" s="1799">
        <f>6627800+624800-3893137-212089-2062295-62359</f>
        <v>1022720</v>
      </c>
      <c r="G183" s="1799">
        <f>8003000+624800+1372200+2609637-7314788</f>
        <v>5294849</v>
      </c>
      <c r="H183" s="1799">
        <f>3584737+432072+5314788+2062295-50976</f>
        <v>11342916</v>
      </c>
      <c r="I183" s="1799">
        <v>113335</v>
      </c>
      <c r="J183" s="1799"/>
      <c r="K183" s="1799"/>
      <c r="L183" s="1799"/>
      <c r="M183" s="4247"/>
      <c r="N183" s="4247"/>
      <c r="O183" s="1747"/>
      <c r="P183" s="281"/>
    </row>
    <row r="184" spans="1:16" s="1258" customFormat="1" ht="24" hidden="1" customHeight="1">
      <c r="A184" s="1801"/>
      <c r="B184" s="1773" t="s">
        <v>287</v>
      </c>
      <c r="C184" s="1802" t="s">
        <v>226</v>
      </c>
      <c r="D184" s="1796">
        <f t="shared" si="129"/>
        <v>10250000</v>
      </c>
      <c r="E184" s="1797"/>
      <c r="F184" s="1796">
        <f>3000000-3000000</f>
        <v>0</v>
      </c>
      <c r="G184" s="1796">
        <f>7000000+143000-583000-2342700-2034502</f>
        <v>2182798</v>
      </c>
      <c r="H184" s="1796">
        <f>2857000+833000+2295496+2081706</f>
        <v>8067202</v>
      </c>
      <c r="I184" s="1796">
        <f>47204-47204</f>
        <v>0</v>
      </c>
      <c r="J184" s="1796"/>
      <c r="K184" s="1796"/>
      <c r="L184" s="1796"/>
      <c r="M184" s="4263"/>
      <c r="N184" s="4263"/>
      <c r="O184" s="1747"/>
      <c r="P184" s="281"/>
    </row>
    <row r="185" spans="1:16" s="1258" customFormat="1" ht="15" hidden="1" customHeight="1">
      <c r="A185" s="4221" t="s">
        <v>307</v>
      </c>
      <c r="B185" s="1753" t="s">
        <v>288</v>
      </c>
      <c r="C185" s="1754" t="s">
        <v>110</v>
      </c>
      <c r="D185" s="1803"/>
      <c r="E185" s="1804"/>
      <c r="F185" s="1805"/>
      <c r="G185" s="1805"/>
      <c r="H185" s="1805"/>
      <c r="I185" s="1805"/>
      <c r="J185" s="1805"/>
      <c r="K185" s="1805"/>
      <c r="L185" s="1806"/>
      <c r="M185" s="1807"/>
      <c r="N185" s="1807"/>
      <c r="O185" s="1747"/>
      <c r="P185" s="281"/>
    </row>
    <row r="186" spans="1:16" s="1258" customFormat="1" ht="13.5" hidden="1" customHeight="1">
      <c r="A186" s="4221"/>
      <c r="B186" s="79" t="s">
        <v>10</v>
      </c>
      <c r="C186" s="1808"/>
      <c r="D186" s="1124">
        <f>+D187+D189</f>
        <v>0</v>
      </c>
      <c r="E186" s="1124">
        <v>0</v>
      </c>
      <c r="F186" s="1124">
        <f t="shared" ref="F186:L186" si="133">+F187+F189</f>
        <v>0</v>
      </c>
      <c r="G186" s="1124">
        <f t="shared" si="133"/>
        <v>0</v>
      </c>
      <c r="H186" s="1124">
        <f t="shared" si="133"/>
        <v>0</v>
      </c>
      <c r="I186" s="1124">
        <f t="shared" si="133"/>
        <v>0</v>
      </c>
      <c r="J186" s="1124">
        <f t="shared" si="133"/>
        <v>0</v>
      </c>
      <c r="K186" s="1124">
        <f t="shared" si="133"/>
        <v>0</v>
      </c>
      <c r="L186" s="1124">
        <f t="shared" si="133"/>
        <v>0</v>
      </c>
      <c r="M186" s="1809">
        <f>+M187+M189</f>
        <v>0</v>
      </c>
      <c r="N186" s="1809">
        <f>+N187+N189</f>
        <v>0</v>
      </c>
      <c r="O186" s="1747"/>
      <c r="P186" s="281"/>
    </row>
    <row r="187" spans="1:16" s="1258" customFormat="1" ht="13.5" hidden="1" customHeight="1">
      <c r="A187" s="4221"/>
      <c r="B187" s="1392" t="s">
        <v>24</v>
      </c>
      <c r="C187" s="4267" t="s">
        <v>291</v>
      </c>
      <c r="D187" s="1775">
        <f>SUM(E187:L187)</f>
        <v>0</v>
      </c>
      <c r="E187" s="1776">
        <v>0</v>
      </c>
      <c r="F187" s="1776">
        <f t="shared" ref="F187:L187" si="134">+F188</f>
        <v>0</v>
      </c>
      <c r="G187" s="1776">
        <f t="shared" si="134"/>
        <v>0</v>
      </c>
      <c r="H187" s="1776">
        <f t="shared" si="134"/>
        <v>0</v>
      </c>
      <c r="I187" s="1776">
        <f t="shared" si="134"/>
        <v>0</v>
      </c>
      <c r="J187" s="1776">
        <f t="shared" si="134"/>
        <v>0</v>
      </c>
      <c r="K187" s="1776">
        <f t="shared" si="134"/>
        <v>0</v>
      </c>
      <c r="L187" s="1776">
        <f t="shared" si="134"/>
        <v>0</v>
      </c>
      <c r="M187" s="1810">
        <f t="shared" ref="M187:N191" si="135">SUM(D187:K187)</f>
        <v>0</v>
      </c>
      <c r="N187" s="1810">
        <f t="shared" si="135"/>
        <v>0</v>
      </c>
      <c r="O187" s="1747"/>
      <c r="P187" s="281"/>
    </row>
    <row r="188" spans="1:16" s="1258" customFormat="1" ht="13.5" hidden="1" customHeight="1">
      <c r="A188" s="4221"/>
      <c r="B188" s="1811" t="s">
        <v>12</v>
      </c>
      <c r="C188" s="4268"/>
      <c r="D188" s="1778">
        <f>SUM(E188:L188)</f>
        <v>0</v>
      </c>
      <c r="E188" s="1812">
        <v>0</v>
      </c>
      <c r="F188" s="1778">
        <v>0</v>
      </c>
      <c r="G188" s="1778">
        <v>0</v>
      </c>
      <c r="H188" s="1778">
        <v>0</v>
      </c>
      <c r="I188" s="1778">
        <v>0</v>
      </c>
      <c r="J188" s="1778">
        <v>0</v>
      </c>
      <c r="K188" s="1778">
        <v>0</v>
      </c>
      <c r="L188" s="1778"/>
      <c r="M188" s="1813">
        <f t="shared" si="135"/>
        <v>0</v>
      </c>
      <c r="N188" s="1813">
        <f t="shared" si="135"/>
        <v>0</v>
      </c>
      <c r="O188" s="1747"/>
      <c r="P188" s="281"/>
    </row>
    <row r="189" spans="1:16" s="1258" customFormat="1" ht="13.5" hidden="1" customHeight="1">
      <c r="A189" s="4221"/>
      <c r="B189" s="80" t="s">
        <v>18</v>
      </c>
      <c r="C189" s="4209" t="s">
        <v>149</v>
      </c>
      <c r="D189" s="1775">
        <f>SUM(E189:L189)</f>
        <v>0</v>
      </c>
      <c r="E189" s="1776">
        <v>0</v>
      </c>
      <c r="F189" s="1776">
        <f t="shared" ref="F189:L189" si="136">+F190</f>
        <v>0</v>
      </c>
      <c r="G189" s="1776">
        <f t="shared" si="136"/>
        <v>0</v>
      </c>
      <c r="H189" s="1776">
        <f t="shared" si="136"/>
        <v>0</v>
      </c>
      <c r="I189" s="1776">
        <f t="shared" si="136"/>
        <v>0</v>
      </c>
      <c r="J189" s="1776">
        <f t="shared" si="136"/>
        <v>0</v>
      </c>
      <c r="K189" s="1776">
        <f t="shared" si="136"/>
        <v>0</v>
      </c>
      <c r="L189" s="1776">
        <f t="shared" si="136"/>
        <v>0</v>
      </c>
      <c r="M189" s="1810">
        <f t="shared" si="135"/>
        <v>0</v>
      </c>
      <c r="N189" s="1810">
        <f t="shared" si="135"/>
        <v>0</v>
      </c>
      <c r="O189" s="1747"/>
      <c r="P189" s="281"/>
    </row>
    <row r="190" spans="1:16" s="1258" customFormat="1" ht="13.5" hidden="1" customHeight="1">
      <c r="A190" s="4221"/>
      <c r="B190" s="1772" t="s">
        <v>21</v>
      </c>
      <c r="C190" s="4215"/>
      <c r="D190" s="1777">
        <f>SUM(E190:L190)</f>
        <v>0</v>
      </c>
      <c r="E190" s="360">
        <v>0</v>
      </c>
      <c r="F190" s="360">
        <f t="shared" ref="F190:L190" si="137">+F191</f>
        <v>0</v>
      </c>
      <c r="G190" s="360">
        <f t="shared" si="137"/>
        <v>0</v>
      </c>
      <c r="H190" s="360">
        <f t="shared" si="137"/>
        <v>0</v>
      </c>
      <c r="I190" s="360">
        <f t="shared" si="137"/>
        <v>0</v>
      </c>
      <c r="J190" s="360">
        <f t="shared" si="137"/>
        <v>0</v>
      </c>
      <c r="K190" s="360">
        <f t="shared" si="137"/>
        <v>0</v>
      </c>
      <c r="L190" s="360">
        <f t="shared" si="137"/>
        <v>0</v>
      </c>
      <c r="M190" s="1814">
        <f t="shared" si="135"/>
        <v>0</v>
      </c>
      <c r="N190" s="1814">
        <f t="shared" si="135"/>
        <v>0</v>
      </c>
      <c r="O190" s="1747"/>
      <c r="P190" s="281"/>
    </row>
    <row r="191" spans="1:16" s="1258" customFormat="1" ht="22.5" hidden="1" customHeight="1">
      <c r="A191" s="4221"/>
      <c r="B191" s="1815" t="s">
        <v>285</v>
      </c>
      <c r="C191" s="4216"/>
      <c r="D191" s="1778">
        <f>SUM(E191:L191)</f>
        <v>0</v>
      </c>
      <c r="E191" s="1812">
        <v>0</v>
      </c>
      <c r="F191" s="1778">
        <v>0</v>
      </c>
      <c r="G191" s="1778">
        <f>312400-312400</f>
        <v>0</v>
      </c>
      <c r="H191" s="1778">
        <f>624800-624800</f>
        <v>0</v>
      </c>
      <c r="I191" s="1778">
        <f>625000-625000</f>
        <v>0</v>
      </c>
      <c r="J191" s="1778">
        <v>0</v>
      </c>
      <c r="K191" s="1778">
        <v>0</v>
      </c>
      <c r="L191" s="1778">
        <v>0</v>
      </c>
      <c r="M191" s="1813">
        <f t="shared" si="135"/>
        <v>0</v>
      </c>
      <c r="N191" s="1813">
        <f t="shared" si="135"/>
        <v>0</v>
      </c>
      <c r="O191" s="1747"/>
      <c r="P191" s="281"/>
    </row>
    <row r="192" spans="1:16" s="1258" customFormat="1" ht="13.5" hidden="1" customHeight="1">
      <c r="A192" s="4221"/>
      <c r="B192" s="79" t="s">
        <v>282</v>
      </c>
      <c r="C192" s="171"/>
      <c r="D192" s="323">
        <f>+D193</f>
        <v>0</v>
      </c>
      <c r="E192" s="323">
        <v>0</v>
      </c>
      <c r="F192" s="323">
        <f t="shared" ref="F192:L192" si="138">+F193</f>
        <v>0</v>
      </c>
      <c r="G192" s="323">
        <f t="shared" si="138"/>
        <v>0</v>
      </c>
      <c r="H192" s="323">
        <f t="shared" si="138"/>
        <v>0</v>
      </c>
      <c r="I192" s="323">
        <f t="shared" si="138"/>
        <v>0</v>
      </c>
      <c r="J192" s="323">
        <f t="shared" si="138"/>
        <v>0</v>
      </c>
      <c r="K192" s="323">
        <f t="shared" si="138"/>
        <v>0</v>
      </c>
      <c r="L192" s="323">
        <f t="shared" si="138"/>
        <v>0</v>
      </c>
      <c r="M192" s="4211" t="s">
        <v>61</v>
      </c>
      <c r="N192" s="4211" t="s">
        <v>61</v>
      </c>
      <c r="O192" s="1747"/>
      <c r="P192" s="281"/>
    </row>
    <row r="193" spans="1:16" s="1258" customFormat="1" ht="13.5" hidden="1" customHeight="1">
      <c r="A193" s="4221"/>
      <c r="B193" s="80" t="s">
        <v>18</v>
      </c>
      <c r="C193" s="4209" t="s">
        <v>251</v>
      </c>
      <c r="D193" s="1775">
        <f>SUM(E193:L193)</f>
        <v>0</v>
      </c>
      <c r="E193" s="367">
        <v>0</v>
      </c>
      <c r="F193" s="367">
        <f t="shared" ref="F193:L194" si="139">+F194</f>
        <v>0</v>
      </c>
      <c r="G193" s="367">
        <f t="shared" si="139"/>
        <v>0</v>
      </c>
      <c r="H193" s="367">
        <f t="shared" si="139"/>
        <v>0</v>
      </c>
      <c r="I193" s="367">
        <f t="shared" si="139"/>
        <v>0</v>
      </c>
      <c r="J193" s="367">
        <f t="shared" si="139"/>
        <v>0</v>
      </c>
      <c r="K193" s="367">
        <f t="shared" si="139"/>
        <v>0</v>
      </c>
      <c r="L193" s="367">
        <f t="shared" si="139"/>
        <v>0</v>
      </c>
      <c r="M193" s="4203"/>
      <c r="N193" s="4203"/>
      <c r="O193" s="1747"/>
      <c r="P193" s="281"/>
    </row>
    <row r="194" spans="1:16" s="1258" customFormat="1" ht="13.5" hidden="1" customHeight="1" thickBot="1">
      <c r="A194" s="4222"/>
      <c r="B194" s="78" t="s">
        <v>21</v>
      </c>
      <c r="C194" s="4210"/>
      <c r="D194" s="1816">
        <f>SUM(E194:L194)</f>
        <v>0</v>
      </c>
      <c r="E194" s="1817">
        <v>0</v>
      </c>
      <c r="F194" s="1817">
        <f t="shared" si="139"/>
        <v>0</v>
      </c>
      <c r="G194" s="1817">
        <f t="shared" si="139"/>
        <v>0</v>
      </c>
      <c r="H194" s="1817">
        <f t="shared" si="139"/>
        <v>0</v>
      </c>
      <c r="I194" s="1817">
        <f t="shared" si="139"/>
        <v>0</v>
      </c>
      <c r="J194" s="1817">
        <f t="shared" si="139"/>
        <v>0</v>
      </c>
      <c r="K194" s="1817">
        <f t="shared" si="139"/>
        <v>0</v>
      </c>
      <c r="L194" s="1817">
        <f t="shared" si="139"/>
        <v>0</v>
      </c>
      <c r="M194" s="4204"/>
      <c r="N194" s="4204"/>
      <c r="O194" s="1752"/>
      <c r="P194" s="281">
        <f>+D190+D201</f>
        <v>41000000</v>
      </c>
    </row>
    <row r="195" spans="1:16" s="1258" customFormat="1" ht="12" hidden="1" customHeight="1" thickBot="1">
      <c r="A195" s="1818"/>
      <c r="B195" s="1819" t="s">
        <v>279</v>
      </c>
      <c r="C195" s="1820"/>
      <c r="D195" s="1821">
        <f>SUM(E195:L195)</f>
        <v>0</v>
      </c>
      <c r="E195" s="1822"/>
      <c r="F195" s="1821">
        <v>0</v>
      </c>
      <c r="G195" s="1821">
        <f>312400-312400</f>
        <v>0</v>
      </c>
      <c r="H195" s="1821">
        <f>624800-624800</f>
        <v>0</v>
      </c>
      <c r="I195" s="1821">
        <f>625000-625000</f>
        <v>0</v>
      </c>
      <c r="J195" s="1823"/>
      <c r="K195" s="1823"/>
      <c r="L195" s="1821"/>
      <c r="M195" s="1824"/>
      <c r="N195" s="1824"/>
      <c r="O195" s="1752"/>
      <c r="P195" s="281"/>
    </row>
    <row r="196" spans="1:16" s="1258" customFormat="1" ht="16.5" hidden="1" customHeight="1">
      <c r="A196" s="4221" t="s">
        <v>306</v>
      </c>
      <c r="B196" s="1753" t="s">
        <v>288</v>
      </c>
      <c r="C196" s="1825" t="s">
        <v>82</v>
      </c>
      <c r="D196" s="1755"/>
      <c r="E196" s="1756"/>
      <c r="F196" s="1757"/>
      <c r="G196" s="1757"/>
      <c r="H196" s="1757"/>
      <c r="I196" s="1757"/>
      <c r="J196" s="1757"/>
      <c r="K196" s="1757"/>
      <c r="L196" s="1758"/>
      <c r="M196" s="2070"/>
      <c r="N196" s="2070"/>
      <c r="O196" s="1747"/>
      <c r="P196" s="281"/>
    </row>
    <row r="197" spans="1:16" s="1258" customFormat="1" ht="13.5" hidden="1" customHeight="1">
      <c r="A197" s="4221"/>
      <c r="B197" s="79" t="s">
        <v>10</v>
      </c>
      <c r="C197" s="1826"/>
      <c r="D197" s="1124">
        <f t="shared" ref="D197:N197" si="140">+D198+D201</f>
        <v>65558309</v>
      </c>
      <c r="E197" s="1124">
        <v>0</v>
      </c>
      <c r="F197" s="1124">
        <f t="shared" si="140"/>
        <v>0</v>
      </c>
      <c r="G197" s="1124">
        <f t="shared" si="140"/>
        <v>153715</v>
      </c>
      <c r="H197" s="1124">
        <f t="shared" si="140"/>
        <v>35816009</v>
      </c>
      <c r="I197" s="1124">
        <f t="shared" si="140"/>
        <v>29588585</v>
      </c>
      <c r="J197" s="1124">
        <f t="shared" si="140"/>
        <v>0</v>
      </c>
      <c r="K197" s="1124">
        <f t="shared" si="140"/>
        <v>0</v>
      </c>
      <c r="L197" s="1124">
        <f t="shared" si="140"/>
        <v>0</v>
      </c>
      <c r="M197" s="326">
        <f t="shared" ref="M197" si="141">+M198+M201</f>
        <v>65558309</v>
      </c>
      <c r="N197" s="326">
        <f t="shared" si="140"/>
        <v>65558309</v>
      </c>
      <c r="O197" s="1747"/>
      <c r="P197" s="281"/>
    </row>
    <row r="198" spans="1:16" s="1258" customFormat="1" ht="13.5" hidden="1" customHeight="1">
      <c r="A198" s="4221"/>
      <c r="B198" s="1392" t="s">
        <v>24</v>
      </c>
      <c r="C198" s="4212" t="s">
        <v>291</v>
      </c>
      <c r="D198" s="1761">
        <f>SUM(E198:L198)</f>
        <v>24558309</v>
      </c>
      <c r="E198" s="310">
        <v>0</v>
      </c>
      <c r="F198" s="310">
        <f>+F199+F200</f>
        <v>0</v>
      </c>
      <c r="G198" s="310">
        <f>+G199+G200</f>
        <v>153715</v>
      </c>
      <c r="H198" s="310">
        <f>+H199+H200</f>
        <v>13364989</v>
      </c>
      <c r="I198" s="310">
        <f t="shared" ref="I198:L198" si="142">+I199+I200</f>
        <v>11039605</v>
      </c>
      <c r="J198" s="310">
        <f t="shared" si="142"/>
        <v>0</v>
      </c>
      <c r="K198" s="310">
        <f t="shared" si="142"/>
        <v>0</v>
      </c>
      <c r="L198" s="310">
        <f t="shared" si="142"/>
        <v>0</v>
      </c>
      <c r="M198" s="1827">
        <f>SUM(F198:L198)</f>
        <v>24558309</v>
      </c>
      <c r="N198" s="1827">
        <f>SUM(E198:L198)</f>
        <v>24558309</v>
      </c>
      <c r="O198" s="1747"/>
      <c r="P198" s="281"/>
    </row>
    <row r="199" spans="1:16" s="1258" customFormat="1" ht="13.5" hidden="1" customHeight="1">
      <c r="A199" s="4221"/>
      <c r="B199" s="1762" t="s">
        <v>12</v>
      </c>
      <c r="C199" s="4213"/>
      <c r="D199" s="1763">
        <f>SUM(E199:L199)</f>
        <v>24558309</v>
      </c>
      <c r="E199" s="311"/>
      <c r="F199" s="1763">
        <v>0</v>
      </c>
      <c r="G199" s="1763">
        <f>298890-145175</f>
        <v>153715</v>
      </c>
      <c r="H199" s="1763">
        <f>4006159-2149730+11478766-1254345+1284139</f>
        <v>13364989</v>
      </c>
      <c r="I199" s="1763">
        <f>825200-119869+1136000+9043924+1438489-1284139</f>
        <v>11039605</v>
      </c>
      <c r="J199" s="1763"/>
      <c r="K199" s="1763"/>
      <c r="L199" s="1763"/>
      <c r="M199" s="1798">
        <f>SUM(F199:K199)</f>
        <v>24558309</v>
      </c>
      <c r="N199" s="1798">
        <f>SUM(G199:L199)</f>
        <v>24558309</v>
      </c>
      <c r="O199" s="1747"/>
      <c r="P199" s="281"/>
    </row>
    <row r="200" spans="1:16" s="1258" customFormat="1" ht="13.5" hidden="1" customHeight="1">
      <c r="A200" s="4221"/>
      <c r="B200" s="1762" t="s">
        <v>16</v>
      </c>
      <c r="C200" s="4213"/>
      <c r="D200" s="1763">
        <f>SUM(E200:L200)</f>
        <v>0</v>
      </c>
      <c r="E200" s="311"/>
      <c r="F200" s="1763">
        <v>0</v>
      </c>
      <c r="G200" s="1763">
        <f>277300-277300</f>
        <v>0</v>
      </c>
      <c r="H200" s="1763">
        <f>3328200-3328200</f>
        <v>0</v>
      </c>
      <c r="I200" s="1763">
        <f>1394500+277300-1671800</f>
        <v>0</v>
      </c>
      <c r="J200" s="1763"/>
      <c r="K200" s="1763"/>
      <c r="L200" s="1763"/>
      <c r="M200" s="1798">
        <f>SUM(F200:K200)</f>
        <v>0</v>
      </c>
      <c r="N200" s="1798">
        <f>SUM(G200:L200)</f>
        <v>0</v>
      </c>
      <c r="O200" s="1747"/>
      <c r="P200" s="281"/>
    </row>
    <row r="201" spans="1:16" s="1258" customFormat="1" ht="15.75" hidden="1" customHeight="1">
      <c r="A201" s="4221"/>
      <c r="B201" s="406" t="s">
        <v>18</v>
      </c>
      <c r="C201" s="4213"/>
      <c r="D201" s="1761">
        <f>SUM(E201:L201)</f>
        <v>41000000</v>
      </c>
      <c r="E201" s="1761">
        <v>0</v>
      </c>
      <c r="F201" s="1761">
        <f t="shared" ref="F201:L201" si="143">+F202</f>
        <v>0</v>
      </c>
      <c r="G201" s="1761">
        <f t="shared" si="143"/>
        <v>0</v>
      </c>
      <c r="H201" s="1761">
        <f t="shared" si="143"/>
        <v>22451020</v>
      </c>
      <c r="I201" s="1761">
        <f t="shared" si="143"/>
        <v>18548980</v>
      </c>
      <c r="J201" s="1761">
        <f t="shared" si="143"/>
        <v>0</v>
      </c>
      <c r="K201" s="1761">
        <f t="shared" si="143"/>
        <v>0</v>
      </c>
      <c r="L201" s="1761">
        <f t="shared" si="143"/>
        <v>0</v>
      </c>
      <c r="M201" s="1828">
        <f>SUM(F201:K201)</f>
        <v>41000000</v>
      </c>
      <c r="N201" s="1828">
        <f>SUM(E201:L201)</f>
        <v>41000000</v>
      </c>
      <c r="O201" s="1747"/>
      <c r="P201" s="281"/>
    </row>
    <row r="202" spans="1:16" s="1258" customFormat="1" ht="12" hidden="1" customHeight="1">
      <c r="A202" s="4221"/>
      <c r="B202" s="381" t="s">
        <v>21</v>
      </c>
      <c r="C202" s="4213"/>
      <c r="D202" s="1763">
        <f>+D203+D204</f>
        <v>41000000</v>
      </c>
      <c r="E202" s="1763">
        <v>0</v>
      </c>
      <c r="F202" s="1763">
        <f t="shared" ref="F202:L202" si="144">+F203+F204</f>
        <v>0</v>
      </c>
      <c r="G202" s="1763">
        <f t="shared" si="144"/>
        <v>0</v>
      </c>
      <c r="H202" s="1763">
        <f t="shared" si="144"/>
        <v>22451020</v>
      </c>
      <c r="I202" s="1763">
        <f t="shared" si="144"/>
        <v>18548980</v>
      </c>
      <c r="J202" s="1763">
        <f t="shared" si="144"/>
        <v>0</v>
      </c>
      <c r="K202" s="1763">
        <f t="shared" si="144"/>
        <v>0</v>
      </c>
      <c r="L202" s="1763">
        <f t="shared" si="144"/>
        <v>0</v>
      </c>
      <c r="M202" s="1798">
        <f>SUM(F202:K202)</f>
        <v>41000000</v>
      </c>
      <c r="N202" s="1798">
        <f t="shared" ref="M202:N204" si="145">SUM(G202:L202)</f>
        <v>41000000</v>
      </c>
      <c r="O202" s="1747"/>
      <c r="P202" s="281"/>
    </row>
    <row r="203" spans="1:16" s="1258" customFormat="1" ht="22.5" hidden="1" customHeight="1">
      <c r="A203" s="4221"/>
      <c r="B203" s="1743" t="s">
        <v>289</v>
      </c>
      <c r="C203" s="4213"/>
      <c r="D203" s="1767">
        <f>+E203+F203+G203+H203+I203+J203+K203+L203</f>
        <v>0</v>
      </c>
      <c r="E203" s="1829">
        <v>0</v>
      </c>
      <c r="F203" s="1767">
        <v>0</v>
      </c>
      <c r="G203" s="1767">
        <v>0</v>
      </c>
      <c r="H203" s="1767">
        <f>915000+624800-1539800</f>
        <v>0</v>
      </c>
      <c r="I203" s="1767">
        <f>511000+625000-1136000</f>
        <v>0</v>
      </c>
      <c r="J203" s="1767">
        <v>0</v>
      </c>
      <c r="K203" s="1767">
        <v>0</v>
      </c>
      <c r="L203" s="1767">
        <v>0</v>
      </c>
      <c r="M203" s="1798">
        <f t="shared" si="145"/>
        <v>0</v>
      </c>
      <c r="N203" s="1798">
        <f t="shared" si="145"/>
        <v>0</v>
      </c>
      <c r="O203" s="1747"/>
      <c r="P203" s="281"/>
    </row>
    <row r="204" spans="1:16" s="1258" customFormat="1" ht="23.25" hidden="1" customHeight="1">
      <c r="A204" s="4221"/>
      <c r="B204" s="1830" t="s">
        <v>281</v>
      </c>
      <c r="C204" s="4214"/>
      <c r="D204" s="1767">
        <f>+E204+F204+G204+H204+I204+J204+K204+L204</f>
        <v>41000000</v>
      </c>
      <c r="E204" s="1831">
        <v>0</v>
      </c>
      <c r="F204" s="1832">
        <v>0</v>
      </c>
      <c r="G204" s="1832">
        <f>2328000-2328000</f>
        <v>0</v>
      </c>
      <c r="H204" s="1832">
        <f>27936000-5731740+345740-2337736+2238756</f>
        <v>22451020</v>
      </c>
      <c r="I204" s="1832">
        <f>11600000+8059740-1209740+2337736-2238756</f>
        <v>18548980</v>
      </c>
      <c r="J204" s="1832">
        <v>0</v>
      </c>
      <c r="K204" s="1832">
        <v>0</v>
      </c>
      <c r="L204" s="1832">
        <v>0</v>
      </c>
      <c r="M204" s="1798">
        <f t="shared" si="145"/>
        <v>41000000</v>
      </c>
      <c r="N204" s="1798">
        <f t="shared" si="145"/>
        <v>41000000</v>
      </c>
      <c r="O204" s="1747"/>
      <c r="P204" s="281"/>
    </row>
    <row r="205" spans="1:16" s="1258" customFormat="1" ht="13.5" hidden="1" customHeight="1">
      <c r="A205" s="4221"/>
      <c r="B205" s="21" t="s">
        <v>282</v>
      </c>
      <c r="C205" s="167"/>
      <c r="D205" s="320">
        <f t="shared" ref="D205:L205" si="146">+D206+D208</f>
        <v>41000000</v>
      </c>
      <c r="E205" s="320">
        <v>0</v>
      </c>
      <c r="F205" s="320">
        <f t="shared" si="146"/>
        <v>0</v>
      </c>
      <c r="G205" s="320">
        <f t="shared" si="146"/>
        <v>0</v>
      </c>
      <c r="H205" s="320">
        <f t="shared" si="146"/>
        <v>22451020</v>
      </c>
      <c r="I205" s="320">
        <f t="shared" si="146"/>
        <v>18548980</v>
      </c>
      <c r="J205" s="320">
        <f t="shared" si="146"/>
        <v>0</v>
      </c>
      <c r="K205" s="320">
        <f t="shared" si="146"/>
        <v>0</v>
      </c>
      <c r="L205" s="320">
        <f t="shared" si="146"/>
        <v>0</v>
      </c>
      <c r="M205" s="4202" t="s">
        <v>61</v>
      </c>
      <c r="N205" s="4202" t="s">
        <v>61</v>
      </c>
      <c r="O205" s="1747"/>
      <c r="P205" s="281"/>
    </row>
    <row r="206" spans="1:16" s="1258" customFormat="1" ht="15" hidden="1" customHeight="1">
      <c r="A206" s="4221"/>
      <c r="B206" s="1392" t="s">
        <v>24</v>
      </c>
      <c r="C206" s="4206" t="s">
        <v>297</v>
      </c>
      <c r="D206" s="1761">
        <f>+D207</f>
        <v>0</v>
      </c>
      <c r="E206" s="1761">
        <v>0</v>
      </c>
      <c r="F206" s="1761">
        <f t="shared" ref="F206:L206" si="147">+F207</f>
        <v>0</v>
      </c>
      <c r="G206" s="1761">
        <f t="shared" si="147"/>
        <v>0</v>
      </c>
      <c r="H206" s="1761">
        <f t="shared" si="147"/>
        <v>0</v>
      </c>
      <c r="I206" s="1761">
        <f t="shared" si="147"/>
        <v>0</v>
      </c>
      <c r="J206" s="1761">
        <f t="shared" si="147"/>
        <v>0</v>
      </c>
      <c r="K206" s="1761">
        <f t="shared" si="147"/>
        <v>0</v>
      </c>
      <c r="L206" s="1761">
        <f t="shared" si="147"/>
        <v>0</v>
      </c>
      <c r="M206" s="4203"/>
      <c r="N206" s="4203"/>
      <c r="O206" s="1747"/>
      <c r="P206" s="281"/>
    </row>
    <row r="207" spans="1:16" s="1258" customFormat="1" ht="16.5" hidden="1" customHeight="1">
      <c r="A207" s="4221"/>
      <c r="B207" s="1762" t="s">
        <v>16</v>
      </c>
      <c r="C207" s="4207"/>
      <c r="D207" s="1763">
        <f>SUM(E207:L207)</f>
        <v>0</v>
      </c>
      <c r="E207" s="311"/>
      <c r="F207" s="1763">
        <v>0</v>
      </c>
      <c r="G207" s="1763">
        <f>277300-277300</f>
        <v>0</v>
      </c>
      <c r="H207" s="1763">
        <f>3328200-3328200</f>
        <v>0</v>
      </c>
      <c r="I207" s="1763">
        <f>1394500+277300-1671800</f>
        <v>0</v>
      </c>
      <c r="J207" s="1763"/>
      <c r="K207" s="1763"/>
      <c r="L207" s="1763"/>
      <c r="M207" s="4203"/>
      <c r="N207" s="4203"/>
      <c r="O207" s="1747"/>
      <c r="P207" s="281"/>
    </row>
    <row r="208" spans="1:16" s="1258" customFormat="1" ht="16.5" hidden="1" customHeight="1">
      <c r="A208" s="4221"/>
      <c r="B208" s="406" t="s">
        <v>18</v>
      </c>
      <c r="C208" s="4207"/>
      <c r="D208" s="1761">
        <f>SUM(E208:L208)</f>
        <v>41000000</v>
      </c>
      <c r="E208" s="1761">
        <v>0</v>
      </c>
      <c r="F208" s="1761">
        <f t="shared" ref="F208:L208" si="148">+F209</f>
        <v>0</v>
      </c>
      <c r="G208" s="1761">
        <f t="shared" si="148"/>
        <v>0</v>
      </c>
      <c r="H208" s="1761">
        <f t="shared" si="148"/>
        <v>22451020</v>
      </c>
      <c r="I208" s="1761">
        <f t="shared" si="148"/>
        <v>18548980</v>
      </c>
      <c r="J208" s="1761">
        <f t="shared" si="148"/>
        <v>0</v>
      </c>
      <c r="K208" s="1761">
        <f t="shared" si="148"/>
        <v>0</v>
      </c>
      <c r="L208" s="1761">
        <f t="shared" si="148"/>
        <v>0</v>
      </c>
      <c r="M208" s="4203"/>
      <c r="N208" s="4203"/>
      <c r="O208" s="1747"/>
      <c r="P208" s="281"/>
    </row>
    <row r="209" spans="1:16" s="1258" customFormat="1" ht="15" hidden="1" customHeight="1">
      <c r="A209" s="1801"/>
      <c r="B209" s="381" t="s">
        <v>21</v>
      </c>
      <c r="C209" s="4208"/>
      <c r="D209" s="1763">
        <f>SUM(E209:L209)</f>
        <v>41000000</v>
      </c>
      <c r="E209" s="1763">
        <v>0</v>
      </c>
      <c r="F209" s="1763">
        <f t="shared" ref="F209:L209" si="149">+F210+F211</f>
        <v>0</v>
      </c>
      <c r="G209" s="1763">
        <f>+G210+G211</f>
        <v>0</v>
      </c>
      <c r="H209" s="1763">
        <f t="shared" si="149"/>
        <v>22451020</v>
      </c>
      <c r="I209" s="1763">
        <f t="shared" si="149"/>
        <v>18548980</v>
      </c>
      <c r="J209" s="1763">
        <f t="shared" si="149"/>
        <v>0</v>
      </c>
      <c r="K209" s="1763">
        <f t="shared" si="149"/>
        <v>0</v>
      </c>
      <c r="L209" s="1763">
        <f t="shared" si="149"/>
        <v>0</v>
      </c>
      <c r="M209" s="4203"/>
      <c r="N209" s="4203"/>
      <c r="O209" s="1747"/>
      <c r="P209" s="281"/>
    </row>
    <row r="210" spans="1:16" s="1258" customFormat="1" ht="27.75" hidden="1" customHeight="1">
      <c r="A210" s="1801"/>
      <c r="B210" s="1743" t="s">
        <v>279</v>
      </c>
      <c r="C210" s="2073" t="s">
        <v>251</v>
      </c>
      <c r="D210" s="1833">
        <f>SUM(E210:L210)</f>
        <v>0</v>
      </c>
      <c r="E210" s="1834">
        <v>0</v>
      </c>
      <c r="F210" s="1833">
        <v>0</v>
      </c>
      <c r="G210" s="1833">
        <v>0</v>
      </c>
      <c r="H210" s="1833">
        <f>915000+624800-1539800</f>
        <v>0</v>
      </c>
      <c r="I210" s="1833">
        <f>511000+625000-1136000</f>
        <v>0</v>
      </c>
      <c r="J210" s="1833">
        <v>0</v>
      </c>
      <c r="K210" s="1833">
        <v>0</v>
      </c>
      <c r="L210" s="1833">
        <v>0</v>
      </c>
      <c r="M210" s="4203"/>
      <c r="N210" s="4203"/>
      <c r="O210" s="1835"/>
      <c r="P210" s="281"/>
    </row>
    <row r="211" spans="1:16" s="1258" customFormat="1" ht="21.75" hidden="1" customHeight="1" thickBot="1">
      <c r="A211" s="1801"/>
      <c r="B211" s="1749" t="s">
        <v>290</v>
      </c>
      <c r="C211" s="2073" t="s">
        <v>226</v>
      </c>
      <c r="D211" s="1836">
        <f>SUM(E211:L211)</f>
        <v>41000000</v>
      </c>
      <c r="E211" s="1837">
        <v>0</v>
      </c>
      <c r="F211" s="1836">
        <v>0</v>
      </c>
      <c r="G211" s="1836">
        <f>2328000-2328000</f>
        <v>0</v>
      </c>
      <c r="H211" s="1836">
        <f>27936000-5731740+345740-2337736+2238756</f>
        <v>22451020</v>
      </c>
      <c r="I211" s="1836">
        <f>11600000+8059740-1209740+2337736-2238756</f>
        <v>18548980</v>
      </c>
      <c r="J211" s="1836">
        <v>0</v>
      </c>
      <c r="K211" s="1836">
        <v>0</v>
      </c>
      <c r="L211" s="1836">
        <v>0</v>
      </c>
      <c r="M211" s="4204"/>
      <c r="N211" s="4204"/>
      <c r="O211" s="1835"/>
      <c r="P211" s="281"/>
    </row>
    <row r="212" spans="1:16" s="1258" customFormat="1" ht="27" customHeight="1">
      <c r="A212" s="4220" t="s">
        <v>90</v>
      </c>
      <c r="B212" s="162" t="s">
        <v>305</v>
      </c>
      <c r="C212" s="163" t="s">
        <v>110</v>
      </c>
      <c r="D212" s="349"/>
      <c r="E212" s="349"/>
      <c r="F212" s="349"/>
      <c r="G212" s="349"/>
      <c r="H212" s="349"/>
      <c r="I212" s="349"/>
      <c r="J212" s="349"/>
      <c r="K212" s="349"/>
      <c r="L212" s="349"/>
      <c r="M212" s="349"/>
      <c r="N212" s="349"/>
      <c r="O212" s="4195" t="s">
        <v>330</v>
      </c>
      <c r="P212" s="281"/>
    </row>
    <row r="213" spans="1:16" s="1258" customFormat="1">
      <c r="A213" s="4221"/>
      <c r="B213" s="21" t="s">
        <v>10</v>
      </c>
      <c r="C213" s="377"/>
      <c r="D213" s="320">
        <f>+D214+D218</f>
        <v>5491442</v>
      </c>
      <c r="E213" s="320">
        <f t="shared" ref="E213" si="150">+E214+E218</f>
        <v>131150</v>
      </c>
      <c r="F213" s="320">
        <f t="shared" ref="F213" si="151">+F214+F218</f>
        <v>1052265</v>
      </c>
      <c r="G213" s="320">
        <f>+G214+G218</f>
        <v>4308027</v>
      </c>
      <c r="H213" s="307"/>
      <c r="I213" s="307"/>
      <c r="J213" s="307"/>
      <c r="K213" s="307"/>
      <c r="L213" s="307"/>
      <c r="M213" s="378">
        <f>M214+M218</f>
        <v>4905086</v>
      </c>
      <c r="N213" s="378">
        <f>N214+N218</f>
        <v>3939204</v>
      </c>
      <c r="O213" s="4196"/>
      <c r="P213" s="281"/>
    </row>
    <row r="214" spans="1:16" s="1258" customFormat="1">
      <c r="A214" s="4221"/>
      <c r="B214" s="164" t="s">
        <v>24</v>
      </c>
      <c r="C214" s="4198" t="s">
        <v>213</v>
      </c>
      <c r="D214" s="308">
        <f>SUM(D215:D217)</f>
        <v>1295641</v>
      </c>
      <c r="E214" s="308">
        <f>SUM(E215:E217)</f>
        <v>28691</v>
      </c>
      <c r="F214" s="308">
        <f t="shared" ref="F214:G214" si="152">SUM(F215:F217)</f>
        <v>252967</v>
      </c>
      <c r="G214" s="308">
        <f t="shared" si="152"/>
        <v>1013983</v>
      </c>
      <c r="H214" s="308"/>
      <c r="I214" s="308"/>
      <c r="J214" s="308"/>
      <c r="K214" s="308"/>
      <c r="L214" s="308"/>
      <c r="M214" s="309">
        <f>SUM(M215:M216)</f>
        <v>811744</v>
      </c>
      <c r="N214" s="309">
        <f>SUM(N215:N216)</f>
        <v>645160</v>
      </c>
      <c r="O214" s="4196"/>
      <c r="P214" s="281"/>
    </row>
    <row r="215" spans="1:16" s="1258" customFormat="1">
      <c r="A215" s="4221"/>
      <c r="B215" s="165" t="s">
        <v>12</v>
      </c>
      <c r="C215" s="4199"/>
      <c r="D215" s="226">
        <f>E215+F215+G215+H215+I215+J215+K215+L215</f>
        <v>100000</v>
      </c>
      <c r="E215" s="1091">
        <v>10611</v>
      </c>
      <c r="F215" s="1698">
        <f>50000+1902-22258-4113</f>
        <v>25531</v>
      </c>
      <c r="G215" s="1698">
        <f>12500+24987+22258+4113</f>
        <v>63858</v>
      </c>
      <c r="H215" s="379"/>
      <c r="I215" s="379"/>
      <c r="J215" s="379"/>
      <c r="K215" s="379"/>
      <c r="L215" s="379"/>
      <c r="M215" s="562">
        <f>SUM(F215:L215)</f>
        <v>89389</v>
      </c>
      <c r="N215" s="562">
        <f>SUM(G215:L215)</f>
        <v>63858</v>
      </c>
      <c r="O215" s="4196"/>
      <c r="P215" s="281"/>
    </row>
    <row r="216" spans="1:16" s="1258" customFormat="1">
      <c r="A216" s="4221"/>
      <c r="B216" s="165" t="s">
        <v>13</v>
      </c>
      <c r="C216" s="4200"/>
      <c r="D216" s="226">
        <f>E216+F216+G216+H216+I216+J216+K216+L216</f>
        <v>740435</v>
      </c>
      <c r="E216" s="1091">
        <v>18080</v>
      </c>
      <c r="F216" s="1838">
        <f>412301+81979+118367-457832-13762</f>
        <v>141053</v>
      </c>
      <c r="G216" s="1838">
        <f>163259+60000-113551+457832+13762</f>
        <v>581302</v>
      </c>
      <c r="H216" s="166"/>
      <c r="I216" s="166"/>
      <c r="J216" s="166"/>
      <c r="K216" s="166"/>
      <c r="L216" s="166"/>
      <c r="M216" s="562">
        <f>SUM(F216:L216)</f>
        <v>722355</v>
      </c>
      <c r="N216" s="562">
        <f>SUM(G216:L216)</f>
        <v>581302</v>
      </c>
      <c r="O216" s="4196"/>
      <c r="P216" s="281"/>
    </row>
    <row r="217" spans="1:16" s="1258" customFormat="1">
      <c r="A217" s="4221"/>
      <c r="B217" s="1839" t="s">
        <v>32</v>
      </c>
      <c r="C217" s="4200"/>
      <c r="D217" s="226">
        <f>E217+F217+G217+H217+I217+J217+K217+L217</f>
        <v>455206</v>
      </c>
      <c r="E217" s="1091">
        <v>0</v>
      </c>
      <c r="F217" s="166">
        <f>255556+48066-239676+22437</f>
        <v>86383</v>
      </c>
      <c r="G217" s="166">
        <f>110761+40823+239676-22437</f>
        <v>368823</v>
      </c>
      <c r="H217" s="166"/>
      <c r="I217" s="166"/>
      <c r="J217" s="166"/>
      <c r="K217" s="166"/>
      <c r="L217" s="166"/>
      <c r="M217" s="380" t="s">
        <v>61</v>
      </c>
      <c r="N217" s="2002">
        <v>0</v>
      </c>
      <c r="O217" s="4196"/>
      <c r="P217" s="281"/>
    </row>
    <row r="218" spans="1:16" s="1258" customFormat="1">
      <c r="A218" s="4221"/>
      <c r="B218" s="80" t="s">
        <v>18</v>
      </c>
      <c r="C218" s="4200"/>
      <c r="D218" s="310">
        <f>+D219</f>
        <v>4195801</v>
      </c>
      <c r="E218" s="310">
        <f t="shared" ref="E218:G218" si="153">E219</f>
        <v>102459</v>
      </c>
      <c r="F218" s="1840">
        <f t="shared" si="153"/>
        <v>799298</v>
      </c>
      <c r="G218" s="1840">
        <f t="shared" si="153"/>
        <v>3294044</v>
      </c>
      <c r="H218" s="310"/>
      <c r="I218" s="310"/>
      <c r="J218" s="310"/>
      <c r="K218" s="310"/>
      <c r="L218" s="310"/>
      <c r="M218" s="309">
        <f>+M219</f>
        <v>4093342</v>
      </c>
      <c r="N218" s="309">
        <f>+N219</f>
        <v>3294044</v>
      </c>
      <c r="O218" s="4196"/>
      <c r="P218" s="281"/>
    </row>
    <row r="219" spans="1:16" s="1258" customFormat="1">
      <c r="A219" s="4221"/>
      <c r="B219" s="1841" t="s">
        <v>21</v>
      </c>
      <c r="C219" s="4201"/>
      <c r="D219" s="226">
        <f>E219+F219+G219+H219+I219+J219+K219+L219</f>
        <v>4195801</v>
      </c>
      <c r="E219" s="1091">
        <v>102459</v>
      </c>
      <c r="F219" s="1842">
        <f>2336375+464546+670747-2594379-77991</f>
        <v>799298</v>
      </c>
      <c r="G219" s="1842">
        <f>925133+340000-643459+2594379+77991</f>
        <v>3294044</v>
      </c>
      <c r="H219" s="129"/>
      <c r="I219" s="129"/>
      <c r="J219" s="129"/>
      <c r="K219" s="129"/>
      <c r="L219" s="129"/>
      <c r="M219" s="562">
        <f>SUM(F219:L219)</f>
        <v>4093342</v>
      </c>
      <c r="N219" s="562">
        <f>SUM(G219:L219)</f>
        <v>3294044</v>
      </c>
      <c r="O219" s="4196"/>
      <c r="P219" s="281"/>
    </row>
    <row r="220" spans="1:16" s="1258" customFormat="1">
      <c r="A220" s="3813"/>
      <c r="B220" s="21" t="s">
        <v>22</v>
      </c>
      <c r="C220" s="167"/>
      <c r="D220" s="307">
        <f>+D221+D223</f>
        <v>4936236</v>
      </c>
      <c r="E220" s="307">
        <f t="shared" ref="E220" si="154">E221+E223</f>
        <v>120539</v>
      </c>
      <c r="F220" s="307">
        <f t="shared" ref="F220:G220" si="155">F221+F223</f>
        <v>940351</v>
      </c>
      <c r="G220" s="307">
        <f t="shared" si="155"/>
        <v>3875346</v>
      </c>
      <c r="H220" s="313"/>
      <c r="I220" s="307"/>
      <c r="J220" s="307"/>
      <c r="K220" s="307"/>
      <c r="L220" s="307"/>
      <c r="M220" s="4202" t="s">
        <v>61</v>
      </c>
      <c r="N220" s="4202" t="s">
        <v>61</v>
      </c>
      <c r="O220" s="4196"/>
      <c r="P220" s="281">
        <f>G220-'[1]Tab. 6E - Administracja'!$G$220</f>
        <v>91753</v>
      </c>
    </row>
    <row r="221" spans="1:16" s="1258" customFormat="1">
      <c r="A221" s="3813"/>
      <c r="B221" s="168" t="s">
        <v>24</v>
      </c>
      <c r="C221" s="4198" t="s">
        <v>213</v>
      </c>
      <c r="D221" s="308">
        <f>+D222</f>
        <v>740435</v>
      </c>
      <c r="E221" s="308">
        <f t="shared" ref="E221:G221" si="156">E222</f>
        <v>18080</v>
      </c>
      <c r="F221" s="308">
        <f t="shared" si="156"/>
        <v>141053</v>
      </c>
      <c r="G221" s="308">
        <f t="shared" si="156"/>
        <v>581302</v>
      </c>
      <c r="H221" s="314"/>
      <c r="I221" s="308"/>
      <c r="J221" s="308"/>
      <c r="K221" s="308"/>
      <c r="L221" s="308"/>
      <c r="M221" s="4203"/>
      <c r="N221" s="4203"/>
      <c r="O221" s="4196"/>
      <c r="P221" s="281"/>
    </row>
    <row r="222" spans="1:16" s="1258" customFormat="1">
      <c r="A222" s="3813"/>
      <c r="B222" s="169" t="s">
        <v>13</v>
      </c>
      <c r="C222" s="4200"/>
      <c r="D222" s="226">
        <f>E222+F222+G222+H222+I222+J222+K222+L222</f>
        <v>740435</v>
      </c>
      <c r="E222" s="1091">
        <v>18080</v>
      </c>
      <c r="F222" s="539">
        <f>412301+81979+118367-457832-13762</f>
        <v>141053</v>
      </c>
      <c r="G222" s="539">
        <f>163259+60000-113551+457832+13762</f>
        <v>581302</v>
      </c>
      <c r="H222" s="311"/>
      <c r="I222" s="311"/>
      <c r="J222" s="311"/>
      <c r="K222" s="311"/>
      <c r="L222" s="311"/>
      <c r="M222" s="4203"/>
      <c r="N222" s="4203"/>
      <c r="O222" s="4196"/>
      <c r="P222" s="281"/>
    </row>
    <row r="223" spans="1:16" s="1258" customFormat="1">
      <c r="A223" s="3813"/>
      <c r="B223" s="1693" t="s">
        <v>18</v>
      </c>
      <c r="C223" s="4200"/>
      <c r="D223" s="310">
        <f>+D224</f>
        <v>4195801</v>
      </c>
      <c r="E223" s="310">
        <f t="shared" ref="E223:G223" si="157">E224</f>
        <v>102459</v>
      </c>
      <c r="F223" s="1840">
        <f t="shared" si="157"/>
        <v>799298</v>
      </c>
      <c r="G223" s="1840">
        <f t="shared" si="157"/>
        <v>3294044</v>
      </c>
      <c r="H223" s="315"/>
      <c r="I223" s="310"/>
      <c r="J223" s="310"/>
      <c r="K223" s="310"/>
      <c r="L223" s="310"/>
      <c r="M223" s="4203"/>
      <c r="N223" s="4203"/>
      <c r="O223" s="4196"/>
      <c r="P223" s="281"/>
    </row>
    <row r="224" spans="1:16" s="1258" customFormat="1" ht="13.5" thickBot="1">
      <c r="A224" s="3814"/>
      <c r="B224" s="312" t="s">
        <v>21</v>
      </c>
      <c r="C224" s="4205"/>
      <c r="D224" s="226">
        <f>E224+F224+G224+H224+I224+J224+K224+L224</f>
        <v>4195801</v>
      </c>
      <c r="E224" s="1091">
        <v>102459</v>
      </c>
      <c r="F224" s="1843">
        <f>2336375+464546+670747-2594379-77991</f>
        <v>799298</v>
      </c>
      <c r="G224" s="1843">
        <f>925133+340000-643459+2594379+77991</f>
        <v>3294044</v>
      </c>
      <c r="H224" s="170"/>
      <c r="I224" s="170"/>
      <c r="J224" s="170"/>
      <c r="K224" s="170"/>
      <c r="L224" s="170"/>
      <c r="M224" s="4204"/>
      <c r="N224" s="4204"/>
      <c r="O224" s="4197"/>
      <c r="P224" s="281"/>
    </row>
    <row r="225" spans="1:16" s="1258" customFormat="1" ht="36" customHeight="1">
      <c r="A225" s="4220" t="s">
        <v>91</v>
      </c>
      <c r="B225" s="162" t="s">
        <v>392</v>
      </c>
      <c r="C225" s="163" t="s">
        <v>82</v>
      </c>
      <c r="D225" s="177"/>
      <c r="E225" s="176"/>
      <c r="F225" s="176"/>
      <c r="G225" s="176"/>
      <c r="H225" s="176"/>
      <c r="I225" s="176"/>
      <c r="J225" s="176"/>
      <c r="K225" s="176"/>
      <c r="L225" s="237"/>
      <c r="M225" s="306"/>
      <c r="N225" s="306"/>
      <c r="O225" s="4195" t="s">
        <v>330</v>
      </c>
      <c r="P225" s="281"/>
    </row>
    <row r="226" spans="1:16" s="1258" customFormat="1">
      <c r="A226" s="4221"/>
      <c r="B226" s="534" t="s">
        <v>10</v>
      </c>
      <c r="C226" s="1225"/>
      <c r="D226" s="1197">
        <f t="shared" ref="D226:G226" si="158">+D227+D229</f>
        <v>5764</v>
      </c>
      <c r="E226" s="1197">
        <f t="shared" ref="E226" si="159">+E227+E229</f>
        <v>5764</v>
      </c>
      <c r="F226" s="1197">
        <f t="shared" si="158"/>
        <v>0</v>
      </c>
      <c r="G226" s="1197">
        <f t="shared" si="158"/>
        <v>0</v>
      </c>
      <c r="H226" s="1191"/>
      <c r="I226" s="1191"/>
      <c r="J226" s="1191"/>
      <c r="K226" s="1191"/>
      <c r="L226" s="1191"/>
      <c r="M226" s="1226">
        <f>M227+M229</f>
        <v>0</v>
      </c>
      <c r="N226" s="1226">
        <f>N227+N229</f>
        <v>0</v>
      </c>
      <c r="O226" s="4196"/>
      <c r="P226" s="281"/>
    </row>
    <row r="227" spans="1:16" s="1258" customFormat="1">
      <c r="A227" s="4221"/>
      <c r="B227" s="513" t="s">
        <v>24</v>
      </c>
      <c r="C227" s="4256" t="s">
        <v>213</v>
      </c>
      <c r="D227" s="1181">
        <f t="shared" ref="D227:G227" si="160">SUM(D228:D228)</f>
        <v>865</v>
      </c>
      <c r="E227" s="1181">
        <f t="shared" si="160"/>
        <v>865</v>
      </c>
      <c r="F227" s="1181">
        <f t="shared" si="160"/>
        <v>0</v>
      </c>
      <c r="G227" s="1181">
        <f t="shared" si="160"/>
        <v>0</v>
      </c>
      <c r="H227" s="1181"/>
      <c r="I227" s="1181"/>
      <c r="J227" s="1181"/>
      <c r="K227" s="1181"/>
      <c r="L227" s="1181"/>
      <c r="M227" s="562">
        <f>SUM(F227:K227)</f>
        <v>0</v>
      </c>
      <c r="N227" s="562">
        <f>SUM(G227:L227)</f>
        <v>0</v>
      </c>
      <c r="O227" s="4196"/>
      <c r="P227" s="281"/>
    </row>
    <row r="228" spans="1:16" s="1258" customFormat="1">
      <c r="A228" s="4221"/>
      <c r="B228" s="165" t="s">
        <v>13</v>
      </c>
      <c r="C228" s="4200"/>
      <c r="D228" s="1159">
        <f>E228+F228+G228+H228+I228+J228+K228+L228</f>
        <v>865</v>
      </c>
      <c r="E228" s="1183">
        <v>865</v>
      </c>
      <c r="F228" s="166">
        <v>0</v>
      </c>
      <c r="G228" s="166">
        <v>0</v>
      </c>
      <c r="H228" s="166"/>
      <c r="I228" s="166"/>
      <c r="J228" s="166"/>
      <c r="K228" s="166"/>
      <c r="L228" s="166"/>
      <c r="M228" s="562">
        <f>SUM(F228:K228)</f>
        <v>0</v>
      </c>
      <c r="N228" s="562">
        <f>SUM(G228:L228)</f>
        <v>0</v>
      </c>
      <c r="O228" s="4196"/>
      <c r="P228" s="281"/>
    </row>
    <row r="229" spans="1:16" s="1258" customFormat="1">
      <c r="A229" s="4221"/>
      <c r="B229" s="552" t="s">
        <v>18</v>
      </c>
      <c r="C229" s="4200"/>
      <c r="D229" s="1186">
        <f>+D230</f>
        <v>4899</v>
      </c>
      <c r="E229" s="1186">
        <f t="shared" ref="E229:G229" si="161">E230</f>
        <v>4899</v>
      </c>
      <c r="F229" s="1186">
        <f t="shared" si="161"/>
        <v>0</v>
      </c>
      <c r="G229" s="1186">
        <f t="shared" si="161"/>
        <v>0</v>
      </c>
      <c r="H229" s="1186"/>
      <c r="I229" s="1186"/>
      <c r="J229" s="1186"/>
      <c r="K229" s="1186"/>
      <c r="L229" s="1186"/>
      <c r="M229" s="1182">
        <f>+M230</f>
        <v>0</v>
      </c>
      <c r="N229" s="1182">
        <f>+N230</f>
        <v>0</v>
      </c>
      <c r="O229" s="4196"/>
      <c r="P229" s="281"/>
    </row>
    <row r="230" spans="1:16" s="1258" customFormat="1">
      <c r="A230" s="4221"/>
      <c r="B230" s="1227" t="s">
        <v>21</v>
      </c>
      <c r="C230" s="4201"/>
      <c r="D230" s="1159">
        <f>E230+F230+G230+H230+I230+J230+K230+L230</f>
        <v>4899</v>
      </c>
      <c r="E230" s="1183">
        <v>4899</v>
      </c>
      <c r="F230" s="129">
        <v>0</v>
      </c>
      <c r="G230" s="129">
        <v>0</v>
      </c>
      <c r="H230" s="129"/>
      <c r="I230" s="129"/>
      <c r="J230" s="129"/>
      <c r="K230" s="129"/>
      <c r="L230" s="129"/>
      <c r="M230" s="562">
        <f>SUM(F230:K230)</f>
        <v>0</v>
      </c>
      <c r="N230" s="562">
        <f>SUM(G230:L230)</f>
        <v>0</v>
      </c>
      <c r="O230" s="4196"/>
      <c r="P230" s="281"/>
    </row>
    <row r="231" spans="1:16" s="1258" customFormat="1">
      <c r="A231" s="3813"/>
      <c r="B231" s="534" t="s">
        <v>22</v>
      </c>
      <c r="C231" s="1190"/>
      <c r="D231" s="1191">
        <f>+D232+D234</f>
        <v>5764</v>
      </c>
      <c r="E231" s="1191">
        <f t="shared" ref="E231" si="162">E232+E234</f>
        <v>5764</v>
      </c>
      <c r="F231" s="1191">
        <f t="shared" ref="F231:G231" si="163">F232+F234</f>
        <v>0</v>
      </c>
      <c r="G231" s="1191">
        <f t="shared" si="163"/>
        <v>0</v>
      </c>
      <c r="H231" s="1228"/>
      <c r="I231" s="1191"/>
      <c r="J231" s="1191"/>
      <c r="K231" s="1191"/>
      <c r="L231" s="1191"/>
      <c r="M231" s="4260" t="s">
        <v>61</v>
      </c>
      <c r="N231" s="4260" t="s">
        <v>61</v>
      </c>
      <c r="O231" s="4196"/>
      <c r="P231" s="281"/>
    </row>
    <row r="232" spans="1:16" s="1258" customFormat="1">
      <c r="A232" s="3813"/>
      <c r="B232" s="1192" t="s">
        <v>24</v>
      </c>
      <c r="C232" s="4256" t="s">
        <v>213</v>
      </c>
      <c r="D232" s="1181">
        <f>+D233</f>
        <v>865</v>
      </c>
      <c r="E232" s="1181">
        <f t="shared" ref="E232:G232" si="164">E233</f>
        <v>865</v>
      </c>
      <c r="F232" s="1181">
        <f t="shared" si="164"/>
        <v>0</v>
      </c>
      <c r="G232" s="1181">
        <f t="shared" si="164"/>
        <v>0</v>
      </c>
      <c r="H232" s="1229"/>
      <c r="I232" s="1181"/>
      <c r="J232" s="1181"/>
      <c r="K232" s="1181"/>
      <c r="L232" s="1181"/>
      <c r="M232" s="4203"/>
      <c r="N232" s="4203"/>
      <c r="O232" s="4196"/>
      <c r="P232" s="281"/>
    </row>
    <row r="233" spans="1:16" s="1258" customFormat="1">
      <c r="A233" s="3813"/>
      <c r="B233" s="169" t="s">
        <v>13</v>
      </c>
      <c r="C233" s="4200"/>
      <c r="D233" s="1159">
        <f>E233+F233+G233+H233+I233+J233+K233+L233</f>
        <v>865</v>
      </c>
      <c r="E233" s="1183">
        <v>865</v>
      </c>
      <c r="F233" s="1193">
        <v>0</v>
      </c>
      <c r="G233" s="1193">
        <v>0</v>
      </c>
      <c r="H233" s="1193"/>
      <c r="I233" s="1193"/>
      <c r="J233" s="1193"/>
      <c r="K233" s="1193"/>
      <c r="L233" s="1193"/>
      <c r="M233" s="4203"/>
      <c r="N233" s="4203"/>
      <c r="O233" s="4196"/>
      <c r="P233" s="281"/>
    </row>
    <row r="234" spans="1:16" s="1258" customFormat="1">
      <c r="A234" s="3813"/>
      <c r="B234" s="1194" t="s">
        <v>18</v>
      </c>
      <c r="C234" s="4200"/>
      <c r="D234" s="1186">
        <f>+D235</f>
        <v>4899</v>
      </c>
      <c r="E234" s="1186">
        <f t="shared" ref="E234:G234" si="165">E235</f>
        <v>4899</v>
      </c>
      <c r="F234" s="1186">
        <f t="shared" si="165"/>
        <v>0</v>
      </c>
      <c r="G234" s="1186">
        <f t="shared" si="165"/>
        <v>0</v>
      </c>
      <c r="H234" s="1212"/>
      <c r="I234" s="1186"/>
      <c r="J234" s="1186"/>
      <c r="K234" s="1186"/>
      <c r="L234" s="1186"/>
      <c r="M234" s="4203"/>
      <c r="N234" s="4203"/>
      <c r="O234" s="4196"/>
      <c r="P234" s="281"/>
    </row>
    <row r="235" spans="1:16" s="1258" customFormat="1" ht="11.25" customHeight="1" thickBot="1">
      <c r="A235" s="3814"/>
      <c r="B235" s="312" t="s">
        <v>21</v>
      </c>
      <c r="C235" s="4205"/>
      <c r="D235" s="701">
        <f>E235+F235+G235+H235+I235+J235+K235+L235</f>
        <v>4899</v>
      </c>
      <c r="E235" s="1195">
        <v>4899</v>
      </c>
      <c r="F235" s="533">
        <v>0</v>
      </c>
      <c r="G235" s="533">
        <v>0</v>
      </c>
      <c r="H235" s="533"/>
      <c r="I235" s="533"/>
      <c r="J235" s="533"/>
      <c r="K235" s="533"/>
      <c r="L235" s="533"/>
      <c r="M235" s="4204"/>
      <c r="N235" s="4204"/>
      <c r="O235" s="4197"/>
      <c r="P235" s="281"/>
    </row>
    <row r="236" spans="1:16" s="1258" customFormat="1" ht="13.5" hidden="1" thickBot="1">
      <c r="A236" s="447"/>
      <c r="B236" s="448"/>
      <c r="C236" s="449"/>
      <c r="D236" s="450"/>
      <c r="E236" s="450"/>
      <c r="F236" s="451"/>
      <c r="G236" s="451"/>
      <c r="H236" s="451"/>
      <c r="I236" s="451"/>
      <c r="J236" s="451"/>
      <c r="K236" s="451"/>
      <c r="L236" s="451"/>
      <c r="M236" s="452"/>
      <c r="N236" s="452"/>
      <c r="O236" s="453"/>
      <c r="P236" s="281"/>
    </row>
    <row r="237" spans="1:16" s="277" customFormat="1" ht="30" customHeight="1" thickBot="1">
      <c r="A237" s="181" t="s">
        <v>155</v>
      </c>
      <c r="B237" s="182"/>
      <c r="C237" s="182"/>
      <c r="D237" s="182"/>
      <c r="E237" s="1157"/>
      <c r="F237" s="182"/>
      <c r="G237" s="182"/>
      <c r="H237" s="182"/>
      <c r="I237" s="182"/>
      <c r="J237" s="182"/>
      <c r="K237" s="182"/>
      <c r="L237" s="182"/>
      <c r="M237" s="780"/>
      <c r="N237" s="780"/>
      <c r="O237" s="183"/>
    </row>
    <row r="238" spans="1:16" s="1258" customFormat="1">
      <c r="A238" s="1139"/>
      <c r="B238" s="195" t="s">
        <v>76</v>
      </c>
      <c r="C238" s="196"/>
      <c r="D238" s="197">
        <f>+D239+D240</f>
        <v>53932111</v>
      </c>
      <c r="E238" s="197">
        <f>+E239+E240</f>
        <v>28119865</v>
      </c>
      <c r="F238" s="197">
        <f t="shared" ref="F238" si="166">+F239+F240</f>
        <v>6344982</v>
      </c>
      <c r="G238" s="197">
        <f>+G239+G240</f>
        <v>8406775</v>
      </c>
      <c r="H238" s="197">
        <f>+H239+H240</f>
        <v>8885489</v>
      </c>
      <c r="I238" s="197">
        <f>+I239+I240</f>
        <v>2175000</v>
      </c>
      <c r="J238" s="197"/>
      <c r="K238" s="197"/>
      <c r="L238" s="197"/>
      <c r="M238" s="16">
        <f>+M239+M240</f>
        <v>25812246</v>
      </c>
      <c r="N238" s="16">
        <f>+N239+N240</f>
        <v>19467264</v>
      </c>
      <c r="O238" s="4225" t="s">
        <v>61</v>
      </c>
      <c r="P238" s="281"/>
    </row>
    <row r="239" spans="1:16" s="1258" customFormat="1" ht="13.5" customHeight="1">
      <c r="A239" s="179"/>
      <c r="B239" s="198" t="s">
        <v>77</v>
      </c>
      <c r="C239" s="199"/>
      <c r="D239" s="200">
        <f>+D253+D257</f>
        <v>51815387</v>
      </c>
      <c r="E239" s="200">
        <f t="shared" ref="E239:I239" si="167">+E253+E257</f>
        <v>26008965</v>
      </c>
      <c r="F239" s="200">
        <f t="shared" si="167"/>
        <v>6344982</v>
      </c>
      <c r="G239" s="200">
        <f t="shared" si="167"/>
        <v>8400951</v>
      </c>
      <c r="H239" s="200">
        <f t="shared" si="167"/>
        <v>8885489</v>
      </c>
      <c r="I239" s="200">
        <f t="shared" si="167"/>
        <v>2175000</v>
      </c>
      <c r="J239" s="200"/>
      <c r="K239" s="200"/>
      <c r="L239" s="200"/>
      <c r="M239" s="18">
        <f>SUM(F239:K239)</f>
        <v>25806422</v>
      </c>
      <c r="N239" s="18">
        <f>SUM(G239:L239)</f>
        <v>19461440</v>
      </c>
      <c r="O239" s="4226"/>
    </row>
    <row r="240" spans="1:16" s="1258" customFormat="1" ht="13.5" customHeight="1" thickBot="1">
      <c r="A240" s="179"/>
      <c r="B240" s="207" t="s">
        <v>9</v>
      </c>
      <c r="C240" s="199"/>
      <c r="D240" s="200">
        <f>+D249</f>
        <v>2116724</v>
      </c>
      <c r="E240" s="200">
        <f>+E249</f>
        <v>2110900</v>
      </c>
      <c r="F240" s="200">
        <f t="shared" ref="F240" si="168">+F249</f>
        <v>0</v>
      </c>
      <c r="G240" s="324">
        <f>+G249</f>
        <v>5824</v>
      </c>
      <c r="H240" s="324">
        <f>+H249</f>
        <v>0</v>
      </c>
      <c r="I240" s="324">
        <f>+I249</f>
        <v>0</v>
      </c>
      <c r="J240" s="324"/>
      <c r="K240" s="324"/>
      <c r="L240" s="324"/>
      <c r="M240" s="145">
        <f>SUM(F240:K240)</f>
        <v>5824</v>
      </c>
      <c r="N240" s="145">
        <f>SUM(G240:L240)</f>
        <v>5824</v>
      </c>
      <c r="O240" s="4226"/>
    </row>
    <row r="241" spans="1:27" s="328" customFormat="1" ht="13.5" customHeight="1">
      <c r="A241" s="325"/>
      <c r="B241" s="174" t="s">
        <v>10</v>
      </c>
      <c r="C241" s="175"/>
      <c r="D241" s="149">
        <f>+D242</f>
        <v>53932111</v>
      </c>
      <c r="E241" s="149">
        <f t="shared" ref="E241:I242" si="169">+E242</f>
        <v>28119865</v>
      </c>
      <c r="F241" s="149">
        <f t="shared" si="169"/>
        <v>6344982</v>
      </c>
      <c r="G241" s="149">
        <f t="shared" si="169"/>
        <v>8406775</v>
      </c>
      <c r="H241" s="149">
        <f t="shared" si="169"/>
        <v>8885489</v>
      </c>
      <c r="I241" s="149">
        <f t="shared" si="169"/>
        <v>2175000</v>
      </c>
      <c r="J241" s="149"/>
      <c r="K241" s="149"/>
      <c r="L241" s="149"/>
      <c r="M241" s="326">
        <f>+M242</f>
        <v>25812246</v>
      </c>
      <c r="N241" s="326">
        <f>+N242</f>
        <v>19467264</v>
      </c>
      <c r="O241" s="4226"/>
      <c r="P241" s="327"/>
      <c r="Q241" s="327"/>
    </row>
    <row r="242" spans="1:27" s="331" customFormat="1" ht="13.5" customHeight="1">
      <c r="A242" s="185"/>
      <c r="B242" s="150" t="s">
        <v>11</v>
      </c>
      <c r="C242" s="4228" t="s">
        <v>61</v>
      </c>
      <c r="D242" s="1304">
        <f>+D243+D244</f>
        <v>53932111</v>
      </c>
      <c r="E242" s="1304">
        <f t="shared" si="169"/>
        <v>28119865</v>
      </c>
      <c r="F242" s="1304">
        <f t="shared" si="169"/>
        <v>6344982</v>
      </c>
      <c r="G242" s="1304">
        <f t="shared" si="169"/>
        <v>8406775</v>
      </c>
      <c r="H242" s="1304">
        <f t="shared" si="169"/>
        <v>8885489</v>
      </c>
      <c r="I242" s="1304">
        <f t="shared" si="169"/>
        <v>2175000</v>
      </c>
      <c r="J242" s="1304"/>
      <c r="K242" s="1304"/>
      <c r="L242" s="1304"/>
      <c r="M242" s="1305">
        <f>+M243+M244</f>
        <v>25812246</v>
      </c>
      <c r="N242" s="1305">
        <f>+N243+N244</f>
        <v>19467264</v>
      </c>
      <c r="O242" s="4226"/>
      <c r="P242" s="329"/>
      <c r="Q242" s="330"/>
      <c r="R242" s="329"/>
      <c r="S242" s="329"/>
      <c r="T242" s="329"/>
      <c r="U242" s="329"/>
      <c r="V242" s="329"/>
      <c r="W242" s="329"/>
      <c r="X242" s="329"/>
      <c r="Y242" s="329"/>
      <c r="Z242" s="329"/>
      <c r="AA242" s="329"/>
    </row>
    <row r="243" spans="1:27" s="292" customFormat="1" ht="13.5" thickBot="1">
      <c r="A243" s="152"/>
      <c r="B243" s="153" t="s">
        <v>12</v>
      </c>
      <c r="C243" s="4229"/>
      <c r="D243" s="1306">
        <f>+D251+D255+D259</f>
        <v>53932111</v>
      </c>
      <c r="E243" s="1306">
        <f>+E251+E255+E259</f>
        <v>28119865</v>
      </c>
      <c r="F243" s="1306">
        <f>+F251+F255+F259</f>
        <v>6344982</v>
      </c>
      <c r="G243" s="1306">
        <f t="shared" ref="G243" si="170">+G251+G255+G259</f>
        <v>8406775</v>
      </c>
      <c r="H243" s="1306">
        <f>+H251+H255+H259</f>
        <v>8885489</v>
      </c>
      <c r="I243" s="1306">
        <f>+I251+I255</f>
        <v>2175000</v>
      </c>
      <c r="J243" s="1306"/>
      <c r="K243" s="1306"/>
      <c r="L243" s="1306"/>
      <c r="M243" s="1307">
        <f>SUM(F243:L243)</f>
        <v>25812246</v>
      </c>
      <c r="N243" s="1307">
        <f>SUM(G243:L243)</f>
        <v>19467264</v>
      </c>
      <c r="O243" s="4226"/>
      <c r="P243" s="281"/>
    </row>
    <row r="244" spans="1:27" s="292" customFormat="1" ht="13.5" hidden="1" customHeight="1">
      <c r="A244" s="152"/>
      <c r="B244" s="153" t="s">
        <v>14</v>
      </c>
      <c r="C244" s="4229"/>
      <c r="D244" s="1306">
        <f t="shared" ref="D244" si="171">+D260</f>
        <v>0</v>
      </c>
      <c r="E244" s="1306">
        <f t="shared" ref="E244" si="172">+E260</f>
        <v>0</v>
      </c>
      <c r="F244" s="1306">
        <f>+F260</f>
        <v>0</v>
      </c>
      <c r="G244" s="1306">
        <f>+G260</f>
        <v>0</v>
      </c>
      <c r="H244" s="1306">
        <f>+H260</f>
        <v>0</v>
      </c>
      <c r="I244" s="1306">
        <f>+I260</f>
        <v>0</v>
      </c>
      <c r="J244" s="1306"/>
      <c r="K244" s="1306"/>
      <c r="L244" s="1306"/>
      <c r="M244" s="1307">
        <f>SUM(E244:K244)</f>
        <v>0</v>
      </c>
      <c r="N244" s="1307">
        <f>SUM(F244:L244)</f>
        <v>0</v>
      </c>
      <c r="O244" s="4226"/>
      <c r="P244" s="281"/>
    </row>
    <row r="245" spans="1:27" s="284" customFormat="1" ht="15" hidden="1" customHeight="1">
      <c r="A245" s="146"/>
      <c r="B245" s="79" t="s">
        <v>22</v>
      </c>
      <c r="C245" s="87"/>
      <c r="D245" s="184">
        <f>+D246</f>
        <v>0</v>
      </c>
      <c r="E245" s="184">
        <f t="shared" ref="E245" si="173">+E246</f>
        <v>0</v>
      </c>
      <c r="F245" s="184">
        <f t="shared" ref="F245:I246" si="174">+F246</f>
        <v>0</v>
      </c>
      <c r="G245" s="184">
        <f t="shared" si="174"/>
        <v>0</v>
      </c>
      <c r="H245" s="184">
        <f t="shared" si="174"/>
        <v>0</v>
      </c>
      <c r="I245" s="184">
        <f t="shared" si="174"/>
        <v>0</v>
      </c>
      <c r="J245" s="184"/>
      <c r="K245" s="184"/>
      <c r="L245" s="184"/>
      <c r="M245" s="4232" t="s">
        <v>61</v>
      </c>
      <c r="N245" s="4232" t="s">
        <v>61</v>
      </c>
      <c r="O245" s="4226"/>
      <c r="P245" s="283"/>
      <c r="Q245" s="283"/>
    </row>
    <row r="246" spans="1:27" s="284" customFormat="1" ht="14.25" hidden="1" customHeight="1">
      <c r="A246" s="146"/>
      <c r="B246" s="150" t="s">
        <v>11</v>
      </c>
      <c r="C246" s="4228" t="s">
        <v>61</v>
      </c>
      <c r="D246" s="1304">
        <f>+D247</f>
        <v>0</v>
      </c>
      <c r="E246" s="1304">
        <f>+E247</f>
        <v>0</v>
      </c>
      <c r="F246" s="1304">
        <f t="shared" si="174"/>
        <v>0</v>
      </c>
      <c r="G246" s="1304">
        <f t="shared" si="174"/>
        <v>0</v>
      </c>
      <c r="H246" s="1304">
        <f t="shared" si="174"/>
        <v>0</v>
      </c>
      <c r="I246" s="1304">
        <f t="shared" si="174"/>
        <v>0</v>
      </c>
      <c r="J246" s="1304"/>
      <c r="K246" s="1304"/>
      <c r="L246" s="1304"/>
      <c r="M246" s="4203"/>
      <c r="N246" s="4203"/>
      <c r="O246" s="4226"/>
      <c r="P246" s="283"/>
      <c r="Q246" s="283"/>
    </row>
    <row r="247" spans="1:27" s="292" customFormat="1" ht="16.5" hidden="1" customHeight="1" thickBot="1">
      <c r="A247" s="152"/>
      <c r="B247" s="153" t="s">
        <v>14</v>
      </c>
      <c r="C247" s="4229"/>
      <c r="D247" s="1306">
        <f>+D263</f>
        <v>0</v>
      </c>
      <c r="E247" s="1306">
        <f>+E263</f>
        <v>0</v>
      </c>
      <c r="F247" s="1306">
        <f t="shared" ref="F247:I247" si="175">+F263</f>
        <v>0</v>
      </c>
      <c r="G247" s="1306">
        <f t="shared" si="175"/>
        <v>0</v>
      </c>
      <c r="H247" s="1306">
        <f t="shared" si="175"/>
        <v>0</v>
      </c>
      <c r="I247" s="1306">
        <f t="shared" si="175"/>
        <v>0</v>
      </c>
      <c r="J247" s="332"/>
      <c r="K247" s="332"/>
      <c r="L247" s="332"/>
      <c r="M247" s="4204"/>
      <c r="N247" s="4204"/>
      <c r="O247" s="4227"/>
      <c r="P247" s="282"/>
    </row>
    <row r="248" spans="1:27" s="300" customFormat="1" ht="25.5" customHeight="1">
      <c r="A248" s="4220" t="s">
        <v>63</v>
      </c>
      <c r="B248" s="333" t="s">
        <v>682</v>
      </c>
      <c r="C248" s="334" t="s">
        <v>82</v>
      </c>
      <c r="D248" s="348"/>
      <c r="E248" s="347"/>
      <c r="F248" s="347"/>
      <c r="G248" s="347"/>
      <c r="H248" s="347"/>
      <c r="I248" s="347"/>
      <c r="J248" s="347"/>
      <c r="K248" s="347"/>
      <c r="L248" s="1143"/>
      <c r="M248" s="316"/>
      <c r="N248" s="316"/>
      <c r="O248" s="4195" t="s">
        <v>332</v>
      </c>
    </row>
    <row r="249" spans="1:27" s="300" customFormat="1">
      <c r="A249" s="4221"/>
      <c r="B249" s="79" t="s">
        <v>10</v>
      </c>
      <c r="C249" s="1180"/>
      <c r="D249" s="1191">
        <f>+D250</f>
        <v>2116724</v>
      </c>
      <c r="E249" s="1191">
        <f t="shared" ref="E249:N250" si="176">+E250</f>
        <v>2110900</v>
      </c>
      <c r="F249" s="1191">
        <f>+F250</f>
        <v>0</v>
      </c>
      <c r="G249" s="1191">
        <f>+G250</f>
        <v>5824</v>
      </c>
      <c r="H249" s="1291">
        <v>0</v>
      </c>
      <c r="I249" s="1291">
        <v>0</v>
      </c>
      <c r="J249" s="1291">
        <v>0</v>
      </c>
      <c r="K249" s="1291">
        <v>0</v>
      </c>
      <c r="L249" s="1291">
        <v>0</v>
      </c>
      <c r="M249" s="1292">
        <f t="shared" si="176"/>
        <v>5824</v>
      </c>
      <c r="N249" s="1292">
        <f t="shared" si="176"/>
        <v>5824</v>
      </c>
      <c r="O249" s="4223"/>
      <c r="P249" s="281"/>
    </row>
    <row r="250" spans="1:27" s="300" customFormat="1" ht="12" customHeight="1">
      <c r="A250" s="4221"/>
      <c r="B250" s="513" t="s">
        <v>24</v>
      </c>
      <c r="C250" s="4237" t="s">
        <v>156</v>
      </c>
      <c r="D250" s="1186">
        <f>+D251</f>
        <v>2116724</v>
      </c>
      <c r="E250" s="1186">
        <f t="shared" si="176"/>
        <v>2110900</v>
      </c>
      <c r="F250" s="1186">
        <f>+F251</f>
        <v>0</v>
      </c>
      <c r="G250" s="1186">
        <f>+G251</f>
        <v>5824</v>
      </c>
      <c r="H250" s="1187">
        <v>0</v>
      </c>
      <c r="I250" s="1187">
        <v>0</v>
      </c>
      <c r="J250" s="1187">
        <v>0</v>
      </c>
      <c r="K250" s="1187">
        <v>0</v>
      </c>
      <c r="L250" s="1187">
        <v>0</v>
      </c>
      <c r="M250" s="1308">
        <f t="shared" si="176"/>
        <v>5824</v>
      </c>
      <c r="N250" s="1308">
        <f t="shared" si="176"/>
        <v>5824</v>
      </c>
      <c r="O250" s="4223"/>
    </row>
    <row r="251" spans="1:27" s="300" customFormat="1" thickBot="1">
      <c r="A251" s="4222"/>
      <c r="B251" s="1095" t="s">
        <v>12</v>
      </c>
      <c r="C251" s="4205"/>
      <c r="D251" s="704">
        <f>E251+F251+G251+H251+I251+J251+K251+L251</f>
        <v>2116724</v>
      </c>
      <c r="E251" s="1183">
        <f>2110900</f>
        <v>2110900</v>
      </c>
      <c r="F251" s="469">
        <f>5824-5824</f>
        <v>0</v>
      </c>
      <c r="G251" s="469">
        <v>5824</v>
      </c>
      <c r="H251" s="547">
        <v>0</v>
      </c>
      <c r="I251" s="547">
        <v>0</v>
      </c>
      <c r="J251" s="547">
        <v>0</v>
      </c>
      <c r="K251" s="547">
        <v>0</v>
      </c>
      <c r="L251" s="547">
        <v>0</v>
      </c>
      <c r="M251" s="1185">
        <f>SUM(F251:L251)</f>
        <v>5824</v>
      </c>
      <c r="N251" s="1185">
        <f>SUM(G251:L251)</f>
        <v>5824</v>
      </c>
      <c r="O251" s="4224"/>
    </row>
    <row r="252" spans="1:27" s="300" customFormat="1" ht="28.5" customHeight="1">
      <c r="A252" s="4234" t="s">
        <v>64</v>
      </c>
      <c r="B252" s="162" t="s">
        <v>489</v>
      </c>
      <c r="C252" s="334" t="s">
        <v>110</v>
      </c>
      <c r="D252" s="348"/>
      <c r="E252" s="347"/>
      <c r="F252" s="347"/>
      <c r="G252" s="347"/>
      <c r="H252" s="347"/>
      <c r="I252" s="347"/>
      <c r="J252" s="347"/>
      <c r="K252" s="347"/>
      <c r="L252" s="1143"/>
      <c r="M252" s="316"/>
      <c r="N252" s="316"/>
      <c r="O252" s="4195" t="s">
        <v>333</v>
      </c>
      <c r="P252" s="281"/>
    </row>
    <row r="253" spans="1:27" s="300" customFormat="1" ht="17.25" customHeight="1">
      <c r="A253" s="4235"/>
      <c r="B253" s="534" t="s">
        <v>10</v>
      </c>
      <c r="C253" s="1180"/>
      <c r="D253" s="1191">
        <f>+D254</f>
        <v>51130387</v>
      </c>
      <c r="E253" s="1191">
        <f t="shared" ref="E253:N254" si="177">+E254</f>
        <v>26008965</v>
      </c>
      <c r="F253" s="1191">
        <f t="shared" si="177"/>
        <v>6344982</v>
      </c>
      <c r="G253" s="1191">
        <f t="shared" si="177"/>
        <v>8355951</v>
      </c>
      <c r="H253" s="1191">
        <f t="shared" si="177"/>
        <v>8245489</v>
      </c>
      <c r="I253" s="1191">
        <f t="shared" si="177"/>
        <v>2175000</v>
      </c>
      <c r="J253" s="1291">
        <f t="shared" si="177"/>
        <v>0</v>
      </c>
      <c r="K253" s="1291">
        <f t="shared" si="177"/>
        <v>0</v>
      </c>
      <c r="L253" s="1291">
        <f t="shared" si="177"/>
        <v>0</v>
      </c>
      <c r="M253" s="1844">
        <f t="shared" si="177"/>
        <v>25121422</v>
      </c>
      <c r="N253" s="1844">
        <f t="shared" si="177"/>
        <v>18776440</v>
      </c>
      <c r="O253" s="4223"/>
    </row>
    <row r="254" spans="1:27" s="300" customFormat="1" ht="14.25" customHeight="1">
      <c r="A254" s="4235"/>
      <c r="B254" s="513" t="s">
        <v>24</v>
      </c>
      <c r="C254" s="4230" t="s">
        <v>149</v>
      </c>
      <c r="D254" s="1309">
        <f>+D255</f>
        <v>51130387</v>
      </c>
      <c r="E254" s="1845">
        <f t="shared" si="177"/>
        <v>26008965</v>
      </c>
      <c r="F254" s="1846">
        <f t="shared" si="177"/>
        <v>6344982</v>
      </c>
      <c r="G254" s="1199">
        <f t="shared" si="177"/>
        <v>8355951</v>
      </c>
      <c r="H254" s="1199">
        <f t="shared" si="177"/>
        <v>8245489</v>
      </c>
      <c r="I254" s="1199">
        <f t="shared" si="177"/>
        <v>2175000</v>
      </c>
      <c r="J254" s="1847">
        <f t="shared" si="177"/>
        <v>0</v>
      </c>
      <c r="K254" s="1847">
        <f t="shared" si="177"/>
        <v>0</v>
      </c>
      <c r="L254" s="1847">
        <f t="shared" si="177"/>
        <v>0</v>
      </c>
      <c r="M254" s="1848">
        <f t="shared" si="177"/>
        <v>25121422</v>
      </c>
      <c r="N254" s="1848">
        <f t="shared" si="177"/>
        <v>18776440</v>
      </c>
      <c r="O254" s="4223"/>
    </row>
    <row r="255" spans="1:27" s="300" customFormat="1" ht="15" customHeight="1" thickBot="1">
      <c r="A255" s="4236"/>
      <c r="B255" s="1849" t="s">
        <v>12</v>
      </c>
      <c r="C255" s="4231"/>
      <c r="D255" s="700">
        <f>E255+F255+G255+H255+I255+J255+K255+L255</f>
        <v>51130387</v>
      </c>
      <c r="E255" s="1850">
        <f>20241982+5766983</f>
        <v>26008965</v>
      </c>
      <c r="F255" s="1851">
        <f>0+8835105-2490123</f>
        <v>6344982</v>
      </c>
      <c r="G255" s="1852">
        <f>0+7382305+973646</f>
        <v>8355951</v>
      </c>
      <c r="H255" s="1852">
        <f>5029421+1926068+1290000</f>
        <v>8245489</v>
      </c>
      <c r="I255" s="1852">
        <f>1000000+1175000</f>
        <v>2175000</v>
      </c>
      <c r="J255" s="1853">
        <v>0</v>
      </c>
      <c r="K255" s="1853">
        <v>0</v>
      </c>
      <c r="L255" s="1853">
        <v>0</v>
      </c>
      <c r="M255" s="1273">
        <f>SUM(F255:L255)</f>
        <v>25121422</v>
      </c>
      <c r="N255" s="1273">
        <f>SUM(G255:L255)</f>
        <v>18776440</v>
      </c>
      <c r="O255" s="4233"/>
    </row>
    <row r="256" spans="1:27" s="300" customFormat="1" ht="24.75" customHeight="1">
      <c r="A256" s="4220" t="s">
        <v>65</v>
      </c>
      <c r="B256" s="162" t="s">
        <v>731</v>
      </c>
      <c r="C256" s="334" t="s">
        <v>110</v>
      </c>
      <c r="D256" s="177"/>
      <c r="E256" s="349"/>
      <c r="F256" s="349"/>
      <c r="G256" s="349"/>
      <c r="H256" s="349"/>
      <c r="I256" s="349"/>
      <c r="J256" s="349"/>
      <c r="K256" s="349"/>
      <c r="L256" s="2144"/>
      <c r="M256" s="2145"/>
      <c r="N256" s="1721"/>
      <c r="O256" s="4195" t="s">
        <v>332</v>
      </c>
      <c r="P256" s="281"/>
    </row>
    <row r="257" spans="1:15" s="300" customFormat="1" ht="12">
      <c r="A257" s="4221"/>
      <c r="B257" s="534" t="s">
        <v>10</v>
      </c>
      <c r="C257" s="749"/>
      <c r="D257" s="550">
        <f>+D258</f>
        <v>685000</v>
      </c>
      <c r="E257" s="550">
        <f t="shared" ref="E257:L257" si="178">+E258</f>
        <v>0</v>
      </c>
      <c r="F257" s="550">
        <f t="shared" si="178"/>
        <v>0</v>
      </c>
      <c r="G257" s="1191">
        <f t="shared" si="178"/>
        <v>45000</v>
      </c>
      <c r="H257" s="1191">
        <f t="shared" si="178"/>
        <v>640000</v>
      </c>
      <c r="I257" s="559">
        <f t="shared" si="178"/>
        <v>0</v>
      </c>
      <c r="J257" s="559">
        <f t="shared" si="178"/>
        <v>0</v>
      </c>
      <c r="K257" s="559">
        <f t="shared" si="178"/>
        <v>0</v>
      </c>
      <c r="L257" s="559">
        <f t="shared" si="178"/>
        <v>0</v>
      </c>
      <c r="M257" s="2146">
        <f>+M258</f>
        <v>685000</v>
      </c>
      <c r="N257" s="326">
        <f>+N258</f>
        <v>685000</v>
      </c>
      <c r="O257" s="4223"/>
    </row>
    <row r="258" spans="1:15" s="300" customFormat="1" ht="12">
      <c r="A258" s="4221"/>
      <c r="B258" s="513" t="s">
        <v>24</v>
      </c>
      <c r="C258" s="4230">
        <v>75018</v>
      </c>
      <c r="D258" s="750">
        <f>+D259+D260</f>
        <v>685000</v>
      </c>
      <c r="E258" s="750">
        <f t="shared" ref="E258" si="179">+E259+E260</f>
        <v>0</v>
      </c>
      <c r="F258" s="750">
        <f t="shared" ref="F258:N258" si="180">+F259+F260</f>
        <v>0</v>
      </c>
      <c r="G258" s="1199">
        <f t="shared" si="180"/>
        <v>45000</v>
      </c>
      <c r="H258" s="1199">
        <f t="shared" si="180"/>
        <v>640000</v>
      </c>
      <c r="I258" s="548">
        <f t="shared" si="180"/>
        <v>0</v>
      </c>
      <c r="J258" s="548">
        <f t="shared" si="180"/>
        <v>0</v>
      </c>
      <c r="K258" s="548">
        <f t="shared" si="180"/>
        <v>0</v>
      </c>
      <c r="L258" s="548">
        <f t="shared" si="180"/>
        <v>0</v>
      </c>
      <c r="M258" s="2147">
        <f t="shared" ref="M258" si="181">+M259+M260</f>
        <v>685000</v>
      </c>
      <c r="N258" s="2148">
        <f t="shared" si="180"/>
        <v>685000</v>
      </c>
      <c r="O258" s="4223"/>
    </row>
    <row r="259" spans="1:15" s="300" customFormat="1" ht="13.5" thickBot="1">
      <c r="A259" s="4222"/>
      <c r="B259" s="2149" t="s">
        <v>12</v>
      </c>
      <c r="C259" s="4238"/>
      <c r="D259" s="700">
        <f>E259+F259+G259+H259+I259+J259+K259+L259</f>
        <v>685000</v>
      </c>
      <c r="E259" s="2150">
        <v>0</v>
      </c>
      <c r="F259" s="2151"/>
      <c r="G259" s="1852">
        <v>45000</v>
      </c>
      <c r="H259" s="1852">
        <v>640000</v>
      </c>
      <c r="I259" s="2152">
        <v>0</v>
      </c>
      <c r="J259" s="2152">
        <v>0</v>
      </c>
      <c r="K259" s="2152">
        <v>0</v>
      </c>
      <c r="L259" s="2152">
        <v>0</v>
      </c>
      <c r="M259" s="1273">
        <f>SUM(F259:K259)</f>
        <v>685000</v>
      </c>
      <c r="N259" s="1273">
        <f>SUM(G259:L259)</f>
        <v>685000</v>
      </c>
      <c r="O259" s="4224"/>
    </row>
    <row r="260" spans="1:15" s="300" customFormat="1" ht="13.5" hidden="1" customHeight="1" thickBot="1">
      <c r="A260" s="751"/>
      <c r="B260" s="1258" t="s">
        <v>14</v>
      </c>
      <c r="C260" s="752"/>
      <c r="D260" s="700">
        <f>E260+F260+G260+H260+I260+J260+K260+L260</f>
        <v>0</v>
      </c>
      <c r="E260" s="754"/>
      <c r="F260" s="755">
        <v>0</v>
      </c>
      <c r="G260" s="755">
        <v>0</v>
      </c>
      <c r="H260" s="755">
        <v>0</v>
      </c>
      <c r="I260" s="755">
        <v>0</v>
      </c>
      <c r="J260" s="755">
        <v>0</v>
      </c>
      <c r="K260" s="755">
        <v>0</v>
      </c>
      <c r="L260" s="755">
        <v>0</v>
      </c>
      <c r="M260" s="591">
        <f>SUM(E260:K260)</f>
        <v>0</v>
      </c>
      <c r="N260" s="591">
        <f>SUM(F260:L260)</f>
        <v>0</v>
      </c>
      <c r="O260" s="1054"/>
    </row>
    <row r="261" spans="1:15" s="1258" customFormat="1" ht="13.5" hidden="1" customHeight="1">
      <c r="A261" s="751"/>
      <c r="B261" s="534" t="s">
        <v>22</v>
      </c>
      <c r="C261" s="749"/>
      <c r="D261" s="550">
        <f>+D262</f>
        <v>0</v>
      </c>
      <c r="E261" s="550">
        <f t="shared" ref="E261:L261" si="182">+E262</f>
        <v>0</v>
      </c>
      <c r="F261" s="559">
        <f t="shared" si="182"/>
        <v>0</v>
      </c>
      <c r="G261" s="559">
        <f t="shared" si="182"/>
        <v>0</v>
      </c>
      <c r="H261" s="536">
        <f t="shared" si="182"/>
        <v>0</v>
      </c>
      <c r="I261" s="559">
        <f t="shared" si="182"/>
        <v>0</v>
      </c>
      <c r="J261" s="559">
        <f t="shared" si="182"/>
        <v>0</v>
      </c>
      <c r="K261" s="536">
        <f t="shared" si="182"/>
        <v>0</v>
      </c>
      <c r="L261" s="559">
        <f t="shared" si="182"/>
        <v>0</v>
      </c>
      <c r="M261" s="4232" t="s">
        <v>23</v>
      </c>
      <c r="N261" s="4232" t="s">
        <v>23</v>
      </c>
      <c r="O261" s="1054"/>
    </row>
    <row r="262" spans="1:15" s="1258" customFormat="1" ht="13.5" hidden="1" customHeight="1">
      <c r="A262" s="400"/>
      <c r="B262" s="513" t="s">
        <v>24</v>
      </c>
      <c r="C262" s="4230" t="s">
        <v>389</v>
      </c>
      <c r="D262" s="750">
        <f t="shared" ref="D262:L262" si="183">+D263</f>
        <v>0</v>
      </c>
      <c r="E262" s="750">
        <f t="shared" si="183"/>
        <v>0</v>
      </c>
      <c r="F262" s="548">
        <f t="shared" si="183"/>
        <v>0</v>
      </c>
      <c r="G262" s="548">
        <f t="shared" si="183"/>
        <v>0</v>
      </c>
      <c r="H262" s="563">
        <f t="shared" si="183"/>
        <v>0</v>
      </c>
      <c r="I262" s="564">
        <f t="shared" si="183"/>
        <v>0</v>
      </c>
      <c r="J262" s="548">
        <f t="shared" si="183"/>
        <v>0</v>
      </c>
      <c r="K262" s="563">
        <f t="shared" si="183"/>
        <v>0</v>
      </c>
      <c r="L262" s="564">
        <f t="shared" si="183"/>
        <v>0</v>
      </c>
      <c r="M262" s="4203"/>
      <c r="N262" s="4203"/>
      <c r="O262" s="1054"/>
    </row>
    <row r="263" spans="1:15" s="1258" customFormat="1" ht="22.5" hidden="1" customHeight="1" thickBot="1">
      <c r="A263" s="2056"/>
      <c r="B263" s="515" t="s">
        <v>14</v>
      </c>
      <c r="C263" s="4231"/>
      <c r="D263" s="700">
        <f>E263+F263+G263+H263+I263+J263+K263+L263</f>
        <v>0</v>
      </c>
      <c r="E263" s="560">
        <v>0</v>
      </c>
      <c r="F263" s="565">
        <v>0</v>
      </c>
      <c r="G263" s="565">
        <v>0</v>
      </c>
      <c r="H263" s="566">
        <v>0</v>
      </c>
      <c r="I263" s="566">
        <v>0</v>
      </c>
      <c r="J263" s="565">
        <v>0</v>
      </c>
      <c r="K263" s="566">
        <v>0</v>
      </c>
      <c r="L263" s="566">
        <v>0</v>
      </c>
      <c r="M263" s="4204"/>
      <c r="N263" s="4204"/>
      <c r="O263" s="1055"/>
    </row>
    <row r="264" spans="1:15" ht="14.25" customHeight="1">
      <c r="A264" s="4219" t="s">
        <v>454</v>
      </c>
      <c r="B264" s="4219"/>
      <c r="C264" s="4219"/>
      <c r="D264" s="4219"/>
      <c r="E264" s="4219"/>
      <c r="F264" s="4219"/>
      <c r="G264" s="4219"/>
      <c r="H264" s="4219"/>
      <c r="I264" s="4219"/>
      <c r="J264" s="4219"/>
      <c r="K264" s="4219"/>
      <c r="L264" s="4219"/>
      <c r="M264" s="4219"/>
      <c r="N264" s="4219"/>
      <c r="O264" s="4219"/>
    </row>
    <row r="265" spans="1:15" ht="14.25" customHeight="1">
      <c r="A265" s="4219" t="s">
        <v>680</v>
      </c>
      <c r="B265" s="4219"/>
      <c r="C265" s="4219"/>
      <c r="D265" s="4219"/>
      <c r="E265" s="4219"/>
      <c r="F265" s="4219"/>
      <c r="G265" s="4219"/>
      <c r="H265" s="4219"/>
      <c r="I265" s="4219"/>
      <c r="J265" s="4219"/>
      <c r="K265" s="4219"/>
      <c r="L265" s="4219"/>
      <c r="M265" s="4219"/>
      <c r="N265" s="4219"/>
      <c r="O265" s="4219"/>
    </row>
    <row r="266" spans="1:15" ht="12.75" customHeight="1">
      <c r="A266" s="4219" t="s">
        <v>681</v>
      </c>
      <c r="B266" s="4219"/>
      <c r="C266" s="4219"/>
      <c r="D266" s="4219"/>
      <c r="E266" s="4219"/>
      <c r="F266" s="4219"/>
      <c r="G266" s="4219"/>
      <c r="H266" s="4219"/>
      <c r="I266" s="4219"/>
      <c r="J266" s="4219"/>
      <c r="K266" s="4219"/>
      <c r="L266" s="4219"/>
      <c r="M266" s="4219"/>
      <c r="N266" s="4219"/>
      <c r="O266" s="4219"/>
    </row>
    <row r="267" spans="1:15" ht="13.5" customHeight="1">
      <c r="A267" s="2072"/>
      <c r="B267" s="1078" t="s">
        <v>481</v>
      </c>
      <c r="C267" s="1069"/>
      <c r="D267" s="1069"/>
      <c r="E267" s="1069"/>
      <c r="F267" s="1069"/>
      <c r="G267" s="1069"/>
      <c r="H267" s="1069"/>
      <c r="I267" s="1069"/>
      <c r="J267" s="1069"/>
      <c r="K267" s="1069"/>
      <c r="L267" s="1069"/>
      <c r="M267" s="2072"/>
      <c r="N267" s="2072"/>
      <c r="O267" s="2072"/>
    </row>
    <row r="268" spans="1:15" ht="13.5" customHeight="1">
      <c r="A268" s="2072"/>
      <c r="B268" s="1056" t="s">
        <v>482</v>
      </c>
      <c r="C268" s="1069"/>
      <c r="D268" s="1075">
        <f t="shared" ref="D268:L268" si="184">+D220+D115+D77+D54+D35</f>
        <v>200825383</v>
      </c>
      <c r="E268" s="1075">
        <f t="shared" si="184"/>
        <v>17285840</v>
      </c>
      <c r="F268" s="1075">
        <f t="shared" si="184"/>
        <v>25341152</v>
      </c>
      <c r="G268" s="1075">
        <f t="shared" si="184"/>
        <v>33567120</v>
      </c>
      <c r="H268" s="1075">
        <f t="shared" si="184"/>
        <v>24936936</v>
      </c>
      <c r="I268" s="1075">
        <f t="shared" si="184"/>
        <v>24623201</v>
      </c>
      <c r="J268" s="1075">
        <f t="shared" si="184"/>
        <v>22576931</v>
      </c>
      <c r="K268" s="1075">
        <f t="shared" si="184"/>
        <v>22791129</v>
      </c>
      <c r="L268" s="1075">
        <f t="shared" si="184"/>
        <v>22619514</v>
      </c>
      <c r="M268" s="2072"/>
      <c r="N268" s="2072"/>
      <c r="O268" s="2072"/>
    </row>
    <row r="269" spans="1:15" ht="13.5" customHeight="1">
      <c r="A269" s="2072"/>
      <c r="B269" s="1056" t="s">
        <v>483</v>
      </c>
      <c r="C269" s="1069"/>
      <c r="D269" s="1075">
        <f t="shared" ref="D269:L269" si="185">+D66+D88+D134+D147+D231</f>
        <v>71254016</v>
      </c>
      <c r="E269" s="1075">
        <f t="shared" si="185"/>
        <v>506550</v>
      </c>
      <c r="F269" s="1075">
        <f t="shared" si="185"/>
        <v>1258342</v>
      </c>
      <c r="G269" s="1075">
        <f t="shared" si="185"/>
        <v>7839473</v>
      </c>
      <c r="H269" s="1075">
        <f t="shared" si="185"/>
        <v>42098265</v>
      </c>
      <c r="I269" s="1075">
        <f t="shared" si="185"/>
        <v>18806815</v>
      </c>
      <c r="J269" s="1075">
        <f t="shared" si="185"/>
        <v>144500</v>
      </c>
      <c r="K269" s="1075">
        <f t="shared" si="185"/>
        <v>144500</v>
      </c>
      <c r="L269" s="1075">
        <f t="shared" si="185"/>
        <v>144500</v>
      </c>
      <c r="M269" s="2072"/>
      <c r="N269" s="2072"/>
      <c r="O269" s="2072"/>
    </row>
    <row r="270" spans="1:15" ht="13.5" customHeight="1">
      <c r="A270" s="2072"/>
      <c r="B270" s="1056" t="s">
        <v>484</v>
      </c>
      <c r="C270" s="1069"/>
      <c r="D270" s="1076">
        <f>D268+D269</f>
        <v>272079399</v>
      </c>
      <c r="E270" s="1076">
        <f t="shared" ref="E270:L270" si="186">E268+E269</f>
        <v>17792390</v>
      </c>
      <c r="F270" s="1076">
        <f>F268+F269</f>
        <v>26599494</v>
      </c>
      <c r="G270" s="1076">
        <f t="shared" si="186"/>
        <v>41406593</v>
      </c>
      <c r="H270" s="1076">
        <f t="shared" si="186"/>
        <v>67035201</v>
      </c>
      <c r="I270" s="1076">
        <f t="shared" si="186"/>
        <v>43430016</v>
      </c>
      <c r="J270" s="1076">
        <f t="shared" si="186"/>
        <v>22721431</v>
      </c>
      <c r="K270" s="1076">
        <f t="shared" si="186"/>
        <v>22935629</v>
      </c>
      <c r="L270" s="1076">
        <f t="shared" si="186"/>
        <v>22764014</v>
      </c>
      <c r="M270" s="2072"/>
      <c r="N270" s="2072"/>
      <c r="O270" s="2072"/>
    </row>
    <row r="271" spans="1:15" ht="13.5" customHeight="1">
      <c r="A271" s="2072"/>
      <c r="B271" s="1072" t="s">
        <v>42</v>
      </c>
      <c r="C271" s="1074"/>
      <c r="D271" s="1077">
        <f t="shared" ref="D271:L271" si="187">D20-D270</f>
        <v>0</v>
      </c>
      <c r="E271" s="1077">
        <f t="shared" si="187"/>
        <v>0</v>
      </c>
      <c r="F271" s="1077">
        <f t="shared" si="187"/>
        <v>0</v>
      </c>
      <c r="G271" s="1077">
        <f t="shared" si="187"/>
        <v>0</v>
      </c>
      <c r="H271" s="1077">
        <f t="shared" si="187"/>
        <v>0</v>
      </c>
      <c r="I271" s="1077">
        <f t="shared" si="187"/>
        <v>0</v>
      </c>
      <c r="J271" s="1077">
        <f t="shared" si="187"/>
        <v>0</v>
      </c>
      <c r="K271" s="1077">
        <f t="shared" si="187"/>
        <v>0</v>
      </c>
      <c r="L271" s="1077">
        <f t="shared" si="187"/>
        <v>0</v>
      </c>
      <c r="M271" s="2072"/>
      <c r="N271" s="2072"/>
      <c r="O271" s="2072"/>
    </row>
    <row r="272" spans="1:15" ht="31.5" customHeight="1">
      <c r="A272" s="2072"/>
      <c r="B272" s="2072"/>
      <c r="C272" s="2072"/>
      <c r="D272" s="2072"/>
      <c r="E272" s="2072"/>
      <c r="F272" s="2072"/>
      <c r="G272" s="2072"/>
      <c r="H272" s="2072"/>
      <c r="I272" s="2072"/>
      <c r="J272" s="2072"/>
      <c r="K272" s="2072"/>
      <c r="L272" s="2072"/>
      <c r="M272" s="2072"/>
      <c r="N272" s="2072"/>
      <c r="O272" s="2072"/>
    </row>
    <row r="273" spans="1:15" ht="31.5" customHeight="1">
      <c r="A273" s="2072"/>
      <c r="B273" s="2072"/>
      <c r="C273" s="2072"/>
      <c r="D273" s="2072"/>
      <c r="E273" s="2072"/>
      <c r="F273" s="2072"/>
      <c r="G273" s="2072"/>
      <c r="H273" s="2072"/>
      <c r="I273" s="2072"/>
      <c r="J273" s="2072"/>
      <c r="K273" s="2072"/>
      <c r="L273" s="2072"/>
      <c r="M273" s="2072"/>
      <c r="N273" s="2072"/>
      <c r="O273" s="2072"/>
    </row>
    <row r="274" spans="1:15">
      <c r="B274" s="2074" t="s">
        <v>42</v>
      </c>
    </row>
    <row r="275" spans="1:15">
      <c r="B275" s="4218" t="s">
        <v>255</v>
      </c>
      <c r="C275" s="272" t="s">
        <v>110</v>
      </c>
      <c r="D275" s="274" t="e">
        <f>D115-#REF!-#REF!-F115-G115-H115-I115-J115-K115-L115</f>
        <v>#REF!</v>
      </c>
      <c r="E275" s="272" t="s">
        <v>110</v>
      </c>
    </row>
    <row r="276" spans="1:15">
      <c r="B276" s="4218"/>
      <c r="C276" s="272" t="s">
        <v>82</v>
      </c>
      <c r="D276" s="274" t="e">
        <f>D134-#REF!-#REF!-F134-G134-H134-I134-J134-K134-L134</f>
        <v>#REF!</v>
      </c>
      <c r="E276" s="272" t="s">
        <v>82</v>
      </c>
    </row>
    <row r="277" spans="1:15">
      <c r="B277" s="4218"/>
      <c r="D277" s="336" t="e">
        <f>D275+D276</f>
        <v>#REF!</v>
      </c>
    </row>
    <row r="279" spans="1:15">
      <c r="B279" s="337" t="s">
        <v>766</v>
      </c>
      <c r="C279" s="272" t="s">
        <v>110</v>
      </c>
      <c r="D279" s="274" t="e">
        <f>+D105-#REF!-#REF!-F105-G105-H105-I105-J105-K105-L105</f>
        <v>#REF!</v>
      </c>
    </row>
    <row r="280" spans="1:15">
      <c r="C280" s="272" t="s">
        <v>82</v>
      </c>
      <c r="D280" s="274" t="e">
        <f>D124-#REF!-#REF!-F124-G124-H124-I124-J124-K124-L124</f>
        <v>#REF!</v>
      </c>
    </row>
    <row r="281" spans="1:15">
      <c r="D281" s="336" t="e">
        <f>D279+D280</f>
        <v>#REF!</v>
      </c>
    </row>
    <row r="283" spans="1:15">
      <c r="B283" s="337" t="s">
        <v>257</v>
      </c>
      <c r="D283" s="336" t="e">
        <f>+D96-#REF!-#REF!-F96-G96-H96-I96-J96-K96-L96</f>
        <v>#REF!</v>
      </c>
    </row>
    <row r="285" spans="1:15">
      <c r="B285" s="272" t="s">
        <v>256</v>
      </c>
      <c r="D285" s="336" t="e">
        <f>D281+D283</f>
        <v>#REF!</v>
      </c>
    </row>
    <row r="286" spans="1:15">
      <c r="E286" s="274"/>
    </row>
    <row r="287" spans="1:15">
      <c r="B287" s="272" t="s">
        <v>378</v>
      </c>
      <c r="D287" s="274">
        <f t="shared" ref="D287:L287" si="188">+D96+D106</f>
        <v>218192786</v>
      </c>
      <c r="E287" s="274">
        <f t="shared" si="188"/>
        <v>23977776</v>
      </c>
      <c r="F287" s="274">
        <f t="shared" si="188"/>
        <v>26233577</v>
      </c>
      <c r="G287" s="274">
        <f t="shared" si="188"/>
        <v>31641093</v>
      </c>
      <c r="H287" s="274">
        <f t="shared" si="188"/>
        <v>31341732</v>
      </c>
      <c r="I287" s="274">
        <f t="shared" si="188"/>
        <v>27598261</v>
      </c>
      <c r="J287" s="274">
        <f t="shared" si="188"/>
        <v>26593043</v>
      </c>
      <c r="K287" s="274">
        <f t="shared" si="188"/>
        <v>25498869</v>
      </c>
      <c r="L287" s="274">
        <f t="shared" si="188"/>
        <v>25308435</v>
      </c>
      <c r="M287" s="274">
        <f>SUM(D287:K287)-C287</f>
        <v>411077137</v>
      </c>
      <c r="N287" s="274">
        <f>SUM(E287:L287)-D287</f>
        <v>0</v>
      </c>
    </row>
    <row r="288" spans="1:15">
      <c r="B288" s="272" t="s">
        <v>379</v>
      </c>
      <c r="D288" s="274">
        <f t="shared" ref="D288:L288" si="189">+D125</f>
        <v>1944569</v>
      </c>
      <c r="E288" s="274">
        <f t="shared" si="189"/>
        <v>357504</v>
      </c>
      <c r="F288" s="274">
        <f t="shared" si="189"/>
        <v>421938</v>
      </c>
      <c r="G288" s="274">
        <f t="shared" si="189"/>
        <v>350000</v>
      </c>
      <c r="H288" s="274">
        <f t="shared" si="189"/>
        <v>237127</v>
      </c>
      <c r="I288" s="274">
        <f t="shared" si="189"/>
        <v>144500</v>
      </c>
      <c r="J288" s="274">
        <f t="shared" si="189"/>
        <v>144500</v>
      </c>
      <c r="K288" s="274">
        <f t="shared" si="189"/>
        <v>144500</v>
      </c>
      <c r="L288" s="274">
        <f t="shared" si="189"/>
        <v>144500</v>
      </c>
      <c r="M288" s="274">
        <f>SUM(D288:K288)-C288</f>
        <v>3744638</v>
      </c>
      <c r="N288" s="274">
        <f>SUM(E288:L288)-D288</f>
        <v>0</v>
      </c>
    </row>
    <row r="290" spans="2:14">
      <c r="B290" s="272" t="s">
        <v>377</v>
      </c>
      <c r="D290" s="274">
        <f>+D115+'Tab. 6B Polit społ i rozwój prz'!D92+D134+'Tab. 6B Polit społ i rozwój prz'!D104</f>
        <v>249298062</v>
      </c>
      <c r="F290" s="274">
        <f>+F115+'Tab. 6B Polit społ i rozwój prz'!F92+F134+'Tab. 6B Polit społ i rozwój prz'!F104</f>
        <v>31211686</v>
      </c>
      <c r="G290" s="274">
        <f>+G115+'Tab. 6B Polit społ i rozwój prz'!G92+G134+'Tab. 6B Polit społ i rozwój prz'!G104</f>
        <v>35746592</v>
      </c>
      <c r="H290" s="274">
        <f>+H115+'Tab. 6B Polit społ i rozwój prz'!H92+H134+'Tab. 6B Polit społ i rozwój prz'!H104</f>
        <v>31657084</v>
      </c>
      <c r="I290" s="274">
        <f>+I115+'Tab. 6B Polit społ i rozwój prz'!I92+I134+'Tab. 6B Polit społ i rozwój prz'!I104</f>
        <v>31080049</v>
      </c>
      <c r="J290" s="274">
        <f>+J115+'Tab. 6B Polit społ i rozwój prz'!J92+J134+'Tab. 6B Polit społ i rozwój prz'!J104</f>
        <v>30471862</v>
      </c>
      <c r="K290" s="274">
        <f>+K115+'Tab. 6B Polit społ i rozwój prz'!K92+K134+'Tab. 6B Polit społ i rozwój prz'!K104</f>
        <v>30200542</v>
      </c>
      <c r="L290" s="274">
        <f>+L115+'Tab. 6B Polit społ i rozwój prz'!L92+L134+'Tab. 6B Polit społ i rozwój prz'!L104</f>
        <v>29343698</v>
      </c>
      <c r="M290" s="274">
        <f>SUM(D290:K290)-C290</f>
        <v>439665877</v>
      </c>
      <c r="N290" s="274">
        <f>SUM(E290:L290)-D290</f>
        <v>-29586549</v>
      </c>
    </row>
    <row r="291" spans="2:14">
      <c r="B291" s="272" t="s">
        <v>376</v>
      </c>
      <c r="D291" s="274">
        <f>+D94+D119+'Tab. 6B Polit społ i rozwój prz'!D86+'Tab. 6B Polit społ i rozwój prz'!D98</f>
        <v>296468308</v>
      </c>
      <c r="E291" s="274">
        <f>+E94+E119+'Tab. 6B Polit społ i rozwój prz'!E86+'Tab. 6B Polit społ i rozwój prz'!E98</f>
        <v>33407663</v>
      </c>
      <c r="F291" s="274">
        <f>+F94+F119+'Tab. 6B Polit społ i rozwój prz'!F86+'Tab. 6B Polit społ i rozwój prz'!F98</f>
        <v>36486945</v>
      </c>
      <c r="G291" s="274">
        <f>+G94+G119+'Tab. 6B Polit społ i rozwój prz'!G86+'Tab. 6B Polit społ i rozwój prz'!G98</f>
        <v>42571792</v>
      </c>
      <c r="H291" s="274">
        <f>+H94+H119+'Tab. 6B Polit społ i rozwój prz'!H86+'Tab. 6B Polit społ i rozwój prz'!H98</f>
        <v>41814402</v>
      </c>
      <c r="I291" s="274">
        <f>+I94+I119+'Tab. 6B Polit społ i rozwój prz'!I86+'Tab. 6B Polit społ i rozwój prz'!I98</f>
        <v>37521501</v>
      </c>
      <c r="J291" s="274">
        <f>+J94+J119+'Tab. 6B Polit społ i rozwój prz'!J86+'Tab. 6B Polit społ i rozwój prz'!J98</f>
        <v>36398837</v>
      </c>
      <c r="K291" s="274">
        <f>+K94+K119+'Tab. 6B Polit społ i rozwój prz'!K86+'Tab. 6B Polit społ i rozwój prz'!K98</f>
        <v>34584662</v>
      </c>
      <c r="L291" s="274">
        <f>+L94+L119+'Tab. 6B Polit społ i rozwój prz'!L86+'Tab. 6B Polit społ i rozwój prz'!L98</f>
        <v>33682506</v>
      </c>
      <c r="M291" s="274">
        <f>SUM(D291:K291)-C291</f>
        <v>559254110</v>
      </c>
      <c r="N291" s="274">
        <f>SUM(E291:L291)-D291</f>
        <v>0</v>
      </c>
    </row>
    <row r="296" spans="2:14">
      <c r="B296" s="272" t="s">
        <v>296</v>
      </c>
      <c r="C296" s="272" t="s">
        <v>294</v>
      </c>
      <c r="D296" s="274">
        <f>+D210+D176</f>
        <v>18000000</v>
      </c>
      <c r="F296" s="274">
        <f t="shared" ref="F296:K296" si="190">+F210+F176</f>
        <v>1001858</v>
      </c>
      <c r="G296" s="274">
        <f t="shared" si="190"/>
        <v>5294849</v>
      </c>
      <c r="H296" s="274">
        <f t="shared" si="190"/>
        <v>11342916</v>
      </c>
      <c r="I296" s="274">
        <f t="shared" si="190"/>
        <v>0</v>
      </c>
      <c r="J296" s="274">
        <f t="shared" si="190"/>
        <v>0</v>
      </c>
      <c r="K296" s="274">
        <f t="shared" si="190"/>
        <v>0</v>
      </c>
      <c r="M296" s="274" t="e">
        <f t="shared" ref="M296:N299" si="191">SUM(D296:K296)-C296</f>
        <v>#VALUE!</v>
      </c>
      <c r="N296" s="274">
        <f t="shared" si="191"/>
        <v>-360377</v>
      </c>
    </row>
    <row r="297" spans="2:14">
      <c r="C297" s="272" t="s">
        <v>295</v>
      </c>
      <c r="D297" s="274">
        <f>+D168+D195</f>
        <v>0</v>
      </c>
      <c r="F297" s="274">
        <f t="shared" ref="F297:K297" si="192">+F168+F195</f>
        <v>0</v>
      </c>
      <c r="G297" s="274">
        <f t="shared" si="192"/>
        <v>0</v>
      </c>
      <c r="H297" s="274">
        <f t="shared" si="192"/>
        <v>0</v>
      </c>
      <c r="I297" s="274">
        <f t="shared" si="192"/>
        <v>0</v>
      </c>
      <c r="J297" s="274">
        <f t="shared" si="192"/>
        <v>0</v>
      </c>
      <c r="K297" s="274">
        <f t="shared" si="192"/>
        <v>0</v>
      </c>
      <c r="M297" s="274" t="e">
        <f t="shared" si="191"/>
        <v>#VALUE!</v>
      </c>
      <c r="N297" s="274">
        <f t="shared" si="191"/>
        <v>0</v>
      </c>
    </row>
    <row r="298" spans="2:14">
      <c r="D298" s="274">
        <f>SUM(D296:D297)</f>
        <v>18000000</v>
      </c>
      <c r="E298" s="274">
        <f t="shared" ref="E298:K298" si="193">SUM(E296:E297)</f>
        <v>0</v>
      </c>
      <c r="F298" s="274">
        <f t="shared" si="193"/>
        <v>1001858</v>
      </c>
      <c r="G298" s="274">
        <f t="shared" si="193"/>
        <v>5294849</v>
      </c>
      <c r="H298" s="274">
        <f t="shared" si="193"/>
        <v>11342916</v>
      </c>
      <c r="I298" s="274">
        <f t="shared" si="193"/>
        <v>0</v>
      </c>
      <c r="J298" s="274">
        <f t="shared" si="193"/>
        <v>0</v>
      </c>
      <c r="K298" s="274">
        <f t="shared" si="193"/>
        <v>0</v>
      </c>
      <c r="M298" s="274">
        <f t="shared" si="191"/>
        <v>35639623</v>
      </c>
      <c r="N298" s="274">
        <f t="shared" si="191"/>
        <v>-360377</v>
      </c>
    </row>
    <row r="299" spans="2:14">
      <c r="B299" s="272" t="s">
        <v>380</v>
      </c>
      <c r="D299" s="274">
        <f t="shared" ref="D299:K299" si="194">D144</f>
        <v>18000000</v>
      </c>
      <c r="E299" s="274">
        <f t="shared" si="194"/>
        <v>360377</v>
      </c>
      <c r="F299" s="274">
        <f t="shared" si="194"/>
        <v>1001858</v>
      </c>
      <c r="G299" s="274">
        <f t="shared" si="194"/>
        <v>5294849</v>
      </c>
      <c r="H299" s="274">
        <f t="shared" si="194"/>
        <v>11342916</v>
      </c>
      <c r="I299" s="274">
        <f t="shared" si="194"/>
        <v>0</v>
      </c>
      <c r="J299" s="274">
        <f t="shared" si="194"/>
        <v>0</v>
      </c>
      <c r="K299" s="274">
        <f t="shared" si="194"/>
        <v>0</v>
      </c>
      <c r="M299" s="274">
        <f t="shared" si="191"/>
        <v>36000000</v>
      </c>
      <c r="N299" s="274">
        <f t="shared" si="191"/>
        <v>0</v>
      </c>
    </row>
    <row r="301" spans="2:14">
      <c r="B301" s="272" t="s">
        <v>381</v>
      </c>
      <c r="D301" s="274">
        <f>+D290+D298</f>
        <v>267298062</v>
      </c>
      <c r="E301" s="274">
        <f t="shared" ref="E301:L301" si="195">+E290+E298</f>
        <v>0</v>
      </c>
      <c r="F301" s="274">
        <f t="shared" si="195"/>
        <v>32213544</v>
      </c>
      <c r="G301" s="274">
        <f t="shared" si="195"/>
        <v>41041441</v>
      </c>
      <c r="H301" s="274">
        <f t="shared" si="195"/>
        <v>43000000</v>
      </c>
      <c r="I301" s="274">
        <f t="shared" si="195"/>
        <v>31080049</v>
      </c>
      <c r="J301" s="274">
        <f t="shared" si="195"/>
        <v>30471862</v>
      </c>
      <c r="K301" s="274">
        <f t="shared" si="195"/>
        <v>30200542</v>
      </c>
      <c r="L301" s="274">
        <f t="shared" si="195"/>
        <v>29343698</v>
      </c>
      <c r="M301" s="274">
        <f>SUM(D301:K301)-C301</f>
        <v>475305500</v>
      </c>
      <c r="N301" s="274">
        <f>SUM(E301:L301)-D301</f>
        <v>-29946926</v>
      </c>
    </row>
    <row r="302" spans="2:14">
      <c r="B302" s="272" t="s">
        <v>382</v>
      </c>
      <c r="D302" s="274">
        <f>+D291+D299</f>
        <v>314468308</v>
      </c>
      <c r="E302" s="274">
        <f t="shared" ref="E302:L302" si="196">+E291+E299</f>
        <v>33768040</v>
      </c>
      <c r="F302" s="274">
        <f t="shared" si="196"/>
        <v>37488803</v>
      </c>
      <c r="G302" s="274">
        <f t="shared" si="196"/>
        <v>47866641</v>
      </c>
      <c r="H302" s="274">
        <f t="shared" si="196"/>
        <v>53157318</v>
      </c>
      <c r="I302" s="274">
        <f t="shared" si="196"/>
        <v>37521501</v>
      </c>
      <c r="J302" s="274">
        <f t="shared" si="196"/>
        <v>36398837</v>
      </c>
      <c r="K302" s="274">
        <f t="shared" si="196"/>
        <v>34584662</v>
      </c>
      <c r="L302" s="274">
        <f t="shared" si="196"/>
        <v>33682506</v>
      </c>
      <c r="M302" s="274">
        <f>SUM(D302:K302)-C302</f>
        <v>595254110</v>
      </c>
      <c r="N302" s="274">
        <f>SUM(E302:L302)-D302</f>
        <v>0</v>
      </c>
    </row>
    <row r="540" spans="1:15" ht="13.5" thickBot="1"/>
    <row r="541" spans="1:15" ht="33.75">
      <c r="A541" s="338"/>
      <c r="B541" s="339" t="s">
        <v>69</v>
      </c>
      <c r="C541" s="339"/>
      <c r="D541" s="340"/>
      <c r="E541" s="340"/>
      <c r="F541" s="340"/>
      <c r="G541" s="340"/>
      <c r="H541" s="340"/>
      <c r="I541" s="340"/>
      <c r="J541" s="340"/>
      <c r="K541" s="340"/>
      <c r="L541" s="340"/>
      <c r="M541" s="340"/>
      <c r="N541" s="340"/>
      <c r="O541" s="341"/>
    </row>
    <row r="542" spans="1:15">
      <c r="A542" s="342"/>
      <c r="O542" s="343"/>
    </row>
    <row r="543" spans="1:15">
      <c r="A543" s="342"/>
      <c r="O543" s="343"/>
    </row>
    <row r="544" spans="1:15">
      <c r="A544" s="342"/>
      <c r="O544" s="343"/>
    </row>
    <row r="545" spans="1:15">
      <c r="A545" s="342"/>
      <c r="O545" s="343"/>
    </row>
    <row r="546" spans="1:15">
      <c r="A546" s="342"/>
      <c r="O546" s="343"/>
    </row>
    <row r="547" spans="1:15">
      <c r="A547" s="342"/>
      <c r="O547" s="343"/>
    </row>
    <row r="548" spans="1:15">
      <c r="A548" s="342"/>
      <c r="O548" s="343"/>
    </row>
    <row r="549" spans="1:15">
      <c r="A549" s="342"/>
      <c r="O549" s="343"/>
    </row>
    <row r="550" spans="1:15">
      <c r="A550" s="342"/>
      <c r="O550" s="343"/>
    </row>
    <row r="551" spans="1:15">
      <c r="A551" s="342"/>
      <c r="O551" s="343"/>
    </row>
    <row r="552" spans="1:15" ht="13.5" thickBot="1">
      <c r="A552" s="344"/>
      <c r="B552" s="345"/>
      <c r="C552" s="345"/>
      <c r="D552" s="345"/>
      <c r="E552" s="345"/>
      <c r="F552" s="345"/>
      <c r="G552" s="345"/>
      <c r="H552" s="345"/>
      <c r="I552" s="345"/>
      <c r="J552" s="345"/>
      <c r="K552" s="345"/>
      <c r="L552" s="345"/>
      <c r="M552" s="345"/>
      <c r="N552" s="345"/>
      <c r="O552" s="346"/>
    </row>
  </sheetData>
  <mergeCells count="117">
    <mergeCell ref="M6:M7"/>
    <mergeCell ref="M20:M25"/>
    <mergeCell ref="M35:M37"/>
    <mergeCell ref="M54:M58"/>
    <mergeCell ref="M66:M70"/>
    <mergeCell ref="P115:S136"/>
    <mergeCell ref="O137:O151"/>
    <mergeCell ref="O93:O117"/>
    <mergeCell ref="N115:N117"/>
    <mergeCell ref="N66:N70"/>
    <mergeCell ref="N77:N81"/>
    <mergeCell ref="M77:M81"/>
    <mergeCell ref="N88:N92"/>
    <mergeCell ref="O71:O81"/>
    <mergeCell ref="M147:M151"/>
    <mergeCell ref="A93:A117"/>
    <mergeCell ref="A118:A136"/>
    <mergeCell ref="C135:C136"/>
    <mergeCell ref="C120:C125"/>
    <mergeCell ref="C116:C117"/>
    <mergeCell ref="C95:C106"/>
    <mergeCell ref="O118:O136"/>
    <mergeCell ref="N134:N136"/>
    <mergeCell ref="C148:C151"/>
    <mergeCell ref="N147:N151"/>
    <mergeCell ref="M115:M117"/>
    <mergeCell ref="M134:M136"/>
    <mergeCell ref="A196:A208"/>
    <mergeCell ref="A212:A224"/>
    <mergeCell ref="A225:A235"/>
    <mergeCell ref="N245:N247"/>
    <mergeCell ref="C139:C146"/>
    <mergeCell ref="C164:C165"/>
    <mergeCell ref="N178:N184"/>
    <mergeCell ref="N163:N168"/>
    <mergeCell ref="A137:A151"/>
    <mergeCell ref="A155:A167"/>
    <mergeCell ref="C232:C235"/>
    <mergeCell ref="A169:A182"/>
    <mergeCell ref="A185:A194"/>
    <mergeCell ref="N205:N211"/>
    <mergeCell ref="C179:C180"/>
    <mergeCell ref="C187:C188"/>
    <mergeCell ref="N231:N235"/>
    <mergeCell ref="M220:M224"/>
    <mergeCell ref="M231:M235"/>
    <mergeCell ref="M245:M247"/>
    <mergeCell ref="M163:M168"/>
    <mergeCell ref="M178:M184"/>
    <mergeCell ref="M192:M194"/>
    <mergeCell ref="M205:M211"/>
    <mergeCell ref="A26:A37"/>
    <mergeCell ref="O26:O37"/>
    <mergeCell ref="C28:C31"/>
    <mergeCell ref="C36:C37"/>
    <mergeCell ref="A59:A70"/>
    <mergeCell ref="O59:O70"/>
    <mergeCell ref="C61:C65"/>
    <mergeCell ref="C67:C70"/>
    <mergeCell ref="O38:O58"/>
    <mergeCell ref="C40:C50"/>
    <mergeCell ref="N54:N58"/>
    <mergeCell ref="C55:C58"/>
    <mergeCell ref="A38:A58"/>
    <mergeCell ref="C73:C76"/>
    <mergeCell ref="C78:C81"/>
    <mergeCell ref="A71:A81"/>
    <mergeCell ref="M88:M92"/>
    <mergeCell ref="A266:O266"/>
    <mergeCell ref="A5:O5"/>
    <mergeCell ref="B6:B7"/>
    <mergeCell ref="C6:C7"/>
    <mergeCell ref="D6:D7"/>
    <mergeCell ref="O6:O7"/>
    <mergeCell ref="N6:N7"/>
    <mergeCell ref="N20:N25"/>
    <mergeCell ref="N35:N37"/>
    <mergeCell ref="G6:L6"/>
    <mergeCell ref="F6:F7"/>
    <mergeCell ref="E6:E7"/>
    <mergeCell ref="A82:A92"/>
    <mergeCell ref="O82:O92"/>
    <mergeCell ref="C84:C87"/>
    <mergeCell ref="C89:C92"/>
    <mergeCell ref="C166:C168"/>
    <mergeCell ref="C157:C162"/>
    <mergeCell ref="O225:O235"/>
    <mergeCell ref="C227:C230"/>
    <mergeCell ref="B275:B277"/>
    <mergeCell ref="A264:O264"/>
    <mergeCell ref="A248:A251"/>
    <mergeCell ref="O248:O251"/>
    <mergeCell ref="O238:O247"/>
    <mergeCell ref="C242:C244"/>
    <mergeCell ref="C246:C247"/>
    <mergeCell ref="C262:C263"/>
    <mergeCell ref="N261:N263"/>
    <mergeCell ref="O252:O255"/>
    <mergeCell ref="C254:C255"/>
    <mergeCell ref="A252:A255"/>
    <mergeCell ref="C250:C251"/>
    <mergeCell ref="A256:A259"/>
    <mergeCell ref="C258:C259"/>
    <mergeCell ref="O256:O259"/>
    <mergeCell ref="M261:M263"/>
    <mergeCell ref="A265:O265"/>
    <mergeCell ref="O212:O224"/>
    <mergeCell ref="C214:C219"/>
    <mergeCell ref="N220:N224"/>
    <mergeCell ref="C221:C224"/>
    <mergeCell ref="C206:C209"/>
    <mergeCell ref="C193:C194"/>
    <mergeCell ref="N192:N194"/>
    <mergeCell ref="C171:C177"/>
    <mergeCell ref="C189:C191"/>
    <mergeCell ref="C198:C204"/>
    <mergeCell ref="C181:C182"/>
  </mergeCells>
  <printOptions horizontalCentered="1"/>
  <pageMargins left="3.937007874015748E-2" right="7.874015748031496E-2" top="0.51181102362204722" bottom="0.51181102362204722" header="0.15748031496062992" footer="0.15748031496062992"/>
  <pageSetup paperSize="9" scale="64" firstPageNumber="29" fitToHeight="3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</oddHeader>
    <oddFooter>&amp;C&amp;8&amp;P</oddFooter>
  </headerFooter>
  <rowBreaks count="2" manualBreakCount="2">
    <brk id="70" max="14" man="1"/>
    <brk id="151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BY519"/>
  <sheetViews>
    <sheetView showGridLines="0" view="pageBreakPreview" zoomScaleSheetLayoutView="100" workbookViewId="0">
      <pane xSplit="3" ySplit="6" topLeftCell="D157" activePane="bottomRight" state="frozen"/>
      <selection activeCell="A103" sqref="A103"/>
      <selection pane="topRight" activeCell="A103" sqref="A103"/>
      <selection pane="bottomLeft" activeCell="A103" sqref="A103"/>
      <selection pane="bottomRight" activeCell="G26" sqref="G26"/>
    </sheetView>
  </sheetViews>
  <sheetFormatPr defaultColWidth="9.140625" defaultRowHeight="11.25"/>
  <cols>
    <col min="1" max="1" width="4.140625" style="361" customWidth="1"/>
    <col min="2" max="2" width="59.28515625" style="279" customWidth="1"/>
    <col min="3" max="3" width="10.5703125" style="279" customWidth="1"/>
    <col min="4" max="4" width="13.140625" style="279" customWidth="1"/>
    <col min="5" max="5" width="12.42578125" style="279" customWidth="1"/>
    <col min="6" max="6" width="10.42578125" style="279" customWidth="1"/>
    <col min="7" max="7" width="10" style="279" customWidth="1"/>
    <col min="8" max="8" width="10.28515625" style="279" customWidth="1"/>
    <col min="9" max="10" width="9.85546875" style="279" customWidth="1"/>
    <col min="11" max="11" width="10" style="279" customWidth="1"/>
    <col min="12" max="12" width="8.28515625" style="279" customWidth="1"/>
    <col min="13" max="13" width="12.42578125" style="279" hidden="1" customWidth="1"/>
    <col min="14" max="14" width="12.42578125" style="279" customWidth="1"/>
    <col min="15" max="15" width="15.28515625" style="444" customWidth="1"/>
    <col min="16" max="16" width="3.28515625" style="279" customWidth="1"/>
    <col min="17" max="17" width="13.42578125" style="279" customWidth="1"/>
    <col min="18" max="34" width="18.28515625" style="279" customWidth="1"/>
    <col min="35" max="76" width="3.28515625" style="279" customWidth="1"/>
    <col min="77" max="16384" width="9.140625" style="279"/>
  </cols>
  <sheetData>
    <row r="1" spans="1:77" s="443" customFormat="1" ht="18" customHeight="1">
      <c r="A1" s="454"/>
      <c r="B1" s="455"/>
      <c r="C1" s="454"/>
      <c r="D1" s="454"/>
      <c r="E1" s="454"/>
      <c r="F1" s="454"/>
      <c r="G1" s="275" t="s">
        <v>560</v>
      </c>
      <c r="H1" s="275"/>
      <c r="I1" s="275"/>
      <c r="J1" s="275"/>
      <c r="K1" s="275"/>
      <c r="L1" s="275"/>
      <c r="M1" s="6"/>
      <c r="N1" s="6"/>
      <c r="O1" s="7"/>
      <c r="P1" s="442"/>
      <c r="Q1" s="442"/>
      <c r="R1" s="442"/>
      <c r="S1" s="442"/>
      <c r="T1" s="442"/>
      <c r="U1" s="442"/>
      <c r="V1" s="442"/>
      <c r="W1" s="442"/>
      <c r="X1" s="442"/>
      <c r="Y1" s="442"/>
      <c r="Z1" s="442"/>
      <c r="AA1" s="442"/>
      <c r="AB1" s="442"/>
      <c r="AC1" s="442"/>
      <c r="AD1" s="442"/>
      <c r="AE1" s="442"/>
      <c r="AF1" s="442"/>
      <c r="AG1" s="442"/>
      <c r="AH1" s="442"/>
      <c r="AI1" s="442"/>
      <c r="AJ1" s="442"/>
      <c r="AK1" s="442"/>
      <c r="AL1" s="442"/>
      <c r="AM1" s="442"/>
      <c r="AN1" s="442"/>
      <c r="AO1" s="442"/>
      <c r="AP1" s="442"/>
      <c r="AQ1" s="442"/>
      <c r="AR1" s="442"/>
      <c r="AS1" s="442"/>
      <c r="AT1" s="442"/>
      <c r="AU1" s="442"/>
      <c r="AV1" s="442"/>
      <c r="AW1" s="442"/>
      <c r="AX1" s="442"/>
      <c r="AY1" s="442"/>
      <c r="AZ1" s="442"/>
      <c r="BA1" s="442"/>
      <c r="BB1" s="442"/>
      <c r="BC1" s="442"/>
      <c r="BD1" s="442"/>
      <c r="BE1" s="442"/>
      <c r="BF1" s="442"/>
      <c r="BG1" s="442"/>
      <c r="BH1" s="442"/>
      <c r="BI1" s="442"/>
      <c r="BJ1" s="442"/>
      <c r="BK1" s="442"/>
      <c r="BL1" s="442"/>
      <c r="BM1" s="442"/>
      <c r="BN1" s="442"/>
      <c r="BO1" s="442"/>
      <c r="BP1" s="442"/>
      <c r="BQ1" s="442"/>
      <c r="BR1" s="442"/>
      <c r="BS1" s="442"/>
      <c r="BT1" s="442"/>
      <c r="BU1" s="442"/>
      <c r="BV1" s="442"/>
      <c r="BW1" s="442"/>
      <c r="BX1" s="442"/>
      <c r="BY1" s="278"/>
    </row>
    <row r="2" spans="1:77" s="443" customFormat="1" ht="16.5" customHeight="1">
      <c r="A2" s="456"/>
      <c r="B2" s="455"/>
      <c r="C2" s="454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7"/>
      <c r="P2" s="442"/>
      <c r="Q2" s="442"/>
      <c r="R2" s="442"/>
      <c r="S2" s="442"/>
      <c r="T2" s="442"/>
      <c r="U2" s="442"/>
      <c r="V2" s="442"/>
      <c r="W2" s="442"/>
      <c r="X2" s="442"/>
      <c r="Y2" s="442"/>
      <c r="Z2" s="442"/>
      <c r="AA2" s="442"/>
      <c r="AB2" s="442"/>
      <c r="AC2" s="442"/>
      <c r="AD2" s="442"/>
      <c r="AE2" s="442"/>
      <c r="AF2" s="442"/>
      <c r="AG2" s="442"/>
      <c r="AH2" s="442"/>
      <c r="AI2" s="442"/>
      <c r="AJ2" s="442"/>
      <c r="AK2" s="442"/>
      <c r="AL2" s="442"/>
      <c r="AM2" s="442"/>
      <c r="AN2" s="442"/>
      <c r="AO2" s="442"/>
      <c r="AP2" s="442"/>
      <c r="AQ2" s="442"/>
      <c r="AR2" s="442"/>
      <c r="AS2" s="442"/>
      <c r="AT2" s="442"/>
      <c r="AU2" s="442"/>
      <c r="AV2" s="442"/>
      <c r="AW2" s="442"/>
      <c r="AX2" s="442"/>
      <c r="AY2" s="442"/>
      <c r="AZ2" s="442"/>
      <c r="BA2" s="442"/>
      <c r="BB2" s="442"/>
      <c r="BC2" s="442"/>
      <c r="BD2" s="442"/>
      <c r="BE2" s="442"/>
      <c r="BF2" s="442"/>
      <c r="BG2" s="442"/>
      <c r="BH2" s="442"/>
      <c r="BI2" s="442"/>
      <c r="BJ2" s="442"/>
      <c r="BK2" s="442"/>
      <c r="BL2" s="442"/>
      <c r="BM2" s="442"/>
      <c r="BN2" s="442"/>
      <c r="BO2" s="442"/>
      <c r="BP2" s="442"/>
      <c r="BQ2" s="442"/>
      <c r="BR2" s="442"/>
      <c r="BS2" s="442"/>
      <c r="BT2" s="442"/>
      <c r="BU2" s="442"/>
      <c r="BV2" s="442"/>
      <c r="BW2" s="442"/>
      <c r="BX2" s="442"/>
      <c r="BY2" s="278"/>
    </row>
    <row r="3" spans="1:77" s="443" customFormat="1" ht="18" customHeight="1" thickBot="1">
      <c r="A3" s="702" t="s">
        <v>157</v>
      </c>
      <c r="B3" s="703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6"/>
      <c r="N3" s="6"/>
      <c r="O3" s="7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442"/>
      <c r="AB3" s="442"/>
      <c r="AC3" s="442"/>
      <c r="AD3" s="442"/>
      <c r="AE3" s="442"/>
      <c r="AF3" s="442"/>
      <c r="AG3" s="442"/>
      <c r="AH3" s="442"/>
      <c r="AI3" s="442"/>
      <c r="AJ3" s="442"/>
      <c r="AK3" s="442"/>
      <c r="AL3" s="442"/>
      <c r="AM3" s="442"/>
      <c r="AN3" s="442"/>
      <c r="AO3" s="442"/>
      <c r="AP3" s="442"/>
      <c r="AQ3" s="442"/>
      <c r="AR3" s="442"/>
      <c r="AS3" s="442"/>
      <c r="AT3" s="442"/>
      <c r="AU3" s="442"/>
      <c r="AV3" s="442"/>
      <c r="AW3" s="442"/>
      <c r="AX3" s="442"/>
      <c r="AY3" s="442"/>
      <c r="AZ3" s="442"/>
      <c r="BA3" s="442"/>
      <c r="BB3" s="442"/>
      <c r="BC3" s="442"/>
      <c r="BD3" s="442"/>
      <c r="BE3" s="442"/>
      <c r="BF3" s="442"/>
      <c r="BG3" s="442"/>
      <c r="BH3" s="442"/>
      <c r="BI3" s="442"/>
      <c r="BJ3" s="442"/>
      <c r="BK3" s="442"/>
      <c r="BL3" s="442"/>
      <c r="BM3" s="442"/>
      <c r="BN3" s="442"/>
      <c r="BO3" s="442"/>
      <c r="BP3" s="442"/>
      <c r="BQ3" s="442"/>
      <c r="BR3" s="442"/>
      <c r="BS3" s="442"/>
      <c r="BT3" s="442"/>
      <c r="BU3" s="442"/>
      <c r="BV3" s="442"/>
      <c r="BW3" s="442"/>
      <c r="BX3" s="442"/>
      <c r="BY3" s="278"/>
    </row>
    <row r="4" spans="1:77" ht="82.5" customHeight="1" thickBot="1">
      <c r="A4" s="458"/>
      <c r="B4" s="4309" t="s">
        <v>75</v>
      </c>
      <c r="C4" s="4310" t="s">
        <v>71</v>
      </c>
      <c r="D4" s="4241" t="s">
        <v>72</v>
      </c>
      <c r="E4" s="4249" t="s">
        <v>557</v>
      </c>
      <c r="F4" s="3790" t="s">
        <v>625</v>
      </c>
      <c r="G4" s="3924" t="s">
        <v>553</v>
      </c>
      <c r="H4" s="3925"/>
      <c r="I4" s="3925"/>
      <c r="J4" s="3925"/>
      <c r="K4" s="3925"/>
      <c r="L4" s="3926"/>
      <c r="M4" s="4319" t="s">
        <v>570</v>
      </c>
      <c r="N4" s="4319" t="s">
        <v>554</v>
      </c>
      <c r="O4" s="4243" t="s">
        <v>73</v>
      </c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  <c r="AL4" s="278"/>
      <c r="AM4" s="278"/>
      <c r="AN4" s="278"/>
      <c r="AO4" s="278"/>
      <c r="AP4" s="278"/>
      <c r="AQ4" s="278"/>
      <c r="AR4" s="278"/>
      <c r="AS4" s="278"/>
      <c r="AT4" s="278"/>
      <c r="AU4" s="278"/>
      <c r="AV4" s="278"/>
      <c r="AW4" s="278"/>
      <c r="AX4" s="278"/>
      <c r="AY4" s="278"/>
      <c r="AZ4" s="278"/>
      <c r="BA4" s="278"/>
      <c r="BB4" s="278"/>
      <c r="BC4" s="278"/>
      <c r="BD4" s="278"/>
      <c r="BE4" s="278"/>
      <c r="BF4" s="278"/>
      <c r="BG4" s="278"/>
      <c r="BH4" s="278"/>
      <c r="BI4" s="278"/>
      <c r="BJ4" s="278"/>
      <c r="BK4" s="278"/>
      <c r="BL4" s="278"/>
      <c r="BM4" s="278"/>
      <c r="BN4" s="278"/>
      <c r="BO4" s="278"/>
      <c r="BP4" s="278"/>
      <c r="BQ4" s="278"/>
      <c r="BR4" s="278"/>
      <c r="BS4" s="278"/>
      <c r="BT4" s="278"/>
      <c r="BU4" s="278"/>
      <c r="BV4" s="278"/>
      <c r="BW4" s="278"/>
      <c r="BX4" s="278"/>
      <c r="BY4" s="278"/>
    </row>
    <row r="5" spans="1:77" ht="18" customHeight="1" thickBot="1">
      <c r="A5" s="459"/>
      <c r="B5" s="4309"/>
      <c r="C5" s="4311"/>
      <c r="D5" s="4242"/>
      <c r="E5" s="4250"/>
      <c r="F5" s="3792"/>
      <c r="G5" s="2041" t="s">
        <v>6</v>
      </c>
      <c r="H5" s="280" t="s">
        <v>214</v>
      </c>
      <c r="I5" s="280" t="s">
        <v>215</v>
      </c>
      <c r="J5" s="280" t="s">
        <v>262</v>
      </c>
      <c r="K5" s="280" t="s">
        <v>263</v>
      </c>
      <c r="L5" s="280" t="s">
        <v>264</v>
      </c>
      <c r="M5" s="4320"/>
      <c r="N5" s="4320"/>
      <c r="O5" s="4244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278"/>
      <c r="AS5" s="278"/>
      <c r="AT5" s="278"/>
      <c r="AU5" s="278"/>
      <c r="AV5" s="278"/>
      <c r="AW5" s="278"/>
      <c r="AX5" s="278"/>
      <c r="AY5" s="278"/>
      <c r="AZ5" s="278"/>
      <c r="BA5" s="278"/>
      <c r="BB5" s="278"/>
      <c r="BC5" s="278"/>
      <c r="BD5" s="278"/>
      <c r="BE5" s="278"/>
      <c r="BF5" s="278"/>
      <c r="BG5" s="278"/>
      <c r="BH5" s="278"/>
      <c r="BI5" s="278"/>
      <c r="BJ5" s="278"/>
      <c r="BK5" s="278"/>
      <c r="BL5" s="278"/>
      <c r="BM5" s="278"/>
      <c r="BN5" s="278"/>
      <c r="BO5" s="278"/>
      <c r="BP5" s="278"/>
      <c r="BQ5" s="278"/>
      <c r="BR5" s="278"/>
      <c r="BS5" s="278"/>
      <c r="BT5" s="278"/>
      <c r="BU5" s="278"/>
      <c r="BV5" s="278"/>
      <c r="BW5" s="278"/>
      <c r="BX5" s="278"/>
      <c r="BY5" s="278"/>
    </row>
    <row r="6" spans="1:77" ht="14.25" customHeight="1">
      <c r="A6" s="771">
        <v>1</v>
      </c>
      <c r="B6" s="772">
        <v>2</v>
      </c>
      <c r="C6" s="773" t="s">
        <v>119</v>
      </c>
      <c r="D6" s="773" t="s">
        <v>120</v>
      </c>
      <c r="E6" s="1158">
        <v>5</v>
      </c>
      <c r="F6" s="773">
        <v>6</v>
      </c>
      <c r="G6" s="773">
        <v>7</v>
      </c>
      <c r="H6" s="773">
        <v>8</v>
      </c>
      <c r="I6" s="773">
        <v>9</v>
      </c>
      <c r="J6" s="773">
        <v>10</v>
      </c>
      <c r="K6" s="773">
        <v>11</v>
      </c>
      <c r="L6" s="773">
        <v>12</v>
      </c>
      <c r="M6" s="774">
        <v>13</v>
      </c>
      <c r="N6" s="774">
        <v>13</v>
      </c>
      <c r="O6" s="775">
        <v>14</v>
      </c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278"/>
      <c r="AO6" s="278"/>
      <c r="AP6" s="278"/>
      <c r="AQ6" s="278"/>
      <c r="AR6" s="278"/>
      <c r="AS6" s="278"/>
      <c r="AT6" s="278"/>
      <c r="AU6" s="278"/>
      <c r="AV6" s="278"/>
      <c r="AW6" s="278"/>
      <c r="AX6" s="278"/>
      <c r="AY6" s="278"/>
      <c r="AZ6" s="278"/>
      <c r="BA6" s="278"/>
      <c r="BB6" s="278"/>
      <c r="BC6" s="278"/>
      <c r="BD6" s="278"/>
      <c r="BE6" s="278"/>
      <c r="BF6" s="278"/>
      <c r="BG6" s="278"/>
      <c r="BH6" s="278"/>
      <c r="BI6" s="278"/>
      <c r="BJ6" s="278"/>
      <c r="BK6" s="278"/>
      <c r="BL6" s="278"/>
      <c r="BM6" s="278"/>
      <c r="BN6" s="278"/>
      <c r="BO6" s="278"/>
      <c r="BP6" s="278"/>
      <c r="BQ6" s="278"/>
      <c r="BR6" s="278"/>
      <c r="BS6" s="278"/>
      <c r="BT6" s="278"/>
      <c r="BU6" s="278"/>
      <c r="BV6" s="278"/>
      <c r="BW6" s="278"/>
      <c r="BX6" s="278"/>
      <c r="BY6" s="278"/>
    </row>
    <row r="7" spans="1:77" ht="14.25" customHeight="1">
      <c r="A7" s="567"/>
      <c r="B7" s="1393" t="s">
        <v>76</v>
      </c>
      <c r="C7" s="1394"/>
      <c r="D7" s="1395">
        <f>+D9+D8</f>
        <v>132540817</v>
      </c>
      <c r="E7" s="1395">
        <f t="shared" ref="E7:L7" si="0">+E9+E8</f>
        <v>474568</v>
      </c>
      <c r="F7" s="1395">
        <f t="shared" si="0"/>
        <v>5274823</v>
      </c>
      <c r="G7" s="1395">
        <f t="shared" si="0"/>
        <v>18679692</v>
      </c>
      <c r="H7" s="1395">
        <f t="shared" si="0"/>
        <v>61300701</v>
      </c>
      <c r="I7" s="1395">
        <f t="shared" si="0"/>
        <v>28482568</v>
      </c>
      <c r="J7" s="1395">
        <f t="shared" si="0"/>
        <v>16856220</v>
      </c>
      <c r="K7" s="1395">
        <f t="shared" si="0"/>
        <v>1472245</v>
      </c>
      <c r="L7" s="1395">
        <f t="shared" si="0"/>
        <v>0</v>
      </c>
      <c r="M7" s="143">
        <f>+M9+M8</f>
        <v>96096829</v>
      </c>
      <c r="N7" s="143">
        <f t="shared" ref="N7" si="1">+N9</f>
        <v>114573022</v>
      </c>
      <c r="O7" s="460"/>
      <c r="P7" s="278"/>
      <c r="Q7" s="172">
        <f>+F7+G7</f>
        <v>23954515</v>
      </c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  <c r="AH7" s="278"/>
      <c r="AI7" s="278"/>
      <c r="AJ7" s="278"/>
      <c r="AK7" s="278"/>
      <c r="AL7" s="278"/>
      <c r="AM7" s="278"/>
      <c r="AN7" s="278"/>
      <c r="AO7" s="278"/>
      <c r="AP7" s="278"/>
      <c r="AQ7" s="278"/>
      <c r="AR7" s="278"/>
      <c r="AS7" s="278"/>
      <c r="AT7" s="278"/>
      <c r="AU7" s="278"/>
      <c r="AV7" s="278"/>
      <c r="AW7" s="278"/>
      <c r="AX7" s="278"/>
      <c r="AY7" s="278"/>
      <c r="AZ7" s="278"/>
      <c r="BA7" s="278"/>
      <c r="BB7" s="278"/>
      <c r="BC7" s="278"/>
      <c r="BD7" s="278"/>
      <c r="BE7" s="278"/>
      <c r="BF7" s="278"/>
      <c r="BG7" s="278"/>
      <c r="BH7" s="278"/>
      <c r="BI7" s="278"/>
      <c r="BJ7" s="278"/>
      <c r="BK7" s="278"/>
      <c r="BL7" s="278"/>
      <c r="BM7" s="278"/>
      <c r="BN7" s="278"/>
      <c r="BO7" s="278"/>
      <c r="BP7" s="278"/>
      <c r="BQ7" s="278"/>
      <c r="BR7" s="278"/>
      <c r="BS7" s="278"/>
      <c r="BT7" s="278"/>
      <c r="BU7" s="278"/>
      <c r="BV7" s="278"/>
      <c r="BW7" s="278"/>
      <c r="BX7" s="278"/>
      <c r="BY7" s="278"/>
    </row>
    <row r="8" spans="1:77" ht="14.25" customHeight="1">
      <c r="A8" s="567"/>
      <c r="B8" s="1396" t="s">
        <v>77</v>
      </c>
      <c r="C8" s="1397"/>
      <c r="D8" s="200">
        <f t="shared" ref="D8:M8" si="2">D35+D157</f>
        <v>13238150</v>
      </c>
      <c r="E8" s="200">
        <f t="shared" si="2"/>
        <v>0</v>
      </c>
      <c r="F8" s="200">
        <f t="shared" si="2"/>
        <v>4099273</v>
      </c>
      <c r="G8" s="200">
        <f t="shared" si="2"/>
        <v>8036349</v>
      </c>
      <c r="H8" s="200">
        <f t="shared" si="2"/>
        <v>778267</v>
      </c>
      <c r="I8" s="200">
        <f t="shared" si="2"/>
        <v>324261</v>
      </c>
      <c r="J8" s="200">
        <f t="shared" si="2"/>
        <v>0</v>
      </c>
      <c r="K8" s="200">
        <f t="shared" si="2"/>
        <v>0</v>
      </c>
      <c r="L8" s="200">
        <f t="shared" si="2"/>
        <v>0</v>
      </c>
      <c r="M8" s="1354">
        <f t="shared" si="2"/>
        <v>13238150</v>
      </c>
      <c r="N8" s="18">
        <v>0</v>
      </c>
      <c r="O8" s="460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  <c r="AL8" s="278"/>
      <c r="AM8" s="278"/>
      <c r="AN8" s="278"/>
      <c r="AO8" s="278"/>
      <c r="AP8" s="278"/>
      <c r="AQ8" s="278"/>
      <c r="AR8" s="278"/>
      <c r="AS8" s="278"/>
      <c r="AT8" s="278"/>
      <c r="AU8" s="278"/>
      <c r="AV8" s="278"/>
      <c r="AW8" s="278"/>
      <c r="AX8" s="278"/>
      <c r="AY8" s="278"/>
      <c r="AZ8" s="278"/>
      <c r="BA8" s="278"/>
      <c r="BB8" s="278"/>
      <c r="BC8" s="278"/>
      <c r="BD8" s="278"/>
      <c r="BE8" s="278"/>
      <c r="BF8" s="278"/>
      <c r="BG8" s="278"/>
      <c r="BH8" s="278"/>
      <c r="BI8" s="278"/>
      <c r="BJ8" s="278"/>
      <c r="BK8" s="278"/>
      <c r="BL8" s="278"/>
      <c r="BM8" s="278"/>
      <c r="BN8" s="278"/>
      <c r="BO8" s="278"/>
      <c r="BP8" s="278"/>
      <c r="BQ8" s="278"/>
      <c r="BR8" s="278"/>
      <c r="BS8" s="278"/>
      <c r="BT8" s="278"/>
      <c r="BU8" s="278"/>
      <c r="BV8" s="278"/>
      <c r="BW8" s="278"/>
      <c r="BX8" s="278"/>
      <c r="BY8" s="278"/>
    </row>
    <row r="9" spans="1:77" ht="14.25" customHeight="1" thickBot="1">
      <c r="A9" s="567"/>
      <c r="B9" s="1398" t="s">
        <v>9</v>
      </c>
      <c r="C9" s="1399"/>
      <c r="D9" s="208">
        <f>+D26+D45+D56+D68+D81+D107+D119+D131+D143+D169+D93</f>
        <v>119302667</v>
      </c>
      <c r="E9" s="208">
        <f t="shared" ref="E9:L9" si="3">+E26+E45+E56+E68+E81+E107+E119+E131+E143+E169+E93</f>
        <v>474568</v>
      </c>
      <c r="F9" s="208">
        <f t="shared" si="3"/>
        <v>1175550</v>
      </c>
      <c r="G9" s="208">
        <f t="shared" si="3"/>
        <v>10643343</v>
      </c>
      <c r="H9" s="208">
        <f t="shared" si="3"/>
        <v>60522434</v>
      </c>
      <c r="I9" s="208">
        <f t="shared" si="3"/>
        <v>28158307</v>
      </c>
      <c r="J9" s="208">
        <f t="shared" si="3"/>
        <v>16856220</v>
      </c>
      <c r="K9" s="208">
        <f t="shared" si="3"/>
        <v>1472245</v>
      </c>
      <c r="L9" s="208">
        <f t="shared" si="3"/>
        <v>0</v>
      </c>
      <c r="M9" s="145">
        <f t="shared" ref="M9" si="4">+M26+M45+M56+M68+M81+M107+M119+M131+M143+M169</f>
        <v>82858679</v>
      </c>
      <c r="N9" s="145">
        <f>+N26+N45+N56+N68+N81+N107</f>
        <v>114573022</v>
      </c>
      <c r="O9" s="460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  <c r="AO9" s="278"/>
      <c r="AP9" s="278"/>
      <c r="AQ9" s="278"/>
      <c r="AR9" s="278"/>
      <c r="AS9" s="278"/>
      <c r="AT9" s="278"/>
      <c r="AU9" s="278"/>
      <c r="AV9" s="278"/>
      <c r="AW9" s="278"/>
      <c r="AX9" s="278"/>
      <c r="AY9" s="278"/>
      <c r="AZ9" s="278"/>
      <c r="BA9" s="278"/>
      <c r="BB9" s="278"/>
      <c r="BC9" s="278"/>
      <c r="BD9" s="278"/>
      <c r="BE9" s="278"/>
      <c r="BF9" s="278"/>
      <c r="BG9" s="278"/>
      <c r="BH9" s="278"/>
      <c r="BI9" s="278"/>
      <c r="BJ9" s="278"/>
      <c r="BK9" s="278"/>
      <c r="BL9" s="278"/>
      <c r="BM9" s="278"/>
      <c r="BN9" s="278"/>
      <c r="BO9" s="278"/>
      <c r="BP9" s="278"/>
      <c r="BQ9" s="278"/>
      <c r="BR9" s="278"/>
      <c r="BS9" s="278"/>
      <c r="BT9" s="278"/>
      <c r="BU9" s="278"/>
      <c r="BV9" s="278"/>
      <c r="BW9" s="278"/>
      <c r="BX9" s="278"/>
      <c r="BY9" s="278"/>
    </row>
    <row r="10" spans="1:77" s="500" customFormat="1" ht="12">
      <c r="A10" s="567"/>
      <c r="B10" s="1125" t="s">
        <v>10</v>
      </c>
      <c r="C10" s="1125"/>
      <c r="D10" s="1124">
        <f>+D11+D15</f>
        <v>246258886</v>
      </c>
      <c r="E10" s="1124">
        <f t="shared" ref="E10" si="5">+E11+E15</f>
        <v>1016201</v>
      </c>
      <c r="F10" s="1124">
        <f t="shared" ref="F10:L10" si="6">+F11+F15</f>
        <v>5367086</v>
      </c>
      <c r="G10" s="1124">
        <f t="shared" si="6"/>
        <v>25843203</v>
      </c>
      <c r="H10" s="1124">
        <f t="shared" si="6"/>
        <v>94134136</v>
      </c>
      <c r="I10" s="1124">
        <f t="shared" si="6"/>
        <v>75136888</v>
      </c>
      <c r="J10" s="1124">
        <f t="shared" si="6"/>
        <v>33196627</v>
      </c>
      <c r="K10" s="1124">
        <f t="shared" si="6"/>
        <v>11564745</v>
      </c>
      <c r="L10" s="1124">
        <f t="shared" si="6"/>
        <v>0</v>
      </c>
      <c r="M10" s="326">
        <f>+M11</f>
        <v>132066249</v>
      </c>
      <c r="N10" s="326">
        <f>+N11</f>
        <v>126791426</v>
      </c>
      <c r="O10" s="4312"/>
      <c r="P10" s="278"/>
      <c r="Q10" s="172"/>
      <c r="R10" s="172">
        <f>+D24+D42+D54+D66+D78+D104</f>
        <v>218625940</v>
      </c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  <c r="AH10" s="278"/>
      <c r="AI10" s="278"/>
      <c r="AJ10" s="278"/>
      <c r="AK10" s="278"/>
      <c r="AL10" s="278"/>
      <c r="AM10" s="278"/>
      <c r="AN10" s="278"/>
      <c r="AO10" s="278"/>
      <c r="AP10" s="278"/>
      <c r="AQ10" s="278"/>
      <c r="AR10" s="278"/>
      <c r="AS10" s="278"/>
      <c r="AT10" s="278"/>
      <c r="AU10" s="278"/>
      <c r="AV10" s="278"/>
      <c r="AW10" s="278"/>
      <c r="AX10" s="278"/>
      <c r="AY10" s="278"/>
      <c r="AZ10" s="278"/>
      <c r="BA10" s="278"/>
      <c r="BB10" s="278"/>
      <c r="BC10" s="278"/>
      <c r="BD10" s="278"/>
      <c r="BE10" s="278"/>
      <c r="BF10" s="278"/>
      <c r="BG10" s="278"/>
      <c r="BH10" s="278"/>
      <c r="BI10" s="278"/>
      <c r="BJ10" s="278"/>
      <c r="BK10" s="278"/>
      <c r="BL10" s="278"/>
      <c r="BM10" s="278"/>
      <c r="BN10" s="278"/>
      <c r="BO10" s="278"/>
      <c r="BP10" s="278"/>
      <c r="BQ10" s="278"/>
      <c r="BR10" s="278"/>
      <c r="BS10" s="278"/>
      <c r="BT10" s="278"/>
      <c r="BU10" s="278"/>
      <c r="BV10" s="278"/>
      <c r="BW10" s="278"/>
      <c r="BX10" s="278"/>
      <c r="BY10" s="278"/>
    </row>
    <row r="11" spans="1:77" s="500" customFormat="1" ht="14.1" customHeight="1">
      <c r="A11" s="567"/>
      <c r="B11" s="1400" t="s">
        <v>11</v>
      </c>
      <c r="C11" s="4314" t="s">
        <v>61</v>
      </c>
      <c r="D11" s="1401">
        <f>+D12+D13+D14</f>
        <v>133440698</v>
      </c>
      <c r="E11" s="1401">
        <f t="shared" ref="E11:L11" si="7">+E12+E13+E14</f>
        <v>491301</v>
      </c>
      <c r="F11" s="1401">
        <f>+F12+F13+F14</f>
        <v>5320081</v>
      </c>
      <c r="G11" s="1401">
        <f>+G12+G13+G14</f>
        <v>19007105</v>
      </c>
      <c r="H11" s="1401">
        <f t="shared" si="7"/>
        <v>61811178</v>
      </c>
      <c r="I11" s="1401">
        <f t="shared" si="7"/>
        <v>28482568</v>
      </c>
      <c r="J11" s="1401">
        <f t="shared" si="7"/>
        <v>16856220</v>
      </c>
      <c r="K11" s="1401">
        <f t="shared" si="7"/>
        <v>1472245</v>
      </c>
      <c r="L11" s="1401">
        <f t="shared" si="7"/>
        <v>0</v>
      </c>
      <c r="M11" s="1126">
        <f>+M13</f>
        <v>132066249</v>
      </c>
      <c r="N11" s="1126">
        <f>+N13</f>
        <v>126791426</v>
      </c>
      <c r="O11" s="4312"/>
      <c r="P11" s="278"/>
      <c r="Q11" s="172"/>
      <c r="R11" s="172">
        <f>+R10-D10</f>
        <v>-27632946</v>
      </c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78"/>
      <c r="AE11" s="278"/>
      <c r="AF11" s="278"/>
      <c r="AG11" s="278"/>
      <c r="AH11" s="278"/>
      <c r="AI11" s="278"/>
      <c r="AJ11" s="278"/>
      <c r="AK11" s="278"/>
      <c r="AL11" s="278"/>
      <c r="AM11" s="278"/>
      <c r="AN11" s="278"/>
      <c r="AO11" s="278"/>
      <c r="AP11" s="278"/>
      <c r="AQ11" s="278"/>
      <c r="AR11" s="278"/>
      <c r="AS11" s="278"/>
      <c r="AT11" s="278"/>
      <c r="AU11" s="278"/>
      <c r="AV11" s="278"/>
      <c r="AW11" s="278"/>
      <c r="AX11" s="278"/>
      <c r="AY11" s="278"/>
      <c r="AZ11" s="278"/>
      <c r="BA11" s="278"/>
      <c r="BB11" s="278"/>
      <c r="BC11" s="278"/>
      <c r="BD11" s="278"/>
      <c r="BE11" s="278"/>
      <c r="BF11" s="278"/>
      <c r="BG11" s="278"/>
      <c r="BH11" s="278"/>
      <c r="BI11" s="278"/>
      <c r="BJ11" s="278"/>
      <c r="BK11" s="278"/>
      <c r="BL11" s="278"/>
      <c r="BM11" s="278"/>
      <c r="BN11" s="278"/>
      <c r="BO11" s="278"/>
      <c r="BP11" s="278"/>
      <c r="BQ11" s="278"/>
      <c r="BR11" s="278"/>
      <c r="BS11" s="278"/>
      <c r="BT11" s="278"/>
      <c r="BU11" s="278"/>
      <c r="BV11" s="278"/>
      <c r="BW11" s="278"/>
      <c r="BX11" s="278"/>
      <c r="BY11" s="278"/>
    </row>
    <row r="12" spans="1:77" s="500" customFormat="1" ht="12">
      <c r="A12" s="567"/>
      <c r="B12" s="1402" t="s">
        <v>32</v>
      </c>
      <c r="C12" s="4314"/>
      <c r="D12" s="1403">
        <f>D142+D156+D168+D118+D106+D92</f>
        <v>167298</v>
      </c>
      <c r="E12" s="1403">
        <f t="shared" ref="E12:L12" si="8">E142+E156+E168+E118+E106+E92</f>
        <v>16733</v>
      </c>
      <c r="F12" s="1403">
        <f t="shared" si="8"/>
        <v>40908</v>
      </c>
      <c r="G12" s="1403">
        <f t="shared" si="8"/>
        <v>69657</v>
      </c>
      <c r="H12" s="1403">
        <f t="shared" si="8"/>
        <v>40000</v>
      </c>
      <c r="I12" s="1403">
        <f t="shared" si="8"/>
        <v>0</v>
      </c>
      <c r="J12" s="1403">
        <f t="shared" si="8"/>
        <v>0</v>
      </c>
      <c r="K12" s="1403">
        <f t="shared" si="8"/>
        <v>0</v>
      </c>
      <c r="L12" s="1403">
        <f t="shared" si="8"/>
        <v>0</v>
      </c>
      <c r="M12" s="1127" t="s">
        <v>61</v>
      </c>
      <c r="N12" s="1127" t="s">
        <v>61</v>
      </c>
      <c r="O12" s="4312"/>
      <c r="P12" s="278"/>
      <c r="Q12" s="172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  <c r="AH12" s="278"/>
      <c r="AI12" s="278"/>
      <c r="AJ12" s="278"/>
      <c r="AK12" s="278"/>
      <c r="AL12" s="278"/>
      <c r="AM12" s="278"/>
      <c r="AN12" s="278"/>
      <c r="AO12" s="278"/>
      <c r="AP12" s="278"/>
      <c r="AQ12" s="278"/>
      <c r="AR12" s="278"/>
      <c r="AS12" s="278"/>
      <c r="AT12" s="278"/>
      <c r="AU12" s="278"/>
      <c r="AV12" s="278"/>
      <c r="AW12" s="278"/>
      <c r="AX12" s="278"/>
      <c r="AY12" s="278"/>
      <c r="AZ12" s="278"/>
      <c r="BA12" s="278"/>
      <c r="BB12" s="278"/>
      <c r="BC12" s="278"/>
      <c r="BD12" s="278"/>
      <c r="BE12" s="278"/>
      <c r="BF12" s="278"/>
      <c r="BG12" s="278"/>
      <c r="BH12" s="278"/>
      <c r="BI12" s="278"/>
      <c r="BJ12" s="278"/>
      <c r="BK12" s="278"/>
      <c r="BL12" s="278"/>
      <c r="BM12" s="278"/>
      <c r="BN12" s="278"/>
      <c r="BO12" s="278"/>
      <c r="BP12" s="278"/>
      <c r="BQ12" s="278"/>
      <c r="BR12" s="278"/>
      <c r="BS12" s="278"/>
      <c r="BT12" s="278"/>
      <c r="BU12" s="278"/>
      <c r="BV12" s="278"/>
      <c r="BW12" s="278"/>
      <c r="BX12" s="278"/>
      <c r="BY12" s="278"/>
    </row>
    <row r="13" spans="1:77" s="500" customFormat="1" ht="12">
      <c r="A13" s="567"/>
      <c r="B13" s="1402" t="s">
        <v>158</v>
      </c>
      <c r="C13" s="4314"/>
      <c r="D13" s="1403">
        <f>+D26+D45+D56+D68+D107+D81+D119+D131+D35+D143+D157+D169+D93</f>
        <v>132540817</v>
      </c>
      <c r="E13" s="1403">
        <f t="shared" ref="E13:L13" si="9">+E26+E45+E56+E68+E107+E81+E119+E131+E35+E143+E157+E169+E93</f>
        <v>474568</v>
      </c>
      <c r="F13" s="1403">
        <f t="shared" si="9"/>
        <v>5274823</v>
      </c>
      <c r="G13" s="1403">
        <f>+G26+G45+G56+G68+G107+G81+G119+G131+G35+G143+G157+G169+G93</f>
        <v>18679692</v>
      </c>
      <c r="H13" s="1403">
        <f>+H26+H45+H56+H68+H107+H81+H119+H131+H35+H143+H157+H169+H93</f>
        <v>61300701</v>
      </c>
      <c r="I13" s="1403">
        <f t="shared" si="9"/>
        <v>28482568</v>
      </c>
      <c r="J13" s="1403">
        <f t="shared" si="9"/>
        <v>16856220</v>
      </c>
      <c r="K13" s="1403">
        <f t="shared" si="9"/>
        <v>1472245</v>
      </c>
      <c r="L13" s="1403">
        <f t="shared" si="9"/>
        <v>0</v>
      </c>
      <c r="M13" s="461">
        <f>SUM(F13:L13)</f>
        <v>132066249</v>
      </c>
      <c r="N13" s="461">
        <f>SUM(G13:L13)</f>
        <v>126791426</v>
      </c>
      <c r="O13" s="4312"/>
      <c r="P13" s="278"/>
      <c r="Q13" s="172"/>
      <c r="R13" s="172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  <c r="AH13" s="278"/>
      <c r="AI13" s="278"/>
      <c r="AJ13" s="278"/>
      <c r="AK13" s="278"/>
      <c r="AL13" s="278"/>
      <c r="AM13" s="278"/>
      <c r="AN13" s="278"/>
      <c r="AO13" s="278"/>
      <c r="AP13" s="278"/>
      <c r="AQ13" s="278"/>
      <c r="AR13" s="278"/>
      <c r="AS13" s="278"/>
      <c r="AT13" s="278"/>
      <c r="AU13" s="278"/>
      <c r="AV13" s="278"/>
      <c r="AW13" s="278"/>
      <c r="AX13" s="278"/>
      <c r="AY13" s="278"/>
      <c r="AZ13" s="278"/>
      <c r="BA13" s="278"/>
      <c r="BB13" s="278"/>
      <c r="BC13" s="278"/>
      <c r="BD13" s="278"/>
      <c r="BE13" s="278"/>
      <c r="BF13" s="278"/>
      <c r="BG13" s="278"/>
      <c r="BH13" s="278"/>
      <c r="BI13" s="278"/>
      <c r="BJ13" s="278"/>
      <c r="BK13" s="278"/>
      <c r="BL13" s="278"/>
      <c r="BM13" s="278"/>
      <c r="BN13" s="278"/>
      <c r="BO13" s="278"/>
      <c r="BP13" s="278"/>
      <c r="BQ13" s="278"/>
      <c r="BR13" s="278"/>
      <c r="BS13" s="278"/>
      <c r="BT13" s="278"/>
      <c r="BU13" s="278"/>
      <c r="BV13" s="278"/>
      <c r="BW13" s="278"/>
      <c r="BX13" s="278"/>
      <c r="BY13" s="278"/>
    </row>
    <row r="14" spans="1:77" s="500" customFormat="1" ht="12">
      <c r="A14" s="567"/>
      <c r="B14" s="1404" t="s">
        <v>580</v>
      </c>
      <c r="C14" s="4315"/>
      <c r="D14" s="1405">
        <f>D144+D94</f>
        <v>732583</v>
      </c>
      <c r="E14" s="1405">
        <f t="shared" ref="E14:L14" si="10">E144+E94</f>
        <v>0</v>
      </c>
      <c r="F14" s="1405">
        <f t="shared" si="10"/>
        <v>4350</v>
      </c>
      <c r="G14" s="1405">
        <f t="shared" si="10"/>
        <v>257756</v>
      </c>
      <c r="H14" s="1405">
        <f t="shared" si="10"/>
        <v>470477</v>
      </c>
      <c r="I14" s="1405">
        <f t="shared" si="10"/>
        <v>0</v>
      </c>
      <c r="J14" s="1405">
        <f t="shared" si="10"/>
        <v>0</v>
      </c>
      <c r="K14" s="1405">
        <f t="shared" si="10"/>
        <v>0</v>
      </c>
      <c r="L14" s="1405">
        <f t="shared" si="10"/>
        <v>0</v>
      </c>
      <c r="M14" s="1315"/>
      <c r="N14" s="1315"/>
      <c r="O14" s="4312"/>
      <c r="P14" s="278"/>
      <c r="Q14" s="172"/>
      <c r="R14" s="172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78"/>
      <c r="AL14" s="278"/>
      <c r="AM14" s="278"/>
      <c r="AN14" s="278"/>
      <c r="AO14" s="278"/>
      <c r="AP14" s="278"/>
      <c r="AQ14" s="278"/>
      <c r="AR14" s="278"/>
      <c r="AS14" s="278"/>
      <c r="AT14" s="278"/>
      <c r="AU14" s="278"/>
      <c r="AV14" s="278"/>
      <c r="AW14" s="278"/>
      <c r="AX14" s="278"/>
      <c r="AY14" s="278"/>
      <c r="AZ14" s="278"/>
      <c r="BA14" s="278"/>
      <c r="BB14" s="278"/>
      <c r="BC14" s="278"/>
      <c r="BD14" s="278"/>
      <c r="BE14" s="278"/>
      <c r="BF14" s="278"/>
      <c r="BG14" s="278"/>
      <c r="BH14" s="278"/>
      <c r="BI14" s="278"/>
      <c r="BJ14" s="278"/>
      <c r="BK14" s="278"/>
      <c r="BL14" s="278"/>
      <c r="BM14" s="278"/>
      <c r="BN14" s="278"/>
      <c r="BO14" s="278"/>
      <c r="BP14" s="278"/>
      <c r="BQ14" s="278"/>
      <c r="BR14" s="278"/>
      <c r="BS14" s="278"/>
      <c r="BT14" s="278"/>
      <c r="BU14" s="278"/>
      <c r="BV14" s="278"/>
      <c r="BW14" s="278"/>
      <c r="BX14" s="278"/>
      <c r="BY14" s="278"/>
    </row>
    <row r="15" spans="1:77" s="500" customFormat="1" ht="12">
      <c r="A15" s="567"/>
      <c r="B15" s="1400" t="s">
        <v>18</v>
      </c>
      <c r="C15" s="4314"/>
      <c r="D15" s="1401">
        <f>+D16</f>
        <v>112818188</v>
      </c>
      <c r="E15" s="1401">
        <f t="shared" ref="E15:L15" si="11">+E16</f>
        <v>524900</v>
      </c>
      <c r="F15" s="1401">
        <f t="shared" si="11"/>
        <v>47005</v>
      </c>
      <c r="G15" s="1401">
        <f t="shared" si="11"/>
        <v>6836098</v>
      </c>
      <c r="H15" s="1401">
        <f t="shared" si="11"/>
        <v>32322958</v>
      </c>
      <c r="I15" s="1401">
        <f t="shared" si="11"/>
        <v>46654320</v>
      </c>
      <c r="J15" s="1401">
        <f t="shared" si="11"/>
        <v>16340407</v>
      </c>
      <c r="K15" s="1401">
        <f t="shared" si="11"/>
        <v>10092500</v>
      </c>
      <c r="L15" s="1401">
        <f t="shared" si="11"/>
        <v>0</v>
      </c>
      <c r="M15" s="1128" t="str">
        <f>+M16</f>
        <v>x</v>
      </c>
      <c r="N15" s="1128" t="str">
        <f>+N16</f>
        <v>x</v>
      </c>
      <c r="O15" s="4312"/>
      <c r="P15" s="278"/>
      <c r="Q15" s="172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  <c r="AH15" s="278"/>
      <c r="AI15" s="278"/>
      <c r="AJ15" s="278"/>
      <c r="AK15" s="278"/>
      <c r="AL15" s="278"/>
      <c r="AM15" s="278"/>
      <c r="AN15" s="278"/>
      <c r="AO15" s="278"/>
      <c r="AP15" s="278"/>
      <c r="AQ15" s="278"/>
      <c r="AR15" s="278"/>
      <c r="AS15" s="278"/>
      <c r="AT15" s="278"/>
      <c r="AU15" s="278"/>
      <c r="AV15" s="278"/>
      <c r="AW15" s="278"/>
      <c r="AX15" s="278"/>
      <c r="AY15" s="278"/>
      <c r="AZ15" s="278"/>
      <c r="BA15" s="278"/>
      <c r="BB15" s="278"/>
      <c r="BC15" s="278"/>
      <c r="BD15" s="278"/>
      <c r="BE15" s="278"/>
      <c r="BF15" s="278"/>
      <c r="BG15" s="278"/>
      <c r="BH15" s="278"/>
      <c r="BI15" s="278"/>
      <c r="BJ15" s="278"/>
      <c r="BK15" s="278"/>
      <c r="BL15" s="278"/>
      <c r="BM15" s="278"/>
      <c r="BN15" s="278"/>
      <c r="BO15" s="278"/>
      <c r="BP15" s="278"/>
      <c r="BQ15" s="278"/>
      <c r="BR15" s="278"/>
      <c r="BS15" s="278"/>
      <c r="BT15" s="278"/>
      <c r="BU15" s="278"/>
      <c r="BV15" s="278"/>
      <c r="BW15" s="278"/>
      <c r="BX15" s="278"/>
      <c r="BY15" s="278"/>
    </row>
    <row r="16" spans="1:77" s="500" customFormat="1" ht="12">
      <c r="A16" s="567"/>
      <c r="B16" s="1406" t="s">
        <v>35</v>
      </c>
      <c r="C16" s="4314"/>
      <c r="D16" s="1403">
        <f t="shared" ref="D16:L16" si="12">D28+D47+D59+D83+D109+D71+D121+D146+D159+D171</f>
        <v>112818188</v>
      </c>
      <c r="E16" s="1403">
        <f t="shared" si="12"/>
        <v>524900</v>
      </c>
      <c r="F16" s="1403">
        <f t="shared" si="12"/>
        <v>47005</v>
      </c>
      <c r="G16" s="1403">
        <f t="shared" si="12"/>
        <v>6836098</v>
      </c>
      <c r="H16" s="1403">
        <f t="shared" si="12"/>
        <v>32322958</v>
      </c>
      <c r="I16" s="1403">
        <f t="shared" si="12"/>
        <v>46654320</v>
      </c>
      <c r="J16" s="1403">
        <f t="shared" si="12"/>
        <v>16340407</v>
      </c>
      <c r="K16" s="1403">
        <f t="shared" si="12"/>
        <v>10092500</v>
      </c>
      <c r="L16" s="1403">
        <f t="shared" si="12"/>
        <v>0</v>
      </c>
      <c r="M16" s="462" t="s">
        <v>61</v>
      </c>
      <c r="N16" s="462" t="s">
        <v>61</v>
      </c>
      <c r="O16" s="4312"/>
      <c r="P16" s="278"/>
      <c r="Q16" s="172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8"/>
      <c r="AJ16" s="278"/>
      <c r="AK16" s="278"/>
      <c r="AL16" s="278"/>
      <c r="AM16" s="278"/>
      <c r="AN16" s="278"/>
      <c r="AO16" s="278"/>
      <c r="AP16" s="278"/>
      <c r="AQ16" s="278"/>
      <c r="AR16" s="278"/>
      <c r="AS16" s="278"/>
      <c r="AT16" s="278"/>
      <c r="AU16" s="278"/>
      <c r="AV16" s="278"/>
      <c r="AW16" s="278"/>
      <c r="AX16" s="278"/>
      <c r="AY16" s="278"/>
      <c r="AZ16" s="278"/>
      <c r="BA16" s="278"/>
      <c r="BB16" s="278"/>
      <c r="BC16" s="278"/>
      <c r="BD16" s="278"/>
      <c r="BE16" s="278"/>
      <c r="BF16" s="278"/>
      <c r="BG16" s="278"/>
      <c r="BH16" s="278"/>
      <c r="BI16" s="278"/>
      <c r="BJ16" s="278"/>
      <c r="BK16" s="278"/>
      <c r="BL16" s="278"/>
      <c r="BM16" s="278"/>
      <c r="BN16" s="278"/>
      <c r="BO16" s="278"/>
      <c r="BP16" s="278"/>
      <c r="BQ16" s="278"/>
      <c r="BR16" s="278"/>
      <c r="BS16" s="278"/>
      <c r="BT16" s="278"/>
      <c r="BU16" s="278"/>
      <c r="BV16" s="278"/>
      <c r="BW16" s="278"/>
      <c r="BX16" s="278"/>
      <c r="BY16" s="278"/>
    </row>
    <row r="17" spans="1:77" s="500" customFormat="1" ht="12">
      <c r="A17" s="567"/>
      <c r="B17" s="438" t="s">
        <v>22</v>
      </c>
      <c r="C17" s="438"/>
      <c r="D17" s="463">
        <f>+D18+D21</f>
        <v>153881871</v>
      </c>
      <c r="E17" s="463">
        <f t="shared" ref="E17" si="13">+E18+E21</f>
        <v>644420</v>
      </c>
      <c r="F17" s="463">
        <f t="shared" ref="F17:L17" si="14">+F18+F21</f>
        <v>392761</v>
      </c>
      <c r="G17" s="463">
        <f t="shared" si="14"/>
        <v>11517380</v>
      </c>
      <c r="H17" s="463">
        <f t="shared" si="14"/>
        <v>48566473</v>
      </c>
      <c r="I17" s="463">
        <f t="shared" si="14"/>
        <v>59002128</v>
      </c>
      <c r="J17" s="463">
        <f t="shared" si="14"/>
        <v>22015480</v>
      </c>
      <c r="K17" s="463">
        <f t="shared" si="14"/>
        <v>11743229</v>
      </c>
      <c r="L17" s="463">
        <f t="shared" si="14"/>
        <v>0</v>
      </c>
      <c r="M17" s="4321" t="s">
        <v>61</v>
      </c>
      <c r="N17" s="4321" t="s">
        <v>61</v>
      </c>
      <c r="O17" s="4312"/>
      <c r="P17" s="278"/>
      <c r="Q17" s="172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  <c r="AH17" s="278"/>
      <c r="AI17" s="278"/>
      <c r="AJ17" s="278"/>
      <c r="AK17" s="278"/>
      <c r="AL17" s="278"/>
      <c r="AM17" s="278"/>
      <c r="AN17" s="278"/>
      <c r="AO17" s="278"/>
      <c r="AP17" s="278"/>
      <c r="AQ17" s="278"/>
      <c r="AR17" s="278"/>
      <c r="AS17" s="278"/>
      <c r="AT17" s="278"/>
      <c r="AU17" s="278"/>
      <c r="AV17" s="278"/>
      <c r="AW17" s="278"/>
      <c r="AX17" s="278"/>
      <c r="AY17" s="278"/>
      <c r="AZ17" s="278"/>
      <c r="BA17" s="278"/>
      <c r="BB17" s="278"/>
      <c r="BC17" s="278"/>
      <c r="BD17" s="278"/>
      <c r="BE17" s="278"/>
      <c r="BF17" s="278"/>
      <c r="BG17" s="278"/>
      <c r="BH17" s="278"/>
      <c r="BI17" s="278"/>
      <c r="BJ17" s="278"/>
      <c r="BK17" s="278"/>
      <c r="BL17" s="278"/>
      <c r="BM17" s="278"/>
      <c r="BN17" s="278"/>
      <c r="BO17" s="278"/>
      <c r="BP17" s="278"/>
      <c r="BQ17" s="278"/>
      <c r="BR17" s="278"/>
      <c r="BS17" s="278"/>
      <c r="BT17" s="278"/>
      <c r="BU17" s="278"/>
      <c r="BV17" s="278"/>
      <c r="BW17" s="278"/>
      <c r="BX17" s="278"/>
      <c r="BY17" s="278"/>
    </row>
    <row r="18" spans="1:77" s="500" customFormat="1" ht="12">
      <c r="A18" s="567"/>
      <c r="B18" s="1400" t="s">
        <v>24</v>
      </c>
      <c r="C18" s="4316" t="s">
        <v>61</v>
      </c>
      <c r="D18" s="1401">
        <f>+D19+D20</f>
        <v>41063683</v>
      </c>
      <c r="E18" s="1401">
        <f t="shared" ref="E18:L18" si="15">+E19+E20</f>
        <v>119520</v>
      </c>
      <c r="F18" s="1401">
        <f t="shared" si="15"/>
        <v>370406</v>
      </c>
      <c r="G18" s="1401">
        <f t="shared" si="15"/>
        <v>4906983</v>
      </c>
      <c r="H18" s="1401">
        <f t="shared" si="15"/>
        <v>16613164</v>
      </c>
      <c r="I18" s="1401">
        <f t="shared" si="15"/>
        <v>11727808</v>
      </c>
      <c r="J18" s="1401">
        <f t="shared" si="15"/>
        <v>5675073</v>
      </c>
      <c r="K18" s="1401">
        <f t="shared" si="15"/>
        <v>1650729</v>
      </c>
      <c r="L18" s="1401">
        <f t="shared" si="15"/>
        <v>0</v>
      </c>
      <c r="M18" s="4322"/>
      <c r="N18" s="4322"/>
      <c r="O18" s="4312"/>
      <c r="P18" s="278"/>
      <c r="Q18" s="172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  <c r="AH18" s="278"/>
      <c r="AI18" s="278"/>
      <c r="AJ18" s="278"/>
      <c r="AK18" s="278"/>
      <c r="AL18" s="278"/>
      <c r="AM18" s="278"/>
      <c r="AN18" s="278"/>
      <c r="AO18" s="278"/>
      <c r="AP18" s="278"/>
      <c r="AQ18" s="278"/>
      <c r="AR18" s="278"/>
      <c r="AS18" s="278"/>
      <c r="AT18" s="278"/>
      <c r="AU18" s="278"/>
      <c r="AV18" s="278"/>
      <c r="AW18" s="278"/>
      <c r="AX18" s="278"/>
      <c r="AY18" s="278"/>
      <c r="AZ18" s="278"/>
      <c r="BA18" s="278"/>
      <c r="BB18" s="278"/>
      <c r="BC18" s="278"/>
      <c r="BD18" s="278"/>
      <c r="BE18" s="278"/>
      <c r="BF18" s="278"/>
      <c r="BG18" s="278"/>
      <c r="BH18" s="278"/>
      <c r="BI18" s="278"/>
      <c r="BJ18" s="278"/>
      <c r="BK18" s="278"/>
      <c r="BL18" s="278"/>
      <c r="BM18" s="278"/>
      <c r="BN18" s="278"/>
      <c r="BO18" s="278"/>
      <c r="BP18" s="278"/>
      <c r="BQ18" s="278"/>
      <c r="BR18" s="278"/>
      <c r="BS18" s="278"/>
      <c r="BT18" s="278"/>
      <c r="BU18" s="278"/>
      <c r="BV18" s="278"/>
      <c r="BW18" s="278"/>
      <c r="BX18" s="278"/>
      <c r="BY18" s="278"/>
    </row>
    <row r="19" spans="1:77" s="500" customFormat="1" ht="12">
      <c r="A19" s="567"/>
      <c r="B19" s="1406" t="s">
        <v>147</v>
      </c>
      <c r="C19" s="4317"/>
      <c r="D19" s="1403">
        <f t="shared" ref="D19:L19" si="16">+D62+D112+D50+D74+D86+D31+D40+D149+D162+D174</f>
        <v>40331100</v>
      </c>
      <c r="E19" s="1403">
        <f t="shared" si="16"/>
        <v>119520</v>
      </c>
      <c r="F19" s="1403">
        <f t="shared" si="16"/>
        <v>370406</v>
      </c>
      <c r="G19" s="1403">
        <f t="shared" si="16"/>
        <v>4650233</v>
      </c>
      <c r="H19" s="1403">
        <f t="shared" si="16"/>
        <v>16137331</v>
      </c>
      <c r="I19" s="1403">
        <f t="shared" si="16"/>
        <v>11727808</v>
      </c>
      <c r="J19" s="1403">
        <f t="shared" si="16"/>
        <v>5675073</v>
      </c>
      <c r="K19" s="1403">
        <f t="shared" si="16"/>
        <v>1650729</v>
      </c>
      <c r="L19" s="1403">
        <f t="shared" si="16"/>
        <v>0</v>
      </c>
      <c r="M19" s="4322"/>
      <c r="N19" s="4322"/>
      <c r="O19" s="4312"/>
      <c r="P19" s="278"/>
      <c r="Q19" s="172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  <c r="AH19" s="278"/>
      <c r="AI19" s="278"/>
      <c r="AJ19" s="278"/>
      <c r="AK19" s="278"/>
      <c r="AL19" s="278"/>
      <c r="AM19" s="278"/>
      <c r="AN19" s="278"/>
      <c r="AO19" s="278"/>
      <c r="AP19" s="278"/>
      <c r="AQ19" s="278"/>
      <c r="AR19" s="278"/>
      <c r="AS19" s="278"/>
      <c r="AT19" s="278"/>
      <c r="AU19" s="278"/>
      <c r="AV19" s="278"/>
      <c r="AW19" s="278"/>
      <c r="AX19" s="278"/>
      <c r="AY19" s="278"/>
      <c r="AZ19" s="278"/>
      <c r="BA19" s="278"/>
      <c r="BB19" s="278"/>
      <c r="BC19" s="278"/>
      <c r="BD19" s="278"/>
      <c r="BE19" s="278"/>
      <c r="BF19" s="278"/>
      <c r="BG19" s="278"/>
      <c r="BH19" s="278"/>
      <c r="BI19" s="278"/>
      <c r="BJ19" s="278"/>
      <c r="BK19" s="278"/>
      <c r="BL19" s="278"/>
      <c r="BM19" s="278"/>
      <c r="BN19" s="278"/>
      <c r="BO19" s="278"/>
      <c r="BP19" s="278"/>
      <c r="BQ19" s="278"/>
      <c r="BR19" s="278"/>
      <c r="BS19" s="278"/>
      <c r="BT19" s="278"/>
      <c r="BU19" s="278"/>
      <c r="BV19" s="278"/>
      <c r="BW19" s="278"/>
      <c r="BX19" s="278"/>
      <c r="BY19" s="278"/>
    </row>
    <row r="20" spans="1:77" s="500" customFormat="1" ht="12">
      <c r="A20" s="567"/>
      <c r="B20" s="1407" t="s">
        <v>580</v>
      </c>
      <c r="C20" s="4317"/>
      <c r="D20" s="464">
        <f>D150+D100</f>
        <v>732583</v>
      </c>
      <c r="E20" s="464">
        <f t="shared" ref="E20:L20" si="17">E150+E100</f>
        <v>0</v>
      </c>
      <c r="F20" s="464">
        <f t="shared" si="17"/>
        <v>0</v>
      </c>
      <c r="G20" s="464">
        <f t="shared" si="17"/>
        <v>256750</v>
      </c>
      <c r="H20" s="464">
        <f t="shared" si="17"/>
        <v>475833</v>
      </c>
      <c r="I20" s="464">
        <f t="shared" si="17"/>
        <v>0</v>
      </c>
      <c r="J20" s="464">
        <f t="shared" si="17"/>
        <v>0</v>
      </c>
      <c r="K20" s="464">
        <f t="shared" si="17"/>
        <v>0</v>
      </c>
      <c r="L20" s="464">
        <f t="shared" si="17"/>
        <v>0</v>
      </c>
      <c r="M20" s="4322"/>
      <c r="N20" s="4322"/>
      <c r="O20" s="4312"/>
      <c r="P20" s="278"/>
      <c r="Q20" s="172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  <c r="AH20" s="278"/>
      <c r="AI20" s="278"/>
      <c r="AJ20" s="278"/>
      <c r="AK20" s="278"/>
      <c r="AL20" s="278"/>
      <c r="AM20" s="278"/>
      <c r="AN20" s="278"/>
      <c r="AO20" s="278"/>
      <c r="AP20" s="278"/>
      <c r="AQ20" s="278"/>
      <c r="AR20" s="278"/>
      <c r="AS20" s="278"/>
      <c r="AT20" s="278"/>
      <c r="AU20" s="278"/>
      <c r="AV20" s="278"/>
      <c r="AW20" s="278"/>
      <c r="AX20" s="278"/>
      <c r="AY20" s="278"/>
      <c r="AZ20" s="278"/>
      <c r="BA20" s="278"/>
      <c r="BB20" s="278"/>
      <c r="BC20" s="278"/>
      <c r="BD20" s="278"/>
      <c r="BE20" s="278"/>
      <c r="BF20" s="278"/>
      <c r="BG20" s="278"/>
      <c r="BH20" s="278"/>
      <c r="BI20" s="278"/>
      <c r="BJ20" s="278"/>
      <c r="BK20" s="278"/>
      <c r="BL20" s="278"/>
      <c r="BM20" s="278"/>
      <c r="BN20" s="278"/>
      <c r="BO20" s="278"/>
      <c r="BP20" s="278"/>
      <c r="BQ20" s="278"/>
      <c r="BR20" s="278"/>
      <c r="BS20" s="278"/>
      <c r="BT20" s="278"/>
      <c r="BU20" s="278"/>
      <c r="BV20" s="278"/>
      <c r="BW20" s="278"/>
      <c r="BX20" s="278"/>
      <c r="BY20" s="278"/>
    </row>
    <row r="21" spans="1:77" s="500" customFormat="1" ht="12">
      <c r="A21" s="567"/>
      <c r="B21" s="1408" t="s">
        <v>18</v>
      </c>
      <c r="C21" s="4317"/>
      <c r="D21" s="1409">
        <f>+D22</f>
        <v>112818188</v>
      </c>
      <c r="E21" s="1409">
        <f t="shared" ref="E21:L21" si="18">+E22</f>
        <v>524900</v>
      </c>
      <c r="F21" s="1409">
        <f t="shared" si="18"/>
        <v>22355</v>
      </c>
      <c r="G21" s="1409">
        <f t="shared" si="18"/>
        <v>6610397</v>
      </c>
      <c r="H21" s="1409">
        <f t="shared" si="18"/>
        <v>31953309</v>
      </c>
      <c r="I21" s="1409">
        <f t="shared" si="18"/>
        <v>47274320</v>
      </c>
      <c r="J21" s="1409">
        <f t="shared" si="18"/>
        <v>16340407</v>
      </c>
      <c r="K21" s="1409">
        <f t="shared" si="18"/>
        <v>10092500</v>
      </c>
      <c r="L21" s="1409">
        <f t="shared" si="18"/>
        <v>0</v>
      </c>
      <c r="M21" s="4322"/>
      <c r="N21" s="4322"/>
      <c r="O21" s="4312"/>
      <c r="P21" s="278"/>
      <c r="Q21" s="172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  <c r="AH21" s="278"/>
      <c r="AI21" s="278"/>
      <c r="AJ21" s="278"/>
      <c r="AK21" s="278"/>
      <c r="AL21" s="278"/>
      <c r="AM21" s="278"/>
      <c r="AN21" s="278"/>
      <c r="AO21" s="278"/>
      <c r="AP21" s="278"/>
      <c r="AQ21" s="278"/>
      <c r="AR21" s="278"/>
      <c r="AS21" s="278"/>
      <c r="AT21" s="278"/>
      <c r="AU21" s="278"/>
      <c r="AV21" s="278"/>
      <c r="AW21" s="278"/>
      <c r="AX21" s="278"/>
      <c r="AY21" s="278"/>
      <c r="AZ21" s="278"/>
      <c r="BA21" s="278"/>
      <c r="BB21" s="278"/>
      <c r="BC21" s="278"/>
      <c r="BD21" s="278"/>
      <c r="BE21" s="278"/>
      <c r="BF21" s="278"/>
      <c r="BG21" s="278"/>
      <c r="BH21" s="278"/>
      <c r="BI21" s="278"/>
      <c r="BJ21" s="278"/>
      <c r="BK21" s="278"/>
      <c r="BL21" s="278"/>
      <c r="BM21" s="278"/>
      <c r="BN21" s="278"/>
      <c r="BO21" s="278"/>
      <c r="BP21" s="278"/>
      <c r="BQ21" s="278"/>
      <c r="BR21" s="278"/>
      <c r="BS21" s="278"/>
      <c r="BT21" s="278"/>
      <c r="BU21" s="278"/>
      <c r="BV21" s="278"/>
      <c r="BW21" s="278"/>
      <c r="BX21" s="278"/>
      <c r="BY21" s="278"/>
    </row>
    <row r="22" spans="1:77" s="500" customFormat="1" ht="14.1" customHeight="1" thickBot="1">
      <c r="A22" s="568"/>
      <c r="B22" s="1410" t="s">
        <v>35</v>
      </c>
      <c r="C22" s="4318"/>
      <c r="D22" s="1129">
        <f t="shared" ref="D22:L22" si="19">+D52+D64+D114+D88+D76+D126+D152+D164+D176</f>
        <v>112818188</v>
      </c>
      <c r="E22" s="1129">
        <f t="shared" si="19"/>
        <v>524900</v>
      </c>
      <c r="F22" s="1129">
        <f t="shared" si="19"/>
        <v>22355</v>
      </c>
      <c r="G22" s="1129">
        <f t="shared" si="19"/>
        <v>6610397</v>
      </c>
      <c r="H22" s="1129">
        <f t="shared" si="19"/>
        <v>31953309</v>
      </c>
      <c r="I22" s="1129">
        <f t="shared" si="19"/>
        <v>47274320</v>
      </c>
      <c r="J22" s="1129">
        <f t="shared" si="19"/>
        <v>16340407</v>
      </c>
      <c r="K22" s="1129">
        <f t="shared" si="19"/>
        <v>10092500</v>
      </c>
      <c r="L22" s="1129">
        <f t="shared" si="19"/>
        <v>0</v>
      </c>
      <c r="M22" s="4323"/>
      <c r="N22" s="4323"/>
      <c r="O22" s="4313"/>
      <c r="P22" s="278"/>
      <c r="Q22" s="172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  <c r="AH22" s="278"/>
      <c r="AI22" s="278"/>
      <c r="AJ22" s="278"/>
      <c r="AK22" s="278"/>
      <c r="AL22" s="278"/>
      <c r="AM22" s="278"/>
      <c r="AN22" s="278"/>
      <c r="AO22" s="278"/>
      <c r="AP22" s="278"/>
      <c r="AQ22" s="278"/>
      <c r="AR22" s="278"/>
      <c r="AS22" s="278"/>
      <c r="AT22" s="278"/>
      <c r="AU22" s="278"/>
      <c r="AV22" s="278"/>
      <c r="AW22" s="278"/>
      <c r="AX22" s="278"/>
      <c r="AY22" s="278"/>
      <c r="AZ22" s="278"/>
      <c r="BA22" s="278"/>
      <c r="BB22" s="278"/>
      <c r="BC22" s="278"/>
      <c r="BD22" s="278"/>
      <c r="BE22" s="278"/>
      <c r="BF22" s="278"/>
      <c r="BG22" s="278"/>
      <c r="BH22" s="278"/>
      <c r="BI22" s="278"/>
      <c r="BJ22" s="278"/>
      <c r="BK22" s="278"/>
      <c r="BL22" s="278"/>
      <c r="BM22" s="278"/>
      <c r="BN22" s="278"/>
      <c r="BO22" s="278"/>
      <c r="BP22" s="278"/>
      <c r="BQ22" s="278"/>
      <c r="BR22" s="278"/>
      <c r="BS22" s="278"/>
      <c r="BT22" s="278"/>
      <c r="BU22" s="278"/>
      <c r="BV22" s="278"/>
      <c r="BW22" s="278"/>
      <c r="BX22" s="278"/>
      <c r="BY22" s="278"/>
    </row>
    <row r="23" spans="1:77" s="278" customFormat="1" ht="23.25" customHeight="1">
      <c r="A23" s="4286" t="s">
        <v>63</v>
      </c>
      <c r="B23" s="1130" t="s">
        <v>393</v>
      </c>
      <c r="C23" s="1131" t="s">
        <v>82</v>
      </c>
      <c r="D23" s="1132"/>
      <c r="E23" s="464"/>
      <c r="F23" s="464"/>
      <c r="G23" s="464"/>
      <c r="H23" s="1133"/>
      <c r="I23" s="1133"/>
      <c r="J23" s="1133"/>
      <c r="K23" s="1133"/>
      <c r="L23" s="1133"/>
      <c r="M23" s="465"/>
      <c r="N23" s="465"/>
      <c r="O23" s="4289" t="s">
        <v>388</v>
      </c>
    </row>
    <row r="24" spans="1:77" s="278" customFormat="1" ht="12">
      <c r="A24" s="4287"/>
      <c r="B24" s="438" t="s">
        <v>10</v>
      </c>
      <c r="C24" s="438"/>
      <c r="D24" s="463">
        <f t="shared" ref="D24" si="20">+D25+D27</f>
        <v>1805000</v>
      </c>
      <c r="E24" s="463">
        <f t="shared" ref="E24" si="21">+E25+E27</f>
        <v>0</v>
      </c>
      <c r="F24" s="463">
        <f t="shared" ref="F24:N24" si="22">+F25</f>
        <v>242386</v>
      </c>
      <c r="G24" s="463">
        <f t="shared" si="22"/>
        <v>1562614</v>
      </c>
      <c r="H24" s="463">
        <f t="shared" si="22"/>
        <v>0</v>
      </c>
      <c r="I24" s="463">
        <f t="shared" si="22"/>
        <v>0</v>
      </c>
      <c r="J24" s="463"/>
      <c r="K24" s="463"/>
      <c r="L24" s="463"/>
      <c r="M24" s="466">
        <f t="shared" si="22"/>
        <v>1805000</v>
      </c>
      <c r="N24" s="466">
        <f t="shared" si="22"/>
        <v>1562614</v>
      </c>
      <c r="O24" s="4290"/>
    </row>
    <row r="25" spans="1:77" s="278" customFormat="1" ht="12">
      <c r="A25" s="4287"/>
      <c r="B25" s="1355" t="s">
        <v>24</v>
      </c>
      <c r="C25" s="4299" t="s">
        <v>387</v>
      </c>
      <c r="D25" s="1212">
        <f>D26</f>
        <v>1805000</v>
      </c>
      <c r="E25" s="432">
        <f t="shared" ref="E25:I25" si="23">E26</f>
        <v>0</v>
      </c>
      <c r="F25" s="432">
        <f t="shared" si="23"/>
        <v>242386</v>
      </c>
      <c r="G25" s="432">
        <f t="shared" si="23"/>
        <v>1562614</v>
      </c>
      <c r="H25" s="432">
        <f t="shared" si="23"/>
        <v>0</v>
      </c>
      <c r="I25" s="432">
        <f t="shared" si="23"/>
        <v>0</v>
      </c>
      <c r="J25" s="432"/>
      <c r="K25" s="432"/>
      <c r="L25" s="432"/>
      <c r="M25" s="468">
        <f>+M26</f>
        <v>1805000</v>
      </c>
      <c r="N25" s="468">
        <f>+N26</f>
        <v>1562614</v>
      </c>
      <c r="O25" s="4290"/>
    </row>
    <row r="26" spans="1:77" s="278" customFormat="1" ht="12.75" customHeight="1">
      <c r="A26" s="4287"/>
      <c r="B26" s="1356" t="s">
        <v>122</v>
      </c>
      <c r="C26" s="4293"/>
      <c r="D26" s="1213">
        <f>E26+F26+G26+H26+I26+J26+K26+L26</f>
        <v>1805000</v>
      </c>
      <c r="E26" s="429">
        <v>0</v>
      </c>
      <c r="F26" s="429">
        <f>355000-112614</f>
        <v>242386</v>
      </c>
      <c r="G26" s="429">
        <f>1450000+112614</f>
        <v>1562614</v>
      </c>
      <c r="H26" s="429">
        <v>0</v>
      </c>
      <c r="I26" s="429">
        <v>0</v>
      </c>
      <c r="J26" s="429"/>
      <c r="K26" s="429"/>
      <c r="L26" s="429"/>
      <c r="M26" s="461">
        <f>SUM(F26:K26)</f>
        <v>1805000</v>
      </c>
      <c r="N26" s="461">
        <f>SUM(G26:L26)</f>
        <v>1562614</v>
      </c>
      <c r="O26" s="4290"/>
    </row>
    <row r="27" spans="1:77" s="278" customFormat="1" ht="12.75" hidden="1" customHeight="1">
      <c r="A27" s="4287"/>
      <c r="B27" s="470" t="s">
        <v>18</v>
      </c>
      <c r="C27" s="4293"/>
      <c r="D27" s="471">
        <f>+D28</f>
        <v>0</v>
      </c>
      <c r="E27" s="471"/>
      <c r="F27" s="471"/>
      <c r="G27" s="471"/>
      <c r="H27" s="471"/>
      <c r="I27" s="471"/>
      <c r="J27" s="471"/>
      <c r="K27" s="471"/>
      <c r="L27" s="471"/>
      <c r="M27" s="1134" t="s">
        <v>61</v>
      </c>
      <c r="N27" s="1134" t="s">
        <v>61</v>
      </c>
      <c r="O27" s="4290"/>
    </row>
    <row r="28" spans="1:77" s="278" customFormat="1" ht="13.5" hidden="1" customHeight="1">
      <c r="A28" s="4287"/>
      <c r="B28" s="1357" t="s">
        <v>35</v>
      </c>
      <c r="C28" s="4293"/>
      <c r="D28" s="1213">
        <f>E28+F28+G28+H28+I28+J28+K28+L28</f>
        <v>0</v>
      </c>
      <c r="E28" s="429"/>
      <c r="F28" s="429"/>
      <c r="G28" s="429"/>
      <c r="H28" s="429"/>
      <c r="I28" s="429"/>
      <c r="J28" s="429"/>
      <c r="K28" s="429"/>
      <c r="L28" s="429"/>
      <c r="M28" s="485" t="s">
        <v>61</v>
      </c>
      <c r="N28" s="485" t="s">
        <v>61</v>
      </c>
      <c r="O28" s="4290"/>
    </row>
    <row r="29" spans="1:77" s="473" customFormat="1" ht="12">
      <c r="A29" s="4287"/>
      <c r="B29" s="1125" t="s">
        <v>22</v>
      </c>
      <c r="C29" s="4293"/>
      <c r="D29" s="1135">
        <f>D30</f>
        <v>55657</v>
      </c>
      <c r="E29" s="1135">
        <f>E30</f>
        <v>0</v>
      </c>
      <c r="F29" s="1136"/>
      <c r="G29" s="1136">
        <f>G30</f>
        <v>55657</v>
      </c>
      <c r="H29" s="1136"/>
      <c r="I29" s="1136"/>
      <c r="J29" s="1136"/>
      <c r="K29" s="1136"/>
      <c r="L29" s="1136"/>
      <c r="M29" s="4324"/>
      <c r="N29" s="4324"/>
      <c r="O29" s="4290"/>
    </row>
    <row r="30" spans="1:77" s="278" customFormat="1" ht="12.75">
      <c r="A30" s="4287"/>
      <c r="B30" s="1317" t="s">
        <v>24</v>
      </c>
      <c r="C30" s="4293"/>
      <c r="D30" s="1212">
        <f>+D31</f>
        <v>55657</v>
      </c>
      <c r="E30" s="1212">
        <f>+E31</f>
        <v>0</v>
      </c>
      <c r="F30" s="1137"/>
      <c r="G30" s="432">
        <f>G31</f>
        <v>55657</v>
      </c>
      <c r="H30" s="1137"/>
      <c r="I30" s="1137"/>
      <c r="J30" s="1137"/>
      <c r="K30" s="1137"/>
      <c r="L30" s="1137"/>
      <c r="M30" s="4325"/>
      <c r="N30" s="4325"/>
      <c r="O30" s="4290"/>
    </row>
    <row r="31" spans="1:77" s="278" customFormat="1" ht="13.5" thickBot="1">
      <c r="A31" s="4288"/>
      <c r="B31" s="1318" t="s">
        <v>147</v>
      </c>
      <c r="C31" s="4332"/>
      <c r="D31" s="1319">
        <f>E31+F31+G31+H31+I31+J31+K31+L31</f>
        <v>55657</v>
      </c>
      <c r="E31" s="469">
        <v>0</v>
      </c>
      <c r="F31" s="1138"/>
      <c r="G31" s="469">
        <v>55657</v>
      </c>
      <c r="H31" s="1138"/>
      <c r="I31" s="1138"/>
      <c r="J31" s="1138"/>
      <c r="K31" s="1138"/>
      <c r="L31" s="1138"/>
      <c r="M31" s="4326"/>
      <c r="N31" s="4326"/>
      <c r="O31" s="4331"/>
    </row>
    <row r="32" spans="1:77" s="278" customFormat="1" ht="27" customHeight="1">
      <c r="A32" s="4286" t="s">
        <v>64</v>
      </c>
      <c r="B32" s="1130" t="s">
        <v>636</v>
      </c>
      <c r="C32" s="1131" t="s">
        <v>110</v>
      </c>
      <c r="D32" s="1132"/>
      <c r="E32" s="464"/>
      <c r="F32" s="464"/>
      <c r="G32" s="464"/>
      <c r="H32" s="1133"/>
      <c r="I32" s="1133"/>
      <c r="J32" s="1133"/>
      <c r="K32" s="1133"/>
      <c r="L32" s="1133"/>
      <c r="M32" s="465"/>
      <c r="N32" s="465"/>
      <c r="O32" s="4289" t="s">
        <v>388</v>
      </c>
    </row>
    <row r="33" spans="1:15" s="278" customFormat="1" ht="12">
      <c r="A33" s="4287"/>
      <c r="B33" s="438" t="s">
        <v>10</v>
      </c>
      <c r="C33" s="438"/>
      <c r="D33" s="463">
        <f t="shared" ref="D33:E33" si="24">+D34+D36</f>
        <v>11765000</v>
      </c>
      <c r="E33" s="463">
        <f t="shared" si="24"/>
        <v>0</v>
      </c>
      <c r="F33" s="463">
        <f t="shared" ref="F33:N33" si="25">+F34</f>
        <v>4099273</v>
      </c>
      <c r="G33" s="463">
        <f t="shared" si="25"/>
        <v>7665727</v>
      </c>
      <c r="H33" s="463">
        <f t="shared" si="25"/>
        <v>0</v>
      </c>
      <c r="I33" s="463">
        <f t="shared" si="25"/>
        <v>0</v>
      </c>
      <c r="J33" s="463"/>
      <c r="K33" s="463"/>
      <c r="L33" s="463"/>
      <c r="M33" s="466">
        <f t="shared" si="25"/>
        <v>11765000</v>
      </c>
      <c r="N33" s="466">
        <f t="shared" si="25"/>
        <v>7665727</v>
      </c>
      <c r="O33" s="4290"/>
    </row>
    <row r="34" spans="1:15" s="278" customFormat="1" ht="12">
      <c r="A34" s="4287"/>
      <c r="B34" s="467" t="s">
        <v>24</v>
      </c>
      <c r="C34" s="4292" t="s">
        <v>387</v>
      </c>
      <c r="D34" s="432">
        <f>D35</f>
        <v>11765000</v>
      </c>
      <c r="E34" s="432">
        <f t="shared" ref="E34:I34" si="26">E35</f>
        <v>0</v>
      </c>
      <c r="F34" s="432">
        <f t="shared" si="26"/>
        <v>4099273</v>
      </c>
      <c r="G34" s="432">
        <f t="shared" si="26"/>
        <v>7665727</v>
      </c>
      <c r="H34" s="432">
        <f t="shared" si="26"/>
        <v>0</v>
      </c>
      <c r="I34" s="432">
        <f t="shared" si="26"/>
        <v>0</v>
      </c>
      <c r="J34" s="432"/>
      <c r="K34" s="432"/>
      <c r="L34" s="432"/>
      <c r="M34" s="468">
        <f>+M35</f>
        <v>11765000</v>
      </c>
      <c r="N34" s="468">
        <f>+N35</f>
        <v>7665727</v>
      </c>
      <c r="O34" s="4290"/>
    </row>
    <row r="35" spans="1:15" s="278" customFormat="1" ht="12">
      <c r="A35" s="4287"/>
      <c r="B35" s="496" t="s">
        <v>122</v>
      </c>
      <c r="C35" s="4293"/>
      <c r="D35" s="1104">
        <f>E35+F35+G35+H35+I35+J35+K35+L35</f>
        <v>11765000</v>
      </c>
      <c r="E35" s="429">
        <v>0</v>
      </c>
      <c r="F35" s="429">
        <f>4813876-714603</f>
        <v>4099273</v>
      </c>
      <c r="G35" s="429">
        <f>3451124+714603+3500000</f>
        <v>7665727</v>
      </c>
      <c r="H35" s="429">
        <v>0</v>
      </c>
      <c r="I35" s="429">
        <v>0</v>
      </c>
      <c r="J35" s="429"/>
      <c r="K35" s="429"/>
      <c r="L35" s="429"/>
      <c r="M35" s="461">
        <f>SUM(F35:K35)</f>
        <v>11765000</v>
      </c>
      <c r="N35" s="461">
        <f>SUM(G35:L35)</f>
        <v>7665727</v>
      </c>
      <c r="O35" s="4290"/>
    </row>
    <row r="36" spans="1:15" s="278" customFormat="1" ht="12" hidden="1">
      <c r="A36" s="4287"/>
      <c r="B36" s="470" t="s">
        <v>18</v>
      </c>
      <c r="C36" s="4293"/>
      <c r="D36" s="471">
        <f>+D37</f>
        <v>0</v>
      </c>
      <c r="E36" s="471"/>
      <c r="F36" s="471"/>
      <c r="G36" s="471"/>
      <c r="H36" s="471"/>
      <c r="I36" s="471"/>
      <c r="J36" s="471"/>
      <c r="K36" s="471"/>
      <c r="L36" s="471"/>
      <c r="M36" s="1134" t="s">
        <v>61</v>
      </c>
      <c r="N36" s="1134" t="s">
        <v>61</v>
      </c>
      <c r="O36" s="4290"/>
    </row>
    <row r="37" spans="1:15" s="278" customFormat="1" ht="12" hidden="1">
      <c r="A37" s="4287"/>
      <c r="B37" s="2153" t="s">
        <v>35</v>
      </c>
      <c r="C37" s="4293"/>
      <c r="D37" s="1104">
        <f>E37+F37+G37+H37+I37+J37+K37+L37</f>
        <v>0</v>
      </c>
      <c r="E37" s="429"/>
      <c r="F37" s="429"/>
      <c r="G37" s="429"/>
      <c r="H37" s="429"/>
      <c r="I37" s="429"/>
      <c r="J37" s="429"/>
      <c r="K37" s="429"/>
      <c r="L37" s="429"/>
      <c r="M37" s="485" t="s">
        <v>61</v>
      </c>
      <c r="N37" s="485" t="s">
        <v>61</v>
      </c>
      <c r="O37" s="4290"/>
    </row>
    <row r="38" spans="1:15" s="278" customFormat="1" ht="12">
      <c r="A38" s="4287"/>
      <c r="B38" s="1125" t="s">
        <v>22</v>
      </c>
      <c r="C38" s="4293"/>
      <c r="D38" s="1135">
        <f>D39</f>
        <v>3926474</v>
      </c>
      <c r="E38" s="1135"/>
      <c r="F38" s="1136">
        <f>F39</f>
        <v>272966</v>
      </c>
      <c r="G38" s="1136">
        <f>G39</f>
        <v>3653508</v>
      </c>
      <c r="H38" s="1136"/>
      <c r="I38" s="1136"/>
      <c r="J38" s="1136"/>
      <c r="K38" s="1136"/>
      <c r="L38" s="1136"/>
      <c r="M38" s="4324"/>
      <c r="N38" s="4324"/>
      <c r="O38" s="4290"/>
    </row>
    <row r="39" spans="1:15" s="278" customFormat="1" ht="12.75">
      <c r="A39" s="4287"/>
      <c r="B39" s="1854" t="s">
        <v>24</v>
      </c>
      <c r="C39" s="4293"/>
      <c r="D39" s="432">
        <f>+D40</f>
        <v>3926474</v>
      </c>
      <c r="E39" s="432"/>
      <c r="F39" s="2154">
        <f>F40</f>
        <v>272966</v>
      </c>
      <c r="G39" s="432">
        <f>G40</f>
        <v>3653508</v>
      </c>
      <c r="H39" s="1137"/>
      <c r="I39" s="1137"/>
      <c r="J39" s="1137"/>
      <c r="K39" s="1137"/>
      <c r="L39" s="1137"/>
      <c r="M39" s="4325"/>
      <c r="N39" s="4325"/>
      <c r="O39" s="4290"/>
    </row>
    <row r="40" spans="1:15" s="278" customFormat="1" ht="13.5" thickBot="1">
      <c r="A40" s="4288"/>
      <c r="B40" s="1855" t="s">
        <v>147</v>
      </c>
      <c r="C40" s="4332"/>
      <c r="D40" s="226">
        <f>E40+F40+G40+H40+I40+J40+K40+L40</f>
        <v>3926474</v>
      </c>
      <c r="E40" s="469">
        <v>0</v>
      </c>
      <c r="F40" s="2155">
        <f>291487-185285+166764</f>
        <v>272966</v>
      </c>
      <c r="G40" s="469">
        <f>89482-27766+3591792</f>
        <v>3653508</v>
      </c>
      <c r="H40" s="1138"/>
      <c r="I40" s="1138"/>
      <c r="J40" s="1138"/>
      <c r="K40" s="1138"/>
      <c r="L40" s="1138"/>
      <c r="M40" s="4326"/>
      <c r="N40" s="4326"/>
      <c r="O40" s="4331"/>
    </row>
    <row r="41" spans="1:15" s="278" customFormat="1" ht="26.25" customHeight="1">
      <c r="A41" s="4286" t="s">
        <v>65</v>
      </c>
      <c r="B41" s="474" t="s">
        <v>578</v>
      </c>
      <c r="C41" s="475" t="s">
        <v>82</v>
      </c>
      <c r="D41" s="428"/>
      <c r="E41" s="483"/>
      <c r="F41" s="483"/>
      <c r="G41" s="483"/>
      <c r="H41" s="483"/>
      <c r="I41" s="483"/>
      <c r="J41" s="483"/>
      <c r="K41" s="483"/>
      <c r="L41" s="483"/>
      <c r="M41" s="488"/>
      <c r="N41" s="488"/>
      <c r="O41" s="4289" t="s">
        <v>579</v>
      </c>
    </row>
    <row r="42" spans="1:15" s="278" customFormat="1" ht="11.25" customHeight="1">
      <c r="A42" s="4287"/>
      <c r="B42" s="1856" t="s">
        <v>10</v>
      </c>
      <c r="C42" s="1857"/>
      <c r="D42" s="1858">
        <f>+D43+D46</f>
        <v>86880466</v>
      </c>
      <c r="E42" s="1858">
        <f t="shared" ref="E42" si="27">+E43+E46</f>
        <v>353841</v>
      </c>
      <c r="F42" s="1858">
        <f t="shared" ref="F42:G42" si="28">+F43+F46</f>
        <v>917164</v>
      </c>
      <c r="G42" s="1858">
        <f t="shared" si="28"/>
        <v>7106931</v>
      </c>
      <c r="H42" s="1858">
        <f>+H43+H46</f>
        <v>37270905</v>
      </c>
      <c r="I42" s="1858">
        <f>+I43+I46</f>
        <v>17600000</v>
      </c>
      <c r="J42" s="1858">
        <f t="shared" ref="J42:K42" si="29">+J43+J46</f>
        <v>12066880</v>
      </c>
      <c r="K42" s="1858">
        <f t="shared" si="29"/>
        <v>11564745</v>
      </c>
      <c r="L42" s="1858"/>
      <c r="M42" s="1859">
        <f>+M43</f>
        <v>26326625</v>
      </c>
      <c r="N42" s="1859">
        <f>+N43</f>
        <v>25409461</v>
      </c>
      <c r="O42" s="4290"/>
    </row>
    <row r="43" spans="1:15" s="278" customFormat="1" ht="12" customHeight="1">
      <c r="A43" s="4287"/>
      <c r="B43" s="1860" t="s">
        <v>24</v>
      </c>
      <c r="C43" s="4327" t="s">
        <v>665</v>
      </c>
      <c r="D43" s="1861">
        <f>D45+D44</f>
        <v>26680466</v>
      </c>
      <c r="E43" s="1861">
        <f t="shared" ref="E43" si="30">E45+E44</f>
        <v>353841</v>
      </c>
      <c r="F43" s="1861">
        <f t="shared" ref="F43:K43" si="31">F45+F44</f>
        <v>917164</v>
      </c>
      <c r="G43" s="1861">
        <f t="shared" si="31"/>
        <v>5106931</v>
      </c>
      <c r="H43" s="1861">
        <f t="shared" si="31"/>
        <v>9605905</v>
      </c>
      <c r="I43" s="1861">
        <f t="shared" si="31"/>
        <v>5657500</v>
      </c>
      <c r="J43" s="1861">
        <f t="shared" si="31"/>
        <v>3566880</v>
      </c>
      <c r="K43" s="1861">
        <f t="shared" si="31"/>
        <v>1472245</v>
      </c>
      <c r="L43" s="1861"/>
      <c r="M43" s="1862">
        <f>+M45</f>
        <v>26326625</v>
      </c>
      <c r="N43" s="1862">
        <f>+N45</f>
        <v>25409461</v>
      </c>
      <c r="O43" s="4290"/>
    </row>
    <row r="44" spans="1:15" s="278" customFormat="1" ht="12" hidden="1" customHeight="1">
      <c r="A44" s="4287"/>
      <c r="B44" s="1863" t="s">
        <v>32</v>
      </c>
      <c r="C44" s="4328"/>
      <c r="D44" s="704">
        <f>E44+F44+G44+H44+I44+J44+K44+L44</f>
        <v>0</v>
      </c>
      <c r="E44" s="1864"/>
      <c r="F44" s="1865">
        <v>0</v>
      </c>
      <c r="G44" s="1865">
        <v>0</v>
      </c>
      <c r="H44" s="1865">
        <v>0</v>
      </c>
      <c r="I44" s="1865">
        <v>0</v>
      </c>
      <c r="J44" s="1866"/>
      <c r="K44" s="1866"/>
      <c r="L44" s="1866"/>
      <c r="M44" s="478" t="s">
        <v>61</v>
      </c>
      <c r="N44" s="478" t="s">
        <v>61</v>
      </c>
      <c r="O44" s="4290"/>
    </row>
    <row r="45" spans="1:15" s="278" customFormat="1" ht="12">
      <c r="A45" s="4287"/>
      <c r="B45" s="1867" t="s">
        <v>122</v>
      </c>
      <c r="C45" s="4328"/>
      <c r="D45" s="704">
        <f>E45+F45+G45+H45+I45+J45+K45+L45</f>
        <v>26680466</v>
      </c>
      <c r="E45" s="1864">
        <v>353841</v>
      </c>
      <c r="F45" s="1868">
        <f>3000000-2076931-5905</f>
        <v>917164</v>
      </c>
      <c r="G45" s="1868">
        <f>3030000+2076931</f>
        <v>5106931</v>
      </c>
      <c r="H45" s="1868">
        <f>9600000+5905</f>
        <v>9605905</v>
      </c>
      <c r="I45" s="1868">
        <v>5657500</v>
      </c>
      <c r="J45" s="1868">
        <v>3566880</v>
      </c>
      <c r="K45" s="1868">
        <f>1467579+4666</f>
        <v>1472245</v>
      </c>
      <c r="L45" s="1868"/>
      <c r="M45" s="1869">
        <f>SUM(F45:L45)</f>
        <v>26326625</v>
      </c>
      <c r="N45" s="1869">
        <f>SUM(G45:L45)</f>
        <v>25409461</v>
      </c>
      <c r="O45" s="4290"/>
    </row>
    <row r="46" spans="1:15" s="329" customFormat="1" ht="12">
      <c r="A46" s="4287"/>
      <c r="B46" s="1870" t="s">
        <v>18</v>
      </c>
      <c r="C46" s="4328"/>
      <c r="D46" s="1871">
        <f>+D47</f>
        <v>60200000</v>
      </c>
      <c r="E46" s="1871">
        <f t="shared" ref="E46:N46" si="32">+E47</f>
        <v>0</v>
      </c>
      <c r="F46" s="1871">
        <f t="shared" si="32"/>
        <v>0</v>
      </c>
      <c r="G46" s="1871">
        <f t="shared" si="32"/>
        <v>2000000</v>
      </c>
      <c r="H46" s="1871">
        <f t="shared" si="32"/>
        <v>27665000</v>
      </c>
      <c r="I46" s="1871">
        <f t="shared" si="32"/>
        <v>11942500</v>
      </c>
      <c r="J46" s="1871">
        <f t="shared" si="32"/>
        <v>8500000</v>
      </c>
      <c r="K46" s="1871">
        <f t="shared" si="32"/>
        <v>10092500</v>
      </c>
      <c r="L46" s="1872"/>
      <c r="M46" s="1873" t="str">
        <f t="shared" si="32"/>
        <v>x</v>
      </c>
      <c r="N46" s="1873" t="str">
        <f t="shared" si="32"/>
        <v>x</v>
      </c>
      <c r="O46" s="4290"/>
    </row>
    <row r="47" spans="1:15" s="329" customFormat="1" ht="12">
      <c r="A47" s="4287"/>
      <c r="B47" s="1867" t="s">
        <v>35</v>
      </c>
      <c r="C47" s="4329"/>
      <c r="D47" s="704">
        <f>E47+F47+G47+H47+I47+J47+K47+L47</f>
        <v>60200000</v>
      </c>
      <c r="E47" s="1864">
        <v>0</v>
      </c>
      <c r="F47" s="1141">
        <v>0</v>
      </c>
      <c r="G47" s="1141">
        <f>9265000-7265000</f>
        <v>2000000</v>
      </c>
      <c r="H47" s="1141">
        <f>20400000+7265000</f>
        <v>27665000</v>
      </c>
      <c r="I47" s="1141">
        <v>11942500</v>
      </c>
      <c r="J47" s="1874">
        <v>8500000</v>
      </c>
      <c r="K47" s="1874">
        <v>10092500</v>
      </c>
      <c r="L47" s="1874"/>
      <c r="M47" s="1875" t="s">
        <v>61</v>
      </c>
      <c r="N47" s="1875" t="s">
        <v>61</v>
      </c>
      <c r="O47" s="4290"/>
    </row>
    <row r="48" spans="1:15" s="479" customFormat="1" ht="12">
      <c r="A48" s="4287"/>
      <c r="B48" s="1856" t="s">
        <v>22</v>
      </c>
      <c r="C48" s="1876"/>
      <c r="D48" s="1877">
        <f>D51+D49</f>
        <v>76000729</v>
      </c>
      <c r="E48" s="1877">
        <f t="shared" ref="E48" si="33">E51+E49</f>
        <v>0</v>
      </c>
      <c r="F48" s="1877">
        <f t="shared" ref="F48:G48" si="34">F51+F49</f>
        <v>97440</v>
      </c>
      <c r="G48" s="1877">
        <f t="shared" si="34"/>
        <v>2481236</v>
      </c>
      <c r="H48" s="1877">
        <f>H51+H49</f>
        <v>35236324</v>
      </c>
      <c r="I48" s="1877">
        <f>I51+I49</f>
        <v>15942500</v>
      </c>
      <c r="J48" s="1877">
        <f t="shared" ref="J48:K48" si="35">J51+J49</f>
        <v>10500000</v>
      </c>
      <c r="K48" s="1877">
        <f t="shared" si="35"/>
        <v>11743229</v>
      </c>
      <c r="L48" s="1877"/>
      <c r="M48" s="4295" t="s">
        <v>61</v>
      </c>
      <c r="N48" s="4295" t="s">
        <v>61</v>
      </c>
      <c r="O48" s="4290"/>
    </row>
    <row r="49" spans="1:77" s="479" customFormat="1" ht="12">
      <c r="A49" s="4287"/>
      <c r="B49" s="1878" t="s">
        <v>24</v>
      </c>
      <c r="C49" s="4327" t="s">
        <v>666</v>
      </c>
      <c r="D49" s="1140">
        <f>+D50</f>
        <v>15800729</v>
      </c>
      <c r="E49" s="1140">
        <f t="shared" ref="E49:K49" si="36">+E50</f>
        <v>0</v>
      </c>
      <c r="F49" s="1140">
        <f t="shared" si="36"/>
        <v>97440</v>
      </c>
      <c r="G49" s="1140">
        <f t="shared" si="36"/>
        <v>481236</v>
      </c>
      <c r="H49" s="1140">
        <f t="shared" si="36"/>
        <v>7571324</v>
      </c>
      <c r="I49" s="1140">
        <f t="shared" si="36"/>
        <v>4000000</v>
      </c>
      <c r="J49" s="1140">
        <f t="shared" si="36"/>
        <v>2000000</v>
      </c>
      <c r="K49" s="1140">
        <f t="shared" si="36"/>
        <v>1650729</v>
      </c>
      <c r="L49" s="1140"/>
      <c r="M49" s="4296"/>
      <c r="N49" s="4296"/>
      <c r="O49" s="4290"/>
    </row>
    <row r="50" spans="1:77" s="479" customFormat="1" ht="12.75" customHeight="1">
      <c r="A50" s="4287"/>
      <c r="B50" s="1867" t="s">
        <v>147</v>
      </c>
      <c r="C50" s="4328"/>
      <c r="D50" s="704">
        <f>E50+F50+G50+H50+I50+J50+K50+L50</f>
        <v>15800729</v>
      </c>
      <c r="E50" s="1864">
        <v>0</v>
      </c>
      <c r="F50" s="1868">
        <f>350000-252560</f>
        <v>97440</v>
      </c>
      <c r="G50" s="1868">
        <f>1800000+252560-1571324</f>
        <v>481236</v>
      </c>
      <c r="H50" s="1868">
        <f>6000000+1571324</f>
        <v>7571324</v>
      </c>
      <c r="I50" s="1868">
        <v>4000000</v>
      </c>
      <c r="J50" s="1868">
        <v>2000000</v>
      </c>
      <c r="K50" s="1868">
        <v>1650729</v>
      </c>
      <c r="L50" s="1868"/>
      <c r="M50" s="4296"/>
      <c r="N50" s="4296"/>
      <c r="O50" s="4290"/>
      <c r="Q50" s="480">
        <v>10989251</v>
      </c>
    </row>
    <row r="51" spans="1:77" s="329" customFormat="1" ht="13.5" customHeight="1">
      <c r="A51" s="4287"/>
      <c r="B51" s="1870" t="s">
        <v>18</v>
      </c>
      <c r="C51" s="4328"/>
      <c r="D51" s="1871">
        <f>+D52</f>
        <v>60200000</v>
      </c>
      <c r="E51" s="1871">
        <f t="shared" ref="E51:K51" si="37">+E52</f>
        <v>0</v>
      </c>
      <c r="F51" s="1871">
        <f t="shared" si="37"/>
        <v>0</v>
      </c>
      <c r="G51" s="1871">
        <f t="shared" si="37"/>
        <v>2000000</v>
      </c>
      <c r="H51" s="1871">
        <f t="shared" si="37"/>
        <v>27665000</v>
      </c>
      <c r="I51" s="1871">
        <f t="shared" si="37"/>
        <v>11942500</v>
      </c>
      <c r="J51" s="1871">
        <f t="shared" si="37"/>
        <v>8500000</v>
      </c>
      <c r="K51" s="1871">
        <f t="shared" si="37"/>
        <v>10092500</v>
      </c>
      <c r="L51" s="1871"/>
      <c r="M51" s="4296"/>
      <c r="N51" s="4296"/>
      <c r="O51" s="4290"/>
    </row>
    <row r="52" spans="1:77" s="329" customFormat="1" ht="13.5" customHeight="1" thickBot="1">
      <c r="A52" s="4288"/>
      <c r="B52" s="1657" t="s">
        <v>35</v>
      </c>
      <c r="C52" s="4330"/>
      <c r="D52" s="1429">
        <f>E52+F52+G52+H52+I52+J52+K52+L52</f>
        <v>60200000</v>
      </c>
      <c r="E52" s="469">
        <v>0</v>
      </c>
      <c r="F52" s="481">
        <v>0</v>
      </c>
      <c r="G52" s="481">
        <f>9265000-7265000</f>
        <v>2000000</v>
      </c>
      <c r="H52" s="481">
        <f>20400000+7265000</f>
        <v>27665000</v>
      </c>
      <c r="I52" s="481">
        <v>11942500</v>
      </c>
      <c r="J52" s="481">
        <v>8500000</v>
      </c>
      <c r="K52" s="481">
        <v>10092500</v>
      </c>
      <c r="L52" s="481"/>
      <c r="M52" s="4297"/>
      <c r="N52" s="4297"/>
      <c r="O52" s="4291"/>
    </row>
    <row r="53" spans="1:77" s="278" customFormat="1" ht="27" customHeight="1">
      <c r="A53" s="4286" t="s">
        <v>66</v>
      </c>
      <c r="B53" s="474" t="s">
        <v>633</v>
      </c>
      <c r="C53" s="475" t="s">
        <v>82</v>
      </c>
      <c r="D53" s="482"/>
      <c r="E53" s="483"/>
      <c r="F53" s="483"/>
      <c r="G53" s="483"/>
      <c r="H53" s="484"/>
      <c r="I53" s="484"/>
      <c r="J53" s="484"/>
      <c r="K53" s="484"/>
      <c r="L53" s="484"/>
      <c r="M53" s="1879"/>
      <c r="N53" s="1879"/>
      <c r="O53" s="4289" t="s">
        <v>161</v>
      </c>
      <c r="BY53" s="473"/>
    </row>
    <row r="54" spans="1:77" s="278" customFormat="1" ht="14.25" customHeight="1">
      <c r="A54" s="4287"/>
      <c r="B54" s="438" t="s">
        <v>10</v>
      </c>
      <c r="C54" s="476"/>
      <c r="D54" s="463">
        <f>D55+D58</f>
        <v>105070947</v>
      </c>
      <c r="E54" s="463">
        <v>0</v>
      </c>
      <c r="F54" s="463">
        <f t="shared" ref="F54:J54" si="38">+F55+F58</f>
        <v>0</v>
      </c>
      <c r="G54" s="463">
        <f t="shared" si="38"/>
        <v>720400</v>
      </c>
      <c r="H54" s="463">
        <f t="shared" si="38"/>
        <v>41610400</v>
      </c>
      <c r="I54" s="463">
        <f t="shared" si="38"/>
        <v>41610400</v>
      </c>
      <c r="J54" s="463">
        <f t="shared" si="38"/>
        <v>21129747</v>
      </c>
      <c r="K54" s="463"/>
      <c r="L54" s="463"/>
      <c r="M54" s="466">
        <f>+M55</f>
        <v>42330800</v>
      </c>
      <c r="N54" s="466">
        <f>+N55</f>
        <v>63400947</v>
      </c>
      <c r="O54" s="4290"/>
    </row>
    <row r="55" spans="1:77" s="278" customFormat="1" ht="14.25" customHeight="1">
      <c r="A55" s="4287"/>
      <c r="B55" s="1854" t="s">
        <v>24</v>
      </c>
      <c r="C55" s="4282" t="s">
        <v>162</v>
      </c>
      <c r="D55" s="432">
        <f>D56+D57</f>
        <v>63400947</v>
      </c>
      <c r="E55" s="432">
        <v>0</v>
      </c>
      <c r="F55" s="432">
        <f t="shared" ref="F55:G55" si="39">F56+F57</f>
        <v>0</v>
      </c>
      <c r="G55" s="432">
        <f t="shared" si="39"/>
        <v>720400</v>
      </c>
      <c r="H55" s="432">
        <f>H56+H57</f>
        <v>41610400</v>
      </c>
      <c r="I55" s="432">
        <f>I56+I57</f>
        <v>7780807</v>
      </c>
      <c r="J55" s="432">
        <f>J56+J57</f>
        <v>13289340</v>
      </c>
      <c r="K55" s="432"/>
      <c r="L55" s="432"/>
      <c r="M55" s="468">
        <f>+M56</f>
        <v>42330800</v>
      </c>
      <c r="N55" s="468">
        <f>+N56</f>
        <v>63400947</v>
      </c>
      <c r="O55" s="4290"/>
    </row>
    <row r="56" spans="1:77" s="278" customFormat="1" ht="14.25" customHeight="1">
      <c r="A56" s="4287"/>
      <c r="B56" s="1855" t="s">
        <v>122</v>
      </c>
      <c r="C56" s="4283"/>
      <c r="D56" s="430">
        <f>E56+F56+G56+H56+I56+J56+K56+L56</f>
        <v>63400947</v>
      </c>
      <c r="E56" s="429"/>
      <c r="F56" s="429">
        <v>0</v>
      </c>
      <c r="G56" s="429">
        <v>720400</v>
      </c>
      <c r="H56" s="429">
        <v>41610400</v>
      </c>
      <c r="I56" s="429">
        <v>7780807</v>
      </c>
      <c r="J56" s="429">
        <v>13289340</v>
      </c>
      <c r="K56" s="429"/>
      <c r="L56" s="429"/>
      <c r="M56" s="461">
        <f>SUM(E56:H56)</f>
        <v>42330800</v>
      </c>
      <c r="N56" s="1869">
        <f>SUM(G56:L56)</f>
        <v>63400947</v>
      </c>
      <c r="O56" s="4290"/>
    </row>
    <row r="57" spans="1:77" s="278" customFormat="1" ht="14.25" hidden="1" customHeight="1">
      <c r="A57" s="4287"/>
      <c r="B57" s="1880" t="s">
        <v>32</v>
      </c>
      <c r="C57" s="4284" t="s">
        <v>23</v>
      </c>
      <c r="D57" s="430">
        <f>E57+F57+G57+H57+I57+J57+K57+L57</f>
        <v>0</v>
      </c>
      <c r="E57" s="429"/>
      <c r="F57" s="1881"/>
      <c r="G57" s="1881">
        <v>0</v>
      </c>
      <c r="H57" s="1881">
        <v>0</v>
      </c>
      <c r="I57" s="1881">
        <v>0</v>
      </c>
      <c r="J57" s="1881"/>
      <c r="K57" s="1881"/>
      <c r="L57" s="1881"/>
      <c r="M57" s="1882" t="s">
        <v>61</v>
      </c>
      <c r="N57" s="1882" t="s">
        <v>61</v>
      </c>
      <c r="O57" s="4290"/>
    </row>
    <row r="58" spans="1:77" s="278" customFormat="1" ht="14.25" customHeight="1">
      <c r="A58" s="4287"/>
      <c r="B58" s="1883" t="s">
        <v>18</v>
      </c>
      <c r="C58" s="4305"/>
      <c r="D58" s="471">
        <f>D59</f>
        <v>41670000</v>
      </c>
      <c r="E58" s="471">
        <v>0</v>
      </c>
      <c r="F58" s="471">
        <f t="shared" ref="F58:N58" si="40">+F59</f>
        <v>0</v>
      </c>
      <c r="G58" s="471">
        <f t="shared" si="40"/>
        <v>0</v>
      </c>
      <c r="H58" s="471">
        <f t="shared" si="40"/>
        <v>0</v>
      </c>
      <c r="I58" s="471">
        <f t="shared" si="40"/>
        <v>33829593</v>
      </c>
      <c r="J58" s="471">
        <f t="shared" si="40"/>
        <v>7840407</v>
      </c>
      <c r="K58" s="471"/>
      <c r="L58" s="471"/>
      <c r="M58" s="478" t="str">
        <f t="shared" si="40"/>
        <v>x</v>
      </c>
      <c r="N58" s="478" t="str">
        <f t="shared" si="40"/>
        <v>x</v>
      </c>
      <c r="O58" s="4290"/>
    </row>
    <row r="59" spans="1:77" s="278" customFormat="1" ht="14.25" customHeight="1">
      <c r="A59" s="4287"/>
      <c r="B59" s="1880" t="s">
        <v>35</v>
      </c>
      <c r="C59" s="4285"/>
      <c r="D59" s="430">
        <f>E59+F59+G59+H59+I59+J59+K59+L59</f>
        <v>41670000</v>
      </c>
      <c r="E59" s="429"/>
      <c r="F59" s="429">
        <v>0</v>
      </c>
      <c r="G59" s="429">
        <v>0</v>
      </c>
      <c r="H59" s="429">
        <v>0</v>
      </c>
      <c r="I59" s="429">
        <v>33829593</v>
      </c>
      <c r="J59" s="429">
        <v>7840407</v>
      </c>
      <c r="K59" s="429"/>
      <c r="L59" s="429"/>
      <c r="M59" s="485" t="s">
        <v>61</v>
      </c>
      <c r="N59" s="485" t="s">
        <v>61</v>
      </c>
      <c r="O59" s="4290"/>
    </row>
    <row r="60" spans="1:77" s="473" customFormat="1" ht="14.25" customHeight="1">
      <c r="A60" s="4287"/>
      <c r="B60" s="438" t="s">
        <v>22</v>
      </c>
      <c r="C60" s="476"/>
      <c r="D60" s="463">
        <f>D61+D63</f>
        <v>59942652</v>
      </c>
      <c r="E60" s="463">
        <v>0</v>
      </c>
      <c r="F60" s="463">
        <f>F63+F61</f>
        <v>0</v>
      </c>
      <c r="G60" s="463">
        <f>G63+G61</f>
        <v>125279</v>
      </c>
      <c r="H60" s="463">
        <f>H63+H61</f>
        <v>7236150</v>
      </c>
      <c r="I60" s="463">
        <f>I63+I61</f>
        <v>41065743</v>
      </c>
      <c r="J60" s="463">
        <f>J63+J61</f>
        <v>11515480</v>
      </c>
      <c r="K60" s="463"/>
      <c r="L60" s="463"/>
      <c r="M60" s="4306" t="s">
        <v>61</v>
      </c>
      <c r="N60" s="4306" t="s">
        <v>61</v>
      </c>
      <c r="O60" s="4290"/>
    </row>
    <row r="61" spans="1:77" s="473" customFormat="1" ht="14.25" customHeight="1">
      <c r="A61" s="4287"/>
      <c r="B61" s="1854" t="s">
        <v>24</v>
      </c>
      <c r="C61" s="4282" t="s">
        <v>162</v>
      </c>
      <c r="D61" s="486">
        <f>D62</f>
        <v>18272652</v>
      </c>
      <c r="E61" s="486">
        <v>0</v>
      </c>
      <c r="F61" s="486">
        <f t="shared" ref="F61:J61" si="41">+F62</f>
        <v>0</v>
      </c>
      <c r="G61" s="486">
        <f t="shared" si="41"/>
        <v>125279</v>
      </c>
      <c r="H61" s="486">
        <f t="shared" si="41"/>
        <v>7236150</v>
      </c>
      <c r="I61" s="486">
        <f t="shared" si="41"/>
        <v>7236150</v>
      </c>
      <c r="J61" s="486">
        <f t="shared" si="41"/>
        <v>3675073</v>
      </c>
      <c r="K61" s="486"/>
      <c r="L61" s="486"/>
      <c r="M61" s="4307"/>
      <c r="N61" s="4307"/>
      <c r="O61" s="4290"/>
    </row>
    <row r="62" spans="1:77" s="473" customFormat="1" ht="14.25" customHeight="1">
      <c r="A62" s="4287"/>
      <c r="B62" s="1880" t="s">
        <v>147</v>
      </c>
      <c r="C62" s="4283"/>
      <c r="D62" s="430">
        <f>E62+F62+G62+H62+I62+J62+K62+L62</f>
        <v>18272652</v>
      </c>
      <c r="E62" s="429"/>
      <c r="F62" s="429">
        <v>0</v>
      </c>
      <c r="G62" s="429">
        <v>125279</v>
      </c>
      <c r="H62" s="429">
        <v>7236150</v>
      </c>
      <c r="I62" s="429">
        <v>7236150</v>
      </c>
      <c r="J62" s="429">
        <v>3675073</v>
      </c>
      <c r="K62" s="429"/>
      <c r="L62" s="429"/>
      <c r="M62" s="4307"/>
      <c r="N62" s="4307"/>
      <c r="O62" s="4290"/>
      <c r="Q62" s="487">
        <v>-13525758</v>
      </c>
    </row>
    <row r="63" spans="1:77" s="278" customFormat="1" ht="14.25" customHeight="1">
      <c r="A63" s="4287"/>
      <c r="B63" s="1883" t="s">
        <v>18</v>
      </c>
      <c r="C63" s="4284" t="s">
        <v>23</v>
      </c>
      <c r="D63" s="432">
        <f>D64</f>
        <v>41670000</v>
      </c>
      <c r="E63" s="432">
        <v>0</v>
      </c>
      <c r="F63" s="432">
        <f t="shared" ref="F63:J63" si="42">+F64</f>
        <v>0</v>
      </c>
      <c r="G63" s="432">
        <f t="shared" si="42"/>
        <v>0</v>
      </c>
      <c r="H63" s="432">
        <f t="shared" si="42"/>
        <v>0</v>
      </c>
      <c r="I63" s="432">
        <f t="shared" si="42"/>
        <v>33829593</v>
      </c>
      <c r="J63" s="432">
        <f t="shared" si="42"/>
        <v>7840407</v>
      </c>
      <c r="K63" s="432"/>
      <c r="L63" s="432"/>
      <c r="M63" s="4307"/>
      <c r="N63" s="4307"/>
      <c r="O63" s="4290"/>
    </row>
    <row r="64" spans="1:77" s="278" customFormat="1" ht="14.25" customHeight="1" thickBot="1">
      <c r="A64" s="4288"/>
      <c r="B64" s="1657" t="s">
        <v>35</v>
      </c>
      <c r="C64" s="4298"/>
      <c r="D64" s="481">
        <f>E64+F64+G64+H64+I64+J64+K64+L64</f>
        <v>41670000</v>
      </c>
      <c r="E64" s="469"/>
      <c r="F64" s="469">
        <v>0</v>
      </c>
      <c r="G64" s="469">
        <v>0</v>
      </c>
      <c r="H64" s="469">
        <v>0</v>
      </c>
      <c r="I64" s="469">
        <v>33829593</v>
      </c>
      <c r="J64" s="469">
        <v>7840407</v>
      </c>
      <c r="K64" s="469"/>
      <c r="L64" s="469"/>
      <c r="M64" s="4308"/>
      <c r="N64" s="4308"/>
      <c r="O64" s="4291"/>
    </row>
    <row r="65" spans="1:77" s="278" customFormat="1" ht="39" hidden="1" customHeight="1">
      <c r="A65" s="4286" t="s">
        <v>66</v>
      </c>
      <c r="B65" s="474"/>
      <c r="C65" s="475" t="s">
        <v>82</v>
      </c>
      <c r="D65" s="482"/>
      <c r="E65" s="483"/>
      <c r="F65" s="483"/>
      <c r="G65" s="483"/>
      <c r="H65" s="484"/>
      <c r="I65" s="484"/>
      <c r="J65" s="484"/>
      <c r="K65" s="484"/>
      <c r="L65" s="484"/>
      <c r="M65" s="488"/>
      <c r="N65" s="488"/>
      <c r="O65" s="4289" t="s">
        <v>163</v>
      </c>
      <c r="BY65" s="473"/>
    </row>
    <row r="66" spans="1:77" s="278" customFormat="1" ht="13.5" hidden="1" customHeight="1">
      <c r="A66" s="4287"/>
      <c r="B66" s="438" t="s">
        <v>10</v>
      </c>
      <c r="C66" s="476"/>
      <c r="D66" s="463"/>
      <c r="E66" s="463">
        <v>0</v>
      </c>
      <c r="F66" s="463">
        <f t="shared" ref="F66:I66" si="43">+F67+F70</f>
        <v>0</v>
      </c>
      <c r="G66" s="463">
        <f t="shared" si="43"/>
        <v>0</v>
      </c>
      <c r="H66" s="463">
        <f t="shared" si="43"/>
        <v>0</v>
      </c>
      <c r="I66" s="463">
        <f t="shared" si="43"/>
        <v>0</v>
      </c>
      <c r="J66" s="463"/>
      <c r="K66" s="463"/>
      <c r="L66" s="463"/>
      <c r="M66" s="466">
        <f>+M67</f>
        <v>0</v>
      </c>
      <c r="N66" s="466">
        <f>+N67</f>
        <v>0</v>
      </c>
      <c r="O66" s="4290"/>
    </row>
    <row r="67" spans="1:77" s="278" customFormat="1" ht="13.5" hidden="1" customHeight="1">
      <c r="A67" s="4287"/>
      <c r="B67" s="467" t="s">
        <v>24</v>
      </c>
      <c r="C67" s="4282" t="s">
        <v>310</v>
      </c>
      <c r="D67" s="432"/>
      <c r="E67" s="432">
        <v>0</v>
      </c>
      <c r="F67" s="432">
        <f t="shared" ref="F67:G67" si="44">+F68+F69</f>
        <v>0</v>
      </c>
      <c r="G67" s="432">
        <f t="shared" si="44"/>
        <v>0</v>
      </c>
      <c r="H67" s="432">
        <f>+H68+H69</f>
        <v>0</v>
      </c>
      <c r="I67" s="432">
        <f>+I68+I69</f>
        <v>0</v>
      </c>
      <c r="J67" s="432"/>
      <c r="K67" s="432"/>
      <c r="L67" s="432"/>
      <c r="M67" s="489">
        <f>+M68</f>
        <v>0</v>
      </c>
      <c r="N67" s="489">
        <f>+N68</f>
        <v>0</v>
      </c>
      <c r="O67" s="4290"/>
    </row>
    <row r="68" spans="1:77" s="278" customFormat="1" ht="13.5" hidden="1" customHeight="1">
      <c r="A68" s="4287"/>
      <c r="B68" s="490" t="s">
        <v>122</v>
      </c>
      <c r="C68" s="4283"/>
      <c r="D68" s="430"/>
      <c r="E68" s="429"/>
      <c r="F68" s="429">
        <v>0</v>
      </c>
      <c r="G68" s="429">
        <v>0</v>
      </c>
      <c r="H68" s="429">
        <v>0</v>
      </c>
      <c r="I68" s="429">
        <v>0</v>
      </c>
      <c r="J68" s="429"/>
      <c r="K68" s="429"/>
      <c r="L68" s="429"/>
      <c r="M68" s="461">
        <f>SUM(E68:H68)</f>
        <v>0</v>
      </c>
      <c r="N68" s="461">
        <f>SUM(F68:I68)</f>
        <v>0</v>
      </c>
      <c r="O68" s="4290"/>
    </row>
    <row r="69" spans="1:77" s="278" customFormat="1" ht="13.5" hidden="1" customHeight="1">
      <c r="A69" s="4287"/>
      <c r="B69" s="439" t="s">
        <v>32</v>
      </c>
      <c r="C69" s="2076"/>
      <c r="D69" s="430"/>
      <c r="E69" s="429"/>
      <c r="F69" s="429"/>
      <c r="G69" s="429"/>
      <c r="H69" s="429"/>
      <c r="I69" s="429"/>
      <c r="J69" s="429"/>
      <c r="K69" s="429"/>
      <c r="L69" s="429"/>
      <c r="M69" s="462" t="s">
        <v>61</v>
      </c>
      <c r="N69" s="462" t="s">
        <v>61</v>
      </c>
      <c r="O69" s="4290"/>
    </row>
    <row r="70" spans="1:77" s="278" customFormat="1" ht="13.5" hidden="1" customHeight="1">
      <c r="A70" s="4287"/>
      <c r="B70" s="470" t="s">
        <v>18</v>
      </c>
      <c r="C70" s="4284" t="s">
        <v>23</v>
      </c>
      <c r="D70" s="486"/>
      <c r="E70" s="486">
        <v>0</v>
      </c>
      <c r="F70" s="486">
        <f t="shared" ref="F70:N70" si="45">+F71</f>
        <v>0</v>
      </c>
      <c r="G70" s="486">
        <f t="shared" si="45"/>
        <v>0</v>
      </c>
      <c r="H70" s="486">
        <f t="shared" si="45"/>
        <v>0</v>
      </c>
      <c r="I70" s="486">
        <f t="shared" si="45"/>
        <v>0</v>
      </c>
      <c r="J70" s="491"/>
      <c r="K70" s="491"/>
      <c r="L70" s="491"/>
      <c r="M70" s="478" t="str">
        <f t="shared" si="45"/>
        <v>x</v>
      </c>
      <c r="N70" s="478" t="str">
        <f t="shared" si="45"/>
        <v>x</v>
      </c>
      <c r="O70" s="4290"/>
    </row>
    <row r="71" spans="1:77" s="278" customFormat="1" ht="13.5" hidden="1" customHeight="1">
      <c r="A71" s="4287"/>
      <c r="B71" s="492" t="s">
        <v>35</v>
      </c>
      <c r="C71" s="4285"/>
      <c r="D71" s="430"/>
      <c r="E71" s="429"/>
      <c r="F71" s="429">
        <v>0</v>
      </c>
      <c r="G71" s="429">
        <v>0</v>
      </c>
      <c r="H71" s="429">
        <v>0</v>
      </c>
      <c r="I71" s="429">
        <v>0</v>
      </c>
      <c r="J71" s="429"/>
      <c r="K71" s="429"/>
      <c r="L71" s="429"/>
      <c r="M71" s="485" t="s">
        <v>61</v>
      </c>
      <c r="N71" s="485" t="s">
        <v>61</v>
      </c>
      <c r="O71" s="4290"/>
    </row>
    <row r="72" spans="1:77" s="278" customFormat="1" ht="13.5" hidden="1" customHeight="1">
      <c r="A72" s="4287"/>
      <c r="B72" s="438" t="s">
        <v>22</v>
      </c>
      <c r="C72" s="493"/>
      <c r="D72" s="463"/>
      <c r="E72" s="463">
        <v>0</v>
      </c>
      <c r="F72" s="463">
        <f t="shared" ref="F72:G72" si="46">+F73+F75</f>
        <v>0</v>
      </c>
      <c r="G72" s="463">
        <f t="shared" si="46"/>
        <v>0</v>
      </c>
      <c r="H72" s="463">
        <f>+H73+H75</f>
        <v>0</v>
      </c>
      <c r="I72" s="463">
        <f>+I73+I75</f>
        <v>0</v>
      </c>
      <c r="J72" s="463"/>
      <c r="K72" s="463"/>
      <c r="L72" s="463"/>
      <c r="M72" s="4281" t="s">
        <v>61</v>
      </c>
      <c r="N72" s="4281" t="s">
        <v>61</v>
      </c>
      <c r="O72" s="4290"/>
    </row>
    <row r="73" spans="1:77" s="278" customFormat="1" ht="13.5" hidden="1" customHeight="1">
      <c r="A73" s="4287"/>
      <c r="B73" s="467" t="s">
        <v>24</v>
      </c>
      <c r="C73" s="4282" t="s">
        <v>310</v>
      </c>
      <c r="D73" s="486"/>
      <c r="E73" s="432">
        <v>0</v>
      </c>
      <c r="F73" s="432">
        <f t="shared" ref="F73:I73" si="47">+F74</f>
        <v>0</v>
      </c>
      <c r="G73" s="432">
        <f t="shared" si="47"/>
        <v>0</v>
      </c>
      <c r="H73" s="432">
        <f t="shared" si="47"/>
        <v>0</v>
      </c>
      <c r="I73" s="432">
        <f t="shared" si="47"/>
        <v>0</v>
      </c>
      <c r="J73" s="432"/>
      <c r="K73" s="432"/>
      <c r="L73" s="432"/>
      <c r="M73" s="4203"/>
      <c r="N73" s="4203"/>
      <c r="O73" s="4290"/>
    </row>
    <row r="74" spans="1:77" s="278" customFormat="1" ht="13.5" hidden="1" customHeight="1">
      <c r="A74" s="4287"/>
      <c r="B74" s="492" t="s">
        <v>139</v>
      </c>
      <c r="C74" s="4283"/>
      <c r="D74" s="430"/>
      <c r="E74" s="429"/>
      <c r="F74" s="429">
        <v>0</v>
      </c>
      <c r="G74" s="429">
        <v>0</v>
      </c>
      <c r="H74" s="429">
        <v>0</v>
      </c>
      <c r="I74" s="429">
        <v>0</v>
      </c>
      <c r="J74" s="429"/>
      <c r="K74" s="429"/>
      <c r="L74" s="429"/>
      <c r="M74" s="4203"/>
      <c r="N74" s="4203"/>
      <c r="O74" s="4290"/>
    </row>
    <row r="75" spans="1:77" s="278" customFormat="1" ht="13.5" hidden="1" customHeight="1">
      <c r="A75" s="4287"/>
      <c r="B75" s="494" t="s">
        <v>18</v>
      </c>
      <c r="C75" s="4284" t="s">
        <v>23</v>
      </c>
      <c r="D75" s="486"/>
      <c r="E75" s="486">
        <v>0</v>
      </c>
      <c r="F75" s="486">
        <f t="shared" ref="F75:I75" si="48">+F76</f>
        <v>0</v>
      </c>
      <c r="G75" s="486">
        <f t="shared" si="48"/>
        <v>0</v>
      </c>
      <c r="H75" s="486">
        <f t="shared" si="48"/>
        <v>0</v>
      </c>
      <c r="I75" s="486">
        <f t="shared" si="48"/>
        <v>0</v>
      </c>
      <c r="J75" s="486"/>
      <c r="K75" s="486"/>
      <c r="L75" s="486"/>
      <c r="M75" s="4203"/>
      <c r="N75" s="4203"/>
      <c r="O75" s="4290"/>
    </row>
    <row r="76" spans="1:77" s="278" customFormat="1" ht="13.5" hidden="1" customHeight="1" thickBot="1">
      <c r="A76" s="4288"/>
      <c r="B76" s="495" t="s">
        <v>35</v>
      </c>
      <c r="C76" s="4285"/>
      <c r="D76" s="430"/>
      <c r="E76" s="429"/>
      <c r="F76" s="359">
        <v>0</v>
      </c>
      <c r="G76" s="359">
        <v>0</v>
      </c>
      <c r="H76" s="359">
        <v>0</v>
      </c>
      <c r="I76" s="359">
        <v>0</v>
      </c>
      <c r="J76" s="359"/>
      <c r="K76" s="359"/>
      <c r="L76" s="359"/>
      <c r="M76" s="4204"/>
      <c r="N76" s="4204"/>
      <c r="O76" s="4291"/>
    </row>
    <row r="77" spans="1:77" s="278" customFormat="1" ht="27.75" hidden="1" customHeight="1">
      <c r="A77" s="4286" t="s">
        <v>66</v>
      </c>
      <c r="B77" s="474"/>
      <c r="C77" s="475" t="s">
        <v>82</v>
      </c>
      <c r="D77" s="482"/>
      <c r="E77" s="483"/>
      <c r="F77" s="483"/>
      <c r="G77" s="483"/>
      <c r="H77" s="484"/>
      <c r="I77" s="484"/>
      <c r="J77" s="484"/>
      <c r="K77" s="484"/>
      <c r="L77" s="484"/>
      <c r="M77" s="488"/>
      <c r="N77" s="488"/>
      <c r="O77" s="4289" t="s">
        <v>159</v>
      </c>
    </row>
    <row r="78" spans="1:77" s="278" customFormat="1" ht="13.5" hidden="1" customHeight="1">
      <c r="A78" s="4287"/>
      <c r="B78" s="438" t="s">
        <v>10</v>
      </c>
      <c r="C78" s="493"/>
      <c r="D78" s="463"/>
      <c r="E78" s="463">
        <v>0</v>
      </c>
      <c r="F78" s="463">
        <f>+F79+F82</f>
        <v>0</v>
      </c>
      <c r="G78" s="463">
        <f>+G79+G82</f>
        <v>0</v>
      </c>
      <c r="H78" s="463">
        <f>+H79+H82</f>
        <v>0</v>
      </c>
      <c r="I78" s="463">
        <f>+I79+I82</f>
        <v>0</v>
      </c>
      <c r="J78" s="463"/>
      <c r="K78" s="463"/>
      <c r="L78" s="463"/>
      <c r="M78" s="466">
        <f>+M79</f>
        <v>0</v>
      </c>
      <c r="N78" s="466">
        <f>+N79</f>
        <v>0</v>
      </c>
      <c r="O78" s="4290"/>
      <c r="Q78" s="172"/>
    </row>
    <row r="79" spans="1:77" s="278" customFormat="1" ht="13.5" hidden="1" customHeight="1">
      <c r="A79" s="4287"/>
      <c r="B79" s="467" t="s">
        <v>24</v>
      </c>
      <c r="C79" s="4284" t="s">
        <v>23</v>
      </c>
      <c r="D79" s="432"/>
      <c r="E79" s="432">
        <v>0</v>
      </c>
      <c r="F79" s="432">
        <f>F81+F80</f>
        <v>0</v>
      </c>
      <c r="G79" s="432">
        <f>G81+G80</f>
        <v>0</v>
      </c>
      <c r="H79" s="432">
        <f>H81+H80</f>
        <v>0</v>
      </c>
      <c r="I79" s="432">
        <f>I81+I80</f>
        <v>0</v>
      </c>
      <c r="J79" s="432"/>
      <c r="K79" s="432"/>
      <c r="L79" s="432"/>
      <c r="M79" s="468">
        <f>+M81</f>
        <v>0</v>
      </c>
      <c r="N79" s="468">
        <f>+N81</f>
        <v>0</v>
      </c>
      <c r="O79" s="4290"/>
    </row>
    <row r="80" spans="1:77" s="278" customFormat="1" ht="13.5" hidden="1" customHeight="1">
      <c r="A80" s="4287"/>
      <c r="B80" s="490" t="s">
        <v>32</v>
      </c>
      <c r="C80" s="4285"/>
      <c r="D80" s="430"/>
      <c r="E80" s="429"/>
      <c r="F80" s="477">
        <v>0</v>
      </c>
      <c r="G80" s="477">
        <v>0</v>
      </c>
      <c r="H80" s="477">
        <v>0</v>
      </c>
      <c r="I80" s="477">
        <v>0</v>
      </c>
      <c r="J80" s="477"/>
      <c r="K80" s="477"/>
      <c r="L80" s="477"/>
      <c r="M80" s="485" t="s">
        <v>61</v>
      </c>
      <c r="N80" s="485" t="s">
        <v>61</v>
      </c>
      <c r="O80" s="4290"/>
    </row>
    <row r="81" spans="1:17" s="278" customFormat="1" ht="22.5" hidden="1" customHeight="1">
      <c r="A81" s="4287"/>
      <c r="B81" s="496" t="s">
        <v>122</v>
      </c>
      <c r="C81" s="497" t="s">
        <v>160</v>
      </c>
      <c r="D81" s="430"/>
      <c r="E81" s="430">
        <v>0</v>
      </c>
      <c r="F81" s="431">
        <v>0</v>
      </c>
      <c r="G81" s="431">
        <v>0</v>
      </c>
      <c r="H81" s="431">
        <v>0</v>
      </c>
      <c r="I81" s="431">
        <v>0</v>
      </c>
      <c r="J81" s="431"/>
      <c r="K81" s="431"/>
      <c r="L81" s="431"/>
      <c r="M81" s="440">
        <f>SUM(E81:H81)</f>
        <v>0</v>
      </c>
      <c r="N81" s="440">
        <f>SUM(F81:I81)</f>
        <v>0</v>
      </c>
      <c r="O81" s="4290"/>
    </row>
    <row r="82" spans="1:17" s="278" customFormat="1" ht="13.5" hidden="1" customHeight="1">
      <c r="A82" s="4287"/>
      <c r="B82" s="498" t="s">
        <v>18</v>
      </c>
      <c r="C82" s="4284" t="s">
        <v>23</v>
      </c>
      <c r="D82" s="432"/>
      <c r="E82" s="432">
        <v>0</v>
      </c>
      <c r="F82" s="432">
        <f t="shared" ref="F82:N82" si="49">+F83</f>
        <v>0</v>
      </c>
      <c r="G82" s="432">
        <f t="shared" si="49"/>
        <v>0</v>
      </c>
      <c r="H82" s="432">
        <f t="shared" si="49"/>
        <v>0</v>
      </c>
      <c r="I82" s="432">
        <f t="shared" si="49"/>
        <v>0</v>
      </c>
      <c r="J82" s="471"/>
      <c r="K82" s="471"/>
      <c r="L82" s="471"/>
      <c r="M82" s="478" t="str">
        <f t="shared" si="49"/>
        <v>x</v>
      </c>
      <c r="N82" s="478" t="str">
        <f t="shared" si="49"/>
        <v>x</v>
      </c>
      <c r="O82" s="4290"/>
    </row>
    <row r="83" spans="1:17" s="278" customFormat="1" ht="12" hidden="1">
      <c r="A83" s="4287"/>
      <c r="B83" s="490" t="s">
        <v>35</v>
      </c>
      <c r="C83" s="4285"/>
      <c r="D83" s="430"/>
      <c r="E83" s="429"/>
      <c r="F83" s="477">
        <v>0</v>
      </c>
      <c r="G83" s="477">
        <v>0</v>
      </c>
      <c r="H83" s="477">
        <v>0</v>
      </c>
      <c r="I83" s="477">
        <v>0</v>
      </c>
      <c r="J83" s="477"/>
      <c r="K83" s="477"/>
      <c r="L83" s="477"/>
      <c r="M83" s="485" t="s">
        <v>61</v>
      </c>
      <c r="N83" s="485" t="s">
        <v>61</v>
      </c>
      <c r="O83" s="4290"/>
    </row>
    <row r="84" spans="1:17" s="278" customFormat="1" ht="13.5" hidden="1" customHeight="1">
      <c r="A84" s="4287"/>
      <c r="B84" s="438" t="s">
        <v>22</v>
      </c>
      <c r="C84" s="493"/>
      <c r="D84" s="463"/>
      <c r="E84" s="463">
        <v>0</v>
      </c>
      <c r="F84" s="463">
        <f>+F85+F87</f>
        <v>0</v>
      </c>
      <c r="G84" s="463">
        <f>+G85+G87</f>
        <v>0</v>
      </c>
      <c r="H84" s="463">
        <f>+H85+H87</f>
        <v>0</v>
      </c>
      <c r="I84" s="463">
        <f>+I85+I87</f>
        <v>0</v>
      </c>
      <c r="J84" s="463"/>
      <c r="K84" s="463"/>
      <c r="L84" s="463"/>
      <c r="M84" s="4281" t="s">
        <v>61</v>
      </c>
      <c r="N84" s="4281" t="s">
        <v>61</v>
      </c>
      <c r="O84" s="4290"/>
    </row>
    <row r="85" spans="1:17" s="278" customFormat="1" ht="13.5" hidden="1" customHeight="1">
      <c r="A85" s="4287"/>
      <c r="B85" s="467" t="s">
        <v>24</v>
      </c>
      <c r="C85" s="4282" t="s">
        <v>160</v>
      </c>
      <c r="D85" s="499"/>
      <c r="E85" s="499">
        <v>0</v>
      </c>
      <c r="F85" s="499">
        <f t="shared" ref="F85:I85" si="50">+F86</f>
        <v>0</v>
      </c>
      <c r="G85" s="499">
        <f t="shared" si="50"/>
        <v>0</v>
      </c>
      <c r="H85" s="499">
        <f t="shared" si="50"/>
        <v>0</v>
      </c>
      <c r="I85" s="499">
        <f t="shared" si="50"/>
        <v>0</v>
      </c>
      <c r="J85" s="499"/>
      <c r="K85" s="499"/>
      <c r="L85" s="499"/>
      <c r="M85" s="4203"/>
      <c r="N85" s="4203"/>
      <c r="O85" s="4303"/>
    </row>
    <row r="86" spans="1:17" s="278" customFormat="1" ht="13.5" hidden="1" customHeight="1">
      <c r="A86" s="4287"/>
      <c r="B86" s="490" t="s">
        <v>139</v>
      </c>
      <c r="C86" s="4283"/>
      <c r="D86" s="430"/>
      <c r="E86" s="429"/>
      <c r="F86" s="477">
        <v>0</v>
      </c>
      <c r="G86" s="477">
        <v>0</v>
      </c>
      <c r="H86" s="477">
        <v>0</v>
      </c>
      <c r="I86" s="477">
        <v>0</v>
      </c>
      <c r="J86" s="477"/>
      <c r="K86" s="477"/>
      <c r="L86" s="477"/>
      <c r="M86" s="4203"/>
      <c r="N86" s="4203"/>
      <c r="O86" s="4303"/>
      <c r="Q86" s="172">
        <v>-1488145</v>
      </c>
    </row>
    <row r="87" spans="1:17" s="278" customFormat="1" ht="13.5" hidden="1" customHeight="1">
      <c r="A87" s="4287"/>
      <c r="B87" s="490" t="s">
        <v>18</v>
      </c>
      <c r="C87" s="4284" t="s">
        <v>23</v>
      </c>
      <c r="D87" s="432"/>
      <c r="E87" s="432">
        <v>0</v>
      </c>
      <c r="F87" s="432">
        <f t="shared" ref="F87:I87" si="51">+F88</f>
        <v>0</v>
      </c>
      <c r="G87" s="432">
        <f t="shared" si="51"/>
        <v>0</v>
      </c>
      <c r="H87" s="432">
        <f t="shared" si="51"/>
        <v>0</v>
      </c>
      <c r="I87" s="432">
        <f t="shared" si="51"/>
        <v>0</v>
      </c>
      <c r="J87" s="432"/>
      <c r="K87" s="432"/>
      <c r="L87" s="432"/>
      <c r="M87" s="4203"/>
      <c r="N87" s="4203"/>
      <c r="O87" s="4303"/>
    </row>
    <row r="88" spans="1:17" s="278" customFormat="1" ht="13.5" hidden="1" customHeight="1" thickBot="1">
      <c r="A88" s="4302"/>
      <c r="B88" s="472" t="s">
        <v>35</v>
      </c>
      <c r="C88" s="4285"/>
      <c r="D88" s="430"/>
      <c r="E88" s="429">
        <v>0</v>
      </c>
      <c r="F88" s="469">
        <v>0</v>
      </c>
      <c r="G88" s="469">
        <v>0</v>
      </c>
      <c r="H88" s="469">
        <v>0</v>
      </c>
      <c r="I88" s="469">
        <v>0</v>
      </c>
      <c r="J88" s="469"/>
      <c r="K88" s="469"/>
      <c r="L88" s="469"/>
      <c r="M88" s="4204"/>
      <c r="N88" s="4204"/>
      <c r="O88" s="4304"/>
    </row>
    <row r="89" spans="1:17" s="278" customFormat="1" ht="30.75" customHeight="1">
      <c r="A89" s="4287" t="s">
        <v>67</v>
      </c>
      <c r="B89" s="2156" t="s">
        <v>744</v>
      </c>
      <c r="C89" s="1131" t="s">
        <v>82</v>
      </c>
      <c r="D89" s="2157"/>
      <c r="E89" s="464"/>
      <c r="F89" s="464"/>
      <c r="G89" s="464"/>
      <c r="H89" s="464"/>
      <c r="I89" s="464"/>
      <c r="J89" s="464"/>
      <c r="K89" s="464"/>
      <c r="L89" s="464"/>
      <c r="M89" s="465"/>
      <c r="N89" s="465"/>
      <c r="O89" s="4290" t="s">
        <v>745</v>
      </c>
    </row>
    <row r="90" spans="1:17" s="278" customFormat="1" ht="13.5" customHeight="1">
      <c r="A90" s="4287"/>
      <c r="B90" s="1313" t="s">
        <v>10</v>
      </c>
      <c r="C90" s="1886"/>
      <c r="D90" s="1228">
        <f>+D91+D95</f>
        <v>647500</v>
      </c>
      <c r="E90" s="1228">
        <f t="shared" ref="E90:G90" si="52">+E91+E95</f>
        <v>0</v>
      </c>
      <c r="F90" s="1228">
        <f t="shared" si="52"/>
        <v>0</v>
      </c>
      <c r="G90" s="1228">
        <f t="shared" si="52"/>
        <v>207500</v>
      </c>
      <c r="H90" s="1228">
        <f>+H91+H95</f>
        <v>440000</v>
      </c>
      <c r="I90" s="1228">
        <f>+I91+I95</f>
        <v>0</v>
      </c>
      <c r="J90" s="1228">
        <f t="shared" ref="J90:K90" si="53">+J91+J95</f>
        <v>0</v>
      </c>
      <c r="K90" s="1228">
        <f t="shared" si="53"/>
        <v>0</v>
      </c>
      <c r="L90" s="1228"/>
      <c r="M90" s="1314">
        <f>+M91</f>
        <v>300000</v>
      </c>
      <c r="N90" s="1314">
        <f>+N91</f>
        <v>300000</v>
      </c>
      <c r="O90" s="4290"/>
    </row>
    <row r="91" spans="1:17" s="278" customFormat="1" ht="13.5" customHeight="1">
      <c r="A91" s="4287"/>
      <c r="B91" s="1887" t="s">
        <v>24</v>
      </c>
      <c r="C91" s="4299" t="s">
        <v>162</v>
      </c>
      <c r="D91" s="1212">
        <f>D93+D92+D94</f>
        <v>647500</v>
      </c>
      <c r="E91" s="1212">
        <f t="shared" ref="E91:L91" si="54">E93+E92+E94</f>
        <v>0</v>
      </c>
      <c r="F91" s="1212">
        <f t="shared" si="54"/>
        <v>0</v>
      </c>
      <c r="G91" s="1212">
        <f t="shared" si="54"/>
        <v>207500</v>
      </c>
      <c r="H91" s="1212">
        <f t="shared" si="54"/>
        <v>440000</v>
      </c>
      <c r="I91" s="1212">
        <f t="shared" si="54"/>
        <v>0</v>
      </c>
      <c r="J91" s="1212">
        <f t="shared" si="54"/>
        <v>0</v>
      </c>
      <c r="K91" s="1212">
        <f t="shared" si="54"/>
        <v>0</v>
      </c>
      <c r="L91" s="1212">
        <f t="shared" si="54"/>
        <v>0</v>
      </c>
      <c r="M91" s="1182">
        <f>+M93</f>
        <v>300000</v>
      </c>
      <c r="N91" s="1182">
        <f>+N93</f>
        <v>300000</v>
      </c>
      <c r="O91" s="4290"/>
    </row>
    <row r="92" spans="1:17" s="278" customFormat="1" ht="13.5" customHeight="1">
      <c r="A92" s="4287"/>
      <c r="B92" s="1888" t="s">
        <v>32</v>
      </c>
      <c r="C92" s="4293"/>
      <c r="D92" s="1159">
        <f>E92+F92+G92+H92+I92+J92+K92+L92</f>
        <v>47500</v>
      </c>
      <c r="E92" s="1193"/>
      <c r="F92" s="1889"/>
      <c r="G92" s="1889">
        <v>7500</v>
      </c>
      <c r="H92" s="1889">
        <v>40000</v>
      </c>
      <c r="I92" s="1889">
        <v>0</v>
      </c>
      <c r="J92" s="1866"/>
      <c r="K92" s="1866"/>
      <c r="L92" s="1866"/>
      <c r="M92" s="478" t="s">
        <v>61</v>
      </c>
      <c r="N92" s="478" t="s">
        <v>61</v>
      </c>
      <c r="O92" s="4290"/>
    </row>
    <row r="93" spans="1:17" s="278" customFormat="1" ht="13.5" customHeight="1">
      <c r="A93" s="4287"/>
      <c r="B93" s="1890" t="s">
        <v>122</v>
      </c>
      <c r="C93" s="4294"/>
      <c r="D93" s="1159">
        <f>E93+F93+G93+H93+I93+J93+K93+L93</f>
        <v>300000</v>
      </c>
      <c r="E93" s="1193"/>
      <c r="F93" s="1891"/>
      <c r="G93" s="1891">
        <v>100000</v>
      </c>
      <c r="H93" s="1891">
        <v>200000</v>
      </c>
      <c r="I93" s="1891"/>
      <c r="J93" s="1891"/>
      <c r="K93" s="1891"/>
      <c r="L93" s="1891"/>
      <c r="M93" s="1315">
        <f>SUM(F93:K93)</f>
        <v>300000</v>
      </c>
      <c r="N93" s="1315">
        <f>SUM(G93:L93)</f>
        <v>300000</v>
      </c>
      <c r="O93" s="4290"/>
    </row>
    <row r="94" spans="1:17" s="278" customFormat="1" ht="13.5" customHeight="1">
      <c r="A94" s="4287"/>
      <c r="B94" s="1890" t="s">
        <v>580</v>
      </c>
      <c r="C94" s="4300" t="s">
        <v>23</v>
      </c>
      <c r="D94" s="1159">
        <f>E94+F94+G94+H94+I94+J94+K94+L94</f>
        <v>300000</v>
      </c>
      <c r="E94" s="1193"/>
      <c r="F94" s="1891"/>
      <c r="G94" s="1891">
        <v>100000</v>
      </c>
      <c r="H94" s="1891">
        <v>200000</v>
      </c>
      <c r="I94" s="1891"/>
      <c r="J94" s="1891"/>
      <c r="K94" s="1891"/>
      <c r="L94" s="1898"/>
      <c r="M94" s="1899"/>
      <c r="N94" s="1899"/>
      <c r="O94" s="4290"/>
    </row>
    <row r="95" spans="1:17" s="278" customFormat="1" ht="13.5" hidden="1" customHeight="1">
      <c r="A95" s="4287"/>
      <c r="B95" s="1892" t="s">
        <v>18</v>
      </c>
      <c r="C95" s="4305"/>
      <c r="D95" s="1303">
        <f>+D96</f>
        <v>0</v>
      </c>
      <c r="E95" s="1303">
        <f t="shared" ref="E95:N95" si="55">+E96</f>
        <v>0</v>
      </c>
      <c r="F95" s="1303">
        <f t="shared" si="55"/>
        <v>0</v>
      </c>
      <c r="G95" s="1303">
        <f t="shared" si="55"/>
        <v>0</v>
      </c>
      <c r="H95" s="1303">
        <f t="shared" si="55"/>
        <v>0</v>
      </c>
      <c r="I95" s="1303">
        <f t="shared" si="55"/>
        <v>0</v>
      </c>
      <c r="J95" s="1303">
        <f t="shared" si="55"/>
        <v>0</v>
      </c>
      <c r="K95" s="1303">
        <f t="shared" si="55"/>
        <v>0</v>
      </c>
      <c r="L95" s="1872"/>
      <c r="M95" s="1873" t="str">
        <f t="shared" si="55"/>
        <v>x</v>
      </c>
      <c r="N95" s="1873" t="str">
        <f t="shared" si="55"/>
        <v>x</v>
      </c>
      <c r="O95" s="4290"/>
    </row>
    <row r="96" spans="1:17" s="278" customFormat="1" ht="13.5" hidden="1" customHeight="1">
      <c r="A96" s="4287"/>
      <c r="B96" s="1890" t="s">
        <v>35</v>
      </c>
      <c r="C96" s="4285"/>
      <c r="D96" s="1159">
        <f>E96+F96+G96+H96+I96+J96+K96+L96</f>
        <v>0</v>
      </c>
      <c r="E96" s="1193">
        <v>0</v>
      </c>
      <c r="F96" s="1316"/>
      <c r="G96" s="1316"/>
      <c r="H96" s="1316"/>
      <c r="I96" s="1316"/>
      <c r="J96" s="1874"/>
      <c r="K96" s="1874"/>
      <c r="L96" s="1874"/>
      <c r="M96" s="1875" t="s">
        <v>61</v>
      </c>
      <c r="N96" s="1875" t="s">
        <v>61</v>
      </c>
      <c r="O96" s="4290"/>
    </row>
    <row r="97" spans="1:17" s="278" customFormat="1" ht="13.5" customHeight="1">
      <c r="A97" s="4287"/>
      <c r="B97" s="1313" t="s">
        <v>22</v>
      </c>
      <c r="C97" s="1893"/>
      <c r="D97" s="1223">
        <f>D101+D98</f>
        <v>300000</v>
      </c>
      <c r="E97" s="1223">
        <f t="shared" ref="E97:G97" si="56">E101+E98</f>
        <v>0</v>
      </c>
      <c r="F97" s="1223">
        <f t="shared" si="56"/>
        <v>0</v>
      </c>
      <c r="G97" s="1223">
        <f t="shared" si="56"/>
        <v>100000</v>
      </c>
      <c r="H97" s="1223">
        <f>H101+H98</f>
        <v>200000</v>
      </c>
      <c r="I97" s="1223">
        <f>I101+I98</f>
        <v>0</v>
      </c>
      <c r="J97" s="1223">
        <f t="shared" ref="J97:K97" si="57">J101+J98</f>
        <v>0</v>
      </c>
      <c r="K97" s="1223">
        <f t="shared" si="57"/>
        <v>0</v>
      </c>
      <c r="L97" s="1223"/>
      <c r="M97" s="4301" t="s">
        <v>61</v>
      </c>
      <c r="N97" s="4301" t="s">
        <v>61</v>
      </c>
      <c r="O97" s="4290"/>
    </row>
    <row r="98" spans="1:17" s="278" customFormat="1" ht="13.5" customHeight="1">
      <c r="A98" s="4287"/>
      <c r="B98" s="1317" t="s">
        <v>24</v>
      </c>
      <c r="C98" s="4299" t="s">
        <v>61</v>
      </c>
      <c r="D98" s="1309">
        <f>+D99+D100</f>
        <v>300000</v>
      </c>
      <c r="E98" s="1309">
        <f t="shared" ref="E98:K98" si="58">+E99+E100</f>
        <v>0</v>
      </c>
      <c r="F98" s="1309">
        <f t="shared" si="58"/>
        <v>0</v>
      </c>
      <c r="G98" s="1309">
        <f t="shared" si="58"/>
        <v>100000</v>
      </c>
      <c r="H98" s="1309">
        <f t="shared" si="58"/>
        <v>200000</v>
      </c>
      <c r="I98" s="1309">
        <f t="shared" si="58"/>
        <v>0</v>
      </c>
      <c r="J98" s="1309">
        <f t="shared" si="58"/>
        <v>0</v>
      </c>
      <c r="K98" s="1309">
        <f t="shared" si="58"/>
        <v>0</v>
      </c>
      <c r="L98" s="1309"/>
      <c r="M98" s="4296"/>
      <c r="N98" s="4296"/>
      <c r="O98" s="4290"/>
    </row>
    <row r="99" spans="1:17" s="278" customFormat="1" ht="13.5" hidden="1" customHeight="1">
      <c r="A99" s="4287"/>
      <c r="B99" s="1890" t="s">
        <v>147</v>
      </c>
      <c r="C99" s="4293"/>
      <c r="D99" s="1159">
        <f>E99+F99+G99+H99+I99+J99+K99+L99</f>
        <v>0</v>
      </c>
      <c r="E99" s="1193">
        <v>0</v>
      </c>
      <c r="F99" s="1891"/>
      <c r="G99" s="1891"/>
      <c r="H99" s="1891"/>
      <c r="I99" s="1891"/>
      <c r="J99" s="1891"/>
      <c r="K99" s="1891"/>
      <c r="L99" s="1891"/>
      <c r="M99" s="4296"/>
      <c r="N99" s="4296"/>
      <c r="O99" s="4290"/>
    </row>
    <row r="100" spans="1:17" s="278" customFormat="1" ht="13.5" customHeight="1" thickBot="1">
      <c r="A100" s="4287"/>
      <c r="B100" s="1890" t="s">
        <v>580</v>
      </c>
      <c r="C100" s="2075"/>
      <c r="D100" s="1159">
        <f>E100+F100+G100+H100+I100+J100+K100+L100</f>
        <v>300000</v>
      </c>
      <c r="E100" s="1193"/>
      <c r="F100" s="1891"/>
      <c r="G100" s="1891">
        <v>100000</v>
      </c>
      <c r="H100" s="1891">
        <v>200000</v>
      </c>
      <c r="I100" s="1891"/>
      <c r="J100" s="1891"/>
      <c r="K100" s="1891"/>
      <c r="L100" s="1891"/>
      <c r="M100" s="4296"/>
      <c r="N100" s="4296"/>
      <c r="O100" s="4290"/>
    </row>
    <row r="101" spans="1:17" s="278" customFormat="1" ht="13.5" hidden="1" customHeight="1">
      <c r="A101" s="4287"/>
      <c r="B101" s="1892" t="s">
        <v>18</v>
      </c>
      <c r="C101" s="4300" t="s">
        <v>23</v>
      </c>
      <c r="D101" s="1303">
        <f>+D102</f>
        <v>0</v>
      </c>
      <c r="E101" s="1303">
        <f t="shared" ref="E101:K101" si="59">+E102</f>
        <v>0</v>
      </c>
      <c r="F101" s="1303">
        <f t="shared" si="59"/>
        <v>0</v>
      </c>
      <c r="G101" s="1303">
        <f t="shared" si="59"/>
        <v>0</v>
      </c>
      <c r="H101" s="1303">
        <f t="shared" si="59"/>
        <v>0</v>
      </c>
      <c r="I101" s="1303">
        <f t="shared" si="59"/>
        <v>0</v>
      </c>
      <c r="J101" s="1303">
        <f t="shared" si="59"/>
        <v>0</v>
      </c>
      <c r="K101" s="1303">
        <f t="shared" si="59"/>
        <v>0</v>
      </c>
      <c r="L101" s="1303"/>
      <c r="M101" s="4296"/>
      <c r="N101" s="4296"/>
      <c r="O101" s="4290"/>
    </row>
    <row r="102" spans="1:17" s="278" customFormat="1" ht="13.5" hidden="1" customHeight="1" thickBot="1">
      <c r="A102" s="4288"/>
      <c r="B102" s="1318" t="s">
        <v>35</v>
      </c>
      <c r="C102" s="4298"/>
      <c r="D102" s="1353">
        <f>E102+F102+G102+H102+I102+J102+K102+L102</f>
        <v>0</v>
      </c>
      <c r="E102" s="1322">
        <v>0</v>
      </c>
      <c r="F102" s="1320">
        <v>0</v>
      </c>
      <c r="G102" s="1320"/>
      <c r="H102" s="1320"/>
      <c r="I102" s="1320"/>
      <c r="J102" s="1320"/>
      <c r="K102" s="1320"/>
      <c r="L102" s="1320"/>
      <c r="M102" s="4297"/>
      <c r="N102" s="4297"/>
      <c r="O102" s="4291"/>
    </row>
    <row r="103" spans="1:17" s="278" customFormat="1" ht="29.25" customHeight="1">
      <c r="A103" s="4333" t="s">
        <v>116</v>
      </c>
      <c r="B103" s="474" t="s">
        <v>637</v>
      </c>
      <c r="C103" s="475" t="s">
        <v>82</v>
      </c>
      <c r="D103" s="482"/>
      <c r="E103" s="483"/>
      <c r="F103" s="483"/>
      <c r="G103" s="483"/>
      <c r="H103" s="484"/>
      <c r="I103" s="484"/>
      <c r="J103" s="484"/>
      <c r="K103" s="484"/>
      <c r="L103" s="484"/>
      <c r="M103" s="488"/>
      <c r="N103" s="488"/>
      <c r="O103" s="4289" t="s">
        <v>164</v>
      </c>
    </row>
    <row r="104" spans="1:17" s="329" customFormat="1" ht="16.5" customHeight="1">
      <c r="A104" s="4334"/>
      <c r="B104" s="438" t="s">
        <v>10</v>
      </c>
      <c r="C104" s="493"/>
      <c r="D104" s="1884">
        <f>D105+D108</f>
        <v>24869527</v>
      </c>
      <c r="E104" s="1884">
        <f>E105+E108</f>
        <v>645627</v>
      </c>
      <c r="F104" s="1884">
        <f t="shared" ref="F104:G104" si="60">+F105+F108</f>
        <v>23900</v>
      </c>
      <c r="G104" s="1884">
        <f t="shared" si="60"/>
        <v>1315000</v>
      </c>
      <c r="H104" s="1884">
        <f>+H105+H108</f>
        <v>8165000</v>
      </c>
      <c r="I104" s="1884">
        <f>+I105+I108</f>
        <v>14720000</v>
      </c>
      <c r="J104" s="1884"/>
      <c r="K104" s="1884"/>
      <c r="L104" s="1884"/>
      <c r="M104" s="1885">
        <f>+M105</f>
        <v>9600727</v>
      </c>
      <c r="N104" s="1885">
        <f>+N105</f>
        <v>24200000</v>
      </c>
      <c r="O104" s="4290"/>
    </row>
    <row r="105" spans="1:17" s="278" customFormat="1" ht="13.5" customHeight="1">
      <c r="A105" s="4334"/>
      <c r="B105" s="467" t="s">
        <v>24</v>
      </c>
      <c r="C105" s="4292" t="s">
        <v>165</v>
      </c>
      <c r="D105" s="432">
        <f>D106+D107</f>
        <v>24344627</v>
      </c>
      <c r="E105" s="432">
        <f t="shared" ref="E105:F105" si="61">E106+E107</f>
        <v>120727</v>
      </c>
      <c r="F105" s="432">
        <f t="shared" si="61"/>
        <v>23900</v>
      </c>
      <c r="G105" s="432">
        <f t="shared" ref="G105:I105" si="62">G107</f>
        <v>1315000</v>
      </c>
      <c r="H105" s="432">
        <f t="shared" si="62"/>
        <v>8165000</v>
      </c>
      <c r="I105" s="432">
        <f t="shared" si="62"/>
        <v>14720000</v>
      </c>
      <c r="J105" s="432"/>
      <c r="K105" s="432"/>
      <c r="L105" s="432"/>
      <c r="M105" s="468">
        <f>+M107</f>
        <v>9600727</v>
      </c>
      <c r="N105" s="468">
        <f>+N107</f>
        <v>24200000</v>
      </c>
      <c r="O105" s="4290"/>
    </row>
    <row r="106" spans="1:17" s="278" customFormat="1" ht="13.5" customHeight="1">
      <c r="A106" s="4334"/>
      <c r="B106" s="1880" t="s">
        <v>32</v>
      </c>
      <c r="C106" s="4293"/>
      <c r="D106" s="430">
        <f>E106+F106+G106+H106+I106+J106+K106+L106</f>
        <v>23900</v>
      </c>
      <c r="E106" s="429"/>
      <c r="F106" s="429">
        <v>23900</v>
      </c>
      <c r="G106" s="432"/>
      <c r="H106" s="432"/>
      <c r="I106" s="432"/>
      <c r="J106" s="432"/>
      <c r="K106" s="432"/>
      <c r="L106" s="432"/>
      <c r="M106" s="468">
        <v>0</v>
      </c>
      <c r="N106" s="468">
        <v>0</v>
      </c>
      <c r="O106" s="4290"/>
    </row>
    <row r="107" spans="1:17" s="278" customFormat="1" ht="13.5" customHeight="1">
      <c r="A107" s="4334"/>
      <c r="B107" s="490" t="s">
        <v>122</v>
      </c>
      <c r="C107" s="4294"/>
      <c r="D107" s="430">
        <f>E107+F107+G107+H107+I107+J107+K107+L107</f>
        <v>24320727</v>
      </c>
      <c r="E107" s="429">
        <v>120727</v>
      </c>
      <c r="F107" s="429">
        <v>0</v>
      </c>
      <c r="G107" s="429">
        <v>1315000</v>
      </c>
      <c r="H107" s="429">
        <v>8165000</v>
      </c>
      <c r="I107" s="429">
        <v>14720000</v>
      </c>
      <c r="J107" s="429"/>
      <c r="K107" s="429"/>
      <c r="L107" s="429"/>
      <c r="M107" s="461">
        <f>SUM(E107:H107)</f>
        <v>9600727</v>
      </c>
      <c r="N107" s="461">
        <f>SUM(G107:I107)</f>
        <v>24200000</v>
      </c>
      <c r="O107" s="4290"/>
    </row>
    <row r="108" spans="1:17" s="278" customFormat="1" ht="13.5" customHeight="1">
      <c r="A108" s="4334"/>
      <c r="B108" s="498" t="s">
        <v>18</v>
      </c>
      <c r="C108" s="4284" t="s">
        <v>23</v>
      </c>
      <c r="D108" s="432">
        <f>D109</f>
        <v>524900</v>
      </c>
      <c r="E108" s="432">
        <f>E109</f>
        <v>524900</v>
      </c>
      <c r="F108" s="432">
        <f t="shared" ref="F108:N108" si="63">+F109</f>
        <v>0</v>
      </c>
      <c r="G108" s="432">
        <f t="shared" si="63"/>
        <v>0</v>
      </c>
      <c r="H108" s="432">
        <f t="shared" si="63"/>
        <v>0</v>
      </c>
      <c r="I108" s="432">
        <f t="shared" si="63"/>
        <v>0</v>
      </c>
      <c r="J108" s="471"/>
      <c r="K108" s="471"/>
      <c r="L108" s="471"/>
      <c r="M108" s="478" t="str">
        <f t="shared" si="63"/>
        <v>x</v>
      </c>
      <c r="N108" s="478" t="str">
        <f t="shared" si="63"/>
        <v>x</v>
      </c>
      <c r="O108" s="4290"/>
    </row>
    <row r="109" spans="1:17" s="278" customFormat="1" ht="13.5" customHeight="1">
      <c r="A109" s="4334"/>
      <c r="B109" s="490" t="s">
        <v>35</v>
      </c>
      <c r="C109" s="4285"/>
      <c r="D109" s="430">
        <f>E109+F109+G109+H109+J109+K109+L109</f>
        <v>524900</v>
      </c>
      <c r="E109" s="429">
        <v>524900</v>
      </c>
      <c r="F109" s="429">
        <v>0</v>
      </c>
      <c r="G109" s="429">
        <v>0</v>
      </c>
      <c r="H109" s="429">
        <v>0</v>
      </c>
      <c r="I109" s="429">
        <v>0</v>
      </c>
      <c r="J109" s="1881"/>
      <c r="K109" s="1881"/>
      <c r="L109" s="1881"/>
      <c r="M109" s="478" t="s">
        <v>61</v>
      </c>
      <c r="N109" s="478" t="s">
        <v>61</v>
      </c>
      <c r="O109" s="4290"/>
    </row>
    <row r="110" spans="1:17" s="329" customFormat="1" ht="16.5" customHeight="1">
      <c r="A110" s="4334"/>
      <c r="B110" s="438" t="s">
        <v>22</v>
      </c>
      <c r="C110" s="493"/>
      <c r="D110" s="1884">
        <f>D111+D113</f>
        <v>1002816</v>
      </c>
      <c r="E110" s="1884">
        <f>E111+E113</f>
        <v>644420</v>
      </c>
      <c r="F110" s="1884">
        <f t="shared" ref="F110:G110" si="64">F113+F111</f>
        <v>0</v>
      </c>
      <c r="G110" s="1884">
        <f t="shared" si="64"/>
        <v>19475</v>
      </c>
      <c r="H110" s="1884">
        <f>H113+H111</f>
        <v>120921</v>
      </c>
      <c r="I110" s="1884">
        <f>I113+I111</f>
        <v>218000</v>
      </c>
      <c r="J110" s="1884"/>
      <c r="K110" s="1884"/>
      <c r="L110" s="1884"/>
      <c r="M110" s="4281" t="s">
        <v>61</v>
      </c>
      <c r="N110" s="4281" t="s">
        <v>61</v>
      </c>
      <c r="O110" s="4290"/>
    </row>
    <row r="111" spans="1:17" s="278" customFormat="1" ht="13.5" customHeight="1">
      <c r="A111" s="4334"/>
      <c r="B111" s="467" t="s">
        <v>24</v>
      </c>
      <c r="C111" s="4292" t="s">
        <v>165</v>
      </c>
      <c r="D111" s="499">
        <f>D112</f>
        <v>477916</v>
      </c>
      <c r="E111" s="499">
        <f>E112</f>
        <v>119520</v>
      </c>
      <c r="F111" s="499">
        <f t="shared" ref="F111:I111" si="65">+F112</f>
        <v>0</v>
      </c>
      <c r="G111" s="499">
        <f t="shared" si="65"/>
        <v>19475</v>
      </c>
      <c r="H111" s="499">
        <f t="shared" si="65"/>
        <v>120921</v>
      </c>
      <c r="I111" s="499">
        <f t="shared" si="65"/>
        <v>218000</v>
      </c>
      <c r="J111" s="499"/>
      <c r="K111" s="499"/>
      <c r="L111" s="499"/>
      <c r="M111" s="4203"/>
      <c r="N111" s="4203"/>
      <c r="O111" s="4303"/>
      <c r="Q111" s="172">
        <v>-4922063</v>
      </c>
    </row>
    <row r="112" spans="1:17" s="278" customFormat="1" ht="13.5" customHeight="1">
      <c r="A112" s="4334"/>
      <c r="B112" s="490" t="s">
        <v>147</v>
      </c>
      <c r="C112" s="4294"/>
      <c r="D112" s="430">
        <f>E112+F112+G112+H112+I112+J112+K112+L112</f>
        <v>477916</v>
      </c>
      <c r="E112" s="429">
        <v>119520</v>
      </c>
      <c r="F112" s="477">
        <v>0</v>
      </c>
      <c r="G112" s="477">
        <v>19475</v>
      </c>
      <c r="H112" s="477">
        <v>120921</v>
      </c>
      <c r="I112" s="477">
        <v>218000</v>
      </c>
      <c r="J112" s="477"/>
      <c r="K112" s="477"/>
      <c r="L112" s="477"/>
      <c r="M112" s="4203"/>
      <c r="N112" s="4203"/>
      <c r="O112" s="4303"/>
    </row>
    <row r="113" spans="1:15" s="278" customFormat="1" ht="13.5" customHeight="1">
      <c r="A113" s="4334"/>
      <c r="B113" s="498" t="s">
        <v>18</v>
      </c>
      <c r="C113" s="4284" t="s">
        <v>23</v>
      </c>
      <c r="D113" s="432">
        <f>D114</f>
        <v>524900</v>
      </c>
      <c r="E113" s="432">
        <f>E114</f>
        <v>524900</v>
      </c>
      <c r="F113" s="432">
        <f t="shared" ref="F113:I113" si="66">+F114</f>
        <v>0</v>
      </c>
      <c r="G113" s="432">
        <f t="shared" si="66"/>
        <v>0</v>
      </c>
      <c r="H113" s="432">
        <f t="shared" si="66"/>
        <v>0</v>
      </c>
      <c r="I113" s="432">
        <f t="shared" si="66"/>
        <v>0</v>
      </c>
      <c r="J113" s="432"/>
      <c r="K113" s="432"/>
      <c r="L113" s="432"/>
      <c r="M113" s="4203"/>
      <c r="N113" s="4203"/>
      <c r="O113" s="4303"/>
    </row>
    <row r="114" spans="1:15" s="278" customFormat="1" ht="13.5" customHeight="1" thickBot="1">
      <c r="A114" s="4335"/>
      <c r="B114" s="472" t="s">
        <v>35</v>
      </c>
      <c r="C114" s="4298"/>
      <c r="D114" s="481">
        <f>E114+F114+G114+H114+I114+J114+K114+L114</f>
        <v>524900</v>
      </c>
      <c r="E114" s="469">
        <v>524900</v>
      </c>
      <c r="F114" s="469">
        <v>0</v>
      </c>
      <c r="G114" s="469">
        <v>0</v>
      </c>
      <c r="H114" s="469">
        <v>0</v>
      </c>
      <c r="I114" s="469">
        <v>0</v>
      </c>
      <c r="J114" s="469"/>
      <c r="K114" s="469"/>
      <c r="L114" s="469"/>
      <c r="M114" s="4204"/>
      <c r="N114" s="4204"/>
      <c r="O114" s="4304"/>
    </row>
    <row r="115" spans="1:15" s="278" customFormat="1" ht="29.25" customHeight="1">
      <c r="A115" s="4286" t="s">
        <v>88</v>
      </c>
      <c r="B115" s="474" t="s">
        <v>750</v>
      </c>
      <c r="C115" s="475" t="s">
        <v>82</v>
      </c>
      <c r="D115" s="428"/>
      <c r="E115" s="483"/>
      <c r="F115" s="483"/>
      <c r="G115" s="483"/>
      <c r="H115" s="483"/>
      <c r="I115" s="483"/>
      <c r="J115" s="483"/>
      <c r="K115" s="483"/>
      <c r="L115" s="483"/>
      <c r="M115" s="488"/>
      <c r="N115" s="488"/>
      <c r="O115" s="4289" t="s">
        <v>434</v>
      </c>
    </row>
    <row r="116" spans="1:15" s="278" customFormat="1" ht="13.5" customHeight="1">
      <c r="A116" s="4287"/>
      <c r="B116" s="1313" t="s">
        <v>10</v>
      </c>
      <c r="C116" s="1886"/>
      <c r="D116" s="1228">
        <f>+D117+D120</f>
        <v>4071975</v>
      </c>
      <c r="E116" s="1228">
        <f t="shared" ref="E116" si="67">+E117+E120</f>
        <v>4560</v>
      </c>
      <c r="F116" s="1228">
        <f t="shared" ref="F116:G116" si="68">+F117+F120</f>
        <v>25343</v>
      </c>
      <c r="G116" s="1228">
        <f t="shared" si="68"/>
        <v>4042072</v>
      </c>
      <c r="H116" s="1228">
        <f>+H117+H120</f>
        <v>0</v>
      </c>
      <c r="I116" s="1228">
        <f>+I117+I120</f>
        <v>0</v>
      </c>
      <c r="J116" s="1228">
        <f t="shared" ref="J116:K116" si="69">+J117+J120</f>
        <v>0</v>
      </c>
      <c r="K116" s="1228">
        <f t="shared" si="69"/>
        <v>0</v>
      </c>
      <c r="L116" s="1228"/>
      <c r="M116" s="1314">
        <f>+M117</f>
        <v>1261265</v>
      </c>
      <c r="N116" s="1314">
        <f>+N117</f>
        <v>1261265</v>
      </c>
      <c r="O116" s="4290"/>
    </row>
    <row r="117" spans="1:15" s="278" customFormat="1" ht="12">
      <c r="A117" s="4287"/>
      <c r="B117" s="1887" t="s">
        <v>24</v>
      </c>
      <c r="C117" s="4299" t="s">
        <v>433</v>
      </c>
      <c r="D117" s="1212">
        <f>D119+D118</f>
        <v>1330970</v>
      </c>
      <c r="E117" s="1212">
        <f t="shared" ref="E117" si="70">E119+E118</f>
        <v>4560</v>
      </c>
      <c r="F117" s="1212">
        <f t="shared" ref="F117:K117" si="71">F119+F118</f>
        <v>2988</v>
      </c>
      <c r="G117" s="1212">
        <f>G119+G118</f>
        <v>1323422</v>
      </c>
      <c r="H117" s="1212">
        <f t="shared" si="71"/>
        <v>0</v>
      </c>
      <c r="I117" s="1212">
        <f t="shared" si="71"/>
        <v>0</v>
      </c>
      <c r="J117" s="1212">
        <f t="shared" si="71"/>
        <v>0</v>
      </c>
      <c r="K117" s="1212">
        <f t="shared" si="71"/>
        <v>0</v>
      </c>
      <c r="L117" s="1212"/>
      <c r="M117" s="1182">
        <f>+M119</f>
        <v>1261265</v>
      </c>
      <c r="N117" s="1182">
        <f>+N119</f>
        <v>1261265</v>
      </c>
      <c r="O117" s="4290"/>
    </row>
    <row r="118" spans="1:15" s="278" customFormat="1" ht="12">
      <c r="A118" s="4287"/>
      <c r="B118" s="1888" t="s">
        <v>32</v>
      </c>
      <c r="C118" s="4293"/>
      <c r="D118" s="1159">
        <f>E118+F118+G118+H118+I118+J118+K118+L118</f>
        <v>69705</v>
      </c>
      <c r="E118" s="1193">
        <v>4560</v>
      </c>
      <c r="F118" s="1889">
        <f>12454-9466</f>
        <v>2988</v>
      </c>
      <c r="G118" s="1889">
        <f>17251+44906</f>
        <v>62157</v>
      </c>
      <c r="H118" s="1889">
        <v>0</v>
      </c>
      <c r="I118" s="1889">
        <v>0</v>
      </c>
      <c r="J118" s="1866"/>
      <c r="K118" s="1866"/>
      <c r="L118" s="1866"/>
      <c r="M118" s="478" t="s">
        <v>61</v>
      </c>
      <c r="N118" s="478" t="s">
        <v>61</v>
      </c>
      <c r="O118" s="4290"/>
    </row>
    <row r="119" spans="1:15" s="278" customFormat="1" ht="12">
      <c r="A119" s="4287"/>
      <c r="B119" s="1890" t="s">
        <v>122</v>
      </c>
      <c r="C119" s="4294"/>
      <c r="D119" s="1159">
        <f>E119+F119+G119+H119+I119+J119+K119+L119</f>
        <v>1261265</v>
      </c>
      <c r="E119" s="1193">
        <v>0</v>
      </c>
      <c r="F119" s="1891">
        <f>62454-62454</f>
        <v>0</v>
      </c>
      <c r="G119" s="1891">
        <f>1469763-267251+58753</f>
        <v>1261265</v>
      </c>
      <c r="H119" s="1891"/>
      <c r="I119" s="1891"/>
      <c r="J119" s="1891"/>
      <c r="K119" s="1891"/>
      <c r="L119" s="1891"/>
      <c r="M119" s="1315">
        <f>SUM(F119:K119)</f>
        <v>1261265</v>
      </c>
      <c r="N119" s="1315">
        <f>SUM(G119:L119)</f>
        <v>1261265</v>
      </c>
      <c r="O119" s="4290"/>
    </row>
    <row r="120" spans="1:15" s="278" customFormat="1" ht="13.5" customHeight="1">
      <c r="A120" s="4287"/>
      <c r="B120" s="1892" t="s">
        <v>18</v>
      </c>
      <c r="C120" s="4300" t="s">
        <v>23</v>
      </c>
      <c r="D120" s="1303">
        <f>+D121</f>
        <v>2741005</v>
      </c>
      <c r="E120" s="1303">
        <f t="shared" ref="E120:N120" si="72">+E121</f>
        <v>0</v>
      </c>
      <c r="F120" s="1303">
        <f t="shared" si="72"/>
        <v>22355</v>
      </c>
      <c r="G120" s="1303">
        <f t="shared" si="72"/>
        <v>2718650</v>
      </c>
      <c r="H120" s="1303">
        <f t="shared" si="72"/>
        <v>0</v>
      </c>
      <c r="I120" s="1303">
        <f t="shared" si="72"/>
        <v>0</v>
      </c>
      <c r="J120" s="1303">
        <f t="shared" si="72"/>
        <v>0</v>
      </c>
      <c r="K120" s="1303">
        <f t="shared" si="72"/>
        <v>0</v>
      </c>
      <c r="L120" s="1872"/>
      <c r="M120" s="1873" t="str">
        <f t="shared" si="72"/>
        <v>x</v>
      </c>
      <c r="N120" s="1873" t="str">
        <f t="shared" si="72"/>
        <v>x</v>
      </c>
      <c r="O120" s="4290"/>
    </row>
    <row r="121" spans="1:15" s="278" customFormat="1" ht="12">
      <c r="A121" s="4287"/>
      <c r="B121" s="1890" t="s">
        <v>35</v>
      </c>
      <c r="C121" s="4285"/>
      <c r="D121" s="1159">
        <f>E121+F121+G121+H121+I121+J121+K121+L121</f>
        <v>2741005</v>
      </c>
      <c r="E121" s="1193">
        <v>0</v>
      </c>
      <c r="F121" s="1316">
        <v>22355</v>
      </c>
      <c r="G121" s="1316">
        <v>2718650</v>
      </c>
      <c r="H121" s="1316"/>
      <c r="I121" s="1316"/>
      <c r="J121" s="1874"/>
      <c r="K121" s="1874"/>
      <c r="L121" s="1874"/>
      <c r="M121" s="1875" t="s">
        <v>61</v>
      </c>
      <c r="N121" s="1875" t="s">
        <v>61</v>
      </c>
      <c r="O121" s="4290"/>
    </row>
    <row r="122" spans="1:15" s="278" customFormat="1" ht="13.5" customHeight="1">
      <c r="A122" s="4287"/>
      <c r="B122" s="1313" t="s">
        <v>22</v>
      </c>
      <c r="C122" s="1893"/>
      <c r="D122" s="1223">
        <f>D125+D123</f>
        <v>2741005</v>
      </c>
      <c r="E122" s="1223">
        <f t="shared" ref="E122" si="73">E125+E123</f>
        <v>0</v>
      </c>
      <c r="F122" s="1223">
        <f t="shared" ref="F122:G122" si="74">F125+F123</f>
        <v>22355</v>
      </c>
      <c r="G122" s="1223">
        <f t="shared" si="74"/>
        <v>2718650</v>
      </c>
      <c r="H122" s="1223">
        <f>H125+H123</f>
        <v>0</v>
      </c>
      <c r="I122" s="1223">
        <f>I125+I123</f>
        <v>0</v>
      </c>
      <c r="J122" s="1223">
        <f t="shared" ref="J122:K122" si="75">J125+J123</f>
        <v>0</v>
      </c>
      <c r="K122" s="1223">
        <f t="shared" si="75"/>
        <v>0</v>
      </c>
      <c r="L122" s="1223"/>
      <c r="M122" s="4301" t="s">
        <v>61</v>
      </c>
      <c r="N122" s="4301" t="s">
        <v>61</v>
      </c>
      <c r="O122" s="4290"/>
    </row>
    <row r="123" spans="1:15" s="278" customFormat="1" ht="13.5" hidden="1" customHeight="1">
      <c r="A123" s="4287"/>
      <c r="B123" s="1317" t="s">
        <v>24</v>
      </c>
      <c r="C123" s="4299" t="s">
        <v>433</v>
      </c>
      <c r="D123" s="1309">
        <f>+D124</f>
        <v>0</v>
      </c>
      <c r="E123" s="1309">
        <f t="shared" ref="E123:K123" si="76">+E124</f>
        <v>0</v>
      </c>
      <c r="F123" s="1309">
        <f t="shared" si="76"/>
        <v>0</v>
      </c>
      <c r="G123" s="1309">
        <f t="shared" si="76"/>
        <v>0</v>
      </c>
      <c r="H123" s="1309">
        <f t="shared" si="76"/>
        <v>0</v>
      </c>
      <c r="I123" s="1309">
        <f t="shared" si="76"/>
        <v>0</v>
      </c>
      <c r="J123" s="1309">
        <f t="shared" si="76"/>
        <v>0</v>
      </c>
      <c r="K123" s="1309">
        <f t="shared" si="76"/>
        <v>0</v>
      </c>
      <c r="L123" s="1309"/>
      <c r="M123" s="4296"/>
      <c r="N123" s="4296"/>
      <c r="O123" s="4290"/>
    </row>
    <row r="124" spans="1:15" s="278" customFormat="1" ht="12" hidden="1">
      <c r="A124" s="4287"/>
      <c r="B124" s="1890" t="s">
        <v>139</v>
      </c>
      <c r="C124" s="4293"/>
      <c r="D124" s="1159">
        <f>E124+F124+G124+H124+I124+J124+K124+L124</f>
        <v>0</v>
      </c>
      <c r="E124" s="1891"/>
      <c r="F124" s="1891"/>
      <c r="G124" s="1891"/>
      <c r="H124" s="1891"/>
      <c r="I124" s="1891"/>
      <c r="J124" s="1891"/>
      <c r="K124" s="1891"/>
      <c r="L124" s="1891"/>
      <c r="M124" s="4296"/>
      <c r="N124" s="4296"/>
      <c r="O124" s="4290"/>
    </row>
    <row r="125" spans="1:15" s="278" customFormat="1" ht="13.5" customHeight="1">
      <c r="A125" s="4287"/>
      <c r="B125" s="1892" t="s">
        <v>18</v>
      </c>
      <c r="C125" s="4300" t="s">
        <v>23</v>
      </c>
      <c r="D125" s="1303">
        <f>+D126</f>
        <v>2741005</v>
      </c>
      <c r="E125" s="1303">
        <f t="shared" ref="E125:K125" si="77">+E126</f>
        <v>0</v>
      </c>
      <c r="F125" s="1303">
        <f t="shared" si="77"/>
        <v>22355</v>
      </c>
      <c r="G125" s="1303">
        <f t="shared" si="77"/>
        <v>2718650</v>
      </c>
      <c r="H125" s="1303">
        <f t="shared" si="77"/>
        <v>0</v>
      </c>
      <c r="I125" s="1303">
        <f t="shared" si="77"/>
        <v>0</v>
      </c>
      <c r="J125" s="1303">
        <f t="shared" si="77"/>
        <v>0</v>
      </c>
      <c r="K125" s="1303">
        <f t="shared" si="77"/>
        <v>0</v>
      </c>
      <c r="L125" s="1303"/>
      <c r="M125" s="4296"/>
      <c r="N125" s="4296"/>
      <c r="O125" s="4290"/>
    </row>
    <row r="126" spans="1:15" s="278" customFormat="1" ht="12.75" thickBot="1">
      <c r="A126" s="4288"/>
      <c r="B126" s="1318" t="s">
        <v>35</v>
      </c>
      <c r="C126" s="4298"/>
      <c r="D126" s="1896">
        <f>E126+F126+G126+H126+I126+J126+K126+L126</f>
        <v>2741005</v>
      </c>
      <c r="E126" s="1322">
        <v>0</v>
      </c>
      <c r="F126" s="1320">
        <v>22355</v>
      </c>
      <c r="G126" s="1320">
        <v>2718650</v>
      </c>
      <c r="H126" s="1320"/>
      <c r="I126" s="1320"/>
      <c r="J126" s="1320"/>
      <c r="K126" s="1320"/>
      <c r="L126" s="1320"/>
      <c r="M126" s="4297"/>
      <c r="N126" s="4297"/>
      <c r="O126" s="4291"/>
    </row>
    <row r="127" spans="1:15" s="278" customFormat="1" ht="30" customHeight="1">
      <c r="A127" s="4286" t="s">
        <v>89</v>
      </c>
      <c r="B127" s="474" t="s">
        <v>508</v>
      </c>
      <c r="C127" s="475" t="s">
        <v>82</v>
      </c>
      <c r="D127" s="428"/>
      <c r="E127" s="483"/>
      <c r="F127" s="483"/>
      <c r="G127" s="483"/>
      <c r="H127" s="483"/>
      <c r="I127" s="483"/>
      <c r="J127" s="483"/>
      <c r="K127" s="483"/>
      <c r="L127" s="483"/>
      <c r="M127" s="488"/>
      <c r="N127" s="488"/>
      <c r="O127" s="4289" t="s">
        <v>434</v>
      </c>
    </row>
    <row r="128" spans="1:15" s="278" customFormat="1" ht="12">
      <c r="A128" s="4287"/>
      <c r="B128" s="1313" t="s">
        <v>10</v>
      </c>
      <c r="C128" s="1886"/>
      <c r="D128" s="1228">
        <f>+D129+D132</f>
        <v>300000</v>
      </c>
      <c r="E128" s="1228">
        <f t="shared" ref="E128" si="78">+E129+E132</f>
        <v>0</v>
      </c>
      <c r="F128" s="1228">
        <f t="shared" ref="F128:G128" si="79">+F129+F132</f>
        <v>16000</v>
      </c>
      <c r="G128" s="1228">
        <f t="shared" si="79"/>
        <v>284000</v>
      </c>
      <c r="H128" s="1228">
        <f>+H129+H132</f>
        <v>0</v>
      </c>
      <c r="I128" s="1228">
        <f>+I129+I132</f>
        <v>0</v>
      </c>
      <c r="J128" s="1228">
        <f t="shared" ref="J128:K128" si="80">+J129+J132</f>
        <v>0</v>
      </c>
      <c r="K128" s="1228">
        <f t="shared" si="80"/>
        <v>0</v>
      </c>
      <c r="L128" s="1228"/>
      <c r="M128" s="1314">
        <f>+M129</f>
        <v>300000</v>
      </c>
      <c r="N128" s="1314">
        <f>+N129</f>
        <v>284000</v>
      </c>
      <c r="O128" s="4290"/>
    </row>
    <row r="129" spans="1:15" s="278" customFormat="1" ht="12">
      <c r="A129" s="4287"/>
      <c r="B129" s="1887" t="s">
        <v>24</v>
      </c>
      <c r="C129" s="4299" t="s">
        <v>433</v>
      </c>
      <c r="D129" s="1212">
        <f>D131+D130</f>
        <v>300000</v>
      </c>
      <c r="E129" s="1212">
        <f t="shared" ref="E129" si="81">E131+E130</f>
        <v>0</v>
      </c>
      <c r="F129" s="1212">
        <f t="shared" ref="F129:K129" si="82">F131+F130</f>
        <v>16000</v>
      </c>
      <c r="G129" s="1212">
        <f t="shared" si="82"/>
        <v>284000</v>
      </c>
      <c r="H129" s="1212">
        <f t="shared" si="82"/>
        <v>0</v>
      </c>
      <c r="I129" s="1212">
        <f t="shared" si="82"/>
        <v>0</v>
      </c>
      <c r="J129" s="1212">
        <f t="shared" si="82"/>
        <v>0</v>
      </c>
      <c r="K129" s="1212">
        <f t="shared" si="82"/>
        <v>0</v>
      </c>
      <c r="L129" s="1212"/>
      <c r="M129" s="1182">
        <f>+M131</f>
        <v>300000</v>
      </c>
      <c r="N129" s="1182">
        <f>+N131</f>
        <v>284000</v>
      </c>
      <c r="O129" s="4290"/>
    </row>
    <row r="130" spans="1:15" s="278" customFormat="1" ht="13.5" hidden="1" customHeight="1">
      <c r="A130" s="4287"/>
      <c r="B130" s="1888" t="s">
        <v>32</v>
      </c>
      <c r="C130" s="4293"/>
      <c r="D130" s="704">
        <f>E130+F130+G130+H130+I130+J130+K130+L130</f>
        <v>0</v>
      </c>
      <c r="E130" s="1716"/>
      <c r="F130" s="1889">
        <v>0</v>
      </c>
      <c r="G130" s="1889">
        <v>0</v>
      </c>
      <c r="H130" s="1889">
        <v>0</v>
      </c>
      <c r="I130" s="1889">
        <v>0</v>
      </c>
      <c r="J130" s="1866"/>
      <c r="K130" s="1866"/>
      <c r="L130" s="1866"/>
      <c r="M130" s="478" t="s">
        <v>61</v>
      </c>
      <c r="N130" s="478" t="s">
        <v>61</v>
      </c>
      <c r="O130" s="4290"/>
    </row>
    <row r="131" spans="1:15" s="278" customFormat="1" ht="13.5" customHeight="1" thickBot="1">
      <c r="A131" s="4287"/>
      <c r="B131" s="1890" t="s">
        <v>122</v>
      </c>
      <c r="C131" s="4294"/>
      <c r="D131" s="704">
        <f>E131+F131+G131+H131+I131+J131+K131+L131</f>
        <v>300000</v>
      </c>
      <c r="E131" s="1322">
        <v>0</v>
      </c>
      <c r="F131" s="1906">
        <f>50000-34000</f>
        <v>16000</v>
      </c>
      <c r="G131" s="1906">
        <f>250000+34000</f>
        <v>284000</v>
      </c>
      <c r="H131" s="1906"/>
      <c r="I131" s="1906"/>
      <c r="J131" s="1906"/>
      <c r="K131" s="1906"/>
      <c r="L131" s="1906"/>
      <c r="M131" s="1907">
        <f>SUM(F131:K131)</f>
        <v>300000</v>
      </c>
      <c r="N131" s="1315">
        <f>SUM(G131:L131)</f>
        <v>284000</v>
      </c>
      <c r="O131" s="4290"/>
    </row>
    <row r="132" spans="1:15" s="278" customFormat="1" ht="13.5" hidden="1" customHeight="1">
      <c r="A132" s="4287"/>
      <c r="B132" s="1892" t="s">
        <v>18</v>
      </c>
      <c r="C132" s="4300" t="s">
        <v>23</v>
      </c>
      <c r="D132" s="1303">
        <f>+D133</f>
        <v>0</v>
      </c>
      <c r="E132" s="1894">
        <f t="shared" ref="E132:N132" si="83">+E133</f>
        <v>0</v>
      </c>
      <c r="F132" s="1872">
        <f t="shared" si="83"/>
        <v>0</v>
      </c>
      <c r="G132" s="1872">
        <f t="shared" si="83"/>
        <v>0</v>
      </c>
      <c r="H132" s="1872">
        <f t="shared" si="83"/>
        <v>0</v>
      </c>
      <c r="I132" s="1872">
        <f t="shared" si="83"/>
        <v>0</v>
      </c>
      <c r="J132" s="1872">
        <f t="shared" si="83"/>
        <v>0</v>
      </c>
      <c r="K132" s="1872">
        <f t="shared" si="83"/>
        <v>0</v>
      </c>
      <c r="L132" s="1872"/>
      <c r="M132" s="1873" t="str">
        <f t="shared" si="83"/>
        <v>x</v>
      </c>
      <c r="N132" s="1873" t="str">
        <f t="shared" si="83"/>
        <v>x</v>
      </c>
      <c r="O132" s="4290"/>
    </row>
    <row r="133" spans="1:15" s="278" customFormat="1" ht="13.5" hidden="1" customHeight="1">
      <c r="A133" s="4287"/>
      <c r="B133" s="1890" t="s">
        <v>35</v>
      </c>
      <c r="C133" s="4285"/>
      <c r="D133" s="704">
        <f>E133+F133+G133+H133+I133+J133+K133+L133</f>
        <v>0</v>
      </c>
      <c r="E133" s="1905"/>
      <c r="F133" s="1316">
        <v>0</v>
      </c>
      <c r="G133" s="1316">
        <v>0</v>
      </c>
      <c r="H133" s="1316"/>
      <c r="I133" s="1316"/>
      <c r="J133" s="1874"/>
      <c r="K133" s="1874"/>
      <c r="L133" s="1874"/>
      <c r="M133" s="1875" t="s">
        <v>61</v>
      </c>
      <c r="N133" s="1875" t="s">
        <v>61</v>
      </c>
      <c r="O133" s="4290"/>
    </row>
    <row r="134" spans="1:15" s="278" customFormat="1" ht="13.5" hidden="1" customHeight="1">
      <c r="A134" s="4287"/>
      <c r="B134" s="1313" t="s">
        <v>22</v>
      </c>
      <c r="C134" s="1893"/>
      <c r="D134" s="1223">
        <f>D137+D135</f>
        <v>0</v>
      </c>
      <c r="E134" s="1895">
        <f>E137+E135</f>
        <v>0</v>
      </c>
      <c r="F134" s="1223">
        <f t="shared" ref="F134:G134" si="84">F137+F135</f>
        <v>0</v>
      </c>
      <c r="G134" s="1223">
        <f t="shared" si="84"/>
        <v>0</v>
      </c>
      <c r="H134" s="1223">
        <f>H137+H135</f>
        <v>0</v>
      </c>
      <c r="I134" s="1223">
        <f>I137+I135</f>
        <v>0</v>
      </c>
      <c r="J134" s="1223">
        <f t="shared" ref="J134:K134" si="85">J137+J135</f>
        <v>0</v>
      </c>
      <c r="K134" s="1223">
        <f t="shared" si="85"/>
        <v>0</v>
      </c>
      <c r="L134" s="1223"/>
      <c r="M134" s="4301" t="s">
        <v>61</v>
      </c>
      <c r="N134" s="4301" t="s">
        <v>61</v>
      </c>
      <c r="O134" s="4290"/>
    </row>
    <row r="135" spans="1:15" s="278" customFormat="1" ht="13.5" hidden="1" customHeight="1">
      <c r="A135" s="4287"/>
      <c r="B135" s="1317" t="s">
        <v>24</v>
      </c>
      <c r="C135" s="4299" t="s">
        <v>433</v>
      </c>
      <c r="D135" s="1309">
        <f>+D136</f>
        <v>0</v>
      </c>
      <c r="E135" s="1908">
        <f t="shared" ref="E135:K135" si="86">+E136</f>
        <v>0</v>
      </c>
      <c r="F135" s="1309">
        <f t="shared" si="86"/>
        <v>0</v>
      </c>
      <c r="G135" s="1309">
        <f t="shared" si="86"/>
        <v>0</v>
      </c>
      <c r="H135" s="1309">
        <f t="shared" si="86"/>
        <v>0</v>
      </c>
      <c r="I135" s="1309">
        <f t="shared" si="86"/>
        <v>0</v>
      </c>
      <c r="J135" s="1309">
        <f t="shared" si="86"/>
        <v>0</v>
      </c>
      <c r="K135" s="1309">
        <f t="shared" si="86"/>
        <v>0</v>
      </c>
      <c r="L135" s="1309"/>
      <c r="M135" s="4296"/>
      <c r="N135" s="4296"/>
      <c r="O135" s="4290"/>
    </row>
    <row r="136" spans="1:15" s="278" customFormat="1" ht="13.5" hidden="1" customHeight="1">
      <c r="A136" s="4287"/>
      <c r="B136" s="1890" t="s">
        <v>139</v>
      </c>
      <c r="C136" s="4293"/>
      <c r="D136" s="704">
        <f>E136+F136+G136+H136+I136+J136+K136+L136</f>
        <v>0</v>
      </c>
      <c r="E136" s="1905"/>
      <c r="F136" s="1891"/>
      <c r="G136" s="1891"/>
      <c r="H136" s="1891"/>
      <c r="I136" s="1891"/>
      <c r="J136" s="1891"/>
      <c r="K136" s="1891"/>
      <c r="L136" s="1891"/>
      <c r="M136" s="4296"/>
      <c r="N136" s="4296"/>
      <c r="O136" s="4290"/>
    </row>
    <row r="137" spans="1:15" s="278" customFormat="1" ht="13.5" hidden="1" customHeight="1">
      <c r="A137" s="4287"/>
      <c r="B137" s="1892" t="s">
        <v>18</v>
      </c>
      <c r="C137" s="4300" t="s">
        <v>23</v>
      </c>
      <c r="D137" s="1303">
        <f>+D138</f>
        <v>0</v>
      </c>
      <c r="E137" s="1894">
        <f t="shared" ref="E137:K137" si="87">+E138</f>
        <v>0</v>
      </c>
      <c r="F137" s="1303">
        <f t="shared" si="87"/>
        <v>0</v>
      </c>
      <c r="G137" s="1303">
        <f t="shared" si="87"/>
        <v>0</v>
      </c>
      <c r="H137" s="1303">
        <f t="shared" si="87"/>
        <v>0</v>
      </c>
      <c r="I137" s="1303">
        <f t="shared" si="87"/>
        <v>0</v>
      </c>
      <c r="J137" s="1303">
        <f t="shared" si="87"/>
        <v>0</v>
      </c>
      <c r="K137" s="1303">
        <f t="shared" si="87"/>
        <v>0</v>
      </c>
      <c r="L137" s="1303"/>
      <c r="M137" s="4296"/>
      <c r="N137" s="4296"/>
      <c r="O137" s="4290"/>
    </row>
    <row r="138" spans="1:15" s="278" customFormat="1" ht="13.5" hidden="1" customHeight="1" thickBot="1">
      <c r="A138" s="4288"/>
      <c r="B138" s="1318" t="s">
        <v>35</v>
      </c>
      <c r="C138" s="4298"/>
      <c r="D138" s="1896">
        <f>E138+F138+G138+H138+I138+J138+K138+L138</f>
        <v>0</v>
      </c>
      <c r="E138" s="1897"/>
      <c r="F138" s="1320">
        <v>0</v>
      </c>
      <c r="G138" s="1320">
        <v>0</v>
      </c>
      <c r="H138" s="1320"/>
      <c r="I138" s="1320"/>
      <c r="J138" s="1320"/>
      <c r="K138" s="1320"/>
      <c r="L138" s="1320"/>
      <c r="M138" s="4297"/>
      <c r="N138" s="4297"/>
      <c r="O138" s="4291"/>
    </row>
    <row r="139" spans="1:15" s="278" customFormat="1" ht="39.75" customHeight="1">
      <c r="A139" s="4286" t="s">
        <v>90</v>
      </c>
      <c r="B139" s="474" t="s">
        <v>683</v>
      </c>
      <c r="C139" s="475" t="s">
        <v>82</v>
      </c>
      <c r="D139" s="428"/>
      <c r="E139" s="483"/>
      <c r="F139" s="483"/>
      <c r="G139" s="483"/>
      <c r="H139" s="483"/>
      <c r="I139" s="483"/>
      <c r="J139" s="483"/>
      <c r="K139" s="483"/>
      <c r="L139" s="483"/>
      <c r="M139" s="488"/>
      <c r="N139" s="488"/>
      <c r="O139" s="4289" t="s">
        <v>584</v>
      </c>
    </row>
    <row r="140" spans="1:15" s="278" customFormat="1" ht="13.5" customHeight="1">
      <c r="A140" s="4287"/>
      <c r="B140" s="1313" t="s">
        <v>10</v>
      </c>
      <c r="C140" s="1886"/>
      <c r="D140" s="1228">
        <f>+D141+D145</f>
        <v>3503619</v>
      </c>
      <c r="E140" s="1228">
        <f t="shared" ref="E140:G140" si="88">+E141+E145</f>
        <v>0</v>
      </c>
      <c r="F140" s="1228">
        <f t="shared" si="88"/>
        <v>41820</v>
      </c>
      <c r="G140" s="1228">
        <f t="shared" si="88"/>
        <v>1268301</v>
      </c>
      <c r="H140" s="1228">
        <f>+H141+H145</f>
        <v>2193498</v>
      </c>
      <c r="I140" s="1228">
        <f>+I141+I145</f>
        <v>0</v>
      </c>
      <c r="J140" s="1228">
        <f t="shared" ref="J140:K140" si="89">+J141+J145</f>
        <v>0</v>
      </c>
      <c r="K140" s="1228">
        <f t="shared" si="89"/>
        <v>0</v>
      </c>
      <c r="L140" s="1228"/>
      <c r="M140" s="1314">
        <f>+M141</f>
        <v>606910</v>
      </c>
      <c r="N140" s="1314">
        <f>+N141</f>
        <v>606910</v>
      </c>
      <c r="O140" s="4290"/>
    </row>
    <row r="141" spans="1:15" s="278" customFormat="1" ht="13.5" customHeight="1">
      <c r="A141" s="4287"/>
      <c r="B141" s="1887" t="s">
        <v>24</v>
      </c>
      <c r="C141" s="4299" t="s">
        <v>160</v>
      </c>
      <c r="D141" s="1212">
        <f>D143+D142+D144</f>
        <v>1052313</v>
      </c>
      <c r="E141" s="1212">
        <f t="shared" ref="E141:L141" si="90">E143+E142+E144</f>
        <v>0</v>
      </c>
      <c r="F141" s="1212">
        <f t="shared" si="90"/>
        <v>17170</v>
      </c>
      <c r="G141" s="1212">
        <f t="shared" si="90"/>
        <v>374349</v>
      </c>
      <c r="H141" s="1212">
        <f t="shared" si="90"/>
        <v>660794</v>
      </c>
      <c r="I141" s="1212">
        <f t="shared" si="90"/>
        <v>0</v>
      </c>
      <c r="J141" s="1212">
        <f t="shared" si="90"/>
        <v>0</v>
      </c>
      <c r="K141" s="1212">
        <f t="shared" si="90"/>
        <v>0</v>
      </c>
      <c r="L141" s="1212">
        <f t="shared" si="90"/>
        <v>0</v>
      </c>
      <c r="M141" s="1182">
        <f>+M143</f>
        <v>606910</v>
      </c>
      <c r="N141" s="1182">
        <f>+N143</f>
        <v>606910</v>
      </c>
      <c r="O141" s="4290"/>
    </row>
    <row r="142" spans="1:15" s="278" customFormat="1" ht="12">
      <c r="A142" s="4287"/>
      <c r="B142" s="1888" t="s">
        <v>32</v>
      </c>
      <c r="C142" s="4293"/>
      <c r="D142" s="1159">
        <f>E142+F142+G142+H142+I142+J142+K142+L142</f>
        <v>12820</v>
      </c>
      <c r="E142" s="1193"/>
      <c r="F142" s="1889">
        <v>12820</v>
      </c>
      <c r="G142" s="1889">
        <v>0</v>
      </c>
      <c r="H142" s="1889">
        <v>0</v>
      </c>
      <c r="I142" s="1889">
        <v>0</v>
      </c>
      <c r="J142" s="1866"/>
      <c r="K142" s="1866"/>
      <c r="L142" s="1866"/>
      <c r="M142" s="478" t="s">
        <v>61</v>
      </c>
      <c r="N142" s="478" t="s">
        <v>61</v>
      </c>
      <c r="O142" s="4290"/>
    </row>
    <row r="143" spans="1:15" s="278" customFormat="1" ht="12">
      <c r="A143" s="4287"/>
      <c r="B143" s="1890" t="s">
        <v>122</v>
      </c>
      <c r="C143" s="4294"/>
      <c r="D143" s="1159">
        <f>E143+F143+G143+H143+I143+J143+K143+L143</f>
        <v>606910</v>
      </c>
      <c r="E143" s="1193"/>
      <c r="F143" s="1891">
        <v>0</v>
      </c>
      <c r="G143" s="1891">
        <f>308599-92006</f>
        <v>216593</v>
      </c>
      <c r="H143" s="1891">
        <f>298311+92006</f>
        <v>390317</v>
      </c>
      <c r="I143" s="1891"/>
      <c r="J143" s="1891"/>
      <c r="K143" s="1891"/>
      <c r="L143" s="1891"/>
      <c r="M143" s="1315">
        <f>SUM(F143:K143)</f>
        <v>606910</v>
      </c>
      <c r="N143" s="1315">
        <f>SUM(G143:L143)</f>
        <v>606910</v>
      </c>
      <c r="O143" s="4290"/>
    </row>
    <row r="144" spans="1:15" s="278" customFormat="1" ht="12.75" customHeight="1">
      <c r="A144" s="4287"/>
      <c r="B144" s="1890" t="s">
        <v>580</v>
      </c>
      <c r="C144" s="4300" t="s">
        <v>23</v>
      </c>
      <c r="D144" s="1159">
        <f>E144+F144+G144+H144+I144+J144+K144+L144</f>
        <v>432583</v>
      </c>
      <c r="E144" s="1193"/>
      <c r="F144" s="1891">
        <v>4350</v>
      </c>
      <c r="G144" s="1891">
        <f>222704-64948</f>
        <v>157756</v>
      </c>
      <c r="H144" s="1891">
        <f>205529+64948</f>
        <v>270477</v>
      </c>
      <c r="I144" s="1891"/>
      <c r="J144" s="1891"/>
      <c r="K144" s="1891"/>
      <c r="L144" s="1898"/>
      <c r="M144" s="1899"/>
      <c r="N144" s="1899"/>
      <c r="O144" s="4290"/>
    </row>
    <row r="145" spans="1:76" s="278" customFormat="1" ht="13.5" customHeight="1">
      <c r="A145" s="4287"/>
      <c r="B145" s="1892" t="s">
        <v>18</v>
      </c>
      <c r="C145" s="4305"/>
      <c r="D145" s="1303">
        <f>+D146</f>
        <v>2451306</v>
      </c>
      <c r="E145" s="1303">
        <f t="shared" ref="E145:N145" si="91">+E146</f>
        <v>0</v>
      </c>
      <c r="F145" s="1303">
        <f t="shared" si="91"/>
        <v>24650</v>
      </c>
      <c r="G145" s="1303">
        <f t="shared" si="91"/>
        <v>893952</v>
      </c>
      <c r="H145" s="1303">
        <f t="shared" si="91"/>
        <v>1532704</v>
      </c>
      <c r="I145" s="1303">
        <f t="shared" si="91"/>
        <v>0</v>
      </c>
      <c r="J145" s="1303">
        <f t="shared" si="91"/>
        <v>0</v>
      </c>
      <c r="K145" s="1303">
        <f t="shared" si="91"/>
        <v>0</v>
      </c>
      <c r="L145" s="1872"/>
      <c r="M145" s="1873" t="str">
        <f t="shared" si="91"/>
        <v>x</v>
      </c>
      <c r="N145" s="1873" t="str">
        <f t="shared" si="91"/>
        <v>x</v>
      </c>
      <c r="O145" s="4290"/>
    </row>
    <row r="146" spans="1:76" s="278" customFormat="1" ht="13.5" customHeight="1">
      <c r="A146" s="4287"/>
      <c r="B146" s="1890" t="s">
        <v>35</v>
      </c>
      <c r="C146" s="4285"/>
      <c r="D146" s="1159">
        <f>E146+F146+G146+H146+I146+J146+K146+L146</f>
        <v>2451306</v>
      </c>
      <c r="E146" s="1193">
        <v>0</v>
      </c>
      <c r="F146" s="1316">
        <v>24650</v>
      </c>
      <c r="G146" s="1316">
        <f>1261991-368039</f>
        <v>893952</v>
      </c>
      <c r="H146" s="1316">
        <f>1164665+368039</f>
        <v>1532704</v>
      </c>
      <c r="I146" s="1316"/>
      <c r="J146" s="1874"/>
      <c r="K146" s="1874"/>
      <c r="L146" s="1874"/>
      <c r="M146" s="1875" t="s">
        <v>61</v>
      </c>
      <c r="N146" s="1875" t="s">
        <v>61</v>
      </c>
      <c r="O146" s="4290"/>
    </row>
    <row r="147" spans="1:76" s="278" customFormat="1" ht="13.5" customHeight="1">
      <c r="A147" s="4287"/>
      <c r="B147" s="1313" t="s">
        <v>22</v>
      </c>
      <c r="C147" s="1893"/>
      <c r="D147" s="1223">
        <f>D151+D148</f>
        <v>3490799</v>
      </c>
      <c r="E147" s="1223">
        <f t="shared" ref="E147:G147" si="92">E151+E148</f>
        <v>0</v>
      </c>
      <c r="F147" s="1223">
        <f t="shared" si="92"/>
        <v>0</v>
      </c>
      <c r="G147" s="1223">
        <f t="shared" si="92"/>
        <v>1180538</v>
      </c>
      <c r="H147" s="1223">
        <f>H151+H148</f>
        <v>2310261</v>
      </c>
      <c r="I147" s="1223">
        <f>I151+I148</f>
        <v>0</v>
      </c>
      <c r="J147" s="1223">
        <f t="shared" ref="J147:K147" si="93">J151+J148</f>
        <v>0</v>
      </c>
      <c r="K147" s="1223">
        <f t="shared" si="93"/>
        <v>0</v>
      </c>
      <c r="L147" s="1223"/>
      <c r="M147" s="4301" t="s">
        <v>61</v>
      </c>
      <c r="N147" s="4301" t="s">
        <v>61</v>
      </c>
      <c r="O147" s="4290"/>
    </row>
    <row r="148" spans="1:76" s="278" customFormat="1" ht="13.5" customHeight="1">
      <c r="A148" s="4287"/>
      <c r="B148" s="1317" t="s">
        <v>24</v>
      </c>
      <c r="C148" s="4299" t="s">
        <v>160</v>
      </c>
      <c r="D148" s="1309">
        <f>+D149+D150</f>
        <v>1039493</v>
      </c>
      <c r="E148" s="1309">
        <f t="shared" ref="E148:K148" si="94">+E149+E150</f>
        <v>0</v>
      </c>
      <c r="F148" s="1309">
        <f t="shared" si="94"/>
        <v>0</v>
      </c>
      <c r="G148" s="1309">
        <f t="shared" si="94"/>
        <v>292287</v>
      </c>
      <c r="H148" s="1309">
        <f t="shared" si="94"/>
        <v>747206</v>
      </c>
      <c r="I148" s="1309">
        <f t="shared" si="94"/>
        <v>0</v>
      </c>
      <c r="J148" s="1309">
        <f t="shared" si="94"/>
        <v>0</v>
      </c>
      <c r="K148" s="1309">
        <f t="shared" si="94"/>
        <v>0</v>
      </c>
      <c r="L148" s="1309"/>
      <c r="M148" s="4296"/>
      <c r="N148" s="4296"/>
      <c r="O148" s="4290"/>
    </row>
    <row r="149" spans="1:76" s="278" customFormat="1" ht="12">
      <c r="A149" s="4287"/>
      <c r="B149" s="1890" t="s">
        <v>147</v>
      </c>
      <c r="C149" s="4293"/>
      <c r="D149" s="1159">
        <f>E149+F149+G149+H149+I149+J149+K149+L149</f>
        <v>606910</v>
      </c>
      <c r="E149" s="1193">
        <v>0</v>
      </c>
      <c r="F149" s="1891"/>
      <c r="G149" s="1891">
        <f>308599-173062</f>
        <v>135537</v>
      </c>
      <c r="H149" s="1891">
        <f>298311+173062</f>
        <v>471373</v>
      </c>
      <c r="I149" s="1891"/>
      <c r="J149" s="1891"/>
      <c r="K149" s="1891"/>
      <c r="L149" s="1891"/>
      <c r="M149" s="4296"/>
      <c r="N149" s="4296"/>
      <c r="O149" s="4290"/>
    </row>
    <row r="150" spans="1:76" s="278" customFormat="1" ht="12">
      <c r="A150" s="4287"/>
      <c r="B150" s="1890" t="s">
        <v>580</v>
      </c>
      <c r="C150" s="2075"/>
      <c r="D150" s="1159">
        <f>E150+F150+G150+H150+I150+J150+K150+L150</f>
        <v>432583</v>
      </c>
      <c r="E150" s="1193"/>
      <c r="F150" s="1891"/>
      <c r="G150" s="1891">
        <f>227054-70304</f>
        <v>156750</v>
      </c>
      <c r="H150" s="1891">
        <f>205529+70304</f>
        <v>275833</v>
      </c>
      <c r="I150" s="1891"/>
      <c r="J150" s="1891"/>
      <c r="K150" s="1891"/>
      <c r="L150" s="1891"/>
      <c r="M150" s="4296"/>
      <c r="N150" s="4296"/>
      <c r="O150" s="4290"/>
    </row>
    <row r="151" spans="1:76" ht="14.25" customHeight="1">
      <c r="A151" s="4287"/>
      <c r="B151" s="1892" t="s">
        <v>18</v>
      </c>
      <c r="C151" s="4300" t="s">
        <v>23</v>
      </c>
      <c r="D151" s="1303">
        <f>+D152</f>
        <v>2451306</v>
      </c>
      <c r="E151" s="1303">
        <f t="shared" ref="E151:K151" si="95">+E152</f>
        <v>0</v>
      </c>
      <c r="F151" s="1303">
        <f t="shared" si="95"/>
        <v>0</v>
      </c>
      <c r="G151" s="1303">
        <f t="shared" si="95"/>
        <v>888251</v>
      </c>
      <c r="H151" s="1303">
        <f t="shared" si="95"/>
        <v>1563055</v>
      </c>
      <c r="I151" s="1303">
        <f t="shared" si="95"/>
        <v>0</v>
      </c>
      <c r="J151" s="1303">
        <f t="shared" si="95"/>
        <v>0</v>
      </c>
      <c r="K151" s="1303">
        <f t="shared" si="95"/>
        <v>0</v>
      </c>
      <c r="L151" s="1303"/>
      <c r="M151" s="4296"/>
      <c r="N151" s="4296"/>
      <c r="O151" s="4290"/>
      <c r="P151" s="278"/>
      <c r="Q151" s="278"/>
      <c r="R151" s="278"/>
      <c r="S151" s="278"/>
      <c r="T151" s="278"/>
      <c r="U151" s="278"/>
      <c r="V151" s="278"/>
      <c r="W151" s="278"/>
      <c r="X151" s="278"/>
      <c r="Y151" s="278"/>
      <c r="Z151" s="278"/>
      <c r="AA151" s="278"/>
      <c r="AB151" s="278"/>
      <c r="AC151" s="278"/>
      <c r="AD151" s="278"/>
      <c r="AE151" s="278"/>
      <c r="AF151" s="278"/>
      <c r="AG151" s="278"/>
      <c r="AH151" s="278"/>
      <c r="AI151" s="278"/>
      <c r="AJ151" s="278"/>
      <c r="AK151" s="278"/>
      <c r="AL151" s="278"/>
      <c r="AM151" s="278"/>
      <c r="AN151" s="278"/>
      <c r="AO151" s="278"/>
      <c r="AP151" s="278"/>
      <c r="AQ151" s="278"/>
      <c r="AR151" s="278"/>
      <c r="AS151" s="278"/>
      <c r="AT151" s="278"/>
      <c r="AU151" s="278"/>
      <c r="AV151" s="278"/>
      <c r="AW151" s="278"/>
      <c r="AX151" s="278"/>
      <c r="AY151" s="278"/>
      <c r="AZ151" s="278"/>
      <c r="BA151" s="278"/>
      <c r="BB151" s="278"/>
      <c r="BC151" s="278"/>
      <c r="BD151" s="278"/>
      <c r="BE151" s="278"/>
      <c r="BF151" s="278"/>
      <c r="BG151" s="278"/>
      <c r="BH151" s="278"/>
      <c r="BI151" s="278"/>
      <c r="BJ151" s="278"/>
      <c r="BK151" s="278"/>
      <c r="BL151" s="278"/>
      <c r="BM151" s="278"/>
      <c r="BN151" s="278"/>
      <c r="BO151" s="278"/>
      <c r="BP151" s="278"/>
      <c r="BQ151" s="278"/>
      <c r="BR151" s="278"/>
      <c r="BS151" s="278"/>
      <c r="BT151" s="278"/>
      <c r="BU151" s="278"/>
      <c r="BV151" s="278"/>
      <c r="BW151" s="278"/>
      <c r="BX151" s="278"/>
    </row>
    <row r="152" spans="1:76" ht="12.75" thickBot="1">
      <c r="A152" s="4288"/>
      <c r="B152" s="1318" t="s">
        <v>35</v>
      </c>
      <c r="C152" s="4298"/>
      <c r="D152" s="1353">
        <f>E152+F152+G152+H152+I152+J152+K152+L152</f>
        <v>2451306</v>
      </c>
      <c r="E152" s="1322">
        <v>0</v>
      </c>
      <c r="F152" s="1320">
        <v>0</v>
      </c>
      <c r="G152" s="1320">
        <f>1286641-398390</f>
        <v>888251</v>
      </c>
      <c r="H152" s="1320">
        <f>1164665+398390</f>
        <v>1563055</v>
      </c>
      <c r="I152" s="1320"/>
      <c r="J152" s="1320"/>
      <c r="K152" s="1320"/>
      <c r="L152" s="1320"/>
      <c r="M152" s="4297"/>
      <c r="N152" s="4297"/>
      <c r="O152" s="4291"/>
    </row>
    <row r="153" spans="1:76" ht="28.5" customHeight="1">
      <c r="A153" s="4286" t="s">
        <v>91</v>
      </c>
      <c r="B153" s="474" t="s">
        <v>597</v>
      </c>
      <c r="C153" s="475" t="s">
        <v>110</v>
      </c>
      <c r="D153" s="428"/>
      <c r="E153" s="464"/>
      <c r="F153" s="464"/>
      <c r="G153" s="464"/>
      <c r="H153" s="464"/>
      <c r="I153" s="464"/>
      <c r="J153" s="464"/>
      <c r="K153" s="464"/>
      <c r="L153" s="464"/>
      <c r="M153" s="465"/>
      <c r="N153" s="465"/>
      <c r="O153" s="4289" t="s">
        <v>159</v>
      </c>
    </row>
    <row r="154" spans="1:76" ht="14.25" customHeight="1">
      <c r="A154" s="4287"/>
      <c r="B154" s="1313" t="s">
        <v>10</v>
      </c>
      <c r="C154" s="1886"/>
      <c r="D154" s="1228">
        <f>+D155+D158</f>
        <v>5273902</v>
      </c>
      <c r="E154" s="1228">
        <f t="shared" ref="E154:G154" si="96">+E155+E158</f>
        <v>6055</v>
      </c>
      <c r="F154" s="1228">
        <f t="shared" si="96"/>
        <v>1200</v>
      </c>
      <c r="G154" s="1228">
        <f t="shared" si="96"/>
        <v>1388715</v>
      </c>
      <c r="H154" s="1228">
        <f>+H155+H158</f>
        <v>2671444</v>
      </c>
      <c r="I154" s="1228">
        <f>+I155+I158</f>
        <v>1206488</v>
      </c>
      <c r="J154" s="1228">
        <f t="shared" ref="J154:K154" si="97">+J155+J158</f>
        <v>0</v>
      </c>
      <c r="K154" s="1228">
        <f t="shared" si="97"/>
        <v>0</v>
      </c>
      <c r="L154" s="1228"/>
      <c r="M154" s="1314">
        <f>+M155</f>
        <v>1473150</v>
      </c>
      <c r="N154" s="1314">
        <f>+N155</f>
        <v>1473150</v>
      </c>
      <c r="O154" s="4290"/>
    </row>
    <row r="155" spans="1:76" ht="12">
      <c r="A155" s="4287"/>
      <c r="B155" s="1887" t="s">
        <v>24</v>
      </c>
      <c r="C155" s="4299" t="s">
        <v>160</v>
      </c>
      <c r="D155" s="1212">
        <f>D157+D156</f>
        <v>1480405</v>
      </c>
      <c r="E155" s="1212">
        <f t="shared" ref="E155:K155" si="98">E157+E156</f>
        <v>6055</v>
      </c>
      <c r="F155" s="1212">
        <f t="shared" si="98"/>
        <v>1200</v>
      </c>
      <c r="G155" s="1212">
        <f t="shared" si="98"/>
        <v>370622</v>
      </c>
      <c r="H155" s="1212">
        <f t="shared" si="98"/>
        <v>778267</v>
      </c>
      <c r="I155" s="1212">
        <f t="shared" si="98"/>
        <v>324261</v>
      </c>
      <c r="J155" s="1212">
        <f t="shared" si="98"/>
        <v>0</v>
      </c>
      <c r="K155" s="1212">
        <f t="shared" si="98"/>
        <v>0</v>
      </c>
      <c r="L155" s="1212"/>
      <c r="M155" s="1182">
        <f>+M157</f>
        <v>1473150</v>
      </c>
      <c r="N155" s="1182">
        <f>+N157</f>
        <v>1473150</v>
      </c>
      <c r="O155" s="4290"/>
    </row>
    <row r="156" spans="1:76" ht="12">
      <c r="A156" s="4287"/>
      <c r="B156" s="1888" t="s">
        <v>32</v>
      </c>
      <c r="C156" s="4293"/>
      <c r="D156" s="1159">
        <f>E156+F156+G156+H156+I156+J156+K156+L156</f>
        <v>7255</v>
      </c>
      <c r="E156" s="1193">
        <f>2279+3776</f>
        <v>6055</v>
      </c>
      <c r="F156" s="1889">
        <v>1200</v>
      </c>
      <c r="G156" s="1889">
        <v>0</v>
      </c>
      <c r="H156" s="1889">
        <v>0</v>
      </c>
      <c r="I156" s="1889">
        <v>0</v>
      </c>
      <c r="J156" s="1866"/>
      <c r="K156" s="1866"/>
      <c r="L156" s="1866"/>
      <c r="M156" s="478" t="s">
        <v>61</v>
      </c>
      <c r="N156" s="478" t="s">
        <v>61</v>
      </c>
      <c r="O156" s="4290"/>
    </row>
    <row r="157" spans="1:76" ht="12">
      <c r="A157" s="4287"/>
      <c r="B157" s="1890" t="s">
        <v>122</v>
      </c>
      <c r="C157" s="4294"/>
      <c r="D157" s="1159">
        <f>E157+F157+G157+H157+I157+J157+K157+L157</f>
        <v>1473150</v>
      </c>
      <c r="E157" s="1193"/>
      <c r="F157" s="1891">
        <v>0</v>
      </c>
      <c r="G157" s="1891">
        <f>453927-83305</f>
        <v>370622</v>
      </c>
      <c r="H157" s="1891">
        <f>614097+164170</f>
        <v>778267</v>
      </c>
      <c r="I157" s="1891">
        <f>278912+45349</f>
        <v>324261</v>
      </c>
      <c r="J157" s="1891"/>
      <c r="K157" s="1891"/>
      <c r="L157" s="1891"/>
      <c r="M157" s="1315">
        <f>SUM(F157:K157)</f>
        <v>1473150</v>
      </c>
      <c r="N157" s="1315">
        <f>SUM(G157:L157)</f>
        <v>1473150</v>
      </c>
      <c r="O157" s="4290"/>
    </row>
    <row r="158" spans="1:76" ht="12">
      <c r="A158" s="4287"/>
      <c r="B158" s="1892" t="s">
        <v>18</v>
      </c>
      <c r="C158" s="4300" t="s">
        <v>23</v>
      </c>
      <c r="D158" s="1303">
        <f>+D159</f>
        <v>3793497</v>
      </c>
      <c r="E158" s="1303">
        <f t="shared" ref="E158:N158" si="99">+E159</f>
        <v>0</v>
      </c>
      <c r="F158" s="1303">
        <f t="shared" si="99"/>
        <v>0</v>
      </c>
      <c r="G158" s="1303">
        <f t="shared" si="99"/>
        <v>1018093</v>
      </c>
      <c r="H158" s="1303">
        <f t="shared" si="99"/>
        <v>1893177</v>
      </c>
      <c r="I158" s="1303">
        <f t="shared" si="99"/>
        <v>882227</v>
      </c>
      <c r="J158" s="1303">
        <f t="shared" si="99"/>
        <v>0</v>
      </c>
      <c r="K158" s="1303">
        <f t="shared" si="99"/>
        <v>0</v>
      </c>
      <c r="L158" s="1872"/>
      <c r="M158" s="1873" t="str">
        <f t="shared" si="99"/>
        <v>x</v>
      </c>
      <c r="N158" s="1873" t="str">
        <f t="shared" si="99"/>
        <v>x</v>
      </c>
      <c r="O158" s="4290"/>
    </row>
    <row r="159" spans="1:76" ht="12">
      <c r="A159" s="4287"/>
      <c r="B159" s="1890" t="s">
        <v>35</v>
      </c>
      <c r="C159" s="4285"/>
      <c r="D159" s="1159">
        <f>E159+F159+G159+H159+I159+J159+K159+L159</f>
        <v>3793497</v>
      </c>
      <c r="E159" s="1193">
        <v>0</v>
      </c>
      <c r="F159" s="1316">
        <v>0</v>
      </c>
      <c r="G159" s="1316">
        <f>1197070-178977</f>
        <v>1018093</v>
      </c>
      <c r="H159" s="1316">
        <f>1496559+396618</f>
        <v>1893177</v>
      </c>
      <c r="I159" s="1316">
        <f>729656+152571</f>
        <v>882227</v>
      </c>
      <c r="J159" s="1874"/>
      <c r="K159" s="1874"/>
      <c r="L159" s="1874"/>
      <c r="M159" s="1875" t="s">
        <v>61</v>
      </c>
      <c r="N159" s="1875" t="s">
        <v>61</v>
      </c>
      <c r="O159" s="4290"/>
    </row>
    <row r="160" spans="1:76" ht="13.5" customHeight="1">
      <c r="A160" s="4287"/>
      <c r="B160" s="1313" t="s">
        <v>22</v>
      </c>
      <c r="C160" s="1893"/>
      <c r="D160" s="1223">
        <f>D163+D161</f>
        <v>4604546</v>
      </c>
      <c r="E160" s="1223">
        <f t="shared" ref="E160:G160" si="100">E163+E161</f>
        <v>0</v>
      </c>
      <c r="F160" s="1223">
        <f t="shared" si="100"/>
        <v>0</v>
      </c>
      <c r="G160" s="1223">
        <f t="shared" si="100"/>
        <v>1021307</v>
      </c>
      <c r="H160" s="1223">
        <f>H163+H161</f>
        <v>2197354</v>
      </c>
      <c r="I160" s="1223">
        <f>I163+I161</f>
        <v>1385885</v>
      </c>
      <c r="J160" s="1223">
        <f t="shared" ref="J160:K160" si="101">J163+J161</f>
        <v>0</v>
      </c>
      <c r="K160" s="1223">
        <f t="shared" si="101"/>
        <v>0</v>
      </c>
      <c r="L160" s="1223"/>
      <c r="M160" s="4301" t="s">
        <v>61</v>
      </c>
      <c r="N160" s="4301" t="s">
        <v>61</v>
      </c>
      <c r="O160" s="4290"/>
    </row>
    <row r="161" spans="1:15" ht="12">
      <c r="A161" s="4287"/>
      <c r="B161" s="1317" t="s">
        <v>24</v>
      </c>
      <c r="C161" s="4299" t="s">
        <v>160</v>
      </c>
      <c r="D161" s="1309">
        <f>+D162</f>
        <v>811049</v>
      </c>
      <c r="E161" s="1309">
        <f t="shared" ref="E161:K161" si="102">+E162</f>
        <v>0</v>
      </c>
      <c r="F161" s="1309">
        <f t="shared" si="102"/>
        <v>0</v>
      </c>
      <c r="G161" s="1309">
        <f t="shared" si="102"/>
        <v>153214</v>
      </c>
      <c r="H161" s="1309">
        <f t="shared" si="102"/>
        <v>424177</v>
      </c>
      <c r="I161" s="1309">
        <f t="shared" si="102"/>
        <v>233658</v>
      </c>
      <c r="J161" s="1309">
        <f t="shared" si="102"/>
        <v>0</v>
      </c>
      <c r="K161" s="1309">
        <f t="shared" si="102"/>
        <v>0</v>
      </c>
      <c r="L161" s="1309"/>
      <c r="M161" s="4296"/>
      <c r="N161" s="4296"/>
      <c r="O161" s="4290"/>
    </row>
    <row r="162" spans="1:15" ht="12">
      <c r="A162" s="4287"/>
      <c r="B162" s="1890" t="s">
        <v>147</v>
      </c>
      <c r="C162" s="4293"/>
      <c r="D162" s="1159">
        <f>E162+F162+G162+H162+I162+J162+K162+L162</f>
        <v>811049</v>
      </c>
      <c r="E162" s="1193">
        <v>0</v>
      </c>
      <c r="F162" s="1891"/>
      <c r="G162" s="1891">
        <f>253104-99890</f>
        <v>153214</v>
      </c>
      <c r="H162" s="1891">
        <f>349998+74179</f>
        <v>424177</v>
      </c>
      <c r="I162" s="1891">
        <f>147063+86595</f>
        <v>233658</v>
      </c>
      <c r="J162" s="1891"/>
      <c r="K162" s="1891"/>
      <c r="L162" s="1891"/>
      <c r="M162" s="4296"/>
      <c r="N162" s="4296"/>
      <c r="O162" s="4290"/>
    </row>
    <row r="163" spans="1:15" ht="12">
      <c r="A163" s="4287"/>
      <c r="B163" s="1892" t="s">
        <v>18</v>
      </c>
      <c r="C163" s="4300" t="s">
        <v>23</v>
      </c>
      <c r="D163" s="1303">
        <f>+D164</f>
        <v>3793497</v>
      </c>
      <c r="E163" s="1303">
        <f t="shared" ref="E163:K163" si="103">+E164</f>
        <v>0</v>
      </c>
      <c r="F163" s="1303">
        <f t="shared" si="103"/>
        <v>0</v>
      </c>
      <c r="G163" s="1303">
        <f t="shared" si="103"/>
        <v>868093</v>
      </c>
      <c r="H163" s="1303">
        <f t="shared" si="103"/>
        <v>1773177</v>
      </c>
      <c r="I163" s="1303">
        <f t="shared" si="103"/>
        <v>1152227</v>
      </c>
      <c r="J163" s="1303">
        <f t="shared" si="103"/>
        <v>0</v>
      </c>
      <c r="K163" s="1303">
        <f t="shared" si="103"/>
        <v>0</v>
      </c>
      <c r="L163" s="1303"/>
      <c r="M163" s="4296"/>
      <c r="N163" s="4296"/>
      <c r="O163" s="4290"/>
    </row>
    <row r="164" spans="1:15" ht="12.75" thickBot="1">
      <c r="A164" s="4288"/>
      <c r="B164" s="1318" t="s">
        <v>35</v>
      </c>
      <c r="C164" s="4298"/>
      <c r="D164" s="1319">
        <f>E164+F164+G164+H164+I164+J164+K164+L164</f>
        <v>3793497</v>
      </c>
      <c r="E164" s="1322">
        <v>0</v>
      </c>
      <c r="F164" s="1320">
        <v>0</v>
      </c>
      <c r="G164" s="1320">
        <f>1197070-328977</f>
        <v>868093</v>
      </c>
      <c r="H164" s="1320">
        <f>1496559+276618</f>
        <v>1773177</v>
      </c>
      <c r="I164" s="1320">
        <f>729656+422571</f>
        <v>1152227</v>
      </c>
      <c r="J164" s="1320"/>
      <c r="K164" s="1320"/>
      <c r="L164" s="1320"/>
      <c r="M164" s="4297"/>
      <c r="N164" s="4297"/>
      <c r="O164" s="4291"/>
    </row>
    <row r="165" spans="1:15" ht="29.25" customHeight="1">
      <c r="A165" s="4286" t="s">
        <v>92</v>
      </c>
      <c r="B165" s="474" t="s">
        <v>598</v>
      </c>
      <c r="C165" s="475" t="s">
        <v>82</v>
      </c>
      <c r="D165" s="428"/>
      <c r="E165" s="464"/>
      <c r="F165" s="464"/>
      <c r="G165" s="464"/>
      <c r="H165" s="464"/>
      <c r="I165" s="464"/>
      <c r="J165" s="464"/>
      <c r="K165" s="464"/>
      <c r="L165" s="464"/>
      <c r="M165" s="465"/>
      <c r="N165" s="465"/>
      <c r="O165" s="4289" t="s">
        <v>584</v>
      </c>
    </row>
    <row r="166" spans="1:15" ht="14.25" customHeight="1">
      <c r="A166" s="4287"/>
      <c r="B166" s="438" t="s">
        <v>10</v>
      </c>
      <c r="C166" s="476"/>
      <c r="D166" s="463">
        <f>+D167+D170</f>
        <v>2070950</v>
      </c>
      <c r="E166" s="463">
        <f t="shared" ref="E166:F166" si="104">+E167+E170</f>
        <v>6118</v>
      </c>
      <c r="F166" s="463">
        <f t="shared" si="104"/>
        <v>0</v>
      </c>
      <c r="G166" s="463">
        <f>+G167+G170</f>
        <v>281943</v>
      </c>
      <c r="H166" s="463">
        <f>+H167+H170</f>
        <v>1782889</v>
      </c>
      <c r="I166" s="463">
        <f>+I167+I170</f>
        <v>0</v>
      </c>
      <c r="J166" s="463">
        <f t="shared" ref="J166:K166" si="105">+J167+J170</f>
        <v>0</v>
      </c>
      <c r="K166" s="463">
        <f t="shared" si="105"/>
        <v>0</v>
      </c>
      <c r="L166" s="463"/>
      <c r="M166" s="466">
        <f>+M167</f>
        <v>627352</v>
      </c>
      <c r="N166" s="466">
        <f>+N167</f>
        <v>627352</v>
      </c>
      <c r="O166" s="4290"/>
    </row>
    <row r="167" spans="1:15" ht="12" customHeight="1">
      <c r="A167" s="4287"/>
      <c r="B167" s="1900" t="s">
        <v>24</v>
      </c>
      <c r="C167" s="4292" t="s">
        <v>160</v>
      </c>
      <c r="D167" s="432">
        <f>D169+D168</f>
        <v>633470</v>
      </c>
      <c r="E167" s="432">
        <f t="shared" ref="E167:K167" si="106">E169+E168</f>
        <v>6118</v>
      </c>
      <c r="F167" s="432">
        <f t="shared" si="106"/>
        <v>0</v>
      </c>
      <c r="G167" s="432">
        <f t="shared" si="106"/>
        <v>76540</v>
      </c>
      <c r="H167" s="432">
        <f t="shared" si="106"/>
        <v>550812</v>
      </c>
      <c r="I167" s="432">
        <f t="shared" si="106"/>
        <v>0</v>
      </c>
      <c r="J167" s="432">
        <f t="shared" si="106"/>
        <v>0</v>
      </c>
      <c r="K167" s="432">
        <f t="shared" si="106"/>
        <v>0</v>
      </c>
      <c r="L167" s="432"/>
      <c r="M167" s="468">
        <f>+M169</f>
        <v>627352</v>
      </c>
      <c r="N167" s="468">
        <f>+N169</f>
        <v>627352</v>
      </c>
      <c r="O167" s="4290"/>
    </row>
    <row r="168" spans="1:15" ht="12">
      <c r="A168" s="4287"/>
      <c r="B168" s="439" t="s">
        <v>32</v>
      </c>
      <c r="C168" s="4293"/>
      <c r="D168" s="226">
        <f>E168+F168+G168+H168+I168+J168+K168+L168</f>
        <v>6118</v>
      </c>
      <c r="E168" s="429">
        <v>6118</v>
      </c>
      <c r="F168" s="477">
        <v>0</v>
      </c>
      <c r="G168" s="477">
        <v>0</v>
      </c>
      <c r="H168" s="477">
        <v>0</v>
      </c>
      <c r="I168" s="477">
        <v>0</v>
      </c>
      <c r="J168" s="1866"/>
      <c r="K168" s="1866"/>
      <c r="L168" s="1866"/>
      <c r="M168" s="478" t="s">
        <v>61</v>
      </c>
      <c r="N168" s="478" t="s">
        <v>61</v>
      </c>
      <c r="O168" s="4290"/>
    </row>
    <row r="169" spans="1:15" ht="12">
      <c r="A169" s="4287"/>
      <c r="B169" s="1855" t="s">
        <v>122</v>
      </c>
      <c r="C169" s="4294"/>
      <c r="D169" s="226">
        <f>E169+F169+G169+H169+I169+J169+K169+L169</f>
        <v>627352</v>
      </c>
      <c r="E169" s="429"/>
      <c r="F169" s="431"/>
      <c r="G169" s="431">
        <f>198520-121980</f>
        <v>76540</v>
      </c>
      <c r="H169" s="431">
        <f>594337-43525</f>
        <v>550812</v>
      </c>
      <c r="I169" s="431"/>
      <c r="J169" s="431"/>
      <c r="K169" s="431"/>
      <c r="L169" s="431"/>
      <c r="M169" s="461">
        <f>SUM(F169:K169)</f>
        <v>627352</v>
      </c>
      <c r="N169" s="461">
        <f>SUM(G169:L169)</f>
        <v>627352</v>
      </c>
      <c r="O169" s="4290"/>
    </row>
    <row r="170" spans="1:15" ht="12">
      <c r="A170" s="4287"/>
      <c r="B170" s="1901" t="s">
        <v>18</v>
      </c>
      <c r="C170" s="4284" t="s">
        <v>23</v>
      </c>
      <c r="D170" s="1902">
        <f>+D171</f>
        <v>1437480</v>
      </c>
      <c r="E170" s="1902">
        <f t="shared" ref="E170:N170" si="107">+E171</f>
        <v>0</v>
      </c>
      <c r="F170" s="1902">
        <f t="shared" si="107"/>
        <v>0</v>
      </c>
      <c r="G170" s="1902">
        <f t="shared" si="107"/>
        <v>205403</v>
      </c>
      <c r="H170" s="1902">
        <f t="shared" si="107"/>
        <v>1232077</v>
      </c>
      <c r="I170" s="1902">
        <f t="shared" si="107"/>
        <v>0</v>
      </c>
      <c r="J170" s="1902">
        <f t="shared" si="107"/>
        <v>0</v>
      </c>
      <c r="K170" s="1902">
        <f t="shared" si="107"/>
        <v>0</v>
      </c>
      <c r="L170" s="1872"/>
      <c r="M170" s="1873" t="str">
        <f t="shared" si="107"/>
        <v>x</v>
      </c>
      <c r="N170" s="1873" t="str">
        <f t="shared" si="107"/>
        <v>x</v>
      </c>
      <c r="O170" s="4290"/>
    </row>
    <row r="171" spans="1:15" ht="12">
      <c r="A171" s="4287"/>
      <c r="B171" s="1855" t="s">
        <v>35</v>
      </c>
      <c r="C171" s="4285"/>
      <c r="D171" s="226">
        <f>E171+F171+G171+H171+I171+J171+K171+L171</f>
        <v>1437480</v>
      </c>
      <c r="E171" s="429">
        <v>0</v>
      </c>
      <c r="F171" s="430">
        <v>0</v>
      </c>
      <c r="G171" s="430">
        <f>478253-272850</f>
        <v>205403</v>
      </c>
      <c r="H171" s="430">
        <f>1329439-97362</f>
        <v>1232077</v>
      </c>
      <c r="I171" s="430"/>
      <c r="J171" s="1874"/>
      <c r="K171" s="1874"/>
      <c r="L171" s="1874"/>
      <c r="M171" s="1875" t="s">
        <v>61</v>
      </c>
      <c r="N171" s="1875" t="s">
        <v>61</v>
      </c>
      <c r="O171" s="4290"/>
    </row>
    <row r="172" spans="1:15" ht="13.5" customHeight="1">
      <c r="A172" s="4287"/>
      <c r="B172" s="438" t="s">
        <v>22</v>
      </c>
      <c r="C172" s="1903"/>
      <c r="D172" s="1884">
        <f>D175+D173</f>
        <v>1817193</v>
      </c>
      <c r="E172" s="1884">
        <f t="shared" ref="E172:G172" si="108">E175+E173</f>
        <v>0</v>
      </c>
      <c r="F172" s="1884">
        <f t="shared" si="108"/>
        <v>0</v>
      </c>
      <c r="G172" s="1884">
        <f t="shared" si="108"/>
        <v>161730</v>
      </c>
      <c r="H172" s="1884">
        <f>H175+H173</f>
        <v>1265463</v>
      </c>
      <c r="I172" s="1884">
        <f>I175+I173</f>
        <v>390000</v>
      </c>
      <c r="J172" s="1884">
        <f t="shared" ref="J172:K172" si="109">J175+J173</f>
        <v>0</v>
      </c>
      <c r="K172" s="1884">
        <f t="shared" si="109"/>
        <v>0</v>
      </c>
      <c r="L172" s="1884"/>
      <c r="M172" s="4295" t="s">
        <v>61</v>
      </c>
      <c r="N172" s="4295" t="s">
        <v>61</v>
      </c>
      <c r="O172" s="4290"/>
    </row>
    <row r="173" spans="1:15" ht="12" customHeight="1">
      <c r="A173" s="4287"/>
      <c r="B173" s="1854" t="s">
        <v>24</v>
      </c>
      <c r="C173" s="4292" t="s">
        <v>160</v>
      </c>
      <c r="D173" s="1904">
        <f>+D174</f>
        <v>379713</v>
      </c>
      <c r="E173" s="1904">
        <f t="shared" ref="E173:K173" si="110">+E174</f>
        <v>0</v>
      </c>
      <c r="F173" s="1904">
        <f t="shared" si="110"/>
        <v>0</v>
      </c>
      <c r="G173" s="1904">
        <f t="shared" si="110"/>
        <v>26327</v>
      </c>
      <c r="H173" s="1904">
        <f t="shared" si="110"/>
        <v>313386</v>
      </c>
      <c r="I173" s="1904">
        <f t="shared" si="110"/>
        <v>40000</v>
      </c>
      <c r="J173" s="1904">
        <f t="shared" si="110"/>
        <v>0</v>
      </c>
      <c r="K173" s="1904">
        <f t="shared" si="110"/>
        <v>0</v>
      </c>
      <c r="L173" s="1904"/>
      <c r="M173" s="4296"/>
      <c r="N173" s="4296"/>
      <c r="O173" s="4290"/>
    </row>
    <row r="174" spans="1:15" ht="12">
      <c r="A174" s="4287"/>
      <c r="B174" s="1855" t="s">
        <v>147</v>
      </c>
      <c r="C174" s="4293"/>
      <c r="D174" s="226">
        <f>E174+F174+G174+H174+I174+J174+K174+L174</f>
        <v>379713</v>
      </c>
      <c r="E174" s="429">
        <v>0</v>
      </c>
      <c r="F174" s="431"/>
      <c r="G174" s="431">
        <f>120157-93830</f>
        <v>26327</v>
      </c>
      <c r="H174" s="431">
        <f>359731-46345</f>
        <v>313386</v>
      </c>
      <c r="I174" s="431">
        <v>40000</v>
      </c>
      <c r="J174" s="431"/>
      <c r="K174" s="431"/>
      <c r="L174" s="431"/>
      <c r="M174" s="4296"/>
      <c r="N174" s="4296"/>
      <c r="O174" s="4290"/>
    </row>
    <row r="175" spans="1:15" ht="12">
      <c r="A175" s="4287"/>
      <c r="B175" s="1901" t="s">
        <v>18</v>
      </c>
      <c r="C175" s="4284" t="s">
        <v>23</v>
      </c>
      <c r="D175" s="1902">
        <f>+D176</f>
        <v>1437480</v>
      </c>
      <c r="E175" s="1902">
        <f t="shared" ref="E175:K175" si="111">+E176</f>
        <v>0</v>
      </c>
      <c r="F175" s="1902">
        <f t="shared" si="111"/>
        <v>0</v>
      </c>
      <c r="G175" s="1902">
        <f t="shared" si="111"/>
        <v>135403</v>
      </c>
      <c r="H175" s="1902">
        <f t="shared" si="111"/>
        <v>952077</v>
      </c>
      <c r="I175" s="1902">
        <f t="shared" si="111"/>
        <v>350000</v>
      </c>
      <c r="J175" s="1902">
        <f t="shared" si="111"/>
        <v>0</v>
      </c>
      <c r="K175" s="1902">
        <f t="shared" si="111"/>
        <v>0</v>
      </c>
      <c r="L175" s="1902"/>
      <c r="M175" s="4296"/>
      <c r="N175" s="4296"/>
      <c r="O175" s="4290"/>
    </row>
    <row r="176" spans="1:15" ht="12.75" thickBot="1">
      <c r="A176" s="4288"/>
      <c r="B176" s="1657" t="s">
        <v>35</v>
      </c>
      <c r="C176" s="4298"/>
      <c r="D176" s="1353">
        <f>E176+F176+G176+H176+I176+J176+K176+L176</f>
        <v>1437480</v>
      </c>
      <c r="E176" s="469">
        <v>0</v>
      </c>
      <c r="F176" s="481">
        <v>0</v>
      </c>
      <c r="G176" s="481">
        <f>478253-342850</f>
        <v>135403</v>
      </c>
      <c r="H176" s="481">
        <f>1329439-377362</f>
        <v>952077</v>
      </c>
      <c r="I176" s="481">
        <v>350000</v>
      </c>
      <c r="J176" s="481"/>
      <c r="K176" s="481"/>
      <c r="L176" s="481"/>
      <c r="M176" s="4297"/>
      <c r="N176" s="4297"/>
      <c r="O176" s="4291"/>
    </row>
    <row r="177" spans="1:15">
      <c r="O177" s="2077"/>
    </row>
    <row r="178" spans="1:15">
      <c r="O178" s="2077"/>
    </row>
    <row r="179" spans="1:15">
      <c r="O179" s="2077"/>
    </row>
    <row r="180" spans="1:15">
      <c r="A180" s="361" t="s">
        <v>581</v>
      </c>
      <c r="O180" s="2077"/>
    </row>
    <row r="181" spans="1:15">
      <c r="O181" s="2077"/>
    </row>
    <row r="182" spans="1:15">
      <c r="D182" s="441"/>
      <c r="G182" s="441">
        <f>G166+G154+G140+G128+G116+G42+G33+G24</f>
        <v>23600303</v>
      </c>
      <c r="O182" s="2077"/>
    </row>
    <row r="183" spans="1:15">
      <c r="G183" s="441">
        <f>G182-G10</f>
        <v>-2242900</v>
      </c>
      <c r="O183" s="2077"/>
    </row>
    <row r="184" spans="1:15">
      <c r="O184" s="2077"/>
    </row>
    <row r="185" spans="1:15">
      <c r="D185" s="441">
        <f>D169+D157+D143+D131+D119+D45+D35+D26</f>
        <v>44519143</v>
      </c>
      <c r="O185" s="2077"/>
    </row>
    <row r="186" spans="1:15">
      <c r="D186" s="441">
        <f>D7-D185</f>
        <v>88021674</v>
      </c>
      <c r="O186" s="2077"/>
    </row>
    <row r="187" spans="1:15">
      <c r="O187" s="2077"/>
    </row>
    <row r="188" spans="1:15">
      <c r="O188" s="2077"/>
    </row>
    <row r="189" spans="1:15">
      <c r="O189" s="2077"/>
    </row>
    <row r="190" spans="1:15">
      <c r="O190" s="2077"/>
    </row>
    <row r="191" spans="1:15">
      <c r="O191" s="2077"/>
    </row>
    <row r="192" spans="1:15">
      <c r="O192" s="2077"/>
    </row>
    <row r="193" spans="15:15">
      <c r="O193" s="2077"/>
    </row>
    <row r="194" spans="15:15">
      <c r="O194" s="2077"/>
    </row>
    <row r="195" spans="15:15">
      <c r="O195" s="2077"/>
    </row>
    <row r="196" spans="15:15">
      <c r="O196" s="2077"/>
    </row>
    <row r="197" spans="15:15">
      <c r="O197" s="2077"/>
    </row>
    <row r="198" spans="15:15">
      <c r="O198" s="2077"/>
    </row>
    <row r="199" spans="15:15">
      <c r="O199" s="2077"/>
    </row>
    <row r="200" spans="15:15">
      <c r="O200" s="2077"/>
    </row>
    <row r="201" spans="15:15">
      <c r="O201" s="2077"/>
    </row>
    <row r="202" spans="15:15">
      <c r="O202" s="2077"/>
    </row>
    <row r="203" spans="15:15">
      <c r="O203" s="2077"/>
    </row>
    <row r="204" spans="15:15">
      <c r="O204" s="2077"/>
    </row>
    <row r="205" spans="15:15">
      <c r="O205" s="2077"/>
    </row>
    <row r="206" spans="15:15">
      <c r="O206" s="2077"/>
    </row>
    <row r="207" spans="15:15">
      <c r="O207" s="2077"/>
    </row>
    <row r="208" spans="15:15">
      <c r="O208" s="2077"/>
    </row>
    <row r="209" spans="15:15">
      <c r="O209" s="2077"/>
    </row>
    <row r="210" spans="15:15">
      <c r="O210" s="2077"/>
    </row>
    <row r="211" spans="15:15">
      <c r="O211" s="2077"/>
    </row>
    <row r="212" spans="15:15">
      <c r="O212" s="2077"/>
    </row>
    <row r="213" spans="15:15">
      <c r="O213" s="2077"/>
    </row>
    <row r="214" spans="15:15">
      <c r="O214" s="2077"/>
    </row>
    <row r="215" spans="15:15">
      <c r="O215" s="2077"/>
    </row>
    <row r="216" spans="15:15">
      <c r="O216" s="2077"/>
    </row>
    <row r="217" spans="15:15">
      <c r="O217" s="2077"/>
    </row>
    <row r="218" spans="15:15">
      <c r="O218" s="2077"/>
    </row>
    <row r="219" spans="15:15">
      <c r="O219" s="2077"/>
    </row>
    <row r="220" spans="15:15">
      <c r="O220" s="2077"/>
    </row>
    <row r="221" spans="15:15">
      <c r="O221" s="2077"/>
    </row>
    <row r="222" spans="15:15">
      <c r="O222" s="2077"/>
    </row>
    <row r="223" spans="15:15">
      <c r="O223" s="2077"/>
    </row>
    <row r="224" spans="15:15">
      <c r="O224" s="2077"/>
    </row>
    <row r="225" spans="15:15">
      <c r="O225" s="2077"/>
    </row>
    <row r="226" spans="15:15">
      <c r="O226" s="2077"/>
    </row>
    <row r="227" spans="15:15">
      <c r="O227" s="2077"/>
    </row>
    <row r="228" spans="15:15">
      <c r="O228" s="2077"/>
    </row>
    <row r="229" spans="15:15">
      <c r="O229" s="2077"/>
    </row>
    <row r="230" spans="15:15">
      <c r="O230" s="2077"/>
    </row>
    <row r="231" spans="15:15">
      <c r="O231" s="2077"/>
    </row>
    <row r="232" spans="15:15">
      <c r="O232" s="2077"/>
    </row>
    <row r="233" spans="15:15">
      <c r="O233" s="2077"/>
    </row>
    <row r="234" spans="15:15">
      <c r="O234" s="2077"/>
    </row>
    <row r="235" spans="15:15">
      <c r="O235" s="2077"/>
    </row>
    <row r="236" spans="15:15">
      <c r="O236" s="2077"/>
    </row>
    <row r="237" spans="15:15">
      <c r="O237" s="2077"/>
    </row>
    <row r="238" spans="15:15">
      <c r="O238" s="2077"/>
    </row>
    <row r="239" spans="15:15">
      <c r="O239" s="2077"/>
    </row>
    <row r="240" spans="15:15">
      <c r="O240" s="2077"/>
    </row>
    <row r="241" spans="15:15">
      <c r="O241" s="2077"/>
    </row>
    <row r="242" spans="15:15">
      <c r="O242" s="2077"/>
    </row>
    <row r="243" spans="15:15">
      <c r="O243" s="2077"/>
    </row>
    <row r="244" spans="15:15">
      <c r="O244" s="2077"/>
    </row>
    <row r="245" spans="15:15">
      <c r="O245" s="2077"/>
    </row>
    <row r="246" spans="15:15">
      <c r="O246" s="2077"/>
    </row>
    <row r="247" spans="15:15">
      <c r="O247" s="2077"/>
    </row>
    <row r="248" spans="15:15">
      <c r="O248" s="2077"/>
    </row>
    <row r="249" spans="15:15">
      <c r="O249" s="2077"/>
    </row>
    <row r="250" spans="15:15">
      <c r="O250" s="2077"/>
    </row>
    <row r="251" spans="15:15">
      <c r="O251" s="2077"/>
    </row>
    <row r="252" spans="15:15">
      <c r="O252" s="2077"/>
    </row>
    <row r="253" spans="15:15">
      <c r="O253" s="2077"/>
    </row>
    <row r="254" spans="15:15">
      <c r="O254" s="2077"/>
    </row>
    <row r="255" spans="15:15">
      <c r="O255" s="2077"/>
    </row>
    <row r="256" spans="15:15">
      <c r="O256" s="2077"/>
    </row>
    <row r="257" spans="15:15">
      <c r="O257" s="2077"/>
    </row>
    <row r="258" spans="15:15">
      <c r="O258" s="2077"/>
    </row>
    <row r="259" spans="15:15">
      <c r="O259" s="2077"/>
    </row>
    <row r="260" spans="15:15">
      <c r="O260" s="2077"/>
    </row>
    <row r="261" spans="15:15">
      <c r="O261" s="2077"/>
    </row>
    <row r="262" spans="15:15">
      <c r="O262" s="2077"/>
    </row>
    <row r="263" spans="15:15">
      <c r="O263" s="2077"/>
    </row>
    <row r="264" spans="15:15">
      <c r="O264" s="2077"/>
    </row>
    <row r="265" spans="15:15">
      <c r="O265" s="2077"/>
    </row>
    <row r="266" spans="15:15">
      <c r="O266" s="2077"/>
    </row>
    <row r="267" spans="15:15">
      <c r="O267" s="2077"/>
    </row>
    <row r="268" spans="15:15">
      <c r="O268" s="2077"/>
    </row>
    <row r="269" spans="15:15">
      <c r="O269" s="2077"/>
    </row>
    <row r="270" spans="15:15">
      <c r="O270" s="2077"/>
    </row>
    <row r="271" spans="15:15">
      <c r="O271" s="2077"/>
    </row>
    <row r="272" spans="15:15">
      <c r="O272" s="2077"/>
    </row>
    <row r="273" spans="15:15">
      <c r="O273" s="2077"/>
    </row>
    <row r="274" spans="15:15">
      <c r="O274" s="2077"/>
    </row>
    <row r="275" spans="15:15">
      <c r="O275" s="2077"/>
    </row>
    <row r="276" spans="15:15">
      <c r="O276" s="2077"/>
    </row>
    <row r="277" spans="15:15">
      <c r="O277" s="2077"/>
    </row>
    <row r="278" spans="15:15">
      <c r="O278" s="2077"/>
    </row>
    <row r="279" spans="15:15">
      <c r="O279" s="2077"/>
    </row>
    <row r="280" spans="15:15">
      <c r="O280" s="2077"/>
    </row>
    <row r="281" spans="15:15">
      <c r="O281" s="2077"/>
    </row>
    <row r="282" spans="15:15">
      <c r="O282" s="2077"/>
    </row>
    <row r="283" spans="15:15">
      <c r="O283" s="2077"/>
    </row>
    <row r="284" spans="15:15">
      <c r="O284" s="2077"/>
    </row>
    <row r="285" spans="15:15">
      <c r="O285" s="2077"/>
    </row>
    <row r="286" spans="15:15">
      <c r="O286" s="2077"/>
    </row>
    <row r="287" spans="15:15">
      <c r="O287" s="2077"/>
    </row>
    <row r="288" spans="15:15">
      <c r="O288" s="2077"/>
    </row>
    <row r="289" spans="15:15">
      <c r="O289" s="2077"/>
    </row>
    <row r="290" spans="15:15">
      <c r="O290" s="2077"/>
    </row>
    <row r="291" spans="15:15">
      <c r="O291" s="2077"/>
    </row>
    <row r="292" spans="15:15">
      <c r="O292" s="2077"/>
    </row>
    <row r="293" spans="15:15">
      <c r="O293" s="2077"/>
    </row>
    <row r="294" spans="15:15">
      <c r="O294" s="2077"/>
    </row>
    <row r="295" spans="15:15">
      <c r="O295" s="2077"/>
    </row>
    <row r="296" spans="15:15">
      <c r="O296" s="2077"/>
    </row>
    <row r="297" spans="15:15">
      <c r="O297" s="2077"/>
    </row>
    <row r="298" spans="15:15">
      <c r="O298" s="2077"/>
    </row>
    <row r="299" spans="15:15">
      <c r="O299" s="2077"/>
    </row>
    <row r="300" spans="15:15">
      <c r="O300" s="2077"/>
    </row>
    <row r="301" spans="15:15">
      <c r="O301" s="2077"/>
    </row>
    <row r="302" spans="15:15">
      <c r="O302" s="2077"/>
    </row>
    <row r="507" spans="1:15" ht="12" thickBot="1"/>
    <row r="508" spans="1:15" ht="33.75">
      <c r="A508" s="501"/>
      <c r="B508" s="339" t="s">
        <v>69</v>
      </c>
      <c r="C508" s="339"/>
      <c r="D508" s="502"/>
      <c r="E508" s="503"/>
      <c r="F508" s="503"/>
      <c r="G508" s="503"/>
      <c r="H508" s="503"/>
      <c r="I508" s="503"/>
      <c r="J508" s="503"/>
      <c r="K508" s="503"/>
      <c r="L508" s="503"/>
      <c r="M508" s="503"/>
      <c r="N508" s="503"/>
      <c r="O508" s="504"/>
    </row>
    <row r="509" spans="1:15">
      <c r="A509" s="505"/>
      <c r="E509" s="446"/>
      <c r="F509" s="446"/>
      <c r="G509" s="446"/>
      <c r="H509" s="446"/>
      <c r="I509" s="446"/>
      <c r="J509" s="446"/>
      <c r="K509" s="446"/>
      <c r="L509" s="446"/>
      <c r="M509" s="446"/>
      <c r="N509" s="446"/>
      <c r="O509" s="506"/>
    </row>
    <row r="510" spans="1:15">
      <c r="A510" s="505"/>
      <c r="E510" s="446"/>
      <c r="F510" s="446"/>
      <c r="G510" s="446"/>
      <c r="H510" s="446"/>
      <c r="I510" s="446"/>
      <c r="J510" s="446"/>
      <c r="K510" s="446"/>
      <c r="L510" s="446"/>
      <c r="M510" s="446"/>
      <c r="N510" s="446"/>
      <c r="O510" s="506"/>
    </row>
    <row r="511" spans="1:15">
      <c r="A511" s="505"/>
      <c r="E511" s="446"/>
      <c r="F511" s="446"/>
      <c r="G511" s="446"/>
      <c r="H511" s="446"/>
      <c r="I511" s="446"/>
      <c r="J511" s="446"/>
      <c r="K511" s="446"/>
      <c r="L511" s="446"/>
      <c r="M511" s="446"/>
      <c r="N511" s="446"/>
      <c r="O511" s="506"/>
    </row>
    <row r="512" spans="1:15">
      <c r="A512" s="505"/>
      <c r="E512" s="446"/>
      <c r="F512" s="446"/>
      <c r="G512" s="446"/>
      <c r="H512" s="446"/>
      <c r="I512" s="446"/>
      <c r="J512" s="446"/>
      <c r="K512" s="446"/>
      <c r="L512" s="446"/>
      <c r="M512" s="446"/>
      <c r="N512" s="446"/>
      <c r="O512" s="506"/>
    </row>
    <row r="513" spans="1:15">
      <c r="A513" s="505"/>
      <c r="E513" s="446"/>
      <c r="F513" s="446"/>
      <c r="G513" s="446"/>
      <c r="H513" s="446"/>
      <c r="I513" s="446"/>
      <c r="J513" s="446"/>
      <c r="K513" s="446"/>
      <c r="L513" s="446"/>
      <c r="M513" s="446"/>
      <c r="N513" s="446"/>
      <c r="O513" s="506"/>
    </row>
    <row r="514" spans="1:15">
      <c r="A514" s="505"/>
      <c r="E514" s="446"/>
      <c r="F514" s="446"/>
      <c r="G514" s="446"/>
      <c r="H514" s="446"/>
      <c r="I514" s="446"/>
      <c r="J514" s="446"/>
      <c r="K514" s="446"/>
      <c r="L514" s="446"/>
      <c r="M514" s="446"/>
      <c r="N514" s="446"/>
      <c r="O514" s="506"/>
    </row>
    <row r="515" spans="1:15">
      <c r="A515" s="505"/>
      <c r="E515" s="446"/>
      <c r="F515" s="446"/>
      <c r="G515" s="446"/>
      <c r="H515" s="446"/>
      <c r="I515" s="446"/>
      <c r="J515" s="446"/>
      <c r="K515" s="446"/>
      <c r="L515" s="446"/>
      <c r="M515" s="446"/>
      <c r="N515" s="446"/>
      <c r="O515" s="506"/>
    </row>
    <row r="516" spans="1:15">
      <c r="A516" s="505"/>
      <c r="E516" s="446"/>
      <c r="F516" s="446"/>
      <c r="G516" s="446"/>
      <c r="H516" s="446"/>
      <c r="I516" s="446"/>
      <c r="J516" s="446"/>
      <c r="K516" s="446"/>
      <c r="L516" s="446"/>
      <c r="M516" s="446"/>
      <c r="N516" s="446"/>
      <c r="O516" s="506"/>
    </row>
    <row r="517" spans="1:15">
      <c r="A517" s="505"/>
      <c r="E517" s="446"/>
      <c r="F517" s="446"/>
      <c r="G517" s="446"/>
      <c r="H517" s="446"/>
      <c r="I517" s="446"/>
      <c r="J517" s="446"/>
      <c r="K517" s="446"/>
      <c r="L517" s="446"/>
      <c r="M517" s="446"/>
      <c r="N517" s="446"/>
      <c r="O517" s="506"/>
    </row>
    <row r="518" spans="1:15">
      <c r="A518" s="505"/>
      <c r="E518" s="446"/>
      <c r="F518" s="446"/>
      <c r="G518" s="446"/>
      <c r="H518" s="446"/>
      <c r="I518" s="446"/>
      <c r="J518" s="446"/>
      <c r="K518" s="446"/>
      <c r="L518" s="446"/>
      <c r="M518" s="446"/>
      <c r="N518" s="446"/>
      <c r="O518" s="506"/>
    </row>
    <row r="519" spans="1:15" ht="12" thickBot="1">
      <c r="A519" s="507"/>
      <c r="B519" s="508"/>
      <c r="C519" s="508"/>
      <c r="D519" s="508"/>
      <c r="E519" s="509"/>
      <c r="F519" s="509"/>
      <c r="G519" s="509"/>
      <c r="H519" s="509"/>
      <c r="I519" s="509"/>
      <c r="J519" s="509"/>
      <c r="K519" s="509"/>
      <c r="L519" s="509"/>
      <c r="M519" s="509"/>
      <c r="N519" s="509"/>
      <c r="O519" s="510"/>
    </row>
  </sheetData>
  <mergeCells count="110">
    <mergeCell ref="N97:N102"/>
    <mergeCell ref="C98:C99"/>
    <mergeCell ref="C101:C102"/>
    <mergeCell ref="C141:C143"/>
    <mergeCell ref="A103:A114"/>
    <mergeCell ref="O103:O114"/>
    <mergeCell ref="C105:C107"/>
    <mergeCell ref="C108:C109"/>
    <mergeCell ref="C111:C112"/>
    <mergeCell ref="C113:C114"/>
    <mergeCell ref="N110:N114"/>
    <mergeCell ref="M110:M114"/>
    <mergeCell ref="C125:C126"/>
    <mergeCell ref="M122:M126"/>
    <mergeCell ref="A115:A126"/>
    <mergeCell ref="O115:O126"/>
    <mergeCell ref="C117:C119"/>
    <mergeCell ref="C120:C121"/>
    <mergeCell ref="N122:N126"/>
    <mergeCell ref="C82:C83"/>
    <mergeCell ref="A53:A64"/>
    <mergeCell ref="O53:O64"/>
    <mergeCell ref="C55:C56"/>
    <mergeCell ref="C144:C146"/>
    <mergeCell ref="A127:A138"/>
    <mergeCell ref="O127:O138"/>
    <mergeCell ref="C129:C131"/>
    <mergeCell ref="C132:C133"/>
    <mergeCell ref="N134:N138"/>
    <mergeCell ref="C135:C136"/>
    <mergeCell ref="C137:C138"/>
    <mergeCell ref="M134:M138"/>
    <mergeCell ref="A139:A152"/>
    <mergeCell ref="O139:O152"/>
    <mergeCell ref="M147:M152"/>
    <mergeCell ref="N147:N152"/>
    <mergeCell ref="C148:C149"/>
    <mergeCell ref="C151:C152"/>
    <mergeCell ref="A89:A102"/>
    <mergeCell ref="O89:O102"/>
    <mergeCell ref="C91:C93"/>
    <mergeCell ref="C94:C96"/>
    <mergeCell ref="M97:M102"/>
    <mergeCell ref="M38:M40"/>
    <mergeCell ref="N38:N40"/>
    <mergeCell ref="C43:C47"/>
    <mergeCell ref="C49:C52"/>
    <mergeCell ref="O23:O31"/>
    <mergeCell ref="A41:A52"/>
    <mergeCell ref="O41:O52"/>
    <mergeCell ref="N48:N52"/>
    <mergeCell ref="A23:A31"/>
    <mergeCell ref="N29:N31"/>
    <mergeCell ref="C25:C31"/>
    <mergeCell ref="M29:M31"/>
    <mergeCell ref="M48:M52"/>
    <mergeCell ref="A32:A40"/>
    <mergeCell ref="O32:O40"/>
    <mergeCell ref="C34:C40"/>
    <mergeCell ref="B4:B5"/>
    <mergeCell ref="C4:C5"/>
    <mergeCell ref="D4:D5"/>
    <mergeCell ref="O4:O5"/>
    <mergeCell ref="O10:O22"/>
    <mergeCell ref="C11:C16"/>
    <mergeCell ref="C18:C22"/>
    <mergeCell ref="N4:N5"/>
    <mergeCell ref="N17:N22"/>
    <mergeCell ref="E4:E5"/>
    <mergeCell ref="F4:F5"/>
    <mergeCell ref="G4:L4"/>
    <mergeCell ref="M4:M5"/>
    <mergeCell ref="M17:M22"/>
    <mergeCell ref="C57:C59"/>
    <mergeCell ref="C61:C62"/>
    <mergeCell ref="C63:C64"/>
    <mergeCell ref="N60:N64"/>
    <mergeCell ref="M60:M64"/>
    <mergeCell ref="A65:A76"/>
    <mergeCell ref="O65:O76"/>
    <mergeCell ref="C67:C68"/>
    <mergeCell ref="C70:C71"/>
    <mergeCell ref="C73:C74"/>
    <mergeCell ref="C75:C76"/>
    <mergeCell ref="N72:N76"/>
    <mergeCell ref="M72:M76"/>
    <mergeCell ref="C85:C86"/>
    <mergeCell ref="C87:C88"/>
    <mergeCell ref="N84:N88"/>
    <mergeCell ref="M84:M88"/>
    <mergeCell ref="A165:A176"/>
    <mergeCell ref="O165:O176"/>
    <mergeCell ref="C167:C169"/>
    <mergeCell ref="C170:C171"/>
    <mergeCell ref="M172:M176"/>
    <mergeCell ref="N172:N176"/>
    <mergeCell ref="C173:C174"/>
    <mergeCell ref="C175:C176"/>
    <mergeCell ref="A153:A164"/>
    <mergeCell ref="O153:O164"/>
    <mergeCell ref="C155:C157"/>
    <mergeCell ref="C158:C159"/>
    <mergeCell ref="M160:M164"/>
    <mergeCell ref="N160:N164"/>
    <mergeCell ref="C161:C162"/>
    <mergeCell ref="C163:C164"/>
    <mergeCell ref="C123:C124"/>
    <mergeCell ref="A77:A88"/>
    <mergeCell ref="O77:O88"/>
    <mergeCell ref="C79:C80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68" firstPageNumber="32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______________________________________________________________________________________________________________________________________</oddHeader>
    <oddFooter>&amp;C&amp;8&amp;P</oddFooter>
  </headerFooter>
  <rowBreaks count="2" manualBreakCount="2">
    <brk id="52" max="14" man="1"/>
    <brk id="126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BN153"/>
  <sheetViews>
    <sheetView showGridLines="0" view="pageBreakPreview" zoomScaleSheetLayoutView="100" workbookViewId="0">
      <pane xSplit="3" ySplit="7" topLeftCell="D78" activePane="bottomRight" state="frozen"/>
      <selection activeCell="B96" sqref="B96"/>
      <selection pane="topRight" activeCell="B96" sqref="B96"/>
      <selection pane="bottomLeft" activeCell="B96" sqref="B96"/>
      <selection pane="bottomRight" sqref="A1:XFD1048576"/>
    </sheetView>
  </sheetViews>
  <sheetFormatPr defaultColWidth="9.140625" defaultRowHeight="12" outlineLevelRow="1"/>
  <cols>
    <col min="1" max="1" width="3.7109375" style="2634" customWidth="1"/>
    <col min="2" max="2" width="59" style="2635" customWidth="1"/>
    <col min="3" max="3" width="9.7109375" style="2635" customWidth="1"/>
    <col min="4" max="4" width="14.140625" style="2635" customWidth="1"/>
    <col min="5" max="5" width="12.5703125" style="2635" customWidth="1"/>
    <col min="6" max="12" width="10.85546875" style="2635" customWidth="1"/>
    <col min="13" max="13" width="11.7109375" style="2635" hidden="1" customWidth="1"/>
    <col min="14" max="14" width="11.7109375" style="2635" customWidth="1"/>
    <col min="15" max="15" width="17.42578125" style="2884" customWidth="1"/>
    <col min="16" max="16" width="15.140625" style="2635" customWidth="1"/>
    <col min="17" max="17" width="11.7109375" style="2635" bestFit="1" customWidth="1"/>
    <col min="18" max="16384" width="9.140625" style="2635"/>
  </cols>
  <sheetData>
    <row r="1" spans="1:66" ht="16.5" customHeight="1">
      <c r="F1" s="4356"/>
      <c r="G1" s="4356"/>
      <c r="H1" s="2636" t="s">
        <v>567</v>
      </c>
      <c r="I1" s="2637"/>
      <c r="J1" s="2637"/>
      <c r="K1" s="2637"/>
      <c r="L1" s="2637"/>
      <c r="M1" s="2638"/>
      <c r="N1" s="2638"/>
      <c r="O1" s="2639"/>
    </row>
    <row r="2" spans="1:66" ht="15" hidden="1" customHeight="1">
      <c r="F2" s="2640"/>
      <c r="G2" s="2640"/>
      <c r="H2" s="2640"/>
      <c r="I2" s="2640"/>
      <c r="J2" s="2640"/>
      <c r="K2" s="2640"/>
      <c r="L2" s="2640"/>
      <c r="M2" s="2638"/>
      <c r="N2" s="2638"/>
      <c r="O2" s="2639"/>
    </row>
    <row r="3" spans="1:66" ht="9" customHeight="1">
      <c r="D3" s="2641"/>
      <c r="F3" s="2642"/>
      <c r="G3" s="2642"/>
      <c r="H3" s="2642"/>
      <c r="I3" s="2642"/>
      <c r="J3" s="2642"/>
      <c r="K3" s="2642"/>
      <c r="L3" s="2642"/>
      <c r="M3" s="2638"/>
      <c r="N3" s="2638"/>
      <c r="O3" s="2639"/>
    </row>
    <row r="4" spans="1:66" s="2645" customFormat="1" ht="40.5" customHeight="1" thickBot="1">
      <c r="A4" s="4357" t="s">
        <v>237</v>
      </c>
      <c r="B4" s="4357"/>
      <c r="C4" s="4357"/>
      <c r="D4" s="4357"/>
      <c r="E4" s="4357"/>
      <c r="F4" s="4357"/>
      <c r="G4" s="4357"/>
      <c r="H4" s="4357"/>
      <c r="I4" s="4357"/>
      <c r="J4" s="4357"/>
      <c r="K4" s="4357"/>
      <c r="L4" s="4357"/>
      <c r="M4" s="4357"/>
      <c r="N4" s="4357"/>
      <c r="O4" s="4357"/>
      <c r="P4" s="2643"/>
      <c r="Q4" s="2643"/>
      <c r="R4" s="2643"/>
      <c r="S4" s="2643"/>
      <c r="T4" s="2643"/>
      <c r="U4" s="2643"/>
      <c r="V4" s="2643"/>
      <c r="W4" s="2643"/>
      <c r="X4" s="2643"/>
      <c r="Y4" s="2643"/>
      <c r="Z4" s="2643"/>
      <c r="AA4" s="2643"/>
      <c r="AB4" s="2643"/>
      <c r="AC4" s="2643"/>
      <c r="AD4" s="2643"/>
      <c r="AE4" s="2643"/>
      <c r="AF4" s="2643"/>
      <c r="AG4" s="2643"/>
      <c r="AH4" s="2643"/>
      <c r="AI4" s="2643"/>
      <c r="AJ4" s="2643"/>
      <c r="AK4" s="2643"/>
      <c r="AL4" s="2644"/>
      <c r="AM4" s="2644"/>
      <c r="AN4" s="2644"/>
      <c r="AO4" s="2644"/>
      <c r="AP4" s="2644"/>
      <c r="AQ4" s="2644"/>
      <c r="AR4" s="2644"/>
      <c r="AS4" s="2644"/>
      <c r="AT4" s="2644"/>
      <c r="AU4" s="2644"/>
      <c r="AV4" s="2644"/>
      <c r="AW4" s="2644"/>
      <c r="AX4" s="2644"/>
      <c r="AY4" s="2644"/>
      <c r="AZ4" s="2644"/>
      <c r="BA4" s="2644"/>
      <c r="BB4" s="2644"/>
      <c r="BC4" s="2644"/>
      <c r="BD4" s="2644"/>
      <c r="BE4" s="2644"/>
      <c r="BF4" s="2644"/>
      <c r="BG4" s="2644"/>
      <c r="BH4" s="2644"/>
      <c r="BI4" s="2644"/>
      <c r="BJ4" s="2644"/>
      <c r="BK4" s="2644"/>
      <c r="BL4" s="2644"/>
      <c r="BM4" s="2644"/>
      <c r="BN4" s="2644"/>
    </row>
    <row r="5" spans="1:66" ht="72" customHeight="1">
      <c r="A5" s="2646"/>
      <c r="B5" s="4358" t="s">
        <v>75</v>
      </c>
      <c r="C5" s="4360" t="s">
        <v>71</v>
      </c>
      <c r="D5" s="4362" t="s">
        <v>72</v>
      </c>
      <c r="E5" s="2647" t="s">
        <v>269</v>
      </c>
      <c r="F5" s="4371" t="s">
        <v>625</v>
      </c>
      <c r="G5" s="4373" t="s">
        <v>553</v>
      </c>
      <c r="H5" s="4374"/>
      <c r="I5" s="4374"/>
      <c r="J5" s="4374"/>
      <c r="K5" s="4374"/>
      <c r="L5" s="4375"/>
      <c r="M5" s="4366" t="s">
        <v>570</v>
      </c>
      <c r="N5" s="4366" t="s">
        <v>554</v>
      </c>
      <c r="O5" s="4364" t="s">
        <v>73</v>
      </c>
      <c r="P5" s="2644"/>
      <c r="Q5" s="2644"/>
      <c r="R5" s="2644"/>
      <c r="S5" s="2644"/>
      <c r="T5" s="2644"/>
      <c r="U5" s="2644"/>
      <c r="V5" s="2644"/>
      <c r="W5" s="2644"/>
      <c r="X5" s="2644"/>
      <c r="Y5" s="2644"/>
      <c r="Z5" s="2644"/>
      <c r="AA5" s="2644"/>
      <c r="AB5" s="2644"/>
      <c r="AC5" s="2644"/>
      <c r="AD5" s="2644"/>
      <c r="AE5" s="2644"/>
      <c r="AF5" s="2644"/>
      <c r="AG5" s="2644"/>
      <c r="AH5" s="2644"/>
      <c r="AI5" s="2644"/>
      <c r="AJ5" s="2644"/>
      <c r="AK5" s="2644"/>
      <c r="AL5" s="2644"/>
      <c r="AM5" s="2644"/>
      <c r="AN5" s="2644"/>
      <c r="AO5" s="2644"/>
      <c r="AP5" s="2644"/>
      <c r="AQ5" s="2644"/>
      <c r="AR5" s="2644"/>
      <c r="AS5" s="2644"/>
      <c r="AT5" s="2644"/>
      <c r="AU5" s="2644"/>
      <c r="AV5" s="2644"/>
      <c r="AW5" s="2644"/>
      <c r="AX5" s="2644"/>
      <c r="AY5" s="2644"/>
      <c r="AZ5" s="2644"/>
      <c r="BA5" s="2644"/>
      <c r="BB5" s="2644"/>
      <c r="BC5" s="2644"/>
      <c r="BD5" s="2644"/>
      <c r="BE5" s="2644"/>
      <c r="BF5" s="2644"/>
      <c r="BG5" s="2644"/>
      <c r="BH5" s="2644"/>
      <c r="BI5" s="2644"/>
      <c r="BJ5" s="2644"/>
      <c r="BK5" s="2644"/>
      <c r="BL5" s="2644"/>
      <c r="BM5" s="2644"/>
      <c r="BN5" s="2644"/>
    </row>
    <row r="6" spans="1:66" ht="21" customHeight="1">
      <c r="A6" s="2648"/>
      <c r="B6" s="4359"/>
      <c r="C6" s="4361"/>
      <c r="D6" s="4363"/>
      <c r="E6" s="2649" t="s">
        <v>533</v>
      </c>
      <c r="F6" s="4372"/>
      <c r="G6" s="2650" t="s">
        <v>6</v>
      </c>
      <c r="H6" s="2651" t="s">
        <v>214</v>
      </c>
      <c r="I6" s="2651" t="s">
        <v>215</v>
      </c>
      <c r="J6" s="2651" t="s">
        <v>262</v>
      </c>
      <c r="K6" s="2651" t="s">
        <v>263</v>
      </c>
      <c r="L6" s="2651" t="s">
        <v>264</v>
      </c>
      <c r="M6" s="4367"/>
      <c r="N6" s="4367"/>
      <c r="O6" s="4365"/>
      <c r="P6" s="2644"/>
      <c r="Q6" s="2644"/>
      <c r="R6" s="2644"/>
      <c r="S6" s="2644"/>
      <c r="T6" s="2644"/>
      <c r="U6" s="2644"/>
      <c r="V6" s="2644"/>
      <c r="W6" s="2644"/>
      <c r="X6" s="2644"/>
      <c r="Y6" s="2644"/>
      <c r="Z6" s="2644"/>
      <c r="AA6" s="2644"/>
      <c r="AB6" s="2644"/>
      <c r="AC6" s="2644"/>
      <c r="AD6" s="2644"/>
      <c r="AE6" s="2644"/>
      <c r="AF6" s="2644"/>
      <c r="AG6" s="2644"/>
      <c r="AH6" s="2644"/>
      <c r="AI6" s="2644"/>
      <c r="AJ6" s="2644"/>
      <c r="AK6" s="2644"/>
      <c r="AL6" s="2644"/>
      <c r="AM6" s="2644"/>
      <c r="AN6" s="2644"/>
      <c r="AO6" s="2644"/>
      <c r="AP6" s="2644"/>
      <c r="AQ6" s="2644"/>
      <c r="AR6" s="2644"/>
      <c r="AS6" s="2644"/>
      <c r="AT6" s="2644"/>
      <c r="AU6" s="2644"/>
      <c r="AV6" s="2644"/>
      <c r="AW6" s="2644"/>
      <c r="AX6" s="2644"/>
      <c r="AY6" s="2644"/>
      <c r="AZ6" s="2644"/>
      <c r="BA6" s="2644"/>
      <c r="BB6" s="2644"/>
      <c r="BC6" s="2644"/>
      <c r="BD6" s="2644"/>
      <c r="BE6" s="2644"/>
      <c r="BF6" s="2644"/>
      <c r="BG6" s="2644"/>
      <c r="BH6" s="2644"/>
      <c r="BI6" s="2644"/>
      <c r="BJ6" s="2644"/>
      <c r="BK6" s="2644"/>
      <c r="BL6" s="2644"/>
      <c r="BM6" s="2644"/>
      <c r="BN6" s="2644"/>
    </row>
    <row r="7" spans="1:66" ht="11.25">
      <c r="A7" s="2652">
        <v>1</v>
      </c>
      <c r="B7" s="2653">
        <v>2</v>
      </c>
      <c r="C7" s="2654" t="s">
        <v>119</v>
      </c>
      <c r="D7" s="2654" t="s">
        <v>120</v>
      </c>
      <c r="E7" s="2654">
        <v>5</v>
      </c>
      <c r="F7" s="2655">
        <v>6</v>
      </c>
      <c r="G7" s="2655">
        <v>7</v>
      </c>
      <c r="H7" s="2655">
        <v>8</v>
      </c>
      <c r="I7" s="2655">
        <v>9</v>
      </c>
      <c r="J7" s="2655">
        <v>10</v>
      </c>
      <c r="K7" s="2655">
        <v>11</v>
      </c>
      <c r="L7" s="2655">
        <v>12</v>
      </c>
      <c r="M7" s="2656">
        <v>13</v>
      </c>
      <c r="N7" s="2656">
        <v>13</v>
      </c>
      <c r="O7" s="2657">
        <v>14</v>
      </c>
      <c r="P7" s="2644"/>
      <c r="Q7" s="2644"/>
      <c r="R7" s="2644"/>
      <c r="S7" s="2644"/>
      <c r="T7" s="2644"/>
      <c r="U7" s="2644"/>
      <c r="V7" s="2644"/>
      <c r="W7" s="2644"/>
      <c r="X7" s="2644"/>
      <c r="Y7" s="2644"/>
      <c r="Z7" s="2644"/>
      <c r="AA7" s="2644"/>
      <c r="AB7" s="2644"/>
      <c r="AC7" s="2644"/>
      <c r="AD7" s="2644"/>
      <c r="AE7" s="2644"/>
      <c r="AF7" s="2644"/>
      <c r="AG7" s="2644"/>
      <c r="AH7" s="2644"/>
      <c r="AI7" s="2644"/>
      <c r="AJ7" s="2644"/>
      <c r="AK7" s="2644"/>
      <c r="AL7" s="2644"/>
      <c r="AM7" s="2644"/>
      <c r="AN7" s="2644"/>
      <c r="AO7" s="2644"/>
      <c r="AP7" s="2644"/>
      <c r="AQ7" s="2644"/>
      <c r="AR7" s="2644"/>
      <c r="AS7" s="2644"/>
      <c r="AT7" s="2644"/>
      <c r="AU7" s="2644"/>
      <c r="AV7" s="2644"/>
      <c r="AW7" s="2644"/>
      <c r="AX7" s="2644"/>
      <c r="AY7" s="2644"/>
      <c r="AZ7" s="2644"/>
      <c r="BA7" s="2644"/>
      <c r="BB7" s="2644"/>
      <c r="BC7" s="2644"/>
      <c r="BD7" s="2644"/>
      <c r="BE7" s="2644"/>
      <c r="BF7" s="2644"/>
      <c r="BG7" s="2644"/>
      <c r="BH7" s="2644"/>
      <c r="BI7" s="2644"/>
      <c r="BJ7" s="2644"/>
      <c r="BK7" s="2644"/>
      <c r="BL7" s="2644"/>
      <c r="BM7" s="2644"/>
      <c r="BN7" s="2644"/>
    </row>
    <row r="8" spans="1:66" s="2665" customFormat="1" ht="16.5" customHeight="1">
      <c r="A8" s="2658"/>
      <c r="B8" s="2659" t="s">
        <v>76</v>
      </c>
      <c r="C8" s="2660"/>
      <c r="D8" s="2661">
        <f>+D9+D10</f>
        <v>43479650</v>
      </c>
      <c r="E8" s="2661">
        <f t="shared" ref="E8:L8" si="0">+E9+E10</f>
        <v>7493703</v>
      </c>
      <c r="F8" s="2661">
        <f t="shared" si="0"/>
        <v>4882915</v>
      </c>
      <c r="G8" s="2661">
        <f t="shared" si="0"/>
        <v>7534110</v>
      </c>
      <c r="H8" s="2661">
        <f t="shared" si="0"/>
        <v>8455368</v>
      </c>
      <c r="I8" s="2661">
        <f t="shared" si="0"/>
        <v>8129761</v>
      </c>
      <c r="J8" s="2661">
        <f t="shared" si="0"/>
        <v>2668770</v>
      </c>
      <c r="K8" s="2661">
        <f t="shared" si="0"/>
        <v>2602467</v>
      </c>
      <c r="L8" s="2661">
        <f t="shared" si="0"/>
        <v>1712556</v>
      </c>
      <c r="M8" s="2662">
        <f t="shared" ref="M8" si="1">+M9+M10</f>
        <v>35985947</v>
      </c>
      <c r="N8" s="2662">
        <f t="shared" ref="N8" si="2">+N9+N10</f>
        <v>31103032</v>
      </c>
      <c r="O8" s="2663"/>
      <c r="P8" s="2664">
        <f>+F8+G8+H8+I8+J8+K8+L8</f>
        <v>35985947</v>
      </c>
    </row>
    <row r="9" spans="1:66" s="2665" customFormat="1" ht="13.5" customHeight="1">
      <c r="A9" s="2666"/>
      <c r="B9" s="2659" t="s">
        <v>77</v>
      </c>
      <c r="C9" s="2660"/>
      <c r="D9" s="2661">
        <f t="shared" ref="D9:L9" si="3">+D44+D78+D87+D58+D96</f>
        <v>42463630</v>
      </c>
      <c r="E9" s="2661">
        <f t="shared" si="3"/>
        <v>7444603</v>
      </c>
      <c r="F9" s="2661">
        <f t="shared" si="3"/>
        <v>4882915</v>
      </c>
      <c r="G9" s="2661">
        <f t="shared" si="3"/>
        <v>7090380</v>
      </c>
      <c r="H9" s="2661">
        <f t="shared" si="3"/>
        <v>8110578</v>
      </c>
      <c r="I9" s="2661">
        <f t="shared" si="3"/>
        <v>7951361</v>
      </c>
      <c r="J9" s="2661">
        <f t="shared" si="3"/>
        <v>2668770</v>
      </c>
      <c r="K9" s="2661">
        <f t="shared" si="3"/>
        <v>2602467</v>
      </c>
      <c r="L9" s="2661">
        <f t="shared" si="3"/>
        <v>1712556</v>
      </c>
      <c r="M9" s="2662">
        <f>SUM(F9:L9)</f>
        <v>35019027</v>
      </c>
      <c r="N9" s="2662">
        <f>SUM(G9:L9)</f>
        <v>30136112</v>
      </c>
      <c r="O9" s="2663"/>
      <c r="P9" s="2664"/>
    </row>
    <row r="10" spans="1:66" s="2665" customFormat="1" ht="13.5" customHeight="1" thickBot="1">
      <c r="A10" s="2666"/>
      <c r="B10" s="2667" t="s">
        <v>9</v>
      </c>
      <c r="C10" s="2668"/>
      <c r="D10" s="2669">
        <f t="shared" ref="D10:L10" si="4">+D33+D69</f>
        <v>1016020</v>
      </c>
      <c r="E10" s="2669">
        <f t="shared" si="4"/>
        <v>49100</v>
      </c>
      <c r="F10" s="2669">
        <f t="shared" si="4"/>
        <v>0</v>
      </c>
      <c r="G10" s="2669">
        <f t="shared" si="4"/>
        <v>443730</v>
      </c>
      <c r="H10" s="2669">
        <f t="shared" si="4"/>
        <v>344790</v>
      </c>
      <c r="I10" s="2669">
        <f t="shared" si="4"/>
        <v>178400</v>
      </c>
      <c r="J10" s="2669">
        <f t="shared" si="4"/>
        <v>0</v>
      </c>
      <c r="K10" s="2669">
        <f t="shared" si="4"/>
        <v>0</v>
      </c>
      <c r="L10" s="2669">
        <f t="shared" si="4"/>
        <v>0</v>
      </c>
      <c r="M10" s="2670">
        <f>SUM(F10:L10)</f>
        <v>966920</v>
      </c>
      <c r="N10" s="2671">
        <f>SUM(G10:L10)</f>
        <v>966920</v>
      </c>
      <c r="O10" s="2672"/>
    </row>
    <row r="11" spans="1:66" s="2682" customFormat="1" ht="14.25" customHeight="1">
      <c r="A11" s="2673"/>
      <c r="B11" s="2674" t="s">
        <v>10</v>
      </c>
      <c r="C11" s="2675"/>
      <c r="D11" s="2676">
        <f t="shared" ref="D11:L11" si="5">+D12+D16</f>
        <v>43479650</v>
      </c>
      <c r="E11" s="2676">
        <f t="shared" si="5"/>
        <v>7493703</v>
      </c>
      <c r="F11" s="2676">
        <f t="shared" si="5"/>
        <v>4882915</v>
      </c>
      <c r="G11" s="2676">
        <f t="shared" si="5"/>
        <v>7534110</v>
      </c>
      <c r="H11" s="2676">
        <f t="shared" si="5"/>
        <v>8455368</v>
      </c>
      <c r="I11" s="2676">
        <f t="shared" si="5"/>
        <v>8129761</v>
      </c>
      <c r="J11" s="2676">
        <f t="shared" si="5"/>
        <v>2668770</v>
      </c>
      <c r="K11" s="2676">
        <f t="shared" si="5"/>
        <v>2602467</v>
      </c>
      <c r="L11" s="2676">
        <f t="shared" si="5"/>
        <v>1712556</v>
      </c>
      <c r="M11" s="2677">
        <f>+M12+M16</f>
        <v>27727926</v>
      </c>
      <c r="N11" s="2677">
        <f>+N12+N16</f>
        <v>24015233</v>
      </c>
      <c r="O11" s="2678"/>
      <c r="P11" s="2679"/>
      <c r="Q11" s="2680"/>
      <c r="R11" s="2681"/>
      <c r="S11" s="2681"/>
      <c r="T11" s="2681"/>
      <c r="U11" s="2681"/>
      <c r="V11" s="2681"/>
      <c r="W11" s="2681"/>
      <c r="X11" s="2681"/>
      <c r="Y11" s="2681"/>
      <c r="Z11" s="2681"/>
      <c r="AA11" s="2681"/>
      <c r="AB11" s="2681"/>
      <c r="AC11" s="2681"/>
      <c r="AD11" s="2681"/>
      <c r="AE11" s="2681"/>
      <c r="AF11" s="2681"/>
      <c r="AG11" s="2681"/>
      <c r="AH11" s="2681"/>
      <c r="AI11" s="2681"/>
      <c r="AJ11" s="2681"/>
      <c r="AK11" s="2681"/>
      <c r="AL11" s="2681"/>
      <c r="AM11" s="2681"/>
      <c r="AN11" s="2681"/>
      <c r="AO11" s="2681"/>
      <c r="AP11" s="2681"/>
      <c r="AQ11" s="2681"/>
      <c r="AR11" s="2681"/>
      <c r="AS11" s="2681"/>
      <c r="AT11" s="2681"/>
      <c r="AU11" s="2681"/>
      <c r="AV11" s="2681"/>
      <c r="AW11" s="2681"/>
      <c r="AX11" s="2681"/>
      <c r="AY11" s="2681"/>
      <c r="AZ11" s="2681"/>
      <c r="BA11" s="2681"/>
      <c r="BB11" s="2681"/>
      <c r="BC11" s="2681"/>
      <c r="BD11" s="2681"/>
      <c r="BE11" s="2681"/>
      <c r="BF11" s="2681"/>
      <c r="BG11" s="2681"/>
      <c r="BH11" s="2681"/>
      <c r="BI11" s="2681"/>
      <c r="BJ11" s="2681"/>
      <c r="BK11" s="2681"/>
      <c r="BL11" s="2681"/>
      <c r="BM11" s="2681"/>
      <c r="BN11" s="2681"/>
    </row>
    <row r="12" spans="1:66" s="2689" customFormat="1" ht="14.25" customHeight="1">
      <c r="A12" s="2683"/>
      <c r="B12" s="2684" t="s">
        <v>11</v>
      </c>
      <c r="C12" s="2685"/>
      <c r="D12" s="2686">
        <f t="shared" ref="D12:N12" si="6">SUM(D13:D15)</f>
        <v>14131859</v>
      </c>
      <c r="E12" s="2686">
        <f t="shared" si="6"/>
        <v>2568301</v>
      </c>
      <c r="F12" s="2686">
        <f t="shared" si="6"/>
        <v>1642862</v>
      </c>
      <c r="G12" s="2686">
        <f t="shared" si="6"/>
        <v>2445117</v>
      </c>
      <c r="H12" s="2686">
        <f t="shared" si="6"/>
        <v>2777306</v>
      </c>
      <c r="I12" s="2686">
        <f t="shared" si="6"/>
        <v>2561464</v>
      </c>
      <c r="J12" s="2686">
        <f t="shared" si="6"/>
        <v>808164</v>
      </c>
      <c r="K12" s="2686">
        <f t="shared" si="6"/>
        <v>739309</v>
      </c>
      <c r="L12" s="2686">
        <f t="shared" si="6"/>
        <v>589336</v>
      </c>
      <c r="M12" s="2687">
        <f t="shared" si="6"/>
        <v>9875654</v>
      </c>
      <c r="N12" s="2687">
        <f t="shared" si="6"/>
        <v>8525347</v>
      </c>
      <c r="O12" s="2688"/>
      <c r="Q12" s="2665"/>
    </row>
    <row r="13" spans="1:66" s="2689" customFormat="1" ht="14.25" customHeight="1">
      <c r="A13" s="2690"/>
      <c r="B13" s="2691" t="s">
        <v>12</v>
      </c>
      <c r="C13" s="2692"/>
      <c r="D13" s="2693">
        <f t="shared" ref="D13:L13" si="7">+D46+D71+D80+D89+D98</f>
        <v>740904</v>
      </c>
      <c r="E13" s="2693">
        <f t="shared" si="7"/>
        <v>29465</v>
      </c>
      <c r="F13" s="2693">
        <f t="shared" si="7"/>
        <v>0</v>
      </c>
      <c r="G13" s="2693">
        <f t="shared" si="7"/>
        <v>95117</v>
      </c>
      <c r="H13" s="2693">
        <f>+H46+H71+H80+H89+H98</f>
        <v>113306</v>
      </c>
      <c r="I13" s="2693">
        <f t="shared" si="7"/>
        <v>229464</v>
      </c>
      <c r="J13" s="2693">
        <f t="shared" si="7"/>
        <v>110329</v>
      </c>
      <c r="K13" s="2693">
        <f t="shared" si="7"/>
        <v>141733</v>
      </c>
      <c r="L13" s="2693">
        <f t="shared" si="7"/>
        <v>21490</v>
      </c>
      <c r="M13" s="2694">
        <f t="shared" ref="M13:N13" si="8">+M46+M71+M80</f>
        <v>146536</v>
      </c>
      <c r="N13" s="2694">
        <f t="shared" si="8"/>
        <v>146536</v>
      </c>
      <c r="O13" s="2688"/>
      <c r="P13" s="2695"/>
      <c r="Q13" s="2696"/>
    </row>
    <row r="14" spans="1:66" s="2689" customFormat="1" ht="13.5" customHeight="1" outlineLevel="1">
      <c r="A14" s="2690"/>
      <c r="B14" s="2697" t="s">
        <v>13</v>
      </c>
      <c r="C14" s="2692"/>
      <c r="D14" s="2693">
        <f>+D47+D60</f>
        <v>13390955</v>
      </c>
      <c r="E14" s="2693">
        <f t="shared" ref="E14:L14" si="9">+E47+E60</f>
        <v>2538836</v>
      </c>
      <c r="F14" s="2693">
        <f t="shared" si="9"/>
        <v>1642862</v>
      </c>
      <c r="G14" s="2693">
        <f t="shared" si="9"/>
        <v>2350000</v>
      </c>
      <c r="H14" s="2693">
        <f t="shared" si="9"/>
        <v>2664000</v>
      </c>
      <c r="I14" s="2693">
        <f t="shared" si="9"/>
        <v>2332000</v>
      </c>
      <c r="J14" s="2693">
        <f t="shared" si="9"/>
        <v>697835</v>
      </c>
      <c r="K14" s="2693">
        <f t="shared" si="9"/>
        <v>597576</v>
      </c>
      <c r="L14" s="2693">
        <f t="shared" si="9"/>
        <v>567846</v>
      </c>
      <c r="M14" s="2694">
        <f>+M47</f>
        <v>9729118</v>
      </c>
      <c r="N14" s="2694">
        <f>+N47</f>
        <v>8378811</v>
      </c>
      <c r="O14" s="2688"/>
      <c r="P14" s="2695">
        <f>D14-D23</f>
        <v>0</v>
      </c>
      <c r="Q14" s="2696"/>
    </row>
    <row r="15" spans="1:66" s="2689" customFormat="1" ht="14.25" hidden="1" customHeight="1" outlineLevel="1">
      <c r="A15" s="2690"/>
      <c r="B15" s="2691" t="s">
        <v>16</v>
      </c>
      <c r="C15" s="2698"/>
      <c r="D15" s="2693">
        <f>+D35</f>
        <v>0</v>
      </c>
      <c r="E15" s="2693">
        <f t="shared" ref="E15:L15" si="10">+E35</f>
        <v>0</v>
      </c>
      <c r="F15" s="2693">
        <f t="shared" si="10"/>
        <v>0</v>
      </c>
      <c r="G15" s="2693">
        <f t="shared" si="10"/>
        <v>0</v>
      </c>
      <c r="H15" s="2693">
        <f t="shared" si="10"/>
        <v>0</v>
      </c>
      <c r="I15" s="2693">
        <f t="shared" si="10"/>
        <v>0</v>
      </c>
      <c r="J15" s="2693">
        <f t="shared" si="10"/>
        <v>0</v>
      </c>
      <c r="K15" s="2693">
        <f t="shared" si="10"/>
        <v>0</v>
      </c>
      <c r="L15" s="2693">
        <f t="shared" si="10"/>
        <v>0</v>
      </c>
      <c r="M15" s="2694">
        <f>+M35</f>
        <v>0</v>
      </c>
      <c r="N15" s="2694">
        <f>+N35</f>
        <v>0</v>
      </c>
      <c r="O15" s="2688"/>
      <c r="P15" s="2695">
        <f>D15-D25</f>
        <v>0</v>
      </c>
      <c r="Q15" s="2696"/>
    </row>
    <row r="16" spans="1:66" s="2689" customFormat="1" ht="14.25" customHeight="1" outlineLevel="1">
      <c r="A16" s="2683"/>
      <c r="B16" s="2699" t="s">
        <v>18</v>
      </c>
      <c r="C16" s="2700"/>
      <c r="D16" s="2701">
        <f>+D18+D19+D20+D17</f>
        <v>29347791</v>
      </c>
      <c r="E16" s="2701">
        <f t="shared" ref="E16:L16" si="11">+E18+E19+E20+E17</f>
        <v>4925402</v>
      </c>
      <c r="F16" s="2701">
        <f t="shared" si="11"/>
        <v>3240053</v>
      </c>
      <c r="G16" s="2701">
        <f t="shared" si="11"/>
        <v>5088993</v>
      </c>
      <c r="H16" s="2701">
        <f t="shared" si="11"/>
        <v>5678062</v>
      </c>
      <c r="I16" s="2701">
        <f t="shared" si="11"/>
        <v>5568297</v>
      </c>
      <c r="J16" s="2701">
        <f t="shared" si="11"/>
        <v>1860606</v>
      </c>
      <c r="K16" s="2701">
        <f t="shared" si="11"/>
        <v>1863158</v>
      </c>
      <c r="L16" s="2701">
        <f t="shared" si="11"/>
        <v>1123220</v>
      </c>
      <c r="M16" s="2702">
        <f>+M18+M19+M20+M17</f>
        <v>17852272</v>
      </c>
      <c r="N16" s="2702">
        <f>+N18+N19+N20+N17</f>
        <v>15489886</v>
      </c>
      <c r="O16" s="2688"/>
      <c r="P16" s="2696">
        <f>D18-D29</f>
        <v>0</v>
      </c>
      <c r="Q16" s="2696"/>
    </row>
    <row r="17" spans="1:17" s="2689" customFormat="1" ht="14.25" hidden="1" customHeight="1" outlineLevel="1">
      <c r="A17" s="2683"/>
      <c r="B17" s="2691" t="s">
        <v>12</v>
      </c>
      <c r="C17" s="2685"/>
      <c r="D17" s="2693"/>
      <c r="E17" s="2693"/>
      <c r="F17" s="2693"/>
      <c r="G17" s="2693"/>
      <c r="H17" s="2693"/>
      <c r="I17" s="2693"/>
      <c r="J17" s="2693"/>
      <c r="K17" s="2693"/>
      <c r="L17" s="2693"/>
      <c r="M17" s="2694"/>
      <c r="N17" s="2694"/>
      <c r="O17" s="2688"/>
      <c r="P17" s="2696"/>
      <c r="Q17" s="2696"/>
    </row>
    <row r="18" spans="1:17" s="2689" customFormat="1" ht="14.25" customHeight="1" outlineLevel="1">
      <c r="A18" s="2683"/>
      <c r="B18" s="2697" t="s">
        <v>21</v>
      </c>
      <c r="C18" s="2692"/>
      <c r="D18" s="2693">
        <f t="shared" ref="D18:L18" si="12">+D49+D73+D82+D62+D91+D100</f>
        <v>29347791</v>
      </c>
      <c r="E18" s="2693">
        <f t="shared" si="12"/>
        <v>4925402</v>
      </c>
      <c r="F18" s="2693">
        <f t="shared" si="12"/>
        <v>3240053</v>
      </c>
      <c r="G18" s="2693">
        <f t="shared" si="12"/>
        <v>5088993</v>
      </c>
      <c r="H18" s="2693">
        <f t="shared" si="12"/>
        <v>5678062</v>
      </c>
      <c r="I18" s="2693">
        <f t="shared" si="12"/>
        <v>5568297</v>
      </c>
      <c r="J18" s="2693">
        <f t="shared" si="12"/>
        <v>1860606</v>
      </c>
      <c r="K18" s="2693">
        <f t="shared" si="12"/>
        <v>1863158</v>
      </c>
      <c r="L18" s="2693">
        <f t="shared" si="12"/>
        <v>1123220</v>
      </c>
      <c r="M18" s="2694">
        <f>+M49+M73+M82</f>
        <v>17852272</v>
      </c>
      <c r="N18" s="2694">
        <f>+N49+N73+N82</f>
        <v>15489886</v>
      </c>
      <c r="O18" s="2688"/>
      <c r="P18" s="2695"/>
      <c r="Q18" s="2696"/>
    </row>
    <row r="19" spans="1:17" s="2689" customFormat="1" ht="14.25" hidden="1" customHeight="1" outlineLevel="1">
      <c r="A19" s="2683"/>
      <c r="B19" s="2691" t="s">
        <v>14</v>
      </c>
      <c r="C19" s="2703"/>
      <c r="D19" s="2693"/>
      <c r="E19" s="2693"/>
      <c r="F19" s="2693"/>
      <c r="G19" s="2693"/>
      <c r="H19" s="2693"/>
      <c r="I19" s="2693"/>
      <c r="J19" s="2693"/>
      <c r="K19" s="2693"/>
      <c r="L19" s="2693"/>
      <c r="M19" s="2694"/>
      <c r="N19" s="2694"/>
      <c r="O19" s="2688"/>
      <c r="P19" s="2695"/>
      <c r="Q19" s="2696"/>
    </row>
    <row r="20" spans="1:17" s="2689" customFormat="1" ht="14.25" hidden="1" customHeight="1" outlineLevel="1">
      <c r="A20" s="2683"/>
      <c r="B20" s="2697" t="s">
        <v>20</v>
      </c>
      <c r="C20" s="2703"/>
      <c r="D20" s="2693">
        <f>+D37</f>
        <v>0</v>
      </c>
      <c r="E20" s="2693">
        <f t="shared" ref="E20:L20" si="13">+E37</f>
        <v>0</v>
      </c>
      <c r="F20" s="2693">
        <f t="shared" si="13"/>
        <v>0</v>
      </c>
      <c r="G20" s="2693">
        <f t="shared" si="13"/>
        <v>0</v>
      </c>
      <c r="H20" s="2693">
        <f t="shared" si="13"/>
        <v>0</v>
      </c>
      <c r="I20" s="2693">
        <f t="shared" si="13"/>
        <v>0</v>
      </c>
      <c r="J20" s="2693">
        <f t="shared" si="13"/>
        <v>0</v>
      </c>
      <c r="K20" s="2693">
        <f t="shared" si="13"/>
        <v>0</v>
      </c>
      <c r="L20" s="2693">
        <f t="shared" si="13"/>
        <v>0</v>
      </c>
      <c r="M20" s="2694">
        <f>+M37</f>
        <v>0</v>
      </c>
      <c r="N20" s="2694">
        <f>+N37</f>
        <v>0</v>
      </c>
      <c r="O20" s="2704"/>
      <c r="P20" s="2695"/>
      <c r="Q20" s="2696"/>
    </row>
    <row r="21" spans="1:17" s="2689" customFormat="1" ht="14.25" customHeight="1" outlineLevel="1">
      <c r="A21" s="2666"/>
      <c r="B21" s="2674" t="s">
        <v>22</v>
      </c>
      <c r="C21" s="2705"/>
      <c r="D21" s="2706">
        <f>+D22+D28</f>
        <v>42738746</v>
      </c>
      <c r="E21" s="2706">
        <f t="shared" ref="E21:L21" si="14">+E22+E28</f>
        <v>7444603</v>
      </c>
      <c r="F21" s="2706">
        <f t="shared" si="14"/>
        <v>4882915</v>
      </c>
      <c r="G21" s="2706">
        <f t="shared" si="14"/>
        <v>7458628</v>
      </c>
      <c r="H21" s="2706">
        <f t="shared" si="14"/>
        <v>8342062</v>
      </c>
      <c r="I21" s="2706">
        <f t="shared" si="14"/>
        <v>7900297</v>
      </c>
      <c r="J21" s="2706">
        <f t="shared" si="14"/>
        <v>2558441</v>
      </c>
      <c r="K21" s="2706">
        <f t="shared" si="14"/>
        <v>2460734</v>
      </c>
      <c r="L21" s="2706">
        <f t="shared" si="14"/>
        <v>1691066</v>
      </c>
      <c r="M21" s="4368" t="s">
        <v>61</v>
      </c>
      <c r="N21" s="4368" t="s">
        <v>61</v>
      </c>
      <c r="O21" s="2707"/>
      <c r="P21" s="2696">
        <f>D31-D20-D17</f>
        <v>0</v>
      </c>
    </row>
    <row r="22" spans="1:17" s="2689" customFormat="1" ht="14.25" customHeight="1" outlineLevel="1">
      <c r="A22" s="2683"/>
      <c r="B22" s="2684" t="s">
        <v>11</v>
      </c>
      <c r="C22" s="2685"/>
      <c r="D22" s="2686">
        <f t="shared" ref="D22:L22" si="15">SUM(D23:D27)</f>
        <v>13390955</v>
      </c>
      <c r="E22" s="2686">
        <f t="shared" si="15"/>
        <v>2538836</v>
      </c>
      <c r="F22" s="2686">
        <f t="shared" si="15"/>
        <v>1642862</v>
      </c>
      <c r="G22" s="2686">
        <f t="shared" si="15"/>
        <v>2350000</v>
      </c>
      <c r="H22" s="2686">
        <f t="shared" si="15"/>
        <v>2664000</v>
      </c>
      <c r="I22" s="2686">
        <f t="shared" si="15"/>
        <v>2332000</v>
      </c>
      <c r="J22" s="2686">
        <f t="shared" si="15"/>
        <v>697835</v>
      </c>
      <c r="K22" s="2686">
        <f t="shared" si="15"/>
        <v>597576</v>
      </c>
      <c r="L22" s="2686">
        <f t="shared" si="15"/>
        <v>567846</v>
      </c>
      <c r="M22" s="4369"/>
      <c r="N22" s="4369"/>
      <c r="O22" s="2688"/>
      <c r="P22" s="2696"/>
    </row>
    <row r="23" spans="1:17" s="2689" customFormat="1" ht="14.25" customHeight="1" outlineLevel="1">
      <c r="A23" s="2690"/>
      <c r="B23" s="2697" t="s">
        <v>13</v>
      </c>
      <c r="C23" s="2698"/>
      <c r="D23" s="2693">
        <f>+D52+D65</f>
        <v>13390955</v>
      </c>
      <c r="E23" s="2693">
        <f t="shared" ref="E23:L23" si="16">+E52+E65</f>
        <v>2538836</v>
      </c>
      <c r="F23" s="2693">
        <f t="shared" si="16"/>
        <v>1642862</v>
      </c>
      <c r="G23" s="2693">
        <f t="shared" si="16"/>
        <v>2350000</v>
      </c>
      <c r="H23" s="2693">
        <f t="shared" si="16"/>
        <v>2664000</v>
      </c>
      <c r="I23" s="2693">
        <f t="shared" si="16"/>
        <v>2332000</v>
      </c>
      <c r="J23" s="2693">
        <f t="shared" si="16"/>
        <v>697835</v>
      </c>
      <c r="K23" s="2693">
        <f t="shared" si="16"/>
        <v>597576</v>
      </c>
      <c r="L23" s="2693">
        <f t="shared" si="16"/>
        <v>567846</v>
      </c>
      <c r="M23" s="4369"/>
      <c r="N23" s="4369"/>
      <c r="O23" s="2688"/>
      <c r="P23" s="2696">
        <f>D23-D14</f>
        <v>0</v>
      </c>
    </row>
    <row r="24" spans="1:17" s="2689" customFormat="1" ht="14.25" hidden="1" customHeight="1" outlineLevel="1">
      <c r="A24" s="2690"/>
      <c r="B24" s="2691" t="s">
        <v>14</v>
      </c>
      <c r="C24" s="2692"/>
      <c r="D24" s="2693"/>
      <c r="E24" s="2693"/>
      <c r="F24" s="2693"/>
      <c r="G24" s="2693"/>
      <c r="H24" s="2693"/>
      <c r="I24" s="2693"/>
      <c r="J24" s="2693"/>
      <c r="K24" s="2693"/>
      <c r="L24" s="2693"/>
      <c r="M24" s="4369"/>
      <c r="N24" s="4369"/>
      <c r="O24" s="2688"/>
      <c r="P24" s="2696" t="e">
        <f>D24-#REF!</f>
        <v>#REF!</v>
      </c>
    </row>
    <row r="25" spans="1:17" s="2689" customFormat="1" ht="14.25" hidden="1" customHeight="1" outlineLevel="1">
      <c r="A25" s="2690"/>
      <c r="B25" s="2691" t="s">
        <v>62</v>
      </c>
      <c r="C25" s="2692"/>
      <c r="D25" s="2693">
        <f>+D40</f>
        <v>0</v>
      </c>
      <c r="E25" s="2693">
        <f t="shared" ref="E25:L25" si="17">+E40</f>
        <v>0</v>
      </c>
      <c r="F25" s="2693">
        <f t="shared" si="17"/>
        <v>0</v>
      </c>
      <c r="G25" s="2693">
        <f t="shared" si="17"/>
        <v>0</v>
      </c>
      <c r="H25" s="2693">
        <f t="shared" si="17"/>
        <v>0</v>
      </c>
      <c r="I25" s="2693">
        <f t="shared" si="17"/>
        <v>0</v>
      </c>
      <c r="J25" s="2693">
        <f t="shared" si="17"/>
        <v>0</v>
      </c>
      <c r="K25" s="2693">
        <f t="shared" si="17"/>
        <v>0</v>
      </c>
      <c r="L25" s="2693">
        <f t="shared" si="17"/>
        <v>0</v>
      </c>
      <c r="M25" s="4369"/>
      <c r="N25" s="4369"/>
      <c r="O25" s="2688"/>
      <c r="P25" s="2696">
        <f>D25-D15</f>
        <v>0</v>
      </c>
    </row>
    <row r="26" spans="1:17" s="2689" customFormat="1" ht="14.25" hidden="1" customHeight="1" outlineLevel="1">
      <c r="A26" s="2690"/>
      <c r="B26" s="2691" t="s">
        <v>25</v>
      </c>
      <c r="C26" s="2692"/>
      <c r="D26" s="2693"/>
      <c r="E26" s="2693"/>
      <c r="F26" s="2693"/>
      <c r="G26" s="2693"/>
      <c r="H26" s="2693"/>
      <c r="I26" s="2693"/>
      <c r="J26" s="2693"/>
      <c r="K26" s="2693"/>
      <c r="L26" s="2693"/>
      <c r="M26" s="4369"/>
      <c r="N26" s="4369"/>
      <c r="O26" s="2688"/>
    </row>
    <row r="27" spans="1:17" s="2689" customFormat="1" ht="12.75" hidden="1" customHeight="1" outlineLevel="1">
      <c r="A27" s="2690"/>
      <c r="B27" s="2666" t="s">
        <v>12</v>
      </c>
      <c r="C27" s="2708"/>
      <c r="D27" s="2709"/>
      <c r="E27" s="2709"/>
      <c r="F27" s="2709"/>
      <c r="G27" s="2709"/>
      <c r="H27" s="2709"/>
      <c r="I27" s="2709"/>
      <c r="J27" s="2709"/>
      <c r="K27" s="2709"/>
      <c r="L27" s="2709"/>
      <c r="M27" s="4369"/>
      <c r="N27" s="4369"/>
      <c r="O27" s="2688"/>
    </row>
    <row r="28" spans="1:17" s="2689" customFormat="1" ht="14.25" customHeight="1" outlineLevel="1">
      <c r="A28" s="2683"/>
      <c r="B28" s="2699" t="s">
        <v>18</v>
      </c>
      <c r="C28" s="2710"/>
      <c r="D28" s="2701">
        <f>+D29+D31+D30</f>
        <v>29347791</v>
      </c>
      <c r="E28" s="2701">
        <f t="shared" ref="E28:L28" si="18">+E29+E31+E30</f>
        <v>4905767</v>
      </c>
      <c r="F28" s="2701">
        <f t="shared" si="18"/>
        <v>3240053</v>
      </c>
      <c r="G28" s="2701">
        <f t="shared" si="18"/>
        <v>5108628</v>
      </c>
      <c r="H28" s="2701">
        <f t="shared" si="18"/>
        <v>5678062</v>
      </c>
      <c r="I28" s="2701">
        <f t="shared" si="18"/>
        <v>5568297</v>
      </c>
      <c r="J28" s="2701">
        <f t="shared" si="18"/>
        <v>1860606</v>
      </c>
      <c r="K28" s="2701">
        <f t="shared" si="18"/>
        <v>1863158</v>
      </c>
      <c r="L28" s="2701">
        <f t="shared" si="18"/>
        <v>1123220</v>
      </c>
      <c r="M28" s="4369"/>
      <c r="N28" s="4369"/>
      <c r="O28" s="2688"/>
    </row>
    <row r="29" spans="1:17" s="2689" customFormat="1" ht="14.25" customHeight="1" outlineLevel="1" thickBot="1">
      <c r="A29" s="2690"/>
      <c r="B29" s="2697" t="s">
        <v>21</v>
      </c>
      <c r="C29" s="2711"/>
      <c r="D29" s="2693">
        <f t="shared" ref="D29:L29" si="19">D55+D67+D76+D85+D94+D103</f>
        <v>29347791</v>
      </c>
      <c r="E29" s="2693">
        <f t="shared" si="19"/>
        <v>4905767</v>
      </c>
      <c r="F29" s="2693">
        <f t="shared" si="19"/>
        <v>3240053</v>
      </c>
      <c r="G29" s="2693">
        <f>G55+G67+G76+G85+G94+G103</f>
        <v>5108628</v>
      </c>
      <c r="H29" s="2693">
        <f t="shared" si="19"/>
        <v>5678062</v>
      </c>
      <c r="I29" s="2693">
        <f t="shared" si="19"/>
        <v>5568297</v>
      </c>
      <c r="J29" s="2693">
        <f t="shared" si="19"/>
        <v>1860606</v>
      </c>
      <c r="K29" s="2693">
        <f>K55+K67+K76+K85+K94+K103</f>
        <v>1863158</v>
      </c>
      <c r="L29" s="2693">
        <f t="shared" si="19"/>
        <v>1123220</v>
      </c>
      <c r="M29" s="4369"/>
      <c r="N29" s="4369"/>
      <c r="O29" s="2688"/>
      <c r="P29" s="2696">
        <f>D29-D18</f>
        <v>0</v>
      </c>
    </row>
    <row r="30" spans="1:17" s="2689" customFormat="1" ht="14.25" hidden="1" customHeight="1" outlineLevel="1">
      <c r="A30" s="2690"/>
      <c r="B30" s="2691" t="s">
        <v>14</v>
      </c>
      <c r="C30" s="2711"/>
      <c r="D30" s="2693"/>
      <c r="E30" s="2693"/>
      <c r="F30" s="2693"/>
      <c r="G30" s="2693"/>
      <c r="H30" s="2693"/>
      <c r="I30" s="2693"/>
      <c r="J30" s="2693"/>
      <c r="K30" s="2693"/>
      <c r="L30" s="2693"/>
      <c r="M30" s="4369"/>
      <c r="N30" s="4369"/>
      <c r="O30" s="2688"/>
      <c r="P30" s="2696">
        <f>D30-D19</f>
        <v>0</v>
      </c>
      <c r="Q30" s="2696"/>
    </row>
    <row r="31" spans="1:17" s="2689" customFormat="1" ht="14.25" hidden="1" customHeight="1" collapsed="1" thickBot="1">
      <c r="A31" s="2712"/>
      <c r="B31" s="2713" t="s">
        <v>20</v>
      </c>
      <c r="C31" s="2714"/>
      <c r="D31" s="2715">
        <f>+D42</f>
        <v>0</v>
      </c>
      <c r="E31" s="2715">
        <f t="shared" ref="E31:L31" si="20">+E42</f>
        <v>0</v>
      </c>
      <c r="F31" s="2715">
        <f t="shared" si="20"/>
        <v>0</v>
      </c>
      <c r="G31" s="2715">
        <f t="shared" si="20"/>
        <v>0</v>
      </c>
      <c r="H31" s="2715">
        <f t="shared" si="20"/>
        <v>0</v>
      </c>
      <c r="I31" s="2715">
        <f t="shared" si="20"/>
        <v>0</v>
      </c>
      <c r="J31" s="2715">
        <f t="shared" si="20"/>
        <v>0</v>
      </c>
      <c r="K31" s="2715">
        <f t="shared" si="20"/>
        <v>0</v>
      </c>
      <c r="L31" s="2715">
        <f t="shared" si="20"/>
        <v>0</v>
      </c>
      <c r="M31" s="4370"/>
      <c r="N31" s="4370"/>
      <c r="O31" s="2716"/>
      <c r="P31" s="2696">
        <f>D31-D20-D17</f>
        <v>0</v>
      </c>
    </row>
    <row r="32" spans="1:17" s="2722" customFormat="1" ht="12.75" hidden="1" thickBot="1">
      <c r="A32" s="4399"/>
      <c r="B32" s="2717"/>
      <c r="C32" s="2718" t="s">
        <v>82</v>
      </c>
      <c r="D32" s="2718"/>
      <c r="E32" s="2719"/>
      <c r="F32" s="2720"/>
      <c r="G32" s="2720"/>
      <c r="H32" s="2720"/>
      <c r="I32" s="2720"/>
      <c r="J32" s="2720"/>
      <c r="K32" s="2720"/>
      <c r="L32" s="2720"/>
      <c r="M32" s="2721"/>
      <c r="N32" s="2721"/>
      <c r="O32" s="4348" t="s">
        <v>566</v>
      </c>
    </row>
    <row r="33" spans="1:15" s="2722" customFormat="1" ht="14.25" hidden="1" customHeight="1">
      <c r="A33" s="4400"/>
      <c r="B33" s="2723" t="s">
        <v>10</v>
      </c>
      <c r="C33" s="2724"/>
      <c r="D33" s="2725">
        <f t="shared" ref="D33" si="21">+D34+D36</f>
        <v>0</v>
      </c>
      <c r="E33" s="2726">
        <f t="shared" ref="E33" si="22">+E34+E36</f>
        <v>0</v>
      </c>
      <c r="F33" s="2727">
        <f>+F34+F36</f>
        <v>0</v>
      </c>
      <c r="G33" s="2727">
        <f>+G34+G36</f>
        <v>0</v>
      </c>
      <c r="H33" s="2727">
        <f>+H34+H36</f>
        <v>0</v>
      </c>
      <c r="I33" s="2728"/>
      <c r="J33" s="2728"/>
      <c r="K33" s="2728"/>
      <c r="L33" s="2728"/>
      <c r="M33" s="2729">
        <f>+M34+M36</f>
        <v>0</v>
      </c>
      <c r="N33" s="2729">
        <f>+N34+N36</f>
        <v>0</v>
      </c>
      <c r="O33" s="4349"/>
    </row>
    <row r="34" spans="1:15" s="2722" customFormat="1" ht="14.25" hidden="1" customHeight="1">
      <c r="A34" s="4400"/>
      <c r="B34" s="2730" t="s">
        <v>11</v>
      </c>
      <c r="C34" s="4351" t="s">
        <v>167</v>
      </c>
      <c r="D34" s="2731">
        <f>D35</f>
        <v>0</v>
      </c>
      <c r="E34" s="2732">
        <f t="shared" ref="E34" si="23">E35</f>
        <v>0</v>
      </c>
      <c r="F34" s="2733">
        <f>F35</f>
        <v>0</v>
      </c>
      <c r="G34" s="2733">
        <f>G35</f>
        <v>0</v>
      </c>
      <c r="H34" s="2733">
        <f>H35</f>
        <v>0</v>
      </c>
      <c r="I34" s="2731"/>
      <c r="J34" s="2731"/>
      <c r="K34" s="2731"/>
      <c r="L34" s="2731"/>
      <c r="M34" s="2734">
        <f>M35</f>
        <v>0</v>
      </c>
      <c r="N34" s="2734">
        <f>N35</f>
        <v>0</v>
      </c>
      <c r="O34" s="4349"/>
    </row>
    <row r="35" spans="1:15" s="2741" customFormat="1" ht="12.75" hidden="1" thickBot="1">
      <c r="A35" s="4400"/>
      <c r="B35" s="2735" t="s">
        <v>62</v>
      </c>
      <c r="C35" s="4352"/>
      <c r="D35" s="2736">
        <f>E35+F35+G35+H35+I35+J35+K35+L35</f>
        <v>0</v>
      </c>
      <c r="E35" s="2737"/>
      <c r="F35" s="2738"/>
      <c r="G35" s="2738"/>
      <c r="H35" s="2738"/>
      <c r="I35" s="2739"/>
      <c r="J35" s="2739"/>
      <c r="K35" s="2739"/>
      <c r="L35" s="2739"/>
      <c r="M35" s="2740">
        <f>SUM(F35:K35)</f>
        <v>0</v>
      </c>
      <c r="N35" s="2740">
        <f>SUM(G35:L35)</f>
        <v>0</v>
      </c>
      <c r="O35" s="4349"/>
    </row>
    <row r="36" spans="1:15" s="2722" customFormat="1" ht="14.25" hidden="1" customHeight="1">
      <c r="A36" s="4400"/>
      <c r="B36" s="2742" t="s">
        <v>18</v>
      </c>
      <c r="C36" s="4352"/>
      <c r="D36" s="2743">
        <f>D37</f>
        <v>0</v>
      </c>
      <c r="E36" s="2744">
        <f t="shared" ref="E36:H36" si="24">E37</f>
        <v>0</v>
      </c>
      <c r="F36" s="2733">
        <f t="shared" si="24"/>
        <v>0</v>
      </c>
      <c r="G36" s="2745">
        <f t="shared" si="24"/>
        <v>0</v>
      </c>
      <c r="H36" s="2745">
        <f t="shared" si="24"/>
        <v>0</v>
      </c>
      <c r="I36" s="2743"/>
      <c r="J36" s="2743"/>
      <c r="K36" s="2743"/>
      <c r="L36" s="2743"/>
      <c r="M36" s="2734">
        <f>M37</f>
        <v>0</v>
      </c>
      <c r="N36" s="2734">
        <f>N37</f>
        <v>0</v>
      </c>
      <c r="O36" s="4349"/>
    </row>
    <row r="37" spans="1:15" s="2722" customFormat="1" ht="12.75" hidden="1" thickBot="1">
      <c r="A37" s="4400"/>
      <c r="B37" s="2746" t="s">
        <v>20</v>
      </c>
      <c r="C37" s="4352"/>
      <c r="D37" s="2736">
        <f>E37+F37+G37+H37+I37+J37+K37+L37</f>
        <v>0</v>
      </c>
      <c r="E37" s="2737"/>
      <c r="F37" s="2747"/>
      <c r="G37" s="2748"/>
      <c r="H37" s="2748"/>
      <c r="I37" s="2749"/>
      <c r="J37" s="2749"/>
      <c r="K37" s="2749"/>
      <c r="L37" s="2749"/>
      <c r="M37" s="2740">
        <f>SUM(F37:K37)</f>
        <v>0</v>
      </c>
      <c r="N37" s="2740">
        <f>SUM(G37:L37)</f>
        <v>0</v>
      </c>
      <c r="O37" s="4349"/>
    </row>
    <row r="38" spans="1:15" s="2752" customFormat="1" ht="14.25" hidden="1" customHeight="1">
      <c r="A38" s="4400"/>
      <c r="B38" s="2723" t="s">
        <v>22</v>
      </c>
      <c r="C38" s="2724"/>
      <c r="D38" s="2750">
        <f t="shared" ref="D38" si="25">+D39+D42</f>
        <v>0</v>
      </c>
      <c r="E38" s="2751">
        <f t="shared" ref="E38" si="26">+E39+E42</f>
        <v>0</v>
      </c>
      <c r="F38" s="2727">
        <f>+F39+F42</f>
        <v>0</v>
      </c>
      <c r="G38" s="2727">
        <f>+G39+G42</f>
        <v>0</v>
      </c>
      <c r="H38" s="2728">
        <f>+H39+H42</f>
        <v>0</v>
      </c>
      <c r="I38" s="2728"/>
      <c r="J38" s="2728"/>
      <c r="K38" s="2728"/>
      <c r="L38" s="2728"/>
      <c r="M38" s="4354" t="s">
        <v>61</v>
      </c>
      <c r="N38" s="4354" t="s">
        <v>61</v>
      </c>
      <c r="O38" s="4349"/>
    </row>
    <row r="39" spans="1:15" s="2722" customFormat="1" ht="14.25" hidden="1" customHeight="1">
      <c r="A39" s="4400"/>
      <c r="B39" s="2730" t="s">
        <v>11</v>
      </c>
      <c r="C39" s="4351" t="s">
        <v>167</v>
      </c>
      <c r="D39" s="2731">
        <f>D40</f>
        <v>0</v>
      </c>
      <c r="E39" s="2732">
        <f t="shared" ref="E39:H39" si="27">E40</f>
        <v>0</v>
      </c>
      <c r="F39" s="2733">
        <f t="shared" si="27"/>
        <v>0</v>
      </c>
      <c r="G39" s="2733">
        <f t="shared" si="27"/>
        <v>0</v>
      </c>
      <c r="H39" s="2731">
        <f t="shared" si="27"/>
        <v>0</v>
      </c>
      <c r="I39" s="2731"/>
      <c r="J39" s="2731"/>
      <c r="K39" s="2731"/>
      <c r="L39" s="2731"/>
      <c r="M39" s="4354"/>
      <c r="N39" s="4354"/>
      <c r="O39" s="4349"/>
    </row>
    <row r="40" spans="1:15" s="2722" customFormat="1" ht="12.75" hidden="1" customHeight="1">
      <c r="A40" s="4400"/>
      <c r="B40" s="2746" t="s">
        <v>16</v>
      </c>
      <c r="C40" s="4352"/>
      <c r="D40" s="2736">
        <f>E40+F40+G40+H40+I40+J40+K40+L40</f>
        <v>0</v>
      </c>
      <c r="E40" s="2738"/>
      <c r="F40" s="2738"/>
      <c r="G40" s="2738"/>
      <c r="H40" s="2739"/>
      <c r="I40" s="2739"/>
      <c r="J40" s="2739"/>
      <c r="K40" s="2739"/>
      <c r="L40" s="2739"/>
      <c r="M40" s="4354"/>
      <c r="N40" s="4354"/>
      <c r="O40" s="4349"/>
    </row>
    <row r="41" spans="1:15" s="2722" customFormat="1" ht="14.25" hidden="1" customHeight="1">
      <c r="A41" s="4400"/>
      <c r="B41" s="2742" t="s">
        <v>18</v>
      </c>
      <c r="C41" s="4352"/>
      <c r="D41" s="2731">
        <f>D42</f>
        <v>0</v>
      </c>
      <c r="E41" s="2732">
        <f t="shared" ref="E41:H41" si="28">E42</f>
        <v>0</v>
      </c>
      <c r="F41" s="2733">
        <f t="shared" si="28"/>
        <v>0</v>
      </c>
      <c r="G41" s="2733">
        <f t="shared" si="28"/>
        <v>0</v>
      </c>
      <c r="H41" s="2731">
        <f t="shared" si="28"/>
        <v>0</v>
      </c>
      <c r="I41" s="2731"/>
      <c r="J41" s="2731"/>
      <c r="K41" s="2731"/>
      <c r="L41" s="2731"/>
      <c r="M41" s="4354"/>
      <c r="N41" s="4354"/>
      <c r="O41" s="4349"/>
    </row>
    <row r="42" spans="1:15" s="2722" customFormat="1" ht="12.75" hidden="1" thickBot="1">
      <c r="A42" s="4401"/>
      <c r="B42" s="2753" t="s">
        <v>20</v>
      </c>
      <c r="C42" s="4353"/>
      <c r="D42" s="2754">
        <f>E42+F42+G42+H42+I42+J42+K42+L42</f>
        <v>0</v>
      </c>
      <c r="E42" s="2755"/>
      <c r="F42" s="2756"/>
      <c r="G42" s="2757"/>
      <c r="H42" s="2758"/>
      <c r="I42" s="2758"/>
      <c r="J42" s="2758"/>
      <c r="K42" s="2758"/>
      <c r="L42" s="2758"/>
      <c r="M42" s="4355"/>
      <c r="N42" s="4355"/>
      <c r="O42" s="4350"/>
    </row>
    <row r="43" spans="1:15" ht="18.75" customHeight="1">
      <c r="A43" s="4399" t="s">
        <v>63</v>
      </c>
      <c r="B43" s="2717" t="s">
        <v>431</v>
      </c>
      <c r="C43" s="2759" t="s">
        <v>110</v>
      </c>
      <c r="D43" s="2759"/>
      <c r="E43" s="2759"/>
      <c r="F43" s="2719"/>
      <c r="G43" s="2719"/>
      <c r="H43" s="2719"/>
      <c r="I43" s="2719"/>
      <c r="J43" s="2719"/>
      <c r="K43" s="2719"/>
      <c r="L43" s="2719"/>
      <c r="M43" s="2760"/>
      <c r="N43" s="2760"/>
      <c r="O43" s="4376" t="s">
        <v>342</v>
      </c>
    </row>
    <row r="44" spans="1:15" ht="13.5" customHeight="1">
      <c r="A44" s="4400"/>
      <c r="B44" s="2723" t="s">
        <v>10</v>
      </c>
      <c r="C44" s="2761"/>
      <c r="D44" s="2750">
        <f t="shared" ref="D44:L44" si="29">+D45+D48</f>
        <v>32711308</v>
      </c>
      <c r="E44" s="2750">
        <f t="shared" ref="E44" si="30">+E45+E48</f>
        <v>5960282</v>
      </c>
      <c r="F44" s="2728">
        <f t="shared" si="29"/>
        <v>3712693</v>
      </c>
      <c r="G44" s="2728">
        <f t="shared" si="29"/>
        <v>5500000</v>
      </c>
      <c r="H44" s="2728">
        <f t="shared" si="29"/>
        <v>6500000</v>
      </c>
      <c r="I44" s="2728">
        <f t="shared" si="29"/>
        <v>6000000</v>
      </c>
      <c r="J44" s="2728">
        <f t="shared" si="29"/>
        <v>1883242</v>
      </c>
      <c r="K44" s="2728">
        <f t="shared" si="29"/>
        <v>1607578</v>
      </c>
      <c r="L44" s="2728">
        <f t="shared" si="29"/>
        <v>1547513</v>
      </c>
      <c r="M44" s="2762">
        <f>+M45+M48</f>
        <v>26751026</v>
      </c>
      <c r="N44" s="2762">
        <f>+N45+N48</f>
        <v>23038333</v>
      </c>
      <c r="O44" s="4377"/>
    </row>
    <row r="45" spans="1:15" ht="13.5" customHeight="1">
      <c r="A45" s="4400"/>
      <c r="B45" s="2730" t="s">
        <v>11</v>
      </c>
      <c r="C45" s="4379" t="s">
        <v>168</v>
      </c>
      <c r="D45" s="2743">
        <f>+D46+D47</f>
        <v>11896874</v>
      </c>
      <c r="E45" s="2743">
        <f t="shared" ref="E45" si="31">+E46+E47</f>
        <v>2167756</v>
      </c>
      <c r="F45" s="2731">
        <f t="shared" ref="F45:L45" si="32">+F46+F47</f>
        <v>1350307</v>
      </c>
      <c r="G45" s="2731">
        <f t="shared" si="32"/>
        <v>2000000</v>
      </c>
      <c r="H45" s="2731">
        <f t="shared" si="32"/>
        <v>2364000</v>
      </c>
      <c r="I45" s="2731">
        <f t="shared" si="32"/>
        <v>2182000</v>
      </c>
      <c r="J45" s="2731">
        <f t="shared" si="32"/>
        <v>685335</v>
      </c>
      <c r="K45" s="2731">
        <f t="shared" si="32"/>
        <v>585076</v>
      </c>
      <c r="L45" s="2731">
        <f t="shared" si="32"/>
        <v>562400</v>
      </c>
      <c r="M45" s="2763">
        <f>SUM(M46:M47)</f>
        <v>9729118</v>
      </c>
      <c r="N45" s="2763">
        <f>SUM(N46:N47)</f>
        <v>8378811</v>
      </c>
      <c r="O45" s="4377"/>
    </row>
    <row r="46" spans="1:15" ht="12.6" hidden="1" customHeight="1">
      <c r="A46" s="4400"/>
      <c r="B46" s="2746" t="s">
        <v>12</v>
      </c>
      <c r="C46" s="4379"/>
      <c r="D46" s="2764">
        <f>E46+F46+G46+H46+I46+J46+K46+L46</f>
        <v>0</v>
      </c>
      <c r="E46" s="2739">
        <v>0</v>
      </c>
      <c r="F46" s="2765">
        <f>450000-450000</f>
        <v>0</v>
      </c>
      <c r="G46" s="2765">
        <f>500000-500000</f>
        <v>0</v>
      </c>
      <c r="H46" s="2765">
        <v>0</v>
      </c>
      <c r="I46" s="2765"/>
      <c r="J46" s="2765"/>
      <c r="K46" s="2765"/>
      <c r="L46" s="2765"/>
      <c r="M46" s="2740">
        <f>SUM(F46:K46)</f>
        <v>0</v>
      </c>
      <c r="N46" s="2740">
        <f>SUM(G46:L46)</f>
        <v>0</v>
      </c>
      <c r="O46" s="4377"/>
    </row>
    <row r="47" spans="1:15" ht="13.5" customHeight="1">
      <c r="A47" s="4400"/>
      <c r="B47" s="2766" t="s">
        <v>243</v>
      </c>
      <c r="C47" s="4379"/>
      <c r="D47" s="2764">
        <f>E47+F47+G47+H47+I47+J47+K47+L47</f>
        <v>11896874</v>
      </c>
      <c r="E47" s="2739">
        <v>2167756</v>
      </c>
      <c r="F47" s="2765">
        <f>2546000-1636750+205354+303396-67693</f>
        <v>1350307</v>
      </c>
      <c r="G47" s="2765">
        <f>2910000-2000750-303396+585470+808676</f>
        <v>2000000</v>
      </c>
      <c r="H47" s="2765">
        <f>909250+1454750</f>
        <v>2364000</v>
      </c>
      <c r="I47" s="2765">
        <f>989414+1192586</f>
        <v>2182000</v>
      </c>
      <c r="J47" s="2765">
        <f>989414-404338+100259</f>
        <v>685335</v>
      </c>
      <c r="K47" s="2765">
        <f>989414-404338</f>
        <v>585076</v>
      </c>
      <c r="L47" s="2765">
        <f>494707+67693</f>
        <v>562400</v>
      </c>
      <c r="M47" s="2740">
        <f>SUM(F47:L47)</f>
        <v>9729118</v>
      </c>
      <c r="N47" s="2740">
        <f>SUM(G47:L47)</f>
        <v>8378811</v>
      </c>
      <c r="O47" s="4377"/>
    </row>
    <row r="48" spans="1:15" ht="13.5" customHeight="1">
      <c r="A48" s="4400"/>
      <c r="B48" s="2742" t="s">
        <v>18</v>
      </c>
      <c r="C48" s="4379"/>
      <c r="D48" s="2743">
        <f>+D49</f>
        <v>20814434</v>
      </c>
      <c r="E48" s="2743">
        <f t="shared" ref="E48:L48" si="33">+E49</f>
        <v>3792526</v>
      </c>
      <c r="F48" s="2743">
        <f t="shared" si="33"/>
        <v>2362386</v>
      </c>
      <c r="G48" s="2743">
        <f t="shared" si="33"/>
        <v>3500000</v>
      </c>
      <c r="H48" s="2743">
        <f t="shared" si="33"/>
        <v>4136000</v>
      </c>
      <c r="I48" s="2743">
        <f t="shared" si="33"/>
        <v>3818000</v>
      </c>
      <c r="J48" s="2743">
        <f t="shared" si="33"/>
        <v>1197907</v>
      </c>
      <c r="K48" s="2743">
        <f t="shared" si="33"/>
        <v>1022502</v>
      </c>
      <c r="L48" s="2743">
        <f t="shared" si="33"/>
        <v>985113</v>
      </c>
      <c r="M48" s="2767">
        <f>+M49</f>
        <v>17021908</v>
      </c>
      <c r="N48" s="2767">
        <f>+N49</f>
        <v>14659522</v>
      </c>
      <c r="O48" s="4377"/>
    </row>
    <row r="49" spans="1:16" ht="13.5" customHeight="1">
      <c r="A49" s="4400"/>
      <c r="B49" s="2766" t="s">
        <v>386</v>
      </c>
      <c r="C49" s="4379"/>
      <c r="D49" s="2764">
        <f>E49+F49+G49+H49+I49+J49+K49+L49</f>
        <v>20814434</v>
      </c>
      <c r="E49" s="2739">
        <v>3792526</v>
      </c>
      <c r="F49" s="2765">
        <f>4454000-2863250+358256+532994-119614</f>
        <v>2362386</v>
      </c>
      <c r="G49" s="2765">
        <f>5090000-3499250-532994+1025255+1416989</f>
        <v>3500000</v>
      </c>
      <c r="H49" s="2765">
        <f>1590750+2545250</f>
        <v>4136000</v>
      </c>
      <c r="I49" s="2765">
        <f>1730997+2087003</f>
        <v>3818000</v>
      </c>
      <c r="J49" s="2765">
        <f>1730997-708494+175404</f>
        <v>1197907</v>
      </c>
      <c r="K49" s="2765">
        <f>1730997-708495</f>
        <v>1022502</v>
      </c>
      <c r="L49" s="2765">
        <f>865499+119614</f>
        <v>985113</v>
      </c>
      <c r="M49" s="2740">
        <f>SUM(F49:L49)</f>
        <v>17021908</v>
      </c>
      <c r="N49" s="2740">
        <f>SUM(G49:L49)</f>
        <v>14659522</v>
      </c>
      <c r="O49" s="4377"/>
      <c r="P49" s="2641">
        <f>D55-D49</f>
        <v>0</v>
      </c>
    </row>
    <row r="50" spans="1:16" s="2768" customFormat="1" ht="14.25" customHeight="1">
      <c r="A50" s="4400"/>
      <c r="B50" s="2723" t="s">
        <v>22</v>
      </c>
      <c r="C50" s="2761"/>
      <c r="D50" s="2728">
        <f>+D51+D54</f>
        <v>32711308</v>
      </c>
      <c r="E50" s="2728">
        <f t="shared" ref="E50" si="34">+E51+E54</f>
        <v>5960282</v>
      </c>
      <c r="F50" s="2728">
        <f t="shared" ref="F50:L50" si="35">+F51+F54</f>
        <v>3712693</v>
      </c>
      <c r="G50" s="2728">
        <f t="shared" si="35"/>
        <v>5500000</v>
      </c>
      <c r="H50" s="2728">
        <f t="shared" si="35"/>
        <v>6500000</v>
      </c>
      <c r="I50" s="2728">
        <f t="shared" si="35"/>
        <v>6000000</v>
      </c>
      <c r="J50" s="2728">
        <f t="shared" si="35"/>
        <v>1883242</v>
      </c>
      <c r="K50" s="2728">
        <f t="shared" si="35"/>
        <v>1607578</v>
      </c>
      <c r="L50" s="2728">
        <f t="shared" si="35"/>
        <v>1547513</v>
      </c>
      <c r="M50" s="4382" t="s">
        <v>61</v>
      </c>
      <c r="N50" s="4382" t="s">
        <v>61</v>
      </c>
      <c r="O50" s="4377"/>
    </row>
    <row r="51" spans="1:16" s="2768" customFormat="1" ht="13.5" customHeight="1">
      <c r="A51" s="4400"/>
      <c r="B51" s="2730" t="s">
        <v>11</v>
      </c>
      <c r="C51" s="4380" t="s">
        <v>168</v>
      </c>
      <c r="D51" s="2743">
        <f>+D52</f>
        <v>11896874</v>
      </c>
      <c r="E51" s="2743">
        <f t="shared" ref="E51:L51" si="36">+E52</f>
        <v>2167756</v>
      </c>
      <c r="F51" s="2731">
        <f t="shared" si="36"/>
        <v>1350307</v>
      </c>
      <c r="G51" s="2731">
        <f t="shared" si="36"/>
        <v>2000000</v>
      </c>
      <c r="H51" s="2731">
        <f t="shared" si="36"/>
        <v>2364000</v>
      </c>
      <c r="I51" s="2731">
        <f t="shared" si="36"/>
        <v>2182000</v>
      </c>
      <c r="J51" s="2731">
        <f t="shared" si="36"/>
        <v>685335</v>
      </c>
      <c r="K51" s="2731">
        <f t="shared" si="36"/>
        <v>585076</v>
      </c>
      <c r="L51" s="2731">
        <f t="shared" si="36"/>
        <v>562400</v>
      </c>
      <c r="M51" s="4382"/>
      <c r="N51" s="4382"/>
      <c r="O51" s="4377"/>
    </row>
    <row r="52" spans="1:16" s="2768" customFormat="1" ht="12.75" customHeight="1">
      <c r="A52" s="4400"/>
      <c r="B52" s="2766" t="s">
        <v>243</v>
      </c>
      <c r="C52" s="4380"/>
      <c r="D52" s="2764">
        <f>E52+F52+G52+H52+I52+J52+K52+L52</f>
        <v>11896874</v>
      </c>
      <c r="E52" s="2739">
        <v>2167756</v>
      </c>
      <c r="F52" s="2765">
        <f>2546000-1636750+205354+303396-67693</f>
        <v>1350307</v>
      </c>
      <c r="G52" s="2765">
        <f>2910000-2000750-303396+585470+808676</f>
        <v>2000000</v>
      </c>
      <c r="H52" s="2765">
        <f>909250+1454750</f>
        <v>2364000</v>
      </c>
      <c r="I52" s="2765">
        <f>989414+1192586</f>
        <v>2182000</v>
      </c>
      <c r="J52" s="2765">
        <f>989414-404338+100259</f>
        <v>685335</v>
      </c>
      <c r="K52" s="2765">
        <f>989414-404338</f>
        <v>585076</v>
      </c>
      <c r="L52" s="2765">
        <f>494707+67693</f>
        <v>562400</v>
      </c>
      <c r="M52" s="4382"/>
      <c r="N52" s="4382"/>
      <c r="O52" s="4377"/>
    </row>
    <row r="53" spans="1:16" s="2768" customFormat="1" ht="13.5" hidden="1" customHeight="1">
      <c r="A53" s="4400"/>
      <c r="B53" s="2746" t="s">
        <v>25</v>
      </c>
      <c r="C53" s="4380"/>
      <c r="D53" s="2764">
        <f>E53+F53+G53+H53+I53+J53+K53+L53</f>
        <v>0</v>
      </c>
      <c r="E53" s="2739">
        <v>0</v>
      </c>
      <c r="F53" s="2765"/>
      <c r="G53" s="2765"/>
      <c r="H53" s="2765"/>
      <c r="I53" s="2765"/>
      <c r="J53" s="2765"/>
      <c r="K53" s="2765"/>
      <c r="L53" s="2765"/>
      <c r="M53" s="4382"/>
      <c r="N53" s="4382"/>
      <c r="O53" s="4377"/>
    </row>
    <row r="54" spans="1:16" s="2768" customFormat="1" ht="12.75" customHeight="1">
      <c r="A54" s="4400"/>
      <c r="B54" s="2742" t="s">
        <v>18</v>
      </c>
      <c r="C54" s="4380"/>
      <c r="D54" s="2743">
        <f>+D55</f>
        <v>20814434</v>
      </c>
      <c r="E54" s="2743">
        <f t="shared" ref="E54:L54" si="37">+E55</f>
        <v>3792526</v>
      </c>
      <c r="F54" s="2731">
        <f t="shared" si="37"/>
        <v>2362386</v>
      </c>
      <c r="G54" s="2731">
        <f t="shared" si="37"/>
        <v>3500000</v>
      </c>
      <c r="H54" s="2731">
        <f t="shared" si="37"/>
        <v>4136000</v>
      </c>
      <c r="I54" s="2731">
        <f t="shared" si="37"/>
        <v>3818000</v>
      </c>
      <c r="J54" s="2731">
        <f t="shared" si="37"/>
        <v>1197907</v>
      </c>
      <c r="K54" s="2731">
        <f t="shared" si="37"/>
        <v>1022502</v>
      </c>
      <c r="L54" s="2731">
        <f t="shared" si="37"/>
        <v>985113</v>
      </c>
      <c r="M54" s="4382"/>
      <c r="N54" s="4382"/>
      <c r="O54" s="4377"/>
    </row>
    <row r="55" spans="1:16" s="2768" customFormat="1" ht="12.75" customHeight="1" thickBot="1">
      <c r="A55" s="4401"/>
      <c r="B55" s="2769" t="s">
        <v>386</v>
      </c>
      <c r="C55" s="4381"/>
      <c r="D55" s="2764">
        <f>E55+F55+G55+H55+I55+J55+K55+L55</f>
        <v>20814434</v>
      </c>
      <c r="E55" s="2770">
        <v>3792526</v>
      </c>
      <c r="F55" s="2771">
        <f>4454000-2863250+358256+532994-119614</f>
        <v>2362386</v>
      </c>
      <c r="G55" s="2771">
        <f>5090000-3499250-532994+1025255+1416989</f>
        <v>3500000</v>
      </c>
      <c r="H55" s="2771">
        <f>1590750+2545250</f>
        <v>4136000</v>
      </c>
      <c r="I55" s="2771">
        <f>1730997+2087003</f>
        <v>3818000</v>
      </c>
      <c r="J55" s="2771">
        <f>1730997-708494+175404</f>
        <v>1197907</v>
      </c>
      <c r="K55" s="2771">
        <f>1730997-708495</f>
        <v>1022502</v>
      </c>
      <c r="L55" s="2771">
        <f>865499+119614</f>
        <v>985113</v>
      </c>
      <c r="M55" s="4383"/>
      <c r="N55" s="4383"/>
      <c r="O55" s="4378"/>
    </row>
    <row r="56" spans="1:16" ht="11.25" hidden="1" customHeight="1" thickBot="1">
      <c r="A56" s="2772"/>
      <c r="B56" s="2773" t="s">
        <v>20</v>
      </c>
      <c r="C56" s="2774"/>
      <c r="D56" s="2775">
        <f>E56+F56+G56+H56+I56+J56+K56+L56</f>
        <v>0</v>
      </c>
      <c r="E56" s="2776"/>
      <c r="F56" s="2776"/>
      <c r="G56" s="2776"/>
      <c r="H56" s="2776"/>
      <c r="I56" s="2776"/>
      <c r="J56" s="2776"/>
      <c r="K56" s="2776"/>
      <c r="L56" s="2776"/>
      <c r="M56" s="2777"/>
      <c r="N56" s="2777"/>
      <c r="O56" s="2778"/>
    </row>
    <row r="57" spans="1:16" s="2768" customFormat="1" ht="27" customHeight="1">
      <c r="A57" s="4400" t="s">
        <v>64</v>
      </c>
      <c r="B57" s="2779" t="s">
        <v>688</v>
      </c>
      <c r="C57" s="2780" t="s">
        <v>110</v>
      </c>
      <c r="D57" s="2780"/>
      <c r="E57" s="2780"/>
      <c r="F57" s="2781"/>
      <c r="G57" s="2781"/>
      <c r="H57" s="2781"/>
      <c r="I57" s="2781"/>
      <c r="J57" s="2781"/>
      <c r="K57" s="2781"/>
      <c r="L57" s="2781"/>
      <c r="M57" s="2782"/>
      <c r="N57" s="2782"/>
      <c r="O57" s="4377" t="s">
        <v>325</v>
      </c>
    </row>
    <row r="58" spans="1:16" s="2768" customFormat="1" ht="13.5" customHeight="1">
      <c r="A58" s="4400"/>
      <c r="B58" s="2723" t="s">
        <v>10</v>
      </c>
      <c r="C58" s="2761"/>
      <c r="D58" s="2750">
        <f t="shared" ref="D58:N58" si="38">+D59+D61</f>
        <v>5976322</v>
      </c>
      <c r="E58" s="2750">
        <f t="shared" si="38"/>
        <v>1484321</v>
      </c>
      <c r="F58" s="2728">
        <f t="shared" si="38"/>
        <v>1170222</v>
      </c>
      <c r="G58" s="2728">
        <f t="shared" si="38"/>
        <v>1400000</v>
      </c>
      <c r="H58" s="2728">
        <f t="shared" si="38"/>
        <v>1200000</v>
      </c>
      <c r="I58" s="2728">
        <f t="shared" si="38"/>
        <v>600000</v>
      </c>
      <c r="J58" s="2728">
        <f t="shared" si="38"/>
        <v>50000</v>
      </c>
      <c r="K58" s="2728">
        <f t="shared" si="38"/>
        <v>50000</v>
      </c>
      <c r="L58" s="2728">
        <f t="shared" si="38"/>
        <v>21779</v>
      </c>
      <c r="M58" s="2762">
        <f t="shared" si="38"/>
        <v>4492001</v>
      </c>
      <c r="N58" s="2762">
        <f t="shared" si="38"/>
        <v>3321779</v>
      </c>
      <c r="O58" s="4377"/>
    </row>
    <row r="59" spans="1:16" s="2768" customFormat="1" ht="13.5" customHeight="1">
      <c r="A59" s="4400"/>
      <c r="B59" s="2730" t="s">
        <v>11</v>
      </c>
      <c r="C59" s="4379" t="s">
        <v>686</v>
      </c>
      <c r="D59" s="2743">
        <f>+D60</f>
        <v>1494081</v>
      </c>
      <c r="E59" s="2743">
        <f t="shared" ref="E59:K59" si="39">+E60</f>
        <v>371080</v>
      </c>
      <c r="F59" s="2743">
        <f t="shared" si="39"/>
        <v>292555</v>
      </c>
      <c r="G59" s="2743">
        <f t="shared" si="39"/>
        <v>350000</v>
      </c>
      <c r="H59" s="2743">
        <f t="shared" si="39"/>
        <v>300000</v>
      </c>
      <c r="I59" s="2743">
        <f t="shared" si="39"/>
        <v>150000</v>
      </c>
      <c r="J59" s="2743">
        <f t="shared" si="39"/>
        <v>12500</v>
      </c>
      <c r="K59" s="2743">
        <f t="shared" si="39"/>
        <v>12500</v>
      </c>
      <c r="L59" s="2743">
        <f>+L60</f>
        <v>5446</v>
      </c>
      <c r="M59" s="2763">
        <f>SUM(M60:M60)</f>
        <v>1123001</v>
      </c>
      <c r="N59" s="2763">
        <f>SUM(N60:N60)</f>
        <v>830446</v>
      </c>
      <c r="O59" s="4377"/>
    </row>
    <row r="60" spans="1:16" s="2768" customFormat="1" ht="13.5" customHeight="1">
      <c r="A60" s="4400"/>
      <c r="B60" s="2766" t="s">
        <v>243</v>
      </c>
      <c r="C60" s="4379"/>
      <c r="D60" s="2764">
        <f>E60+F60+G60+H60+I60+J60+K60+L60</f>
        <v>1494081</v>
      </c>
      <c r="E60" s="2739">
        <v>371080</v>
      </c>
      <c r="F60" s="2765">
        <v>292555</v>
      </c>
      <c r="G60" s="2765">
        <v>350000</v>
      </c>
      <c r="H60" s="2765">
        <v>300000</v>
      </c>
      <c r="I60" s="2765">
        <v>150000</v>
      </c>
      <c r="J60" s="2765">
        <v>12500</v>
      </c>
      <c r="K60" s="2765">
        <v>12500</v>
      </c>
      <c r="L60" s="2765">
        <v>5446</v>
      </c>
      <c r="M60" s="2740">
        <f>SUM(F60:L60)</f>
        <v>1123001</v>
      </c>
      <c r="N60" s="2740">
        <f>SUM(G60:L60)</f>
        <v>830446</v>
      </c>
      <c r="O60" s="4377"/>
    </row>
    <row r="61" spans="1:16" s="2768" customFormat="1" ht="13.5" customHeight="1">
      <c r="A61" s="4400"/>
      <c r="B61" s="2742" t="s">
        <v>18</v>
      </c>
      <c r="C61" s="4379"/>
      <c r="D61" s="2743">
        <f>+D62</f>
        <v>4482241</v>
      </c>
      <c r="E61" s="2743">
        <f t="shared" ref="E61:L61" si="40">+E62</f>
        <v>1113241</v>
      </c>
      <c r="F61" s="2743">
        <f t="shared" si="40"/>
        <v>877667</v>
      </c>
      <c r="G61" s="2743">
        <f t="shared" si="40"/>
        <v>1050000</v>
      </c>
      <c r="H61" s="2743">
        <f t="shared" si="40"/>
        <v>900000</v>
      </c>
      <c r="I61" s="2743">
        <f t="shared" si="40"/>
        <v>450000</v>
      </c>
      <c r="J61" s="2743">
        <f t="shared" si="40"/>
        <v>37500</v>
      </c>
      <c r="K61" s="2743">
        <f t="shared" si="40"/>
        <v>37500</v>
      </c>
      <c r="L61" s="2743">
        <f t="shared" si="40"/>
        <v>16333</v>
      </c>
      <c r="M61" s="2767">
        <f>+M62</f>
        <v>3369000</v>
      </c>
      <c r="N61" s="2767">
        <f>+N62</f>
        <v>2491333</v>
      </c>
      <c r="O61" s="4377"/>
    </row>
    <row r="62" spans="1:16" s="2768" customFormat="1" ht="13.5" customHeight="1">
      <c r="A62" s="4400"/>
      <c r="B62" s="2766" t="s">
        <v>386</v>
      </c>
      <c r="C62" s="4379"/>
      <c r="D62" s="2764">
        <f>E62+F62+G62+H62+I62+J62+K62+L62</f>
        <v>4482241</v>
      </c>
      <c r="E62" s="2739">
        <v>1113241</v>
      </c>
      <c r="F62" s="2765">
        <v>877667</v>
      </c>
      <c r="G62" s="2765">
        <v>1050000</v>
      </c>
      <c r="H62" s="2765">
        <v>900000</v>
      </c>
      <c r="I62" s="2765">
        <v>450000</v>
      </c>
      <c r="J62" s="2765">
        <v>37500</v>
      </c>
      <c r="K62" s="2765">
        <v>37500</v>
      </c>
      <c r="L62" s="2765">
        <v>16333</v>
      </c>
      <c r="M62" s="2740">
        <f>SUM(F62:L62)</f>
        <v>3369000</v>
      </c>
      <c r="N62" s="2740">
        <f>SUM(G62:L62)</f>
        <v>2491333</v>
      </c>
      <c r="O62" s="4377"/>
    </row>
    <row r="63" spans="1:16" s="2768" customFormat="1" ht="13.5" customHeight="1">
      <c r="A63" s="4400"/>
      <c r="B63" s="2723" t="s">
        <v>22</v>
      </c>
      <c r="C63" s="2761"/>
      <c r="D63" s="2728">
        <f t="shared" ref="D63:L63" si="41">+D64+D66</f>
        <v>5976322</v>
      </c>
      <c r="E63" s="2728">
        <f t="shared" si="41"/>
        <v>1484321</v>
      </c>
      <c r="F63" s="2728">
        <f t="shared" si="41"/>
        <v>1170222</v>
      </c>
      <c r="G63" s="2728">
        <f t="shared" si="41"/>
        <v>1400000</v>
      </c>
      <c r="H63" s="2728">
        <f t="shared" si="41"/>
        <v>1200000</v>
      </c>
      <c r="I63" s="2728">
        <f t="shared" si="41"/>
        <v>600000</v>
      </c>
      <c r="J63" s="2728">
        <f t="shared" si="41"/>
        <v>50000</v>
      </c>
      <c r="K63" s="2728">
        <f t="shared" si="41"/>
        <v>50000</v>
      </c>
      <c r="L63" s="2728">
        <f t="shared" si="41"/>
        <v>21779</v>
      </c>
      <c r="M63" s="4382" t="s">
        <v>61</v>
      </c>
      <c r="N63" s="4382" t="s">
        <v>61</v>
      </c>
      <c r="O63" s="4377"/>
    </row>
    <row r="64" spans="1:16" s="2768" customFormat="1" ht="13.5" customHeight="1">
      <c r="A64" s="4400"/>
      <c r="B64" s="2730" t="s">
        <v>11</v>
      </c>
      <c r="C64" s="4380" t="s">
        <v>686</v>
      </c>
      <c r="D64" s="2743">
        <f>+D65</f>
        <v>1494081</v>
      </c>
      <c r="E64" s="2743">
        <f t="shared" ref="E64:L64" si="42">+E65</f>
        <v>371080</v>
      </c>
      <c r="F64" s="2743">
        <f t="shared" si="42"/>
        <v>292555</v>
      </c>
      <c r="G64" s="2743">
        <f t="shared" si="42"/>
        <v>350000</v>
      </c>
      <c r="H64" s="2743">
        <f t="shared" si="42"/>
        <v>300000</v>
      </c>
      <c r="I64" s="2743">
        <f t="shared" si="42"/>
        <v>150000</v>
      </c>
      <c r="J64" s="2743">
        <f t="shared" si="42"/>
        <v>12500</v>
      </c>
      <c r="K64" s="2743">
        <f t="shared" si="42"/>
        <v>12500</v>
      </c>
      <c r="L64" s="2743">
        <f t="shared" si="42"/>
        <v>5446</v>
      </c>
      <c r="M64" s="4382"/>
      <c r="N64" s="4382"/>
      <c r="O64" s="4377"/>
    </row>
    <row r="65" spans="1:16" s="2768" customFormat="1" ht="13.5" customHeight="1">
      <c r="A65" s="4400"/>
      <c r="B65" s="2766" t="s">
        <v>243</v>
      </c>
      <c r="C65" s="4380"/>
      <c r="D65" s="2764">
        <f>E65+F65+G65+H65+I65+J65+K65+L65</f>
        <v>1494081</v>
      </c>
      <c r="E65" s="2739">
        <v>371080</v>
      </c>
      <c r="F65" s="2739">
        <v>292555</v>
      </c>
      <c r="G65" s="2739">
        <v>350000</v>
      </c>
      <c r="H65" s="2739">
        <v>300000</v>
      </c>
      <c r="I65" s="2739">
        <v>150000</v>
      </c>
      <c r="J65" s="2739">
        <v>12500</v>
      </c>
      <c r="K65" s="2739">
        <v>12500</v>
      </c>
      <c r="L65" s="2739">
        <v>5446</v>
      </c>
      <c r="M65" s="4382"/>
      <c r="N65" s="4382"/>
      <c r="O65" s="4377"/>
    </row>
    <row r="66" spans="1:16" s="2768" customFormat="1" ht="13.5" customHeight="1">
      <c r="A66" s="4400"/>
      <c r="B66" s="2742" t="s">
        <v>18</v>
      </c>
      <c r="C66" s="4380"/>
      <c r="D66" s="2743">
        <f>+D67</f>
        <v>4482241</v>
      </c>
      <c r="E66" s="2743">
        <f t="shared" ref="E66:L66" si="43">+E67</f>
        <v>1113241</v>
      </c>
      <c r="F66" s="2743">
        <f t="shared" si="43"/>
        <v>877667</v>
      </c>
      <c r="G66" s="2743">
        <f t="shared" si="43"/>
        <v>1050000</v>
      </c>
      <c r="H66" s="2743">
        <f t="shared" si="43"/>
        <v>900000</v>
      </c>
      <c r="I66" s="2743">
        <f t="shared" si="43"/>
        <v>450000</v>
      </c>
      <c r="J66" s="2743">
        <f t="shared" si="43"/>
        <v>37500</v>
      </c>
      <c r="K66" s="2743">
        <f t="shared" si="43"/>
        <v>37500</v>
      </c>
      <c r="L66" s="2743">
        <f t="shared" si="43"/>
        <v>16333</v>
      </c>
      <c r="M66" s="4382"/>
      <c r="N66" s="4382"/>
      <c r="O66" s="4377"/>
    </row>
    <row r="67" spans="1:16" s="2768" customFormat="1" ht="13.5" customHeight="1" thickBot="1">
      <c r="A67" s="4401"/>
      <c r="B67" s="2769" t="s">
        <v>386</v>
      </c>
      <c r="C67" s="4381"/>
      <c r="D67" s="2783">
        <f>E67+F67+G67+H67+I67+J67+K67+L67</f>
        <v>4482241</v>
      </c>
      <c r="E67" s="2770">
        <v>1113241</v>
      </c>
      <c r="F67" s="2770">
        <v>877667</v>
      </c>
      <c r="G67" s="2770">
        <v>1050000</v>
      </c>
      <c r="H67" s="2770">
        <v>900000</v>
      </c>
      <c r="I67" s="2770">
        <v>450000</v>
      </c>
      <c r="J67" s="2770">
        <v>37500</v>
      </c>
      <c r="K67" s="2770">
        <v>37500</v>
      </c>
      <c r="L67" s="2770">
        <v>16333</v>
      </c>
      <c r="M67" s="4383"/>
      <c r="N67" s="4383"/>
      <c r="O67" s="4378"/>
    </row>
    <row r="68" spans="1:16" ht="52.5" customHeight="1">
      <c r="A68" s="4400" t="s">
        <v>65</v>
      </c>
      <c r="B68" s="2784" t="s">
        <v>594</v>
      </c>
      <c r="C68" s="2785" t="s">
        <v>82</v>
      </c>
      <c r="D68" s="2786"/>
      <c r="E68" s="2787"/>
      <c r="F68" s="2788"/>
      <c r="G68" s="2788"/>
      <c r="H68" s="2788"/>
      <c r="I68" s="2789"/>
      <c r="J68" s="2789"/>
      <c r="K68" s="2789"/>
      <c r="L68" s="2789"/>
      <c r="M68" s="2790"/>
      <c r="N68" s="2790"/>
      <c r="O68" s="4336" t="s">
        <v>428</v>
      </c>
    </row>
    <row r="69" spans="1:16" ht="15.75" customHeight="1">
      <c r="A69" s="4400"/>
      <c r="B69" s="2791" t="s">
        <v>10</v>
      </c>
      <c r="C69" s="2792"/>
      <c r="D69" s="2750">
        <f>+D70+D72</f>
        <v>1016020</v>
      </c>
      <c r="E69" s="2750">
        <f>+E70+E72</f>
        <v>49100</v>
      </c>
      <c r="F69" s="2750">
        <f>+F70+F72</f>
        <v>0</v>
      </c>
      <c r="G69" s="2750">
        <f t="shared" ref="G69:I69" si="44">+G70+G72</f>
        <v>443730</v>
      </c>
      <c r="H69" s="2750">
        <f t="shared" si="44"/>
        <v>344790</v>
      </c>
      <c r="I69" s="2750">
        <f t="shared" si="44"/>
        <v>178400</v>
      </c>
      <c r="J69" s="2750">
        <v>0</v>
      </c>
      <c r="K69" s="2750">
        <v>0</v>
      </c>
      <c r="L69" s="2750">
        <v>0</v>
      </c>
      <c r="M69" s="2793">
        <f>+M70+M72</f>
        <v>966920</v>
      </c>
      <c r="N69" s="2793">
        <f>+N70+N72</f>
        <v>966920</v>
      </c>
      <c r="O69" s="4337"/>
      <c r="P69" s="2635" t="s">
        <v>512</v>
      </c>
    </row>
    <row r="70" spans="1:16" ht="12.75" customHeight="1">
      <c r="A70" s="4400"/>
      <c r="B70" s="2794" t="s">
        <v>24</v>
      </c>
      <c r="C70" s="4339" t="s">
        <v>223</v>
      </c>
      <c r="D70" s="2795">
        <f>+D71</f>
        <v>174504</v>
      </c>
      <c r="E70" s="2796">
        <f>+E71</f>
        <v>29465</v>
      </c>
      <c r="F70" s="2796">
        <f>+F71</f>
        <v>0</v>
      </c>
      <c r="G70" s="2796">
        <f>+G71</f>
        <v>66560</v>
      </c>
      <c r="H70" s="2796">
        <f t="shared" ref="H70:I70" si="45">+H71</f>
        <v>51719</v>
      </c>
      <c r="I70" s="2796">
        <f t="shared" si="45"/>
        <v>26760</v>
      </c>
      <c r="J70" s="2797">
        <v>0</v>
      </c>
      <c r="K70" s="2797">
        <v>0</v>
      </c>
      <c r="L70" s="2797">
        <v>0</v>
      </c>
      <c r="M70" s="2798">
        <f>+M71</f>
        <v>145039</v>
      </c>
      <c r="N70" s="2798">
        <f>+N71</f>
        <v>145039</v>
      </c>
      <c r="O70" s="4337"/>
    </row>
    <row r="71" spans="1:16" ht="12.75" customHeight="1">
      <c r="A71" s="4400"/>
      <c r="B71" s="2799" t="s">
        <v>12</v>
      </c>
      <c r="C71" s="4340"/>
      <c r="D71" s="2736">
        <f>E71+F71+G71+H71+I71+J71+K71+L71</f>
        <v>174504</v>
      </c>
      <c r="E71" s="2736">
        <v>29465</v>
      </c>
      <c r="F71" s="2800">
        <f>16229-16229</f>
        <v>0</v>
      </c>
      <c r="G71" s="2800">
        <f>53796+12764</f>
        <v>66560</v>
      </c>
      <c r="H71" s="2800">
        <v>51719</v>
      </c>
      <c r="I71" s="2800">
        <v>26760</v>
      </c>
      <c r="J71" s="2797">
        <v>0</v>
      </c>
      <c r="K71" s="2797">
        <v>0</v>
      </c>
      <c r="L71" s="2797">
        <v>0</v>
      </c>
      <c r="M71" s="2801">
        <f>SUM(F71:K71)</f>
        <v>145039</v>
      </c>
      <c r="N71" s="2801">
        <f>SUM(G71:L71)</f>
        <v>145039</v>
      </c>
      <c r="O71" s="4337"/>
    </row>
    <row r="72" spans="1:16" ht="14.25" customHeight="1">
      <c r="A72" s="4400"/>
      <c r="B72" s="2802" t="s">
        <v>18</v>
      </c>
      <c r="C72" s="4340"/>
      <c r="D72" s="2795">
        <f>+D73</f>
        <v>841516</v>
      </c>
      <c r="E72" s="2796">
        <f>+E73</f>
        <v>19635</v>
      </c>
      <c r="F72" s="2796">
        <f>+F73</f>
        <v>0</v>
      </c>
      <c r="G72" s="2796">
        <f t="shared" ref="G72:I72" si="46">+G73</f>
        <v>377170</v>
      </c>
      <c r="H72" s="2796">
        <f t="shared" si="46"/>
        <v>293071</v>
      </c>
      <c r="I72" s="2796">
        <f t="shared" si="46"/>
        <v>151640</v>
      </c>
      <c r="J72" s="2797">
        <v>0</v>
      </c>
      <c r="K72" s="2797">
        <v>0</v>
      </c>
      <c r="L72" s="2797">
        <v>0</v>
      </c>
      <c r="M72" s="2798">
        <f>+M73</f>
        <v>821881</v>
      </c>
      <c r="N72" s="2798">
        <f>+N73</f>
        <v>821881</v>
      </c>
      <c r="O72" s="4337"/>
    </row>
    <row r="73" spans="1:16" ht="12.75" customHeight="1">
      <c r="A73" s="4400"/>
      <c r="B73" s="2803" t="s">
        <v>21</v>
      </c>
      <c r="C73" s="4341"/>
      <c r="D73" s="2736">
        <f>E73+F73+G73+H73+I73+J73+K73+L73</f>
        <v>841516</v>
      </c>
      <c r="E73" s="2804">
        <v>19635</v>
      </c>
      <c r="F73" s="2805">
        <f>91961-91961</f>
        <v>0</v>
      </c>
      <c r="G73" s="2805">
        <f>304844+72326</f>
        <v>377170</v>
      </c>
      <c r="H73" s="2805">
        <v>293071</v>
      </c>
      <c r="I73" s="2805">
        <v>151640</v>
      </c>
      <c r="J73" s="2797">
        <v>0</v>
      </c>
      <c r="K73" s="2797">
        <v>0</v>
      </c>
      <c r="L73" s="2797">
        <v>0</v>
      </c>
      <c r="M73" s="2801">
        <f>SUM(F73:K73)</f>
        <v>821881</v>
      </c>
      <c r="N73" s="2801">
        <f>SUM(G73:L73)</f>
        <v>821881</v>
      </c>
      <c r="O73" s="4338"/>
    </row>
    <row r="74" spans="1:16" ht="12" customHeight="1">
      <c r="A74" s="4400"/>
      <c r="B74" s="2791" t="s">
        <v>22</v>
      </c>
      <c r="C74" s="2792"/>
      <c r="D74" s="2750">
        <f t="shared" ref="D74:I75" si="47">+D75</f>
        <v>841516</v>
      </c>
      <c r="E74" s="2676">
        <f t="shared" si="47"/>
        <v>0</v>
      </c>
      <c r="F74" s="2676">
        <f t="shared" si="47"/>
        <v>0</v>
      </c>
      <c r="G74" s="2676">
        <f t="shared" si="47"/>
        <v>396805</v>
      </c>
      <c r="H74" s="2676">
        <f t="shared" si="47"/>
        <v>293071</v>
      </c>
      <c r="I74" s="2676">
        <f t="shared" si="47"/>
        <v>151640</v>
      </c>
      <c r="J74" s="2750">
        <v>0</v>
      </c>
      <c r="K74" s="2750">
        <v>0</v>
      </c>
      <c r="L74" s="2750">
        <v>0</v>
      </c>
      <c r="M74" s="4342"/>
      <c r="N74" s="4342"/>
      <c r="O74" s="4337" t="s">
        <v>231</v>
      </c>
    </row>
    <row r="75" spans="1:16" ht="13.5" customHeight="1">
      <c r="A75" s="4400"/>
      <c r="B75" s="2802" t="s">
        <v>18</v>
      </c>
      <c r="C75" s="4346" t="s">
        <v>226</v>
      </c>
      <c r="D75" s="2795">
        <f t="shared" si="47"/>
        <v>841516</v>
      </c>
      <c r="E75" s="2797">
        <f t="shared" si="47"/>
        <v>0</v>
      </c>
      <c r="F75" s="2797">
        <f t="shared" si="47"/>
        <v>0</v>
      </c>
      <c r="G75" s="2797">
        <f t="shared" si="47"/>
        <v>396805</v>
      </c>
      <c r="H75" s="2797">
        <f t="shared" si="47"/>
        <v>293071</v>
      </c>
      <c r="I75" s="2797">
        <f t="shared" si="47"/>
        <v>151640</v>
      </c>
      <c r="J75" s="2797">
        <v>0</v>
      </c>
      <c r="K75" s="2797">
        <v>0</v>
      </c>
      <c r="L75" s="2797">
        <v>0</v>
      </c>
      <c r="M75" s="4343"/>
      <c r="N75" s="4343"/>
      <c r="O75" s="4337"/>
    </row>
    <row r="76" spans="1:16" ht="13.5" customHeight="1" thickBot="1">
      <c r="A76" s="4401"/>
      <c r="B76" s="2806" t="s">
        <v>21</v>
      </c>
      <c r="C76" s="4347"/>
      <c r="D76" s="2736">
        <f>E76+F76+G76+H76+I76+J76+K76+L76</f>
        <v>841516</v>
      </c>
      <c r="E76" s="2736">
        <v>0</v>
      </c>
      <c r="F76" s="2807">
        <f>91961-91961</f>
        <v>0</v>
      </c>
      <c r="G76" s="2807">
        <f>304844+91961</f>
        <v>396805</v>
      </c>
      <c r="H76" s="2807">
        <v>293071</v>
      </c>
      <c r="I76" s="2807">
        <v>151640</v>
      </c>
      <c r="J76" s="2807">
        <v>0</v>
      </c>
      <c r="K76" s="2807">
        <v>0</v>
      </c>
      <c r="L76" s="2807">
        <v>0</v>
      </c>
      <c r="M76" s="4344"/>
      <c r="N76" s="4344"/>
      <c r="O76" s="4345"/>
    </row>
    <row r="77" spans="1:16" ht="50.25" customHeight="1">
      <c r="A77" s="4399" t="s">
        <v>66</v>
      </c>
      <c r="B77" s="2784" t="s">
        <v>707</v>
      </c>
      <c r="C77" s="2785" t="s">
        <v>172</v>
      </c>
      <c r="D77" s="2786"/>
      <c r="E77" s="2789"/>
      <c r="F77" s="2788"/>
      <c r="G77" s="2788"/>
      <c r="H77" s="2788"/>
      <c r="I77" s="2789"/>
      <c r="J77" s="2789"/>
      <c r="K77" s="2789"/>
      <c r="L77" s="2789"/>
      <c r="M77" s="2790"/>
      <c r="N77" s="2790"/>
      <c r="O77" s="4336" t="s">
        <v>428</v>
      </c>
    </row>
    <row r="78" spans="1:16" ht="13.5" customHeight="1">
      <c r="A78" s="4400"/>
      <c r="B78" s="2791" t="s">
        <v>10</v>
      </c>
      <c r="C78" s="2792"/>
      <c r="D78" s="2750">
        <f>+D79+D81</f>
        <v>9980</v>
      </c>
      <c r="E78" s="2750">
        <f>+E79+E81</f>
        <v>0</v>
      </c>
      <c r="F78" s="2750">
        <f>+F79+F81</f>
        <v>0</v>
      </c>
      <c r="G78" s="2750">
        <f t="shared" ref="G78:H78" si="48">+G79+G81</f>
        <v>6680</v>
      </c>
      <c r="H78" s="2750">
        <f t="shared" si="48"/>
        <v>3300</v>
      </c>
      <c r="I78" s="2750">
        <v>0</v>
      </c>
      <c r="J78" s="2750">
        <v>0</v>
      </c>
      <c r="K78" s="2750">
        <v>0</v>
      </c>
      <c r="L78" s="2750">
        <v>0</v>
      </c>
      <c r="M78" s="2793">
        <f>+M79+M81</f>
        <v>9980</v>
      </c>
      <c r="N78" s="2793">
        <f>+N79+N81</f>
        <v>9980</v>
      </c>
      <c r="O78" s="4337"/>
    </row>
    <row r="79" spans="1:16" ht="13.5" customHeight="1">
      <c r="A79" s="4400"/>
      <c r="B79" s="2794" t="s">
        <v>24</v>
      </c>
      <c r="C79" s="4339" t="s">
        <v>223</v>
      </c>
      <c r="D79" s="2795">
        <f>+D80</f>
        <v>1497</v>
      </c>
      <c r="E79" s="2796">
        <f>+E80</f>
        <v>0</v>
      </c>
      <c r="F79" s="2796">
        <f>+F80</f>
        <v>0</v>
      </c>
      <c r="G79" s="2796">
        <f t="shared" ref="G79:H79" si="49">+G80</f>
        <v>1002</v>
      </c>
      <c r="H79" s="2796">
        <f t="shared" si="49"/>
        <v>495</v>
      </c>
      <c r="I79" s="2797">
        <v>0</v>
      </c>
      <c r="J79" s="2797">
        <v>0</v>
      </c>
      <c r="K79" s="2797">
        <v>0</v>
      </c>
      <c r="L79" s="2797">
        <v>0</v>
      </c>
      <c r="M79" s="2798">
        <f>+M80</f>
        <v>1497</v>
      </c>
      <c r="N79" s="2798">
        <f>+N80</f>
        <v>1497</v>
      </c>
      <c r="O79" s="4337"/>
      <c r="P79" s="2635" t="s">
        <v>512</v>
      </c>
    </row>
    <row r="80" spans="1:16" ht="13.5" customHeight="1">
      <c r="A80" s="4400"/>
      <c r="B80" s="2799" t="s">
        <v>12</v>
      </c>
      <c r="C80" s="4340"/>
      <c r="D80" s="2736">
        <f>E80+F80+G80+H80+I80+J80+K80+L80</f>
        <v>1497</v>
      </c>
      <c r="E80" s="2736">
        <v>0</v>
      </c>
      <c r="F80" s="2800">
        <f>507-507</f>
        <v>0</v>
      </c>
      <c r="G80" s="2800">
        <f>495+507</f>
        <v>1002</v>
      </c>
      <c r="H80" s="2800">
        <v>495</v>
      </c>
      <c r="I80" s="2797">
        <v>0</v>
      </c>
      <c r="J80" s="2797">
        <v>0</v>
      </c>
      <c r="K80" s="2797">
        <v>0</v>
      </c>
      <c r="L80" s="2797">
        <v>0</v>
      </c>
      <c r="M80" s="2801">
        <f>SUM(F80:K80)</f>
        <v>1497</v>
      </c>
      <c r="N80" s="2801">
        <f>SUM(G80:L80)</f>
        <v>1497</v>
      </c>
      <c r="O80" s="4337"/>
    </row>
    <row r="81" spans="1:15" ht="13.5" customHeight="1">
      <c r="A81" s="4400"/>
      <c r="B81" s="2802" t="s">
        <v>18</v>
      </c>
      <c r="C81" s="4340"/>
      <c r="D81" s="2795">
        <f>+D82</f>
        <v>8483</v>
      </c>
      <c r="E81" s="2796">
        <f>+E82</f>
        <v>0</v>
      </c>
      <c r="F81" s="2796">
        <f>+F82</f>
        <v>0</v>
      </c>
      <c r="G81" s="2796">
        <f t="shared" ref="G81:H81" si="50">+G82</f>
        <v>5678</v>
      </c>
      <c r="H81" s="2796">
        <f t="shared" si="50"/>
        <v>2805</v>
      </c>
      <c r="I81" s="2797">
        <v>0</v>
      </c>
      <c r="J81" s="2797">
        <v>0</v>
      </c>
      <c r="K81" s="2797">
        <v>0</v>
      </c>
      <c r="L81" s="2797">
        <v>0</v>
      </c>
      <c r="M81" s="2798">
        <f>+M82</f>
        <v>8483</v>
      </c>
      <c r="N81" s="2798">
        <f>+N82</f>
        <v>8483</v>
      </c>
      <c r="O81" s="4337"/>
    </row>
    <row r="82" spans="1:15" ht="13.5" customHeight="1">
      <c r="A82" s="4400"/>
      <c r="B82" s="2803" t="s">
        <v>21</v>
      </c>
      <c r="C82" s="4341"/>
      <c r="D82" s="2736">
        <f>E82+F82+G82+H82+I82+J82+K82+L82</f>
        <v>8483</v>
      </c>
      <c r="E82" s="2736">
        <v>0</v>
      </c>
      <c r="F82" s="2800">
        <f>2873-2873</f>
        <v>0</v>
      </c>
      <c r="G82" s="2800">
        <f>2805+2873</f>
        <v>5678</v>
      </c>
      <c r="H82" s="2800">
        <v>2805</v>
      </c>
      <c r="I82" s="2797">
        <v>0</v>
      </c>
      <c r="J82" s="2797">
        <v>0</v>
      </c>
      <c r="K82" s="2797">
        <v>0</v>
      </c>
      <c r="L82" s="2797">
        <v>0</v>
      </c>
      <c r="M82" s="2801">
        <f>SUM(F82:K82)</f>
        <v>8483</v>
      </c>
      <c r="N82" s="2801">
        <f>SUM(G82:L82)</f>
        <v>8483</v>
      </c>
      <c r="O82" s="4338"/>
    </row>
    <row r="83" spans="1:15" ht="13.5" customHeight="1">
      <c r="A83" s="4400"/>
      <c r="B83" s="2791" t="s">
        <v>22</v>
      </c>
      <c r="C83" s="2792"/>
      <c r="D83" s="2750">
        <f t="shared" ref="D83:H84" si="51">+D84</f>
        <v>8483</v>
      </c>
      <c r="E83" s="2750">
        <f t="shared" si="51"/>
        <v>0</v>
      </c>
      <c r="F83" s="2750">
        <f t="shared" si="51"/>
        <v>0</v>
      </c>
      <c r="G83" s="2750">
        <f t="shared" si="51"/>
        <v>5678</v>
      </c>
      <c r="H83" s="2750">
        <f t="shared" si="51"/>
        <v>2805</v>
      </c>
      <c r="I83" s="2750">
        <v>0</v>
      </c>
      <c r="J83" s="2750">
        <v>0</v>
      </c>
      <c r="K83" s="2750">
        <v>0</v>
      </c>
      <c r="L83" s="2750">
        <v>0</v>
      </c>
      <c r="M83" s="4342"/>
      <c r="N83" s="4342"/>
      <c r="O83" s="4337" t="s">
        <v>231</v>
      </c>
    </row>
    <row r="84" spans="1:15" ht="13.5" customHeight="1">
      <c r="A84" s="4400"/>
      <c r="B84" s="2802" t="s">
        <v>18</v>
      </c>
      <c r="C84" s="4346" t="s">
        <v>226</v>
      </c>
      <c r="D84" s="2795">
        <f t="shared" si="51"/>
        <v>8483</v>
      </c>
      <c r="E84" s="2797">
        <f t="shared" si="51"/>
        <v>0</v>
      </c>
      <c r="F84" s="2797">
        <f t="shared" si="51"/>
        <v>0</v>
      </c>
      <c r="G84" s="2797">
        <f t="shared" si="51"/>
        <v>5678</v>
      </c>
      <c r="H84" s="2797">
        <f t="shared" si="51"/>
        <v>2805</v>
      </c>
      <c r="I84" s="2797">
        <v>0</v>
      </c>
      <c r="J84" s="2797">
        <v>0</v>
      </c>
      <c r="K84" s="2797">
        <v>0</v>
      </c>
      <c r="L84" s="2797">
        <v>0</v>
      </c>
      <c r="M84" s="4343"/>
      <c r="N84" s="4343"/>
      <c r="O84" s="4337"/>
    </row>
    <row r="85" spans="1:15" ht="13.5" customHeight="1" thickBot="1">
      <c r="A85" s="4401"/>
      <c r="B85" s="2806" t="s">
        <v>21</v>
      </c>
      <c r="C85" s="4347"/>
      <c r="D85" s="2808">
        <f>E85+F85+G85+H85+I85+J85+K85+L85</f>
        <v>8483</v>
      </c>
      <c r="E85" s="2808">
        <v>0</v>
      </c>
      <c r="F85" s="2807">
        <f>2873-2873</f>
        <v>0</v>
      </c>
      <c r="G85" s="2807">
        <f>2805+2873</f>
        <v>5678</v>
      </c>
      <c r="H85" s="2807">
        <v>2805</v>
      </c>
      <c r="I85" s="2807">
        <v>0</v>
      </c>
      <c r="J85" s="2807">
        <v>0</v>
      </c>
      <c r="K85" s="2807">
        <v>0</v>
      </c>
      <c r="L85" s="2807">
        <v>0</v>
      </c>
      <c r="M85" s="4344"/>
      <c r="N85" s="4344"/>
      <c r="O85" s="4345"/>
    </row>
    <row r="86" spans="1:15" ht="27" customHeight="1">
      <c r="A86" s="4399" t="s">
        <v>67</v>
      </c>
      <c r="B86" s="2784" t="s">
        <v>691</v>
      </c>
      <c r="C86" s="2785" t="s">
        <v>172</v>
      </c>
      <c r="D86" s="2786"/>
      <c r="E86" s="2789"/>
      <c r="F86" s="2788"/>
      <c r="G86" s="2788"/>
      <c r="H86" s="2788"/>
      <c r="I86" s="2789"/>
      <c r="J86" s="2789"/>
      <c r="K86" s="2789"/>
      <c r="L86" s="2789"/>
      <c r="M86" s="2790"/>
      <c r="N86" s="2790"/>
      <c r="O86" s="4336" t="s">
        <v>428</v>
      </c>
    </row>
    <row r="87" spans="1:15" ht="13.5" customHeight="1">
      <c r="A87" s="4400"/>
      <c r="B87" s="2791" t="s">
        <v>10</v>
      </c>
      <c r="C87" s="2792"/>
      <c r="D87" s="2750">
        <f>+D88+D90</f>
        <v>320000</v>
      </c>
      <c r="E87" s="2750">
        <f>+E88+E90</f>
        <v>0</v>
      </c>
      <c r="F87" s="2750">
        <f>+F88+F90</f>
        <v>0</v>
      </c>
      <c r="G87" s="2750">
        <f t="shared" ref="G87:I87" si="52">+G88+G90</f>
        <v>183700</v>
      </c>
      <c r="H87" s="2750">
        <f t="shared" si="52"/>
        <v>109000</v>
      </c>
      <c r="I87" s="2750">
        <f t="shared" si="52"/>
        <v>27300</v>
      </c>
      <c r="J87" s="2750">
        <v>0</v>
      </c>
      <c r="K87" s="2750">
        <v>0</v>
      </c>
      <c r="L87" s="2750">
        <v>0</v>
      </c>
      <c r="M87" s="2793">
        <f>+M88+M90</f>
        <v>320000</v>
      </c>
      <c r="N87" s="2793">
        <f>+N88+N90</f>
        <v>320000</v>
      </c>
      <c r="O87" s="4337"/>
    </row>
    <row r="88" spans="1:15" ht="13.5" customHeight="1">
      <c r="A88" s="4400"/>
      <c r="B88" s="2794" t="s">
        <v>24</v>
      </c>
      <c r="C88" s="4339" t="s">
        <v>223</v>
      </c>
      <c r="D88" s="2795">
        <f>+D89</f>
        <v>48000</v>
      </c>
      <c r="E88" s="2796">
        <f>+E89</f>
        <v>0</v>
      </c>
      <c r="F88" s="2796">
        <f>+F89</f>
        <v>0</v>
      </c>
      <c r="G88" s="2796">
        <f t="shared" ref="G88:I88" si="53">+G89</f>
        <v>27555</v>
      </c>
      <c r="H88" s="2796">
        <f t="shared" si="53"/>
        <v>16350</v>
      </c>
      <c r="I88" s="2796">
        <f t="shared" si="53"/>
        <v>4095</v>
      </c>
      <c r="J88" s="2797">
        <v>0</v>
      </c>
      <c r="K88" s="2797">
        <v>0</v>
      </c>
      <c r="L88" s="2797">
        <v>0</v>
      </c>
      <c r="M88" s="2798">
        <f>+M89</f>
        <v>48000</v>
      </c>
      <c r="N88" s="2798">
        <f>+N89</f>
        <v>48000</v>
      </c>
      <c r="O88" s="4337"/>
    </row>
    <row r="89" spans="1:15" ht="13.5" customHeight="1">
      <c r="A89" s="4400"/>
      <c r="B89" s="2799" t="s">
        <v>12</v>
      </c>
      <c r="C89" s="4340"/>
      <c r="D89" s="2736">
        <f>SUM(E89:L89)</f>
        <v>48000</v>
      </c>
      <c r="E89" s="2736">
        <v>0</v>
      </c>
      <c r="F89" s="2800">
        <f>507-507</f>
        <v>0</v>
      </c>
      <c r="G89" s="2800">
        <v>27555</v>
      </c>
      <c r="H89" s="2800">
        <v>16350</v>
      </c>
      <c r="I89" s="2800">
        <v>4095</v>
      </c>
      <c r="J89" s="2797">
        <v>0</v>
      </c>
      <c r="K89" s="2797">
        <v>0</v>
      </c>
      <c r="L89" s="2797">
        <v>0</v>
      </c>
      <c r="M89" s="2801">
        <f>SUM(F89:K89)</f>
        <v>48000</v>
      </c>
      <c r="N89" s="2801">
        <f>SUM(G89:L89)</f>
        <v>48000</v>
      </c>
      <c r="O89" s="4337"/>
    </row>
    <row r="90" spans="1:15" ht="13.5" customHeight="1">
      <c r="A90" s="4400"/>
      <c r="B90" s="2802" t="s">
        <v>18</v>
      </c>
      <c r="C90" s="4340"/>
      <c r="D90" s="2795">
        <f>+D91</f>
        <v>272000</v>
      </c>
      <c r="E90" s="2796">
        <f>+E91</f>
        <v>0</v>
      </c>
      <c r="F90" s="2796">
        <f>+F91</f>
        <v>0</v>
      </c>
      <c r="G90" s="2796">
        <f t="shared" ref="G90:I90" si="54">+G91</f>
        <v>156145</v>
      </c>
      <c r="H90" s="2796">
        <f t="shared" si="54"/>
        <v>92650</v>
      </c>
      <c r="I90" s="2796">
        <f t="shared" si="54"/>
        <v>23205</v>
      </c>
      <c r="J90" s="2797">
        <v>0</v>
      </c>
      <c r="K90" s="2797">
        <v>0</v>
      </c>
      <c r="L90" s="2797">
        <v>0</v>
      </c>
      <c r="M90" s="2798">
        <f>+M91</f>
        <v>272000</v>
      </c>
      <c r="N90" s="2798">
        <f>+N91</f>
        <v>272000</v>
      </c>
      <c r="O90" s="4337"/>
    </row>
    <row r="91" spans="1:15" ht="13.5" customHeight="1">
      <c r="A91" s="4400"/>
      <c r="B91" s="2803" t="s">
        <v>21</v>
      </c>
      <c r="C91" s="4341"/>
      <c r="D91" s="2736">
        <f>SUM(E91:L91)</f>
        <v>272000</v>
      </c>
      <c r="E91" s="2736">
        <v>0</v>
      </c>
      <c r="F91" s="2800">
        <f>2873-2873</f>
        <v>0</v>
      </c>
      <c r="G91" s="2800">
        <v>156145</v>
      </c>
      <c r="H91" s="2800">
        <v>92650</v>
      </c>
      <c r="I91" s="2800">
        <v>23205</v>
      </c>
      <c r="J91" s="2797">
        <v>0</v>
      </c>
      <c r="K91" s="2797">
        <v>0</v>
      </c>
      <c r="L91" s="2797">
        <v>0</v>
      </c>
      <c r="M91" s="2801">
        <f>SUM(F91:K91)</f>
        <v>272000</v>
      </c>
      <c r="N91" s="2801">
        <f>SUM(G91:L91)</f>
        <v>272000</v>
      </c>
      <c r="O91" s="4338"/>
    </row>
    <row r="92" spans="1:15" ht="13.5" customHeight="1">
      <c r="A92" s="4400"/>
      <c r="B92" s="2791" t="s">
        <v>22</v>
      </c>
      <c r="C92" s="2792"/>
      <c r="D92" s="2750">
        <f t="shared" ref="D92:I93" si="55">+D93</f>
        <v>272000</v>
      </c>
      <c r="E92" s="2750">
        <f t="shared" si="55"/>
        <v>0</v>
      </c>
      <c r="F92" s="2750">
        <f t="shared" si="55"/>
        <v>0</v>
      </c>
      <c r="G92" s="2750">
        <f t="shared" si="55"/>
        <v>156145</v>
      </c>
      <c r="H92" s="2750">
        <f t="shared" si="55"/>
        <v>92650</v>
      </c>
      <c r="I92" s="2750">
        <f t="shared" si="55"/>
        <v>23205</v>
      </c>
      <c r="J92" s="2750">
        <v>0</v>
      </c>
      <c r="K92" s="2750">
        <v>0</v>
      </c>
      <c r="L92" s="2750">
        <v>0</v>
      </c>
      <c r="M92" s="4342"/>
      <c r="N92" s="4342"/>
      <c r="O92" s="4337" t="s">
        <v>231</v>
      </c>
    </row>
    <row r="93" spans="1:15" ht="13.5" customHeight="1">
      <c r="A93" s="4400"/>
      <c r="B93" s="2802" t="s">
        <v>18</v>
      </c>
      <c r="C93" s="4346" t="s">
        <v>226</v>
      </c>
      <c r="D93" s="2795">
        <f t="shared" si="55"/>
        <v>272000</v>
      </c>
      <c r="E93" s="2797">
        <f t="shared" si="55"/>
        <v>0</v>
      </c>
      <c r="F93" s="2797">
        <f t="shared" si="55"/>
        <v>0</v>
      </c>
      <c r="G93" s="2797">
        <f t="shared" si="55"/>
        <v>156145</v>
      </c>
      <c r="H93" s="2797">
        <f t="shared" si="55"/>
        <v>92650</v>
      </c>
      <c r="I93" s="2797">
        <f t="shared" si="55"/>
        <v>23205</v>
      </c>
      <c r="J93" s="2797">
        <v>0</v>
      </c>
      <c r="K93" s="2797">
        <v>0</v>
      </c>
      <c r="L93" s="2797">
        <v>0</v>
      </c>
      <c r="M93" s="4343"/>
      <c r="N93" s="4343"/>
      <c r="O93" s="4337"/>
    </row>
    <row r="94" spans="1:15" ht="13.5" customHeight="1" thickBot="1">
      <c r="A94" s="4401"/>
      <c r="B94" s="2806" t="s">
        <v>21</v>
      </c>
      <c r="C94" s="4347"/>
      <c r="D94" s="2736">
        <f>SUM(E94:L94)</f>
        <v>272000</v>
      </c>
      <c r="E94" s="2808">
        <v>0</v>
      </c>
      <c r="F94" s="2807">
        <f>2873-2873</f>
        <v>0</v>
      </c>
      <c r="G94" s="2807">
        <v>156145</v>
      </c>
      <c r="H94" s="2807">
        <v>92650</v>
      </c>
      <c r="I94" s="2807">
        <v>23205</v>
      </c>
      <c r="J94" s="2807">
        <v>0</v>
      </c>
      <c r="K94" s="2807">
        <v>0</v>
      </c>
      <c r="L94" s="2807">
        <v>0</v>
      </c>
      <c r="M94" s="4344"/>
      <c r="N94" s="4344"/>
      <c r="O94" s="4345"/>
    </row>
    <row r="95" spans="1:15" ht="39.75" customHeight="1">
      <c r="A95" s="4399" t="s">
        <v>116</v>
      </c>
      <c r="B95" s="2784" t="s">
        <v>692</v>
      </c>
      <c r="C95" s="2785" t="s">
        <v>172</v>
      </c>
      <c r="D95" s="2786"/>
      <c r="E95" s="2789"/>
      <c r="F95" s="2788"/>
      <c r="G95" s="2788"/>
      <c r="H95" s="2788"/>
      <c r="I95" s="2789"/>
      <c r="J95" s="2789"/>
      <c r="K95" s="2789"/>
      <c r="L95" s="2789"/>
      <c r="M95" s="2790"/>
      <c r="N95" s="2790"/>
      <c r="O95" s="4336" t="s">
        <v>428</v>
      </c>
    </row>
    <row r="96" spans="1:15" ht="13.5" customHeight="1">
      <c r="A96" s="4400"/>
      <c r="B96" s="2791" t="s">
        <v>10</v>
      </c>
      <c r="C96" s="2792"/>
      <c r="D96" s="2750">
        <f>+D97+D99</f>
        <v>3446020</v>
      </c>
      <c r="E96" s="2750">
        <f>+E97+E99</f>
        <v>0</v>
      </c>
      <c r="F96" s="2750">
        <f>+F97+F99</f>
        <v>0</v>
      </c>
      <c r="G96" s="2750">
        <f t="shared" ref="G96:L96" si="56">+G97+G99</f>
        <v>0</v>
      </c>
      <c r="H96" s="2750">
        <f t="shared" si="56"/>
        <v>298278</v>
      </c>
      <c r="I96" s="2750">
        <f t="shared" si="56"/>
        <v>1324061</v>
      </c>
      <c r="J96" s="2750">
        <f t="shared" si="56"/>
        <v>735528</v>
      </c>
      <c r="K96" s="2750">
        <f t="shared" si="56"/>
        <v>944889</v>
      </c>
      <c r="L96" s="2750">
        <f t="shared" si="56"/>
        <v>143264</v>
      </c>
      <c r="M96" s="2793">
        <f>+M97+M99</f>
        <v>3302756</v>
      </c>
      <c r="N96" s="2793">
        <f>+N97+N99</f>
        <v>3446020</v>
      </c>
      <c r="O96" s="4337"/>
    </row>
    <row r="97" spans="1:16" ht="13.5" customHeight="1">
      <c r="A97" s="4400"/>
      <c r="B97" s="2794" t="s">
        <v>24</v>
      </c>
      <c r="C97" s="4339" t="s">
        <v>223</v>
      </c>
      <c r="D97" s="2795">
        <f>+D98</f>
        <v>516903</v>
      </c>
      <c r="E97" s="2796">
        <f>+E98</f>
        <v>0</v>
      </c>
      <c r="F97" s="2796">
        <f>+F98</f>
        <v>0</v>
      </c>
      <c r="G97" s="2796">
        <f t="shared" ref="G97:L97" si="57">+G98</f>
        <v>0</v>
      </c>
      <c r="H97" s="2796">
        <f t="shared" si="57"/>
        <v>44742</v>
      </c>
      <c r="I97" s="2796">
        <f t="shared" si="57"/>
        <v>198609</v>
      </c>
      <c r="J97" s="2796">
        <f t="shared" si="57"/>
        <v>110329</v>
      </c>
      <c r="K97" s="2796">
        <f t="shared" si="57"/>
        <v>141733</v>
      </c>
      <c r="L97" s="2796">
        <f t="shared" si="57"/>
        <v>21490</v>
      </c>
      <c r="M97" s="2798">
        <f>+M98</f>
        <v>495413</v>
      </c>
      <c r="N97" s="2798">
        <f>+N98</f>
        <v>516903</v>
      </c>
      <c r="O97" s="4337"/>
    </row>
    <row r="98" spans="1:16" ht="13.5" customHeight="1">
      <c r="A98" s="4400"/>
      <c r="B98" s="2799" t="s">
        <v>12</v>
      </c>
      <c r="C98" s="4340"/>
      <c r="D98" s="2736">
        <f>SUM(E98:L98)</f>
        <v>516903</v>
      </c>
      <c r="E98" s="2736">
        <v>0</v>
      </c>
      <c r="F98" s="2800">
        <f>507-507</f>
        <v>0</v>
      </c>
      <c r="G98" s="2800">
        <v>0</v>
      </c>
      <c r="H98" s="2800">
        <v>44742</v>
      </c>
      <c r="I98" s="2800">
        <v>198609</v>
      </c>
      <c r="J98" s="2800">
        <v>110329</v>
      </c>
      <c r="K98" s="2800">
        <v>141733</v>
      </c>
      <c r="L98" s="2800">
        <v>21490</v>
      </c>
      <c r="M98" s="2801">
        <f>SUM(F98:K98)</f>
        <v>495413</v>
      </c>
      <c r="N98" s="2801">
        <f>SUM(G98:L98)</f>
        <v>516903</v>
      </c>
      <c r="O98" s="4337"/>
    </row>
    <row r="99" spans="1:16" ht="13.5" customHeight="1">
      <c r="A99" s="4400"/>
      <c r="B99" s="2802" t="s">
        <v>18</v>
      </c>
      <c r="C99" s="4340"/>
      <c r="D99" s="2795">
        <f>+D100</f>
        <v>2929117</v>
      </c>
      <c r="E99" s="2796">
        <f>+E100</f>
        <v>0</v>
      </c>
      <c r="F99" s="2796">
        <f>+F100</f>
        <v>0</v>
      </c>
      <c r="G99" s="2796">
        <f t="shared" ref="G99:L99" si="58">+G100</f>
        <v>0</v>
      </c>
      <c r="H99" s="2796">
        <f t="shared" si="58"/>
        <v>253536</v>
      </c>
      <c r="I99" s="2796">
        <f t="shared" si="58"/>
        <v>1125452</v>
      </c>
      <c r="J99" s="2796">
        <f t="shared" si="58"/>
        <v>625199</v>
      </c>
      <c r="K99" s="2796">
        <f t="shared" si="58"/>
        <v>803156</v>
      </c>
      <c r="L99" s="2796">
        <f t="shared" si="58"/>
        <v>121774</v>
      </c>
      <c r="M99" s="2798">
        <f>+M100</f>
        <v>2807343</v>
      </c>
      <c r="N99" s="2798">
        <f>+N100</f>
        <v>2929117</v>
      </c>
      <c r="O99" s="4337"/>
    </row>
    <row r="100" spans="1:16" ht="13.5" customHeight="1">
      <c r="A100" s="4400"/>
      <c r="B100" s="2803" t="s">
        <v>21</v>
      </c>
      <c r="C100" s="4341"/>
      <c r="D100" s="2736">
        <f>SUM(E100:L100)</f>
        <v>2929117</v>
      </c>
      <c r="E100" s="2736">
        <v>0</v>
      </c>
      <c r="F100" s="2800">
        <f>2873-2873</f>
        <v>0</v>
      </c>
      <c r="G100" s="2800">
        <v>0</v>
      </c>
      <c r="H100" s="2800">
        <v>253536</v>
      </c>
      <c r="I100" s="2800">
        <v>1125452</v>
      </c>
      <c r="J100" s="2800">
        <v>625199</v>
      </c>
      <c r="K100" s="2800">
        <v>803156</v>
      </c>
      <c r="L100" s="2800">
        <v>121774</v>
      </c>
      <c r="M100" s="2801">
        <f>SUM(F100:K100)</f>
        <v>2807343</v>
      </c>
      <c r="N100" s="2801">
        <f>SUM(G100:L100)</f>
        <v>2929117</v>
      </c>
      <c r="O100" s="4338"/>
    </row>
    <row r="101" spans="1:16" ht="13.5" customHeight="1">
      <c r="A101" s="4400"/>
      <c r="B101" s="2791" t="s">
        <v>22</v>
      </c>
      <c r="C101" s="2792"/>
      <c r="D101" s="2750">
        <f t="shared" ref="D101:L102" si="59">+D102</f>
        <v>2929117</v>
      </c>
      <c r="E101" s="2750">
        <f t="shared" si="59"/>
        <v>0</v>
      </c>
      <c r="F101" s="2750">
        <f t="shared" si="59"/>
        <v>0</v>
      </c>
      <c r="G101" s="2750">
        <f t="shared" si="59"/>
        <v>0</v>
      </c>
      <c r="H101" s="2750">
        <f t="shared" si="59"/>
        <v>253536</v>
      </c>
      <c r="I101" s="2750">
        <f t="shared" si="59"/>
        <v>1125452</v>
      </c>
      <c r="J101" s="2750">
        <f t="shared" si="59"/>
        <v>625199</v>
      </c>
      <c r="K101" s="2750">
        <f t="shared" si="59"/>
        <v>803156</v>
      </c>
      <c r="L101" s="2750">
        <f t="shared" si="59"/>
        <v>121774</v>
      </c>
      <c r="M101" s="4342"/>
      <c r="N101" s="4342"/>
      <c r="O101" s="4337" t="s">
        <v>231</v>
      </c>
    </row>
    <row r="102" spans="1:16" ht="13.5" customHeight="1">
      <c r="A102" s="4400"/>
      <c r="B102" s="2802" t="s">
        <v>18</v>
      </c>
      <c r="C102" s="4346" t="s">
        <v>226</v>
      </c>
      <c r="D102" s="2795">
        <f t="shared" si="59"/>
        <v>2929117</v>
      </c>
      <c r="E102" s="2797">
        <f t="shared" si="59"/>
        <v>0</v>
      </c>
      <c r="F102" s="2797">
        <f t="shared" si="59"/>
        <v>0</v>
      </c>
      <c r="G102" s="2797">
        <f t="shared" si="59"/>
        <v>0</v>
      </c>
      <c r="H102" s="2797">
        <f t="shared" si="59"/>
        <v>253536</v>
      </c>
      <c r="I102" s="2797">
        <f t="shared" si="59"/>
        <v>1125452</v>
      </c>
      <c r="J102" s="2797">
        <f t="shared" si="59"/>
        <v>625199</v>
      </c>
      <c r="K102" s="2797">
        <f t="shared" si="59"/>
        <v>803156</v>
      </c>
      <c r="L102" s="2797">
        <f t="shared" si="59"/>
        <v>121774</v>
      </c>
      <c r="M102" s="4343"/>
      <c r="N102" s="4343"/>
      <c r="O102" s="4337"/>
    </row>
    <row r="103" spans="1:16" ht="13.5" customHeight="1" thickBot="1">
      <c r="A103" s="4401"/>
      <c r="B103" s="2806" t="s">
        <v>21</v>
      </c>
      <c r="C103" s="4347"/>
      <c r="D103" s="2808">
        <f>SUM(E103:L103)</f>
        <v>2929117</v>
      </c>
      <c r="E103" s="2808">
        <v>0</v>
      </c>
      <c r="F103" s="2807">
        <f>2873-2873</f>
        <v>0</v>
      </c>
      <c r="G103" s="2807">
        <v>0</v>
      </c>
      <c r="H103" s="2807">
        <v>253536</v>
      </c>
      <c r="I103" s="2807">
        <v>1125452</v>
      </c>
      <c r="J103" s="2807">
        <v>625199</v>
      </c>
      <c r="K103" s="2807">
        <v>803156</v>
      </c>
      <c r="L103" s="2807">
        <v>121774</v>
      </c>
      <c r="M103" s="4344"/>
      <c r="N103" s="4344"/>
      <c r="O103" s="4345"/>
    </row>
    <row r="104" spans="1:16" s="2813" customFormat="1" ht="36" hidden="1" customHeight="1">
      <c r="A104" s="2809" t="s">
        <v>169</v>
      </c>
      <c r="B104" s="2810"/>
      <c r="C104" s="2810"/>
      <c r="D104" s="2810"/>
      <c r="E104" s="2810"/>
      <c r="F104" s="2810"/>
      <c r="G104" s="2810"/>
      <c r="H104" s="2810"/>
      <c r="I104" s="2810"/>
      <c r="J104" s="2810"/>
      <c r="K104" s="2810"/>
      <c r="L104" s="2810"/>
      <c r="M104" s="2811"/>
      <c r="N104" s="2811"/>
      <c r="O104" s="2812"/>
    </row>
    <row r="105" spans="1:16" s="2665" customFormat="1" ht="19.5" hidden="1" customHeight="1">
      <c r="A105" s="2658"/>
      <c r="B105" s="2659" t="s">
        <v>76</v>
      </c>
      <c r="C105" s="2660"/>
      <c r="D105" s="2661">
        <f>+D106+D107</f>
        <v>0</v>
      </c>
      <c r="E105" s="2814">
        <f>+E106+E107</f>
        <v>0</v>
      </c>
      <c r="F105" s="2661">
        <f t="shared" ref="F105:N105" si="60">+F106+F107</f>
        <v>0</v>
      </c>
      <c r="G105" s="2661">
        <f t="shared" si="60"/>
        <v>0</v>
      </c>
      <c r="H105" s="2661">
        <f t="shared" si="60"/>
        <v>0</v>
      </c>
      <c r="I105" s="2661">
        <f t="shared" si="60"/>
        <v>0</v>
      </c>
      <c r="J105" s="2661">
        <f t="shared" si="60"/>
        <v>0</v>
      </c>
      <c r="K105" s="2661">
        <f t="shared" si="60"/>
        <v>0</v>
      </c>
      <c r="L105" s="2661">
        <f t="shared" si="60"/>
        <v>0</v>
      </c>
      <c r="M105" s="2662">
        <f t="shared" ref="M105" si="61">+M106+M107</f>
        <v>0</v>
      </c>
      <c r="N105" s="2662">
        <f t="shared" si="60"/>
        <v>0</v>
      </c>
      <c r="O105" s="2663"/>
    </row>
    <row r="106" spans="1:16" s="2665" customFormat="1" ht="12.75" hidden="1" customHeight="1">
      <c r="A106" s="2666"/>
      <c r="B106" s="2815" t="s">
        <v>77</v>
      </c>
      <c r="C106" s="2816"/>
      <c r="D106" s="2817">
        <f>D131</f>
        <v>0</v>
      </c>
      <c r="E106" s="2818">
        <f t="shared" ref="E106:L106" si="62">E131</f>
        <v>0</v>
      </c>
      <c r="F106" s="2817">
        <f t="shared" si="62"/>
        <v>0</v>
      </c>
      <c r="G106" s="2817">
        <f t="shared" si="62"/>
        <v>0</v>
      </c>
      <c r="H106" s="2817">
        <f t="shared" si="62"/>
        <v>0</v>
      </c>
      <c r="I106" s="2817">
        <f t="shared" si="62"/>
        <v>0</v>
      </c>
      <c r="J106" s="2817">
        <f t="shared" si="62"/>
        <v>0</v>
      </c>
      <c r="K106" s="2817">
        <f t="shared" si="62"/>
        <v>0</v>
      </c>
      <c r="L106" s="2817">
        <f t="shared" si="62"/>
        <v>0</v>
      </c>
      <c r="M106" s="2819">
        <f>SUM(E106:G106)</f>
        <v>0</v>
      </c>
      <c r="N106" s="2819">
        <f>SUM(G106:H106)</f>
        <v>0</v>
      </c>
      <c r="O106" s="2663"/>
    </row>
    <row r="107" spans="1:16" s="2665" customFormat="1" ht="15" hidden="1" customHeight="1">
      <c r="A107" s="2666"/>
      <c r="B107" s="2820" t="s">
        <v>9</v>
      </c>
      <c r="C107" s="2821"/>
      <c r="D107" s="2822">
        <f>+D135+D122</f>
        <v>0</v>
      </c>
      <c r="E107" s="2823">
        <f t="shared" ref="E107:L107" si="63">+E135+E122</f>
        <v>0</v>
      </c>
      <c r="F107" s="2822">
        <f t="shared" si="63"/>
        <v>0</v>
      </c>
      <c r="G107" s="2822">
        <f t="shared" si="63"/>
        <v>0</v>
      </c>
      <c r="H107" s="2822">
        <f t="shared" si="63"/>
        <v>0</v>
      </c>
      <c r="I107" s="2822">
        <f t="shared" si="63"/>
        <v>0</v>
      </c>
      <c r="J107" s="2822">
        <f t="shared" si="63"/>
        <v>0</v>
      </c>
      <c r="K107" s="2822">
        <f t="shared" si="63"/>
        <v>0</v>
      </c>
      <c r="L107" s="2822">
        <f t="shared" si="63"/>
        <v>0</v>
      </c>
      <c r="M107" s="2819">
        <f>SUM(E107:G107)</f>
        <v>0</v>
      </c>
      <c r="N107" s="2819">
        <f>SUM(G107:K107)</f>
        <v>0</v>
      </c>
      <c r="O107" s="2663"/>
      <c r="P107" s="2664"/>
    </row>
    <row r="108" spans="1:16" ht="14.25" hidden="1" customHeight="1">
      <c r="A108" s="2666"/>
      <c r="B108" s="2824" t="s">
        <v>10</v>
      </c>
      <c r="C108" s="2825"/>
      <c r="D108" s="2826">
        <f>+D109</f>
        <v>0</v>
      </c>
      <c r="E108" s="2827">
        <f t="shared" ref="E108:L108" si="64">+E109</f>
        <v>0</v>
      </c>
      <c r="F108" s="2828">
        <f t="shared" si="64"/>
        <v>0</v>
      </c>
      <c r="G108" s="2828">
        <f t="shared" si="64"/>
        <v>0</v>
      </c>
      <c r="H108" s="2828">
        <f t="shared" si="64"/>
        <v>0</v>
      </c>
      <c r="I108" s="2828">
        <f t="shared" si="64"/>
        <v>0</v>
      </c>
      <c r="J108" s="2828">
        <f t="shared" si="64"/>
        <v>0</v>
      </c>
      <c r="K108" s="2828">
        <f t="shared" si="64"/>
        <v>0</v>
      </c>
      <c r="L108" s="2828">
        <f t="shared" si="64"/>
        <v>0</v>
      </c>
      <c r="M108" s="2829">
        <f>+M109</f>
        <v>0</v>
      </c>
      <c r="N108" s="2829">
        <f>+N109</f>
        <v>0</v>
      </c>
      <c r="O108" s="2663"/>
      <c r="P108" s="2641"/>
    </row>
    <row r="109" spans="1:16" ht="12.95" hidden="1" customHeight="1">
      <c r="A109" s="2830"/>
      <c r="B109" s="2684" t="s">
        <v>11</v>
      </c>
      <c r="C109" s="2685"/>
      <c r="D109" s="2686">
        <f>+D113+D114+D110</f>
        <v>0</v>
      </c>
      <c r="E109" s="2831">
        <f t="shared" ref="E109:L109" si="65">+E113+E114+E110</f>
        <v>0</v>
      </c>
      <c r="F109" s="2686">
        <f t="shared" si="65"/>
        <v>0</v>
      </c>
      <c r="G109" s="2686">
        <f t="shared" si="65"/>
        <v>0</v>
      </c>
      <c r="H109" s="2686">
        <f t="shared" si="65"/>
        <v>0</v>
      </c>
      <c r="I109" s="2686">
        <f t="shared" si="65"/>
        <v>0</v>
      </c>
      <c r="J109" s="2686">
        <f t="shared" si="65"/>
        <v>0</v>
      </c>
      <c r="K109" s="2686">
        <f t="shared" si="65"/>
        <v>0</v>
      </c>
      <c r="L109" s="2686">
        <f t="shared" si="65"/>
        <v>0</v>
      </c>
      <c r="M109" s="2687">
        <f>+M113+M114</f>
        <v>0</v>
      </c>
      <c r="N109" s="2687">
        <f>+N113+N114</f>
        <v>0</v>
      </c>
      <c r="O109" s="2663"/>
    </row>
    <row r="110" spans="1:16" ht="12.95" hidden="1" customHeight="1">
      <c r="A110" s="2690"/>
      <c r="B110" s="2691" t="s">
        <v>12</v>
      </c>
      <c r="C110" s="2692"/>
      <c r="D110" s="2693">
        <f>D132</f>
        <v>0</v>
      </c>
      <c r="E110" s="2832">
        <f t="shared" ref="E110:L110" si="66">E132</f>
        <v>0</v>
      </c>
      <c r="F110" s="2693">
        <f t="shared" si="66"/>
        <v>0</v>
      </c>
      <c r="G110" s="2693">
        <f t="shared" si="66"/>
        <v>0</v>
      </c>
      <c r="H110" s="2693">
        <f t="shared" si="66"/>
        <v>0</v>
      </c>
      <c r="I110" s="2693">
        <f t="shared" si="66"/>
        <v>0</v>
      </c>
      <c r="J110" s="2693">
        <f t="shared" si="66"/>
        <v>0</v>
      </c>
      <c r="K110" s="2693">
        <f t="shared" si="66"/>
        <v>0</v>
      </c>
      <c r="L110" s="2693">
        <f t="shared" si="66"/>
        <v>0</v>
      </c>
      <c r="M110" s="2833"/>
      <c r="N110" s="2833"/>
      <c r="O110" s="2663"/>
    </row>
    <row r="111" spans="1:16" ht="13.5" hidden="1" customHeight="1">
      <c r="A111" s="2690"/>
      <c r="B111" s="2834" t="s">
        <v>13</v>
      </c>
      <c r="C111" s="2835"/>
      <c r="D111" s="2836">
        <v>0</v>
      </c>
      <c r="E111" s="2837">
        <v>0</v>
      </c>
      <c r="F111" s="2836"/>
      <c r="G111" s="2836"/>
      <c r="H111" s="2836"/>
      <c r="I111" s="2836"/>
      <c r="J111" s="2836"/>
      <c r="K111" s="2836"/>
      <c r="L111" s="2836"/>
      <c r="M111" s="2833"/>
      <c r="N111" s="2833"/>
      <c r="O111" s="2663"/>
    </row>
    <row r="112" spans="1:16" ht="12.75" hidden="1" customHeight="1">
      <c r="A112" s="2690"/>
      <c r="B112" s="2697" t="s">
        <v>13</v>
      </c>
      <c r="C112" s="2835"/>
      <c r="D112" s="2836">
        <v>0</v>
      </c>
      <c r="E112" s="2837">
        <v>0</v>
      </c>
      <c r="F112" s="2836"/>
      <c r="G112" s="2836"/>
      <c r="H112" s="2836"/>
      <c r="I112" s="2836"/>
      <c r="J112" s="2836"/>
      <c r="K112" s="2836"/>
      <c r="L112" s="2836"/>
      <c r="M112" s="2833"/>
      <c r="N112" s="2833"/>
      <c r="O112" s="2663"/>
    </row>
    <row r="113" spans="1:15" s="2813" customFormat="1" ht="12.75" hidden="1" customHeight="1">
      <c r="A113" s="2838"/>
      <c r="B113" s="2839" t="s">
        <v>14</v>
      </c>
      <c r="C113" s="2835"/>
      <c r="D113" s="2836">
        <f>+D124</f>
        <v>0</v>
      </c>
      <c r="E113" s="2840">
        <f t="shared" ref="E113:L113" si="67">+E124</f>
        <v>0</v>
      </c>
      <c r="F113" s="2836">
        <f t="shared" si="67"/>
        <v>0</v>
      </c>
      <c r="G113" s="2836">
        <f t="shared" si="67"/>
        <v>0</v>
      </c>
      <c r="H113" s="2836">
        <f t="shared" si="67"/>
        <v>0</v>
      </c>
      <c r="I113" s="2836">
        <f t="shared" si="67"/>
        <v>0</v>
      </c>
      <c r="J113" s="2836">
        <f t="shared" si="67"/>
        <v>0</v>
      </c>
      <c r="K113" s="2836">
        <f t="shared" si="67"/>
        <v>0</v>
      </c>
      <c r="L113" s="2836">
        <f t="shared" si="67"/>
        <v>0</v>
      </c>
      <c r="M113" s="2833">
        <f>SUM(E113:L114)</f>
        <v>0</v>
      </c>
      <c r="N113" s="2833">
        <f>SUM(G113:L113)</f>
        <v>0</v>
      </c>
      <c r="O113" s="2841"/>
    </row>
    <row r="114" spans="1:15" ht="12.75" hidden="1" customHeight="1">
      <c r="A114" s="2690"/>
      <c r="B114" s="2691" t="s">
        <v>62</v>
      </c>
      <c r="C114" s="2698"/>
      <c r="D114" s="2693">
        <f>+D137+D125</f>
        <v>0</v>
      </c>
      <c r="E114" s="2832">
        <f>+E137+E125</f>
        <v>0</v>
      </c>
      <c r="F114" s="2693"/>
      <c r="G114" s="2693"/>
      <c r="H114" s="2693"/>
      <c r="I114" s="2693"/>
      <c r="J114" s="2693"/>
      <c r="K114" s="2693"/>
      <c r="L114" s="2693"/>
      <c r="M114" s="2833">
        <f>SUM(E114:H114)</f>
        <v>0</v>
      </c>
      <c r="N114" s="2833">
        <f>SUM(F114:I114)</f>
        <v>0</v>
      </c>
      <c r="O114" s="2663"/>
    </row>
    <row r="115" spans="1:15" ht="15" hidden="1" customHeight="1">
      <c r="A115" s="2666"/>
      <c r="B115" s="2824" t="s">
        <v>22</v>
      </c>
      <c r="C115" s="2792"/>
      <c r="D115" s="2727">
        <f>+D116</f>
        <v>0</v>
      </c>
      <c r="E115" s="2842">
        <f t="shared" ref="E115:L115" si="68">+E116</f>
        <v>0</v>
      </c>
      <c r="F115" s="2727">
        <f t="shared" si="68"/>
        <v>0</v>
      </c>
      <c r="G115" s="2727">
        <f t="shared" si="68"/>
        <v>0</v>
      </c>
      <c r="H115" s="2727">
        <f t="shared" si="68"/>
        <v>0</v>
      </c>
      <c r="I115" s="2727">
        <f t="shared" si="68"/>
        <v>0</v>
      </c>
      <c r="J115" s="2727">
        <f t="shared" si="68"/>
        <v>0</v>
      </c>
      <c r="K115" s="2727">
        <f t="shared" si="68"/>
        <v>0</v>
      </c>
      <c r="L115" s="2727">
        <f t="shared" si="68"/>
        <v>0</v>
      </c>
      <c r="M115" s="4368" t="s">
        <v>23</v>
      </c>
      <c r="N115" s="4368" t="s">
        <v>23</v>
      </c>
      <c r="O115" s="2663"/>
    </row>
    <row r="116" spans="1:15" ht="12" hidden="1" customHeight="1">
      <c r="A116" s="2683"/>
      <c r="B116" s="2684" t="s">
        <v>11</v>
      </c>
      <c r="C116" s="2685"/>
      <c r="D116" s="2686">
        <f>SUM(D118:D120)</f>
        <v>0</v>
      </c>
      <c r="E116" s="2831">
        <f>SUM(E118:E120)</f>
        <v>0</v>
      </c>
      <c r="F116" s="2686">
        <f t="shared" ref="F116:L116" si="69">SUM(F118:F120)</f>
        <v>0</v>
      </c>
      <c r="G116" s="2686">
        <f t="shared" si="69"/>
        <v>0</v>
      </c>
      <c r="H116" s="2686">
        <f t="shared" si="69"/>
        <v>0</v>
      </c>
      <c r="I116" s="2686">
        <f t="shared" si="69"/>
        <v>0</v>
      </c>
      <c r="J116" s="2686">
        <f t="shared" si="69"/>
        <v>0</v>
      </c>
      <c r="K116" s="2686">
        <f t="shared" si="69"/>
        <v>0</v>
      </c>
      <c r="L116" s="2686">
        <f t="shared" si="69"/>
        <v>0</v>
      </c>
      <c r="M116" s="4369"/>
      <c r="N116" s="4369"/>
      <c r="O116" s="2663"/>
    </row>
    <row r="117" spans="1:15" ht="13.5" hidden="1" customHeight="1">
      <c r="A117" s="2690"/>
      <c r="B117" s="2697" t="s">
        <v>13</v>
      </c>
      <c r="C117" s="2698"/>
      <c r="D117" s="2843">
        <v>0</v>
      </c>
      <c r="E117" s="2844">
        <v>0</v>
      </c>
      <c r="F117" s="2693"/>
      <c r="G117" s="2693"/>
      <c r="H117" s="2693"/>
      <c r="I117" s="2693"/>
      <c r="J117" s="2693"/>
      <c r="K117" s="2693"/>
      <c r="L117" s="2693"/>
      <c r="M117" s="4369"/>
      <c r="N117" s="4369"/>
      <c r="O117" s="2663"/>
    </row>
    <row r="118" spans="1:15" ht="12.95" hidden="1" customHeight="1">
      <c r="A118" s="2690"/>
      <c r="B118" s="2697" t="s">
        <v>13</v>
      </c>
      <c r="C118" s="2692"/>
      <c r="D118" s="2843">
        <v>0</v>
      </c>
      <c r="E118" s="2844">
        <v>0</v>
      </c>
      <c r="F118" s="2843"/>
      <c r="G118" s="2843"/>
      <c r="H118" s="2843"/>
      <c r="I118" s="2843"/>
      <c r="J118" s="2843"/>
      <c r="K118" s="2843"/>
      <c r="L118" s="2843"/>
      <c r="M118" s="4369"/>
      <c r="N118" s="4369"/>
      <c r="O118" s="2663"/>
    </row>
    <row r="119" spans="1:15" ht="13.5" hidden="1" customHeight="1">
      <c r="A119" s="2690"/>
      <c r="B119" s="2691" t="s">
        <v>14</v>
      </c>
      <c r="C119" s="2692"/>
      <c r="D119" s="2843">
        <f>+D128</f>
        <v>0</v>
      </c>
      <c r="E119" s="2844">
        <f t="shared" ref="E119:L119" si="70">+E128</f>
        <v>0</v>
      </c>
      <c r="F119" s="2843">
        <f t="shared" si="70"/>
        <v>0</v>
      </c>
      <c r="G119" s="2843">
        <f t="shared" si="70"/>
        <v>0</v>
      </c>
      <c r="H119" s="2843">
        <f t="shared" si="70"/>
        <v>0</v>
      </c>
      <c r="I119" s="2843">
        <f t="shared" si="70"/>
        <v>0</v>
      </c>
      <c r="J119" s="2843">
        <f t="shared" si="70"/>
        <v>0</v>
      </c>
      <c r="K119" s="2843">
        <f t="shared" si="70"/>
        <v>0</v>
      </c>
      <c r="L119" s="2843">
        <f t="shared" si="70"/>
        <v>0</v>
      </c>
      <c r="M119" s="4369"/>
      <c r="N119" s="4369"/>
      <c r="O119" s="2663"/>
    </row>
    <row r="120" spans="1:15" ht="14.25" hidden="1" customHeight="1" thickBot="1">
      <c r="A120" s="2712"/>
      <c r="B120" s="2845" t="s">
        <v>62</v>
      </c>
      <c r="C120" s="2846"/>
      <c r="D120" s="2847">
        <f>+D140+D129</f>
        <v>0</v>
      </c>
      <c r="E120" s="2847">
        <f>+E140+E129</f>
        <v>0</v>
      </c>
      <c r="F120" s="2847"/>
      <c r="G120" s="2847"/>
      <c r="H120" s="2847"/>
      <c r="I120" s="2847"/>
      <c r="J120" s="2847"/>
      <c r="K120" s="2847"/>
      <c r="L120" s="2847"/>
      <c r="M120" s="4370"/>
      <c r="N120" s="4370"/>
      <c r="O120" s="2672"/>
    </row>
    <row r="121" spans="1:15" ht="15.75" hidden="1" customHeight="1">
      <c r="A121" s="4399" t="s">
        <v>63</v>
      </c>
      <c r="B121" s="2717"/>
      <c r="C121" s="2718" t="s">
        <v>82</v>
      </c>
      <c r="D121" s="2718"/>
      <c r="E121" s="2719"/>
      <c r="F121" s="2720"/>
      <c r="G121" s="2720"/>
      <c r="H121" s="2720"/>
      <c r="I121" s="2720"/>
      <c r="J121" s="2720"/>
      <c r="K121" s="2720"/>
      <c r="L121" s="2720"/>
      <c r="M121" s="2721"/>
      <c r="N121" s="2721"/>
      <c r="O121" s="4384" t="s">
        <v>566</v>
      </c>
    </row>
    <row r="122" spans="1:15" ht="15.75" hidden="1" customHeight="1">
      <c r="A122" s="4400"/>
      <c r="B122" s="2723" t="s">
        <v>10</v>
      </c>
      <c r="C122" s="2848"/>
      <c r="D122" s="2727">
        <f>+D123</f>
        <v>0</v>
      </c>
      <c r="E122" s="2727">
        <f t="shared" ref="E122:L122" si="71">+E123</f>
        <v>0</v>
      </c>
      <c r="F122" s="2727">
        <f t="shared" si="71"/>
        <v>0</v>
      </c>
      <c r="G122" s="2727">
        <f t="shared" si="71"/>
        <v>0</v>
      </c>
      <c r="H122" s="2727">
        <f t="shared" si="71"/>
        <v>0</v>
      </c>
      <c r="I122" s="2727">
        <f t="shared" si="71"/>
        <v>0</v>
      </c>
      <c r="J122" s="2727">
        <f t="shared" si="71"/>
        <v>0</v>
      </c>
      <c r="K122" s="2727">
        <f t="shared" si="71"/>
        <v>0</v>
      </c>
      <c r="L122" s="2727">
        <f t="shared" si="71"/>
        <v>0</v>
      </c>
      <c r="M122" s="2729">
        <f>+M123</f>
        <v>0</v>
      </c>
      <c r="N122" s="2729">
        <f>+N123</f>
        <v>0</v>
      </c>
      <c r="O122" s="4385"/>
    </row>
    <row r="123" spans="1:15" s="2813" customFormat="1" ht="15.75" hidden="1" customHeight="1">
      <c r="A123" s="4400"/>
      <c r="B123" s="2849" t="s">
        <v>11</v>
      </c>
      <c r="C123" s="4387" t="s">
        <v>422</v>
      </c>
      <c r="D123" s="2733">
        <f>+D125+D124</f>
        <v>0</v>
      </c>
      <c r="E123" s="2731">
        <f t="shared" ref="E123" si="72">+E125+E124</f>
        <v>0</v>
      </c>
      <c r="F123" s="2733">
        <f t="shared" ref="F123:L123" si="73">+F125+F124</f>
        <v>0</v>
      </c>
      <c r="G123" s="2733">
        <f t="shared" si="73"/>
        <v>0</v>
      </c>
      <c r="H123" s="2733">
        <f t="shared" si="73"/>
        <v>0</v>
      </c>
      <c r="I123" s="2731">
        <f t="shared" si="73"/>
        <v>0</v>
      </c>
      <c r="J123" s="2731">
        <f t="shared" si="73"/>
        <v>0</v>
      </c>
      <c r="K123" s="2731">
        <f t="shared" si="73"/>
        <v>0</v>
      </c>
      <c r="L123" s="2731">
        <f t="shared" si="73"/>
        <v>0</v>
      </c>
      <c r="M123" s="2734">
        <f>M125+M124</f>
        <v>0</v>
      </c>
      <c r="N123" s="2734">
        <f>N125+N124</f>
        <v>0</v>
      </c>
      <c r="O123" s="4385"/>
    </row>
    <row r="124" spans="1:15" s="2813" customFormat="1" ht="15.75" hidden="1" customHeight="1">
      <c r="A124" s="4400"/>
      <c r="B124" s="2850" t="s">
        <v>14</v>
      </c>
      <c r="C124" s="4388"/>
      <c r="D124" s="2804">
        <f>E124+F124+G124+H124+I124+J124+K124+L124</f>
        <v>0</v>
      </c>
      <c r="E124" s="2804"/>
      <c r="F124" s="2747"/>
      <c r="G124" s="2747"/>
      <c r="H124" s="2747"/>
      <c r="I124" s="2747"/>
      <c r="J124" s="2747"/>
      <c r="K124" s="2747"/>
      <c r="L124" s="2747">
        <v>0</v>
      </c>
      <c r="M124" s="2851">
        <f>SUM(F124:K124)</f>
        <v>0</v>
      </c>
      <c r="N124" s="2740">
        <f>SUM(G124:L124)</f>
        <v>0</v>
      </c>
      <c r="O124" s="4385"/>
    </row>
    <row r="125" spans="1:15" ht="13.5" hidden="1" customHeight="1">
      <c r="A125" s="4400"/>
      <c r="B125" s="2746" t="s">
        <v>16</v>
      </c>
      <c r="C125" s="4389"/>
      <c r="D125" s="2852"/>
      <c r="E125" s="2853"/>
      <c r="F125" s="2854"/>
      <c r="G125" s="2854"/>
      <c r="H125" s="2854"/>
      <c r="I125" s="2765"/>
      <c r="J125" s="2765"/>
      <c r="K125" s="2765"/>
      <c r="L125" s="2765"/>
      <c r="M125" s="2833">
        <f>SUM(E125:H125)</f>
        <v>0</v>
      </c>
      <c r="N125" s="2833">
        <f>SUM(F125:I125)</f>
        <v>0</v>
      </c>
      <c r="O125" s="4385"/>
    </row>
    <row r="126" spans="1:15" ht="15" hidden="1" customHeight="1">
      <c r="A126" s="4400"/>
      <c r="B126" s="2723" t="s">
        <v>22</v>
      </c>
      <c r="C126" s="2848"/>
      <c r="D126" s="2727">
        <f>+D127</f>
        <v>0</v>
      </c>
      <c r="E126" s="2727">
        <f t="shared" ref="E126:L126" si="74">+E127</f>
        <v>0</v>
      </c>
      <c r="F126" s="2727">
        <f t="shared" si="74"/>
        <v>0</v>
      </c>
      <c r="G126" s="2727">
        <f t="shared" si="74"/>
        <v>0</v>
      </c>
      <c r="H126" s="2727">
        <f t="shared" si="74"/>
        <v>0</v>
      </c>
      <c r="I126" s="2727">
        <f t="shared" si="74"/>
        <v>0</v>
      </c>
      <c r="J126" s="2727">
        <f t="shared" si="74"/>
        <v>0</v>
      </c>
      <c r="K126" s="2727">
        <f t="shared" si="74"/>
        <v>0</v>
      </c>
      <c r="L126" s="2727">
        <f t="shared" si="74"/>
        <v>0</v>
      </c>
      <c r="M126" s="4390" t="s">
        <v>61</v>
      </c>
      <c r="N126" s="4390" t="s">
        <v>61</v>
      </c>
      <c r="O126" s="4385"/>
    </row>
    <row r="127" spans="1:15" s="2813" customFormat="1" ht="15" hidden="1" customHeight="1">
      <c r="A127" s="4400"/>
      <c r="B127" s="2849" t="s">
        <v>11</v>
      </c>
      <c r="C127" s="4346" t="s">
        <v>422</v>
      </c>
      <c r="D127" s="2733">
        <f>+D129+D128</f>
        <v>0</v>
      </c>
      <c r="E127" s="2731">
        <f>+E129+E128</f>
        <v>0</v>
      </c>
      <c r="F127" s="2733">
        <f t="shared" ref="F127:L127" si="75">+F129+F128</f>
        <v>0</v>
      </c>
      <c r="G127" s="2733">
        <f t="shared" si="75"/>
        <v>0</v>
      </c>
      <c r="H127" s="2733">
        <f t="shared" si="75"/>
        <v>0</v>
      </c>
      <c r="I127" s="2731">
        <f t="shared" si="75"/>
        <v>0</v>
      </c>
      <c r="J127" s="2731">
        <f t="shared" si="75"/>
        <v>0</v>
      </c>
      <c r="K127" s="2731">
        <f t="shared" si="75"/>
        <v>0</v>
      </c>
      <c r="L127" s="2731">
        <f t="shared" si="75"/>
        <v>0</v>
      </c>
      <c r="M127" s="4391"/>
      <c r="N127" s="4391"/>
      <c r="O127" s="4385"/>
    </row>
    <row r="128" spans="1:15" ht="15" hidden="1" customHeight="1" thickBot="1">
      <c r="A128" s="4401"/>
      <c r="B128" s="2855" t="s">
        <v>14</v>
      </c>
      <c r="C128" s="4402"/>
      <c r="D128" s="2754">
        <f>E128+F128+G128+H128+I128+J128+K128+L128</f>
        <v>0</v>
      </c>
      <c r="E128" s="2755"/>
      <c r="F128" s="2856"/>
      <c r="G128" s="2856"/>
      <c r="H128" s="2856"/>
      <c r="I128" s="2856"/>
      <c r="J128" s="2856"/>
      <c r="K128" s="2856"/>
      <c r="L128" s="2857">
        <v>0</v>
      </c>
      <c r="M128" s="4392"/>
      <c r="N128" s="4392"/>
      <c r="O128" s="4386"/>
    </row>
    <row r="129" spans="1:15" ht="13.5" hidden="1" customHeight="1" thickBot="1">
      <c r="A129" s="2858"/>
      <c r="B129" s="2859" t="s">
        <v>16</v>
      </c>
      <c r="C129" s="2860"/>
      <c r="D129" s="2861"/>
      <c r="E129" s="2862"/>
      <c r="F129" s="2863"/>
      <c r="G129" s="2864"/>
      <c r="H129" s="2864"/>
      <c r="I129" s="2864"/>
      <c r="J129" s="2864"/>
      <c r="K129" s="2864"/>
      <c r="L129" s="2864"/>
      <c r="M129" s="2865"/>
      <c r="N129" s="2865"/>
      <c r="O129" s="2866"/>
    </row>
    <row r="130" spans="1:15" s="2722" customFormat="1" ht="29.25" hidden="1" customHeight="1">
      <c r="A130" s="4393" t="s">
        <v>64</v>
      </c>
      <c r="B130" s="2867" t="s">
        <v>423</v>
      </c>
      <c r="C130" s="2868" t="s">
        <v>110</v>
      </c>
      <c r="D130" s="2868"/>
      <c r="E130" s="2869"/>
      <c r="F130" s="2870"/>
      <c r="G130" s="2870"/>
      <c r="H130" s="2870"/>
      <c r="I130" s="2870"/>
      <c r="J130" s="2870"/>
      <c r="K130" s="2870"/>
      <c r="L130" s="2870"/>
      <c r="M130" s="2871"/>
      <c r="N130" s="2871"/>
      <c r="O130" s="4394" t="s">
        <v>166</v>
      </c>
    </row>
    <row r="131" spans="1:15" s="2722" customFormat="1" ht="16.5" hidden="1" customHeight="1">
      <c r="A131" s="4393"/>
      <c r="B131" s="2824" t="s">
        <v>10</v>
      </c>
      <c r="C131" s="2848"/>
      <c r="D131" s="2750"/>
      <c r="E131" s="2872"/>
      <c r="F131" s="2872"/>
      <c r="G131" s="2872"/>
      <c r="H131" s="2750"/>
      <c r="I131" s="2750"/>
      <c r="J131" s="2750"/>
      <c r="K131" s="2750"/>
      <c r="L131" s="2728"/>
      <c r="M131" s="2729">
        <f>M132</f>
        <v>0</v>
      </c>
      <c r="N131" s="2729">
        <f>N132</f>
        <v>0</v>
      </c>
      <c r="O131" s="4394"/>
    </row>
    <row r="132" spans="1:15" s="2722" customFormat="1" ht="13.5" hidden="1" customHeight="1">
      <c r="A132" s="4393"/>
      <c r="B132" s="2730" t="s">
        <v>11</v>
      </c>
      <c r="C132" s="4387" t="s">
        <v>171</v>
      </c>
      <c r="D132" s="2731"/>
      <c r="E132" s="2873"/>
      <c r="F132" s="2873"/>
      <c r="G132" s="2873"/>
      <c r="H132" s="2731"/>
      <c r="I132" s="2731"/>
      <c r="J132" s="2731"/>
      <c r="K132" s="2731"/>
      <c r="L132" s="2731"/>
      <c r="M132" s="2734">
        <f>M133</f>
        <v>0</v>
      </c>
      <c r="N132" s="2734">
        <f>N133</f>
        <v>0</v>
      </c>
      <c r="O132" s="4394"/>
    </row>
    <row r="133" spans="1:15" s="2722" customFormat="1" ht="13.5" hidden="1" customHeight="1" thickBot="1">
      <c r="A133" s="4396"/>
      <c r="B133" s="2753" t="s">
        <v>12</v>
      </c>
      <c r="C133" s="4398"/>
      <c r="D133" s="2874"/>
      <c r="E133" s="2875"/>
      <c r="F133" s="2876"/>
      <c r="G133" s="2876"/>
      <c r="H133" s="2758"/>
      <c r="I133" s="2758"/>
      <c r="J133" s="2758"/>
      <c r="K133" s="2758"/>
      <c r="L133" s="2758"/>
      <c r="M133" s="2877">
        <f>SUM(E133:K133)</f>
        <v>0</v>
      </c>
      <c r="N133" s="2877">
        <f>SUM(F133:L133)</f>
        <v>0</v>
      </c>
      <c r="O133" s="4397"/>
    </row>
    <row r="134" spans="1:15" ht="19.5" hidden="1" customHeight="1">
      <c r="A134" s="4393"/>
      <c r="B134" s="2867"/>
      <c r="C134" s="2868" t="s">
        <v>82</v>
      </c>
      <c r="D134" s="2878"/>
      <c r="E134" s="2869"/>
      <c r="F134" s="2869"/>
      <c r="G134" s="2870"/>
      <c r="H134" s="2870"/>
      <c r="I134" s="2870"/>
      <c r="J134" s="2870"/>
      <c r="K134" s="2870"/>
      <c r="L134" s="2870"/>
      <c r="M134" s="2871"/>
      <c r="N134" s="2871"/>
      <c r="O134" s="4394"/>
    </row>
    <row r="135" spans="1:15" ht="12.75" hidden="1" customHeight="1">
      <c r="A135" s="4393"/>
      <c r="B135" s="2824" t="s">
        <v>10</v>
      </c>
      <c r="C135" s="2848"/>
      <c r="D135" s="2826"/>
      <c r="E135" s="2828"/>
      <c r="F135" s="2728"/>
      <c r="G135" s="2750"/>
      <c r="H135" s="2750"/>
      <c r="I135" s="2750"/>
      <c r="J135" s="2750"/>
      <c r="K135" s="2750"/>
      <c r="L135" s="2728"/>
      <c r="M135" s="2729"/>
      <c r="N135" s="2729"/>
      <c r="O135" s="4394"/>
    </row>
    <row r="136" spans="1:15" ht="13.5" hidden="1" customHeight="1">
      <c r="A136" s="4393"/>
      <c r="B136" s="2730" t="s">
        <v>11</v>
      </c>
      <c r="C136" s="4387" t="s">
        <v>167</v>
      </c>
      <c r="D136" s="2731"/>
      <c r="E136" s="2731"/>
      <c r="F136" s="2731"/>
      <c r="G136" s="2731"/>
      <c r="H136" s="2731"/>
      <c r="I136" s="2731"/>
      <c r="J136" s="2731"/>
      <c r="K136" s="2731"/>
      <c r="L136" s="2731"/>
      <c r="M136" s="2734"/>
      <c r="N136" s="2734"/>
      <c r="O136" s="4394"/>
    </row>
    <row r="137" spans="1:15" ht="13.5" hidden="1" customHeight="1">
      <c r="A137" s="4393"/>
      <c r="B137" s="2746" t="s">
        <v>16</v>
      </c>
      <c r="C137" s="4389"/>
      <c r="D137" s="2879"/>
      <c r="E137" s="2765"/>
      <c r="F137" s="2765"/>
      <c r="G137" s="2765"/>
      <c r="H137" s="2765"/>
      <c r="I137" s="2765"/>
      <c r="J137" s="2765"/>
      <c r="K137" s="2765"/>
      <c r="L137" s="2765"/>
      <c r="M137" s="2833"/>
      <c r="N137" s="2833"/>
      <c r="O137" s="4394"/>
    </row>
    <row r="138" spans="1:15" ht="13.5" hidden="1" customHeight="1">
      <c r="A138" s="4393"/>
      <c r="B138" s="2824" t="s">
        <v>22</v>
      </c>
      <c r="C138" s="2848"/>
      <c r="D138" s="2727"/>
      <c r="E138" s="2727"/>
      <c r="F138" s="2750"/>
      <c r="G138" s="2750"/>
      <c r="H138" s="2750"/>
      <c r="I138" s="2750"/>
      <c r="J138" s="2750"/>
      <c r="K138" s="2750"/>
      <c r="L138" s="2728"/>
      <c r="M138" s="2880"/>
      <c r="N138" s="2880"/>
      <c r="O138" s="4394"/>
    </row>
    <row r="139" spans="1:15" ht="15.75" hidden="1" customHeight="1">
      <c r="A139" s="4393"/>
      <c r="B139" s="2730" t="s">
        <v>11</v>
      </c>
      <c r="C139" s="4387" t="s">
        <v>167</v>
      </c>
      <c r="D139" s="2731">
        <f>+D140</f>
        <v>0</v>
      </c>
      <c r="E139" s="2731">
        <f t="shared" ref="E139" si="76">+E140</f>
        <v>0</v>
      </c>
      <c r="F139" s="2731"/>
      <c r="G139" s="2731"/>
      <c r="H139" s="2731"/>
      <c r="I139" s="2731"/>
      <c r="J139" s="2731"/>
      <c r="K139" s="2731"/>
      <c r="L139" s="2731"/>
      <c r="M139" s="2880"/>
      <c r="N139" s="2880"/>
      <c r="O139" s="4394"/>
    </row>
    <row r="140" spans="1:15" ht="10.5" hidden="1" customHeight="1">
      <c r="A140" s="4393"/>
      <c r="B140" s="2746" t="s">
        <v>16</v>
      </c>
      <c r="C140" s="4395"/>
      <c r="D140" s="2879"/>
      <c r="E140" s="2765"/>
      <c r="F140" s="2881"/>
      <c r="G140" s="2881"/>
      <c r="H140" s="2881"/>
      <c r="I140" s="2881"/>
      <c r="J140" s="2881"/>
      <c r="K140" s="2881"/>
      <c r="L140" s="2881"/>
      <c r="M140" s="2880"/>
      <c r="N140" s="2880"/>
      <c r="O140" s="4394"/>
    </row>
    <row r="143" spans="1:15" ht="16.5" customHeight="1">
      <c r="B143" s="2882" t="s">
        <v>481</v>
      </c>
      <c r="C143" s="2883"/>
      <c r="D143" s="2883"/>
      <c r="E143" s="2883"/>
      <c r="F143" s="2883"/>
      <c r="G143" s="2883"/>
      <c r="H143" s="2883"/>
      <c r="I143" s="2883"/>
      <c r="J143" s="2883"/>
      <c r="K143" s="2883"/>
      <c r="L143" s="2883"/>
    </row>
    <row r="144" spans="1:15" ht="16.5" customHeight="1">
      <c r="B144" s="2885" t="s">
        <v>482</v>
      </c>
      <c r="C144" s="2883"/>
      <c r="D144" s="2886">
        <f t="shared" ref="D144:L144" si="77">D50+D83+D63+D92+D101</f>
        <v>41897230</v>
      </c>
      <c r="E144" s="2886">
        <f t="shared" si="77"/>
        <v>7444603</v>
      </c>
      <c r="F144" s="2886">
        <f t="shared" si="77"/>
        <v>4882915</v>
      </c>
      <c r="G144" s="2886">
        <f t="shared" si="77"/>
        <v>7061823</v>
      </c>
      <c r="H144" s="2886">
        <f t="shared" si="77"/>
        <v>8048991</v>
      </c>
      <c r="I144" s="2886">
        <f t="shared" si="77"/>
        <v>7748657</v>
      </c>
      <c r="J144" s="2886">
        <f t="shared" si="77"/>
        <v>2558441</v>
      </c>
      <c r="K144" s="2886">
        <f t="shared" si="77"/>
        <v>2460734</v>
      </c>
      <c r="L144" s="2886">
        <f t="shared" si="77"/>
        <v>1691066</v>
      </c>
    </row>
    <row r="145" spans="1:15" ht="15.75" customHeight="1">
      <c r="B145" s="2885" t="s">
        <v>483</v>
      </c>
      <c r="C145" s="2883"/>
      <c r="D145" s="2886">
        <f>D74</f>
        <v>841516</v>
      </c>
      <c r="E145" s="2886">
        <f t="shared" ref="E145:M145" si="78">E74</f>
        <v>0</v>
      </c>
      <c r="F145" s="2886">
        <f t="shared" si="78"/>
        <v>0</v>
      </c>
      <c r="G145" s="2886">
        <f t="shared" si="78"/>
        <v>396805</v>
      </c>
      <c r="H145" s="2886">
        <f t="shared" si="78"/>
        <v>293071</v>
      </c>
      <c r="I145" s="2886">
        <f t="shared" si="78"/>
        <v>151640</v>
      </c>
      <c r="J145" s="2886">
        <f t="shared" si="78"/>
        <v>0</v>
      </c>
      <c r="K145" s="2886">
        <f t="shared" si="78"/>
        <v>0</v>
      </c>
      <c r="L145" s="2886">
        <f t="shared" si="78"/>
        <v>0</v>
      </c>
      <c r="M145" s="2886">
        <f t="shared" si="78"/>
        <v>0</v>
      </c>
    </row>
    <row r="146" spans="1:15" ht="14.25" customHeight="1">
      <c r="B146" s="2885" t="s">
        <v>484</v>
      </c>
      <c r="C146" s="2883"/>
      <c r="D146" s="2887">
        <f>D144+D145</f>
        <v>42738746</v>
      </c>
      <c r="E146" s="2887">
        <f>E144+E145</f>
        <v>7444603</v>
      </c>
      <c r="F146" s="2887">
        <f t="shared" ref="F146:L146" si="79">F144+F145</f>
        <v>4882915</v>
      </c>
      <c r="G146" s="2887">
        <f t="shared" si="79"/>
        <v>7458628</v>
      </c>
      <c r="H146" s="2887">
        <f t="shared" si="79"/>
        <v>8342062</v>
      </c>
      <c r="I146" s="2887">
        <f t="shared" si="79"/>
        <v>7900297</v>
      </c>
      <c r="J146" s="2887">
        <f t="shared" si="79"/>
        <v>2558441</v>
      </c>
      <c r="K146" s="2887">
        <f t="shared" si="79"/>
        <v>2460734</v>
      </c>
      <c r="L146" s="2887">
        <f t="shared" si="79"/>
        <v>1691066</v>
      </c>
    </row>
    <row r="147" spans="1:15" s="2813" customFormat="1" ht="16.5" customHeight="1">
      <c r="A147" s="2888"/>
      <c r="B147" s="2889" t="s">
        <v>42</v>
      </c>
      <c r="C147" s="2890"/>
      <c r="D147" s="2891">
        <f t="shared" ref="D147:L147" si="80">D146-D21</f>
        <v>0</v>
      </c>
      <c r="E147" s="2891">
        <f t="shared" si="80"/>
        <v>0</v>
      </c>
      <c r="F147" s="2891">
        <f t="shared" si="80"/>
        <v>0</v>
      </c>
      <c r="G147" s="2891">
        <f t="shared" si="80"/>
        <v>0</v>
      </c>
      <c r="H147" s="2891">
        <f t="shared" si="80"/>
        <v>0</v>
      </c>
      <c r="I147" s="2891">
        <f t="shared" si="80"/>
        <v>0</v>
      </c>
      <c r="J147" s="2891">
        <f t="shared" si="80"/>
        <v>0</v>
      </c>
      <c r="K147" s="2891">
        <f t="shared" si="80"/>
        <v>0</v>
      </c>
      <c r="L147" s="2891">
        <f t="shared" si="80"/>
        <v>0</v>
      </c>
      <c r="O147" s="2892"/>
    </row>
    <row r="153" spans="1:15" ht="12.75" thickBot="1">
      <c r="A153" s="2893"/>
      <c r="B153" s="2894"/>
      <c r="C153" s="2894"/>
      <c r="D153" s="2894"/>
      <c r="E153" s="2894"/>
      <c r="F153" s="2894"/>
      <c r="G153" s="2894"/>
      <c r="H153" s="2894"/>
      <c r="I153" s="2894"/>
      <c r="J153" s="2894"/>
      <c r="K153" s="2894"/>
      <c r="L153" s="2894"/>
      <c r="M153" s="2894"/>
      <c r="N153" s="2894"/>
      <c r="O153" s="2895"/>
    </row>
  </sheetData>
  <mergeCells count="73">
    <mergeCell ref="O86:O91"/>
    <mergeCell ref="M92:M94"/>
    <mergeCell ref="N92:N94"/>
    <mergeCell ref="O92:O94"/>
    <mergeCell ref="A95:A103"/>
    <mergeCell ref="C97:C100"/>
    <mergeCell ref="C102:C103"/>
    <mergeCell ref="O95:O100"/>
    <mergeCell ref="M101:M103"/>
    <mergeCell ref="N101:N103"/>
    <mergeCell ref="O101:O103"/>
    <mergeCell ref="O57:O67"/>
    <mergeCell ref="C59:C62"/>
    <mergeCell ref="M63:M67"/>
    <mergeCell ref="N63:N67"/>
    <mergeCell ref="C64:C67"/>
    <mergeCell ref="M38:M42"/>
    <mergeCell ref="N115:N120"/>
    <mergeCell ref="A121:A128"/>
    <mergeCell ref="C127:C128"/>
    <mergeCell ref="N126:N128"/>
    <mergeCell ref="A43:A55"/>
    <mergeCell ref="A32:A42"/>
    <mergeCell ref="A68:A76"/>
    <mergeCell ref="A77:A85"/>
    <mergeCell ref="A57:A67"/>
    <mergeCell ref="A86:A94"/>
    <mergeCell ref="C88:C91"/>
    <mergeCell ref="C93:C94"/>
    <mergeCell ref="O121:O128"/>
    <mergeCell ref="C123:C125"/>
    <mergeCell ref="M115:M120"/>
    <mergeCell ref="M126:M128"/>
    <mergeCell ref="A134:A140"/>
    <mergeCell ref="O134:O140"/>
    <mergeCell ref="C136:C137"/>
    <mergeCell ref="C139:C140"/>
    <mergeCell ref="A130:A133"/>
    <mergeCell ref="O130:O133"/>
    <mergeCell ref="C132:C133"/>
    <mergeCell ref="O43:O55"/>
    <mergeCell ref="C45:C49"/>
    <mergeCell ref="C51:C55"/>
    <mergeCell ref="N50:N55"/>
    <mergeCell ref="M50:M55"/>
    <mergeCell ref="O32:O42"/>
    <mergeCell ref="C34:C37"/>
    <mergeCell ref="C39:C42"/>
    <mergeCell ref="N38:N42"/>
    <mergeCell ref="F1:G1"/>
    <mergeCell ref="A4:O4"/>
    <mergeCell ref="B5:B6"/>
    <mergeCell ref="C5:C6"/>
    <mergeCell ref="D5:D6"/>
    <mergeCell ref="O5:O6"/>
    <mergeCell ref="N5:N6"/>
    <mergeCell ref="N21:N31"/>
    <mergeCell ref="F5:F6"/>
    <mergeCell ref="G5:L5"/>
    <mergeCell ref="M5:M6"/>
    <mergeCell ref="M21:M31"/>
    <mergeCell ref="O68:O73"/>
    <mergeCell ref="C70:C73"/>
    <mergeCell ref="M74:M76"/>
    <mergeCell ref="N74:N76"/>
    <mergeCell ref="O74:O76"/>
    <mergeCell ref="C75:C76"/>
    <mergeCell ref="O77:O82"/>
    <mergeCell ref="C79:C82"/>
    <mergeCell ref="M83:M85"/>
    <mergeCell ref="N83:N85"/>
    <mergeCell ref="O83:O85"/>
    <mergeCell ref="C84:C85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70" firstPageNumber="35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____________________________________________________________________________________________________________________________</oddHeader>
    <oddFooter>&amp;C&amp;8&amp;P</oddFooter>
  </headerFooter>
  <rowBreaks count="1" manualBreakCount="1">
    <brk id="6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21</vt:i4>
      </vt:variant>
    </vt:vector>
  </HeadingPairs>
  <TitlesOfParts>
    <vt:vector size="35" baseType="lpstr">
      <vt:lpstr>PROJEKTY WYŁ i NOWE</vt:lpstr>
      <vt:lpstr>Tabela nr 6</vt:lpstr>
      <vt:lpstr>Tab. 6A -Drogi</vt:lpstr>
      <vt:lpstr>Tab. 6B Polit społ i rozwój prz</vt:lpstr>
      <vt:lpstr>Tab. 6C - Ochrona zdrowia</vt:lpstr>
      <vt:lpstr>Tab. 6D - Oświata</vt:lpstr>
      <vt:lpstr>Tab. 6E - Administracja</vt:lpstr>
      <vt:lpstr>Tab. 6F - Kultura</vt:lpstr>
      <vt:lpstr>Tab. 6G - Roln i ochrona środ.</vt:lpstr>
      <vt:lpstr>Tab. 6H - Kultura fiz. i turyst</vt:lpstr>
      <vt:lpstr>Tab.6I - Planow. przestrz.</vt:lpstr>
      <vt:lpstr>projekty UE</vt:lpstr>
      <vt:lpstr>Dane do WPF</vt:lpstr>
      <vt:lpstr>Arkusz1</vt:lpstr>
      <vt:lpstr>'Dane do WPF'!Obszar_wydruku</vt:lpstr>
      <vt:lpstr>'Tab. 6A -Drogi'!Obszar_wydruku</vt:lpstr>
      <vt:lpstr>'Tab. 6B Polit społ i rozwój prz'!Obszar_wydruku</vt:lpstr>
      <vt:lpstr>'Tab. 6C - Ochrona zdrowia'!Obszar_wydruku</vt:lpstr>
      <vt:lpstr>'Tab. 6D - Oświata'!Obszar_wydruku</vt:lpstr>
      <vt:lpstr>'Tab. 6E - Administracja'!Obszar_wydruku</vt:lpstr>
      <vt:lpstr>'Tab. 6F - Kultura'!Obszar_wydruku</vt:lpstr>
      <vt:lpstr>'Tab. 6G - Roln i ochrona środ.'!Obszar_wydruku</vt:lpstr>
      <vt:lpstr>'Tab. 6H - Kultura fiz. i turyst'!Obszar_wydruku</vt:lpstr>
      <vt:lpstr>'Tab.6I - Planow. przestrz.'!Obszar_wydruku</vt:lpstr>
      <vt:lpstr>'Tabela nr 6'!Obszar_wydruku</vt:lpstr>
      <vt:lpstr>'Dane do WPF'!Tytuły_wydruku</vt:lpstr>
      <vt:lpstr>'Tab. 6A -Drogi'!Tytuły_wydruku</vt:lpstr>
      <vt:lpstr>'Tab. 6B Polit społ i rozwój prz'!Tytuły_wydruku</vt:lpstr>
      <vt:lpstr>'Tab. 6C - Ochrona zdrowia'!Tytuły_wydruku</vt:lpstr>
      <vt:lpstr>'Tab. 6D - Oświata'!Tytuły_wydruku</vt:lpstr>
      <vt:lpstr>'Tab. 6E - Administracja'!Tytuły_wydruku</vt:lpstr>
      <vt:lpstr>'Tab. 6F - Kultura'!Tytuły_wydruku</vt:lpstr>
      <vt:lpstr>'Tab. 6G - Roln i ochrona środ.'!Tytuły_wydruku</vt:lpstr>
      <vt:lpstr>'Tab. 6H - Kultura fiz. i turyst'!Tytuły_wydruku</vt:lpstr>
      <vt:lpstr>'Tab.6I - Planow. przestrz.'!Tytuły_wydruku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mtomaszewska</cp:lastModifiedBy>
  <cp:lastPrinted>2018-06-14T09:18:42Z</cp:lastPrinted>
  <dcterms:created xsi:type="dcterms:W3CDTF">2015-01-20T07:24:04Z</dcterms:created>
  <dcterms:modified xsi:type="dcterms:W3CDTF">2018-06-29T07:48:40Z</dcterms:modified>
</cp:coreProperties>
</file>