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4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755" yWindow="420" windowWidth="20370" windowHeight="5520" tabRatio="972"/>
  </bookViews>
  <sheets>
    <sheet name="Tabela nr 6" sheetId="1" r:id="rId1"/>
    <sheet name="Tab. 6A -Drogi" sheetId="2" r:id="rId2"/>
    <sheet name="Tab. 6B Polit społ i rozwój prz" sheetId="3" r:id="rId3"/>
    <sheet name="Tab. 6C - Ochrona zdrowia" sheetId="4" r:id="rId4"/>
    <sheet name="Tab. 6D - Oświata" sheetId="5" r:id="rId5"/>
    <sheet name="Tab. 6E - Administracja" sheetId="6" r:id="rId6"/>
    <sheet name="Tab. 6F - Kultura" sheetId="7" r:id="rId7"/>
    <sheet name="Tab. 6G - Roln i ochrona środ." sheetId="8" r:id="rId8"/>
    <sheet name="Tab. 6H - Kultura fiz. i turyst" sheetId="9" r:id="rId9"/>
    <sheet name="Tab.6I - Planow. przestrz." sheetId="13" r:id="rId10"/>
  </sheets>
  <externalReferences>
    <externalReference r:id="rId11"/>
    <externalReference r:id="rId12"/>
    <externalReference r:id="rId13"/>
    <externalReference r:id="rId14"/>
  </externalReferences>
  <definedNames>
    <definedName name="_xlnm._FilterDatabase" localSheetId="1" hidden="1">'Tab. 6A -Drogi'!$A$11:$EA$544</definedName>
    <definedName name="_xlnm._FilterDatabase" localSheetId="2" hidden="1">'Tab. 6B Polit społ i rozwój prz'!#REF!</definedName>
    <definedName name="_xlnm._FilterDatabase" localSheetId="7" hidden="1">'Tab. 6G - Roln i ochrona środ.'!$A$4:$O$56</definedName>
    <definedName name="_xlnm.Print_Area" localSheetId="1">'Tab. 6A -Drogi'!$A$1:$O$675</definedName>
    <definedName name="_xlnm.Print_Area" localSheetId="2">'Tab. 6B Polit społ i rozwój prz'!$A$1:$O$281</definedName>
    <definedName name="_xlnm.Print_Area" localSheetId="3">'Tab. 6C - Ochrona zdrowia'!$A$1:$O$105</definedName>
    <definedName name="_xlnm.Print_Area" localSheetId="4">'Tab. 6D - Oświata'!$A$1:$O$97</definedName>
    <definedName name="_xlnm.Print_Area" localSheetId="5">'Tab. 6E - Administracja'!$A$1:$O$268</definedName>
    <definedName name="_xlnm.Print_Area" localSheetId="6">'Tab. 6F - Kultura'!$A$1:$O$178</definedName>
    <definedName name="_xlnm.Print_Area" localSheetId="7">'Tab. 6G - Roln i ochrona środ.'!$A$1:$O$140</definedName>
    <definedName name="_xlnm.Print_Area" localSheetId="8">'Tab. 6H - Kultura fiz. i turyst'!$A$1:$O$295</definedName>
    <definedName name="_xlnm.Print_Area" localSheetId="9">'Tab.6I - Planow. przestrz.'!$A$1:$O$116</definedName>
    <definedName name="_xlnm.Print_Area" localSheetId="0">'Tabela nr 6'!$A$1:$L$79</definedName>
    <definedName name="_xlnm.Print_Titles" localSheetId="1">'Tab. 6A -Drogi'!$5:$7</definedName>
    <definedName name="_xlnm.Print_Titles" localSheetId="2">'Tab. 6B Polit społ i rozwój prz'!$4:$6</definedName>
    <definedName name="_xlnm.Print_Titles" localSheetId="3">'Tab. 6C - Ochrona zdrowia'!$47:$50</definedName>
    <definedName name="_xlnm.Print_Titles" localSheetId="4">'Tab. 6D - Oświata'!$6:$9</definedName>
    <definedName name="_xlnm.Print_Titles" localSheetId="5">'Tab. 6E - Administracja'!$6:$8</definedName>
    <definedName name="_xlnm.Print_Titles" localSheetId="6">'Tab. 6F - Kultura'!$4:$6</definedName>
    <definedName name="_xlnm.Print_Titles" localSheetId="7">'Tab. 6G - Roln i ochrona środ.'!$5:$7</definedName>
    <definedName name="_xlnm.Print_Titles" localSheetId="8">'Tab. 6H - Kultura fiz. i turyst'!$4:$6</definedName>
    <definedName name="_xlnm.Print_Titles" localSheetId="9">'Tab.6I - Planow. przestrz.'!$5:$7</definedName>
  </definedNames>
  <calcPr calcId="125725"/>
</workbook>
</file>

<file path=xl/calcChain.xml><?xml version="1.0" encoding="utf-8"?>
<calcChain xmlns="http://schemas.openxmlformats.org/spreadsheetml/2006/main">
  <c r="H42" i="2"/>
  <c r="N13"/>
  <c r="N10"/>
  <c r="D11" l="1"/>
  <c r="E10"/>
  <c r="F10"/>
  <c r="G10"/>
  <c r="H10"/>
  <c r="I10"/>
  <c r="J10"/>
  <c r="K10"/>
  <c r="L10"/>
  <c r="D10"/>
  <c r="D51"/>
  <c r="E51"/>
  <c r="F51"/>
  <c r="G51"/>
  <c r="H51"/>
  <c r="I51"/>
  <c r="J51"/>
  <c r="K51"/>
  <c r="L51"/>
  <c r="P42"/>
  <c r="N42"/>
  <c r="E42"/>
  <c r="F42"/>
  <c r="G42"/>
  <c r="I42"/>
  <c r="J42"/>
  <c r="K42"/>
  <c r="L42"/>
  <c r="D42"/>
  <c r="D39"/>
  <c r="I37"/>
  <c r="J37"/>
  <c r="H37"/>
  <c r="G37"/>
  <c r="F37"/>
  <c r="E37"/>
  <c r="D37"/>
  <c r="K37"/>
  <c r="L37"/>
  <c r="D38"/>
  <c r="G311"/>
  <c r="D311" s="1"/>
  <c r="D310" s="1"/>
  <c r="D307" s="1"/>
  <c r="J310"/>
  <c r="I310"/>
  <c r="I307" s="1"/>
  <c r="H310"/>
  <c r="G310"/>
  <c r="F310"/>
  <c r="E310"/>
  <c r="D309"/>
  <c r="D308" s="1"/>
  <c r="H308"/>
  <c r="G308"/>
  <c r="F308"/>
  <c r="E308"/>
  <c r="J307"/>
  <c r="H307"/>
  <c r="G307"/>
  <c r="F307"/>
  <c r="E307"/>
  <c r="N306"/>
  <c r="N305" s="1"/>
  <c r="N301" s="1"/>
  <c r="M306"/>
  <c r="D306"/>
  <c r="D305" s="1"/>
  <c r="D301" s="1"/>
  <c r="M305"/>
  <c r="J305"/>
  <c r="I305"/>
  <c r="H305"/>
  <c r="H301" s="1"/>
  <c r="G305"/>
  <c r="F305"/>
  <c r="E305"/>
  <c r="N304"/>
  <c r="M304"/>
  <c r="D304"/>
  <c r="N303"/>
  <c r="M303"/>
  <c r="M302" s="1"/>
  <c r="M301" s="1"/>
  <c r="D303"/>
  <c r="N302"/>
  <c r="J302"/>
  <c r="I302"/>
  <c r="H302"/>
  <c r="G302"/>
  <c r="F302"/>
  <c r="E302"/>
  <c r="D302"/>
  <c r="J301"/>
  <c r="I301"/>
  <c r="G301"/>
  <c r="F301"/>
  <c r="E301"/>
  <c r="D299"/>
  <c r="J295"/>
  <c r="J298"/>
  <c r="J293"/>
  <c r="J290"/>
  <c r="J289" s="1"/>
  <c r="I295"/>
  <c r="I298"/>
  <c r="I293"/>
  <c r="I290"/>
  <c r="G299"/>
  <c r="D298"/>
  <c r="H298"/>
  <c r="G298"/>
  <c r="F298"/>
  <c r="E298"/>
  <c r="D297"/>
  <c r="D296" s="1"/>
  <c r="H296"/>
  <c r="G296"/>
  <c r="F296"/>
  <c r="E296"/>
  <c r="H295"/>
  <c r="G295"/>
  <c r="F295"/>
  <c r="E295"/>
  <c r="N294"/>
  <c r="N293" s="1"/>
  <c r="M294"/>
  <c r="D294"/>
  <c r="D293" s="1"/>
  <c r="M293"/>
  <c r="H293"/>
  <c r="G293"/>
  <c r="F293"/>
  <c r="E293"/>
  <c r="N292"/>
  <c r="M292"/>
  <c r="D292"/>
  <c r="N291"/>
  <c r="M291"/>
  <c r="M290" s="1"/>
  <c r="D291"/>
  <c r="N290"/>
  <c r="H290"/>
  <c r="H289" s="1"/>
  <c r="G290"/>
  <c r="F290"/>
  <c r="E290"/>
  <c r="D290"/>
  <c r="G289"/>
  <c r="F289"/>
  <c r="E289"/>
  <c r="N289" l="1"/>
  <c r="I289"/>
  <c r="M289"/>
  <c r="D289"/>
  <c r="D295"/>
  <c r="N79" i="13" l="1"/>
  <c r="N77"/>
  <c r="N76"/>
  <c r="N83" i="7"/>
  <c r="N70"/>
  <c r="M95" i="9"/>
  <c r="M82"/>
  <c r="G110" i="6"/>
  <c r="G108"/>
  <c r="G100"/>
  <c r="G98"/>
  <c r="M44" i="3"/>
  <c r="N53"/>
  <c r="N54"/>
  <c r="J240" i="6" l="1"/>
  <c r="K240"/>
  <c r="L240"/>
  <c r="H686" i="2"/>
  <c r="H66" i="9" l="1"/>
  <c r="H63"/>
  <c r="F72"/>
  <c r="D72" s="1"/>
  <c r="D71" s="1"/>
  <c r="H71"/>
  <c r="G71"/>
  <c r="F71"/>
  <c r="E71"/>
  <c r="D70"/>
  <c r="D69" s="1"/>
  <c r="L69"/>
  <c r="K69"/>
  <c r="J69"/>
  <c r="I69"/>
  <c r="H69"/>
  <c r="G69"/>
  <c r="F69"/>
  <c r="F68" s="1"/>
  <c r="E69"/>
  <c r="E68" s="1"/>
  <c r="M67"/>
  <c r="M66" s="1"/>
  <c r="N67"/>
  <c r="N66" s="1"/>
  <c r="D67"/>
  <c r="D66" s="1"/>
  <c r="E66"/>
  <c r="N65"/>
  <c r="D65"/>
  <c r="N64"/>
  <c r="M64"/>
  <c r="M63" s="1"/>
  <c r="G63"/>
  <c r="E63"/>
  <c r="I75"/>
  <c r="I74" s="1"/>
  <c r="I77"/>
  <c r="I80"/>
  <c r="I79" s="1"/>
  <c r="H81"/>
  <c r="H78"/>
  <c r="G78"/>
  <c r="H76"/>
  <c r="G76"/>
  <c r="G60"/>
  <c r="G58"/>
  <c r="G55"/>
  <c r="G53"/>
  <c r="G52"/>
  <c r="H36"/>
  <c r="G36"/>
  <c r="G34"/>
  <c r="G31"/>
  <c r="G29"/>
  <c r="G28"/>
  <c r="G48"/>
  <c r="G43"/>
  <c r="G40"/>
  <c r="H392" i="2"/>
  <c r="G392"/>
  <c r="H389"/>
  <c r="G389"/>
  <c r="G380"/>
  <c r="H154" i="7"/>
  <c r="G154"/>
  <c r="H152"/>
  <c r="G152"/>
  <c r="H151"/>
  <c r="G151"/>
  <c r="H148"/>
  <c r="G148"/>
  <c r="H146"/>
  <c r="G146"/>
  <c r="H145"/>
  <c r="G145"/>
  <c r="G41"/>
  <c r="G40" s="1"/>
  <c r="H40"/>
  <c r="F40"/>
  <c r="D42"/>
  <c r="H39"/>
  <c r="H38" s="1"/>
  <c r="G35"/>
  <c r="H114"/>
  <c r="G114"/>
  <c r="H109"/>
  <c r="G109"/>
  <c r="L96" i="3"/>
  <c r="L91"/>
  <c r="L88"/>
  <c r="H96"/>
  <c r="H91"/>
  <c r="H88"/>
  <c r="F96"/>
  <c r="F91"/>
  <c r="F88"/>
  <c r="G115" i="13"/>
  <c r="L47" i="8"/>
  <c r="L49"/>
  <c r="L52"/>
  <c r="L55"/>
  <c r="G47"/>
  <c r="G49"/>
  <c r="G52"/>
  <c r="G55"/>
  <c r="G81" i="6"/>
  <c r="G79"/>
  <c r="G76"/>
  <c r="G74"/>
  <c r="E62" i="9" l="1"/>
  <c r="H68"/>
  <c r="H62"/>
  <c r="D68"/>
  <c r="G68"/>
  <c r="N63"/>
  <c r="N62" s="1"/>
  <c r="M62"/>
  <c r="F63"/>
  <c r="D64"/>
  <c r="D63" s="1"/>
  <c r="D62" s="1"/>
  <c r="G66"/>
  <c r="G62" s="1"/>
  <c r="F66"/>
  <c r="D41" i="7"/>
  <c r="G146" i="3"/>
  <c r="H141"/>
  <c r="G153"/>
  <c r="G156"/>
  <c r="F62" i="9" l="1"/>
  <c r="K123" i="1"/>
  <c r="L123"/>
  <c r="I67" i="8"/>
  <c r="I65"/>
  <c r="G67"/>
  <c r="G65"/>
  <c r="I62"/>
  <c r="G62"/>
  <c r="I60"/>
  <c r="G60"/>
  <c r="G315" i="2"/>
  <c r="G167"/>
  <c r="G162"/>
  <c r="G159"/>
  <c r="H130"/>
  <c r="H129" s="1"/>
  <c r="G131"/>
  <c r="H198"/>
  <c r="H195"/>
  <c r="G198"/>
  <c r="G195"/>
  <c r="G215"/>
  <c r="H215"/>
  <c r="H213"/>
  <c r="G213"/>
  <c r="H209"/>
  <c r="G210"/>
  <c r="H208"/>
  <c r="G208"/>
  <c r="G239"/>
  <c r="G234"/>
  <c r="G231"/>
  <c r="H185"/>
  <c r="H191"/>
  <c r="G191"/>
  <c r="G186"/>
  <c r="H182"/>
  <c r="G183"/>
  <c r="F183"/>
  <c r="G82"/>
  <c r="G251"/>
  <c r="G246"/>
  <c r="G243"/>
  <c r="G255"/>
  <c r="H275"/>
  <c r="H270"/>
  <c r="G270"/>
  <c r="H267"/>
  <c r="G267"/>
  <c r="H227"/>
  <c r="G227"/>
  <c r="H222"/>
  <c r="G222"/>
  <c r="H219"/>
  <c r="G219"/>
  <c r="I159" i="9"/>
  <c r="H159"/>
  <c r="G159"/>
  <c r="I150"/>
  <c r="H150"/>
  <c r="G150"/>
  <c r="H156"/>
  <c r="H154"/>
  <c r="G156"/>
  <c r="G154"/>
  <c r="H146"/>
  <c r="H142"/>
  <c r="G146"/>
  <c r="G142"/>
  <c r="N143"/>
  <c r="N147"/>
  <c r="H168"/>
  <c r="G168"/>
  <c r="H164"/>
  <c r="G164"/>
  <c r="H107"/>
  <c r="H104"/>
  <c r="H100"/>
  <c r="H94"/>
  <c r="H91"/>
  <c r="H87"/>
  <c r="H181" i="2" l="1"/>
  <c r="N142" i="9"/>
  <c r="N146"/>
  <c r="N164"/>
  <c r="N168"/>
  <c r="H146" i="3"/>
  <c r="H142"/>
  <c r="H143"/>
  <c r="G142"/>
  <c r="N142" s="1"/>
  <c r="G141"/>
  <c r="N141" s="1"/>
  <c r="H140"/>
  <c r="G140"/>
  <c r="N140" s="1"/>
  <c r="I139"/>
  <c r="H139"/>
  <c r="G139"/>
  <c r="N139" s="1"/>
  <c r="N257" i="6"/>
  <c r="N256"/>
  <c r="J255"/>
  <c r="K255"/>
  <c r="L255"/>
  <c r="I255"/>
  <c r="H255"/>
  <c r="G255"/>
  <c r="H115" i="9"/>
  <c r="G116"/>
  <c r="F115"/>
  <c r="E115"/>
  <c r="N113"/>
  <c r="N112" s="1"/>
  <c r="F113"/>
  <c r="M113" s="1"/>
  <c r="M112" s="1"/>
  <c r="H112"/>
  <c r="G112"/>
  <c r="F112"/>
  <c r="E112"/>
  <c r="N111"/>
  <c r="N110" s="1"/>
  <c r="N109" s="1"/>
  <c r="F111"/>
  <c r="D111" s="1"/>
  <c r="D110" s="1"/>
  <c r="H110"/>
  <c r="G110"/>
  <c r="F110"/>
  <c r="E110"/>
  <c r="F109"/>
  <c r="E109"/>
  <c r="H109" l="1"/>
  <c r="F114"/>
  <c r="H114"/>
  <c r="M111"/>
  <c r="M110" s="1"/>
  <c r="D113"/>
  <c r="D112" s="1"/>
  <c r="D109" s="1"/>
  <c r="E114"/>
  <c r="D116"/>
  <c r="D115" s="1"/>
  <c r="D114" s="1"/>
  <c r="K254" i="6"/>
  <c r="K253" s="1"/>
  <c r="K243"/>
  <c r="K242" s="1"/>
  <c r="K241" s="1"/>
  <c r="L254"/>
  <c r="L253" s="1"/>
  <c r="L243"/>
  <c r="L242" s="1"/>
  <c r="L241" s="1"/>
  <c r="J254"/>
  <c r="J253" s="1"/>
  <c r="J243"/>
  <c r="J242" s="1"/>
  <c r="J241" s="1"/>
  <c r="G109" i="9"/>
  <c r="M109"/>
  <c r="G115"/>
  <c r="G114" l="1"/>
  <c r="H607" i="2"/>
  <c r="H611"/>
  <c r="G607"/>
  <c r="G611"/>
  <c r="I203" i="9"/>
  <c r="G203"/>
  <c r="I200"/>
  <c r="I199"/>
  <c r="H199"/>
  <c r="G200"/>
  <c r="G199"/>
  <c r="I196"/>
  <c r="I195"/>
  <c r="H195"/>
  <c r="G196"/>
  <c r="G195"/>
  <c r="I565" i="2" l="1"/>
  <c r="G565"/>
  <c r="G648"/>
  <c r="G664"/>
  <c r="G661"/>
  <c r="K644"/>
  <c r="K643"/>
  <c r="K642" s="1"/>
  <c r="G644"/>
  <c r="K602"/>
  <c r="K601" s="1"/>
  <c r="G603"/>
  <c r="J543"/>
  <c r="J542" s="1"/>
  <c r="K543"/>
  <c r="K542" s="1"/>
  <c r="I545"/>
  <c r="I544"/>
  <c r="H545"/>
  <c r="H544"/>
  <c r="G537"/>
  <c r="E537"/>
  <c r="H537"/>
  <c r="J537"/>
  <c r="K537"/>
  <c r="L537"/>
  <c r="E547"/>
  <c r="F547"/>
  <c r="G547"/>
  <c r="H547"/>
  <c r="I547"/>
  <c r="D549"/>
  <c r="G545"/>
  <c r="N545" s="1"/>
  <c r="G544"/>
  <c r="N544" s="1"/>
  <c r="I172" i="6"/>
  <c r="H172"/>
  <c r="G172"/>
  <c r="I176"/>
  <c r="G176"/>
  <c r="I177"/>
  <c r="H177"/>
  <c r="G177"/>
  <c r="I183"/>
  <c r="H183"/>
  <c r="G183"/>
  <c r="I184"/>
  <c r="H184"/>
  <c r="I199" l="1"/>
  <c r="H199"/>
  <c r="G199"/>
  <c r="I204"/>
  <c r="H204"/>
  <c r="I211"/>
  <c r="H211"/>
  <c r="J365" i="2"/>
  <c r="K365"/>
  <c r="L365"/>
  <c r="G359" l="1"/>
  <c r="G354"/>
  <c r="G353"/>
  <c r="K127" i="6"/>
  <c r="H127"/>
  <c r="K136"/>
  <c r="J136"/>
  <c r="I136"/>
  <c r="H136"/>
  <c r="G136"/>
  <c r="J127"/>
  <c r="I127"/>
  <c r="H117"/>
  <c r="K117"/>
  <c r="J117"/>
  <c r="I117"/>
  <c r="G117"/>
  <c r="F117"/>
  <c r="G113"/>
  <c r="I110"/>
  <c r="I112"/>
  <c r="G112"/>
  <c r="G111"/>
  <c r="I109"/>
  <c r="G109"/>
  <c r="F109"/>
  <c r="I108"/>
  <c r="G103"/>
  <c r="I100"/>
  <c r="I44"/>
  <c r="H44"/>
  <c r="H43"/>
  <c r="G44"/>
  <c r="G43"/>
  <c r="F44"/>
  <c r="F43"/>
  <c r="E44"/>
  <c r="I48"/>
  <c r="H48"/>
  <c r="H47"/>
  <c r="G47"/>
  <c r="G48"/>
  <c r="F48"/>
  <c r="F47"/>
  <c r="E48"/>
  <c r="I53"/>
  <c r="H53"/>
  <c r="H52"/>
  <c r="G53"/>
  <c r="G52"/>
  <c r="F52"/>
  <c r="F53"/>
  <c r="E53"/>
  <c r="J56"/>
  <c r="I56"/>
  <c r="H56"/>
  <c r="G56"/>
  <c r="J58"/>
  <c r="I58"/>
  <c r="H58"/>
  <c r="G58"/>
  <c r="L369" i="2" l="1"/>
  <c r="K369"/>
  <c r="J369"/>
  <c r="L375"/>
  <c r="K375"/>
  <c r="J375"/>
  <c r="L37" i="6"/>
  <c r="K37"/>
  <c r="H37"/>
  <c r="K29"/>
  <c r="G29"/>
  <c r="K33"/>
  <c r="G33"/>
  <c r="H114" i="13"/>
  <c r="H113" s="1"/>
  <c r="H71" i="5"/>
  <c r="H70" s="1"/>
  <c r="H74"/>
  <c r="H73" s="1"/>
  <c r="H439" i="2"/>
  <c r="G439"/>
  <c r="H444"/>
  <c r="G444"/>
  <c r="H448"/>
  <c r="G448"/>
  <c r="M120" i="13"/>
  <c r="E103"/>
  <c r="H103"/>
  <c r="I103"/>
  <c r="J103"/>
  <c r="K103"/>
  <c r="L103"/>
  <c r="N75"/>
  <c r="E25" l="1"/>
  <c r="K25"/>
  <c r="L25"/>
  <c r="J18"/>
  <c r="K18"/>
  <c r="L18"/>
  <c r="E78"/>
  <c r="F78"/>
  <c r="G78"/>
  <c r="H78"/>
  <c r="I78"/>
  <c r="J78"/>
  <c r="K78"/>
  <c r="L78"/>
  <c r="E22"/>
  <c r="F22"/>
  <c r="G22"/>
  <c r="H22"/>
  <c r="I22"/>
  <c r="J22"/>
  <c r="K22"/>
  <c r="L22"/>
  <c r="E15"/>
  <c r="F15"/>
  <c r="G15"/>
  <c r="H15"/>
  <c r="I15"/>
  <c r="J15"/>
  <c r="K15"/>
  <c r="L15"/>
  <c r="E13"/>
  <c r="I13"/>
  <c r="J13"/>
  <c r="K13"/>
  <c r="L13"/>
  <c r="N15" l="1"/>
  <c r="E93"/>
  <c r="E92" s="1"/>
  <c r="F93"/>
  <c r="F92" s="1"/>
  <c r="G93"/>
  <c r="G92" s="1"/>
  <c r="H93"/>
  <c r="H92" s="1"/>
  <c r="I93"/>
  <c r="I92" s="1"/>
  <c r="J93"/>
  <c r="J92" s="1"/>
  <c r="K93"/>
  <c r="K92" s="1"/>
  <c r="L93"/>
  <c r="L92" s="1"/>
  <c r="H81"/>
  <c r="M79"/>
  <c r="M78" s="1"/>
  <c r="D89"/>
  <c r="G88"/>
  <c r="N88" s="1"/>
  <c r="N87" s="1"/>
  <c r="D76"/>
  <c r="L87"/>
  <c r="L86" s="1"/>
  <c r="K87"/>
  <c r="K86" s="1"/>
  <c r="J87"/>
  <c r="J86" s="1"/>
  <c r="I87"/>
  <c r="I86" s="1"/>
  <c r="F87"/>
  <c r="F86" s="1"/>
  <c r="E87"/>
  <c r="E86" s="1"/>
  <c r="E83"/>
  <c r="F83"/>
  <c r="G83"/>
  <c r="H83"/>
  <c r="I83"/>
  <c r="J83"/>
  <c r="K83"/>
  <c r="L83"/>
  <c r="E81"/>
  <c r="E80" s="1"/>
  <c r="F81"/>
  <c r="G81"/>
  <c r="G80" s="1"/>
  <c r="I81"/>
  <c r="J81"/>
  <c r="K81"/>
  <c r="L81"/>
  <c r="E75"/>
  <c r="F75"/>
  <c r="G75"/>
  <c r="H75"/>
  <c r="I75"/>
  <c r="J75"/>
  <c r="K75"/>
  <c r="L75"/>
  <c r="D96"/>
  <c r="D94"/>
  <c r="D91"/>
  <c r="D84"/>
  <c r="D83" s="1"/>
  <c r="D82"/>
  <c r="D81" s="1"/>
  <c r="D79"/>
  <c r="D78" s="1"/>
  <c r="N91"/>
  <c r="N90" s="1"/>
  <c r="M91"/>
  <c r="M90" s="1"/>
  <c r="M87"/>
  <c r="K80" l="1"/>
  <c r="K120" s="1"/>
  <c r="G87"/>
  <c r="G86" s="1"/>
  <c r="L80"/>
  <c r="L120" s="1"/>
  <c r="K74"/>
  <c r="G74"/>
  <c r="L74"/>
  <c r="H74"/>
  <c r="I80"/>
  <c r="I120" s="1"/>
  <c r="J74"/>
  <c r="F74"/>
  <c r="I74"/>
  <c r="E74"/>
  <c r="H80"/>
  <c r="H120" s="1"/>
  <c r="D80"/>
  <c r="D90"/>
  <c r="D95"/>
  <c r="D93"/>
  <c r="D22"/>
  <c r="N89"/>
  <c r="D77"/>
  <c r="D88"/>
  <c r="H87"/>
  <c r="H86" s="1"/>
  <c r="J80"/>
  <c r="J120" s="1"/>
  <c r="F80"/>
  <c r="F120" s="1"/>
  <c r="N86"/>
  <c r="M86"/>
  <c r="D92" l="1"/>
  <c r="D75"/>
  <c r="D74" s="1"/>
  <c r="D15"/>
  <c r="P77"/>
  <c r="D87"/>
  <c r="D86" s="1"/>
  <c r="P76"/>
  <c r="U109" i="4"/>
  <c r="T109"/>
  <c r="S109"/>
  <c r="R109"/>
  <c r="Q109"/>
  <c r="P109"/>
  <c r="O109"/>
  <c r="N109"/>
  <c r="K114"/>
  <c r="L114"/>
  <c r="K113"/>
  <c r="L113"/>
  <c r="J8"/>
  <c r="I8"/>
  <c r="H8"/>
  <c r="G8"/>
  <c r="F32"/>
  <c r="E32"/>
  <c r="F30"/>
  <c r="E30"/>
  <c r="F44"/>
  <c r="E44"/>
  <c r="F42"/>
  <c r="E42"/>
  <c r="K115" l="1"/>
  <c r="L115"/>
  <c r="E41"/>
  <c r="E113" s="1"/>
  <c r="E29"/>
  <c r="E114" s="1"/>
  <c r="F41"/>
  <c r="F113" s="1"/>
  <c r="F29"/>
  <c r="F114" s="1"/>
  <c r="J11"/>
  <c r="I11"/>
  <c r="H11"/>
  <c r="G11"/>
  <c r="H13"/>
  <c r="I13"/>
  <c r="J13"/>
  <c r="G13"/>
  <c r="H15"/>
  <c r="I15"/>
  <c r="J15"/>
  <c r="G15"/>
  <c r="H18"/>
  <c r="I18"/>
  <c r="J18"/>
  <c r="G18"/>
  <c r="H20"/>
  <c r="I20"/>
  <c r="J20"/>
  <c r="G20"/>
  <c r="E115" l="1"/>
  <c r="F115"/>
  <c r="H36"/>
  <c r="I36"/>
  <c r="J36"/>
  <c r="G36"/>
  <c r="H206" i="2"/>
  <c r="H205" s="1"/>
  <c r="D45" i="4" l="1"/>
  <c r="D44" s="1"/>
  <c r="J44"/>
  <c r="I44"/>
  <c r="H44"/>
  <c r="G44"/>
  <c r="D43"/>
  <c r="J42"/>
  <c r="I42"/>
  <c r="H42"/>
  <c r="G42"/>
  <c r="N40"/>
  <c r="N39" s="1"/>
  <c r="D40"/>
  <c r="D39" s="1"/>
  <c r="J39"/>
  <c r="J35" s="1"/>
  <c r="I39"/>
  <c r="I35" s="1"/>
  <c r="H39"/>
  <c r="H35" s="1"/>
  <c r="G39"/>
  <c r="N38"/>
  <c r="M38"/>
  <c r="M36" s="1"/>
  <c r="M35" s="1"/>
  <c r="D38"/>
  <c r="N37"/>
  <c r="D37"/>
  <c r="H7" l="1"/>
  <c r="J7"/>
  <c r="I7"/>
  <c r="N36"/>
  <c r="N35" s="1"/>
  <c r="I41"/>
  <c r="I113" s="1"/>
  <c r="D42"/>
  <c r="D41" s="1"/>
  <c r="D113" s="1"/>
  <c r="D36"/>
  <c r="D35" s="1"/>
  <c r="D7" s="1"/>
  <c r="G41"/>
  <c r="G113" s="1"/>
  <c r="H41"/>
  <c r="H113" s="1"/>
  <c r="G35"/>
  <c r="J41"/>
  <c r="J113" s="1"/>
  <c r="E8"/>
  <c r="F8"/>
  <c r="K8"/>
  <c r="L8"/>
  <c r="E11"/>
  <c r="F11"/>
  <c r="K11"/>
  <c r="L11"/>
  <c r="E12"/>
  <c r="F12"/>
  <c r="G12"/>
  <c r="H12"/>
  <c r="I12"/>
  <c r="J12"/>
  <c r="K12"/>
  <c r="L12"/>
  <c r="E13"/>
  <c r="F13"/>
  <c r="K13"/>
  <c r="L13"/>
  <c r="E15"/>
  <c r="E14" s="1"/>
  <c r="F15"/>
  <c r="F14" s="1"/>
  <c r="G14"/>
  <c r="H14"/>
  <c r="I14"/>
  <c r="J14"/>
  <c r="K15"/>
  <c r="K14" s="1"/>
  <c r="L15"/>
  <c r="L14" s="1"/>
  <c r="E18"/>
  <c r="E17" s="1"/>
  <c r="F18"/>
  <c r="F17" s="1"/>
  <c r="G17"/>
  <c r="H17"/>
  <c r="I17"/>
  <c r="J17"/>
  <c r="K18"/>
  <c r="K17" s="1"/>
  <c r="L18"/>
  <c r="L17" s="1"/>
  <c r="E20"/>
  <c r="E19" s="1"/>
  <c r="F20"/>
  <c r="F19" s="1"/>
  <c r="G19"/>
  <c r="H19"/>
  <c r="I19"/>
  <c r="J19"/>
  <c r="K20"/>
  <c r="K19" s="1"/>
  <c r="L20"/>
  <c r="L19" s="1"/>
  <c r="D33"/>
  <c r="Q32" s="1"/>
  <c r="J32"/>
  <c r="I32"/>
  <c r="H32"/>
  <c r="G32"/>
  <c r="D31"/>
  <c r="D30" s="1"/>
  <c r="J30"/>
  <c r="I30"/>
  <c r="H30"/>
  <c r="G30"/>
  <c r="N28"/>
  <c r="N27" s="1"/>
  <c r="D28"/>
  <c r="J27"/>
  <c r="I27"/>
  <c r="H27"/>
  <c r="G27"/>
  <c r="N26"/>
  <c r="M26"/>
  <c r="D26"/>
  <c r="D25"/>
  <c r="D12" s="1"/>
  <c r="N24"/>
  <c r="D24"/>
  <c r="J23"/>
  <c r="I23"/>
  <c r="H23"/>
  <c r="G23"/>
  <c r="L7"/>
  <c r="K7"/>
  <c r="F7"/>
  <c r="E7"/>
  <c r="G581" i="2"/>
  <c r="G7" i="4" l="1"/>
  <c r="D8"/>
  <c r="D6" s="1"/>
  <c r="D13"/>
  <c r="Q31"/>
  <c r="Q33" s="1"/>
  <c r="N23"/>
  <c r="N22" s="1"/>
  <c r="J22"/>
  <c r="H22"/>
  <c r="I22"/>
  <c r="D27"/>
  <c r="D15"/>
  <c r="D14" s="1"/>
  <c r="D32"/>
  <c r="D29" s="1"/>
  <c r="D114" s="1"/>
  <c r="D115" s="1"/>
  <c r="D20"/>
  <c r="D19" s="1"/>
  <c r="D18"/>
  <c r="D11"/>
  <c r="M23"/>
  <c r="M22" s="1"/>
  <c r="H16"/>
  <c r="K16"/>
  <c r="K116" s="1"/>
  <c r="G16"/>
  <c r="I10"/>
  <c r="E10"/>
  <c r="N8"/>
  <c r="L16"/>
  <c r="L116" s="1"/>
  <c r="J10"/>
  <c r="F10"/>
  <c r="K10"/>
  <c r="G10"/>
  <c r="L10"/>
  <c r="H10"/>
  <c r="F16"/>
  <c r="F116" s="1"/>
  <c r="J16"/>
  <c r="I16"/>
  <c r="E16"/>
  <c r="E116" s="1"/>
  <c r="D17"/>
  <c r="H29"/>
  <c r="G29"/>
  <c r="G114" s="1"/>
  <c r="G115" s="1"/>
  <c r="I29"/>
  <c r="I114" s="1"/>
  <c r="I115" s="1"/>
  <c r="G22"/>
  <c r="J29"/>
  <c r="J114" s="1"/>
  <c r="J115" s="1"/>
  <c r="J116" s="1"/>
  <c r="D23"/>
  <c r="M11"/>
  <c r="M7"/>
  <c r="M12"/>
  <c r="N13"/>
  <c r="N12"/>
  <c r="M13"/>
  <c r="N7"/>
  <c r="N11"/>
  <c r="I53"/>
  <c r="J53"/>
  <c r="H53"/>
  <c r="I100"/>
  <c r="I99" s="1"/>
  <c r="J100"/>
  <c r="J99" s="1"/>
  <c r="H100"/>
  <c r="H99" s="1"/>
  <c r="N101"/>
  <c r="N53" s="1"/>
  <c r="D101"/>
  <c r="D53" s="1"/>
  <c r="G261" i="3"/>
  <c r="G256"/>
  <c r="G250"/>
  <c r="G243"/>
  <c r="Q92" i="4"/>
  <c r="H115" l="1"/>
  <c r="H116" s="1"/>
  <c r="H114"/>
  <c r="D10"/>
  <c r="I116"/>
  <c r="G116"/>
  <c r="D22"/>
  <c r="D16"/>
  <c r="D116" s="1"/>
  <c r="N15"/>
  <c r="N14" s="1"/>
  <c r="M15"/>
  <c r="M14" s="1"/>
  <c r="E9"/>
  <c r="H9"/>
  <c r="I9"/>
  <c r="F9"/>
  <c r="D9"/>
  <c r="M10"/>
  <c r="J9"/>
  <c r="G9"/>
  <c r="L9"/>
  <c r="N10"/>
  <c r="K9"/>
  <c r="N100"/>
  <c r="N99" s="1"/>
  <c r="D100"/>
  <c r="D99" s="1"/>
  <c r="L97"/>
  <c r="K97"/>
  <c r="J97"/>
  <c r="I97"/>
  <c r="H97"/>
  <c r="H109" s="1"/>
  <c r="J56" l="1"/>
  <c r="J109"/>
  <c r="I56"/>
  <c r="I109"/>
  <c r="H56"/>
  <c r="P88"/>
  <c r="M9"/>
  <c r="N9"/>
  <c r="G87"/>
  <c r="G92"/>
  <c r="G97"/>
  <c r="D97" s="1"/>
  <c r="G109" l="1"/>
  <c r="M97"/>
  <c r="N97"/>
  <c r="G127" i="6" l="1"/>
  <c r="F110" l="1"/>
  <c r="F100"/>
  <c r="E117"/>
  <c r="E110"/>
  <c r="E100"/>
  <c r="H76" i="8" l="1"/>
  <c r="H73"/>
  <c r="H71"/>
  <c r="G76"/>
  <c r="G73"/>
  <c r="G71"/>
  <c r="H85"/>
  <c r="G85"/>
  <c r="H82"/>
  <c r="G82"/>
  <c r="H80"/>
  <c r="G80"/>
  <c r="N104" i="9"/>
  <c r="D104"/>
  <c r="N103"/>
  <c r="D103"/>
  <c r="L102"/>
  <c r="K102"/>
  <c r="J102"/>
  <c r="I102"/>
  <c r="H102"/>
  <c r="G102"/>
  <c r="F102"/>
  <c r="F101" s="1"/>
  <c r="E102"/>
  <c r="E101" s="1"/>
  <c r="N100"/>
  <c r="D100"/>
  <c r="N99"/>
  <c r="D99"/>
  <c r="L98"/>
  <c r="K98"/>
  <c r="J98"/>
  <c r="I98"/>
  <c r="I97" s="1"/>
  <c r="H98"/>
  <c r="H97" s="1"/>
  <c r="G98"/>
  <c r="G97" s="1"/>
  <c r="F98"/>
  <c r="F97" s="1"/>
  <c r="E98"/>
  <c r="E97" s="1"/>
  <c r="N91"/>
  <c r="N90"/>
  <c r="N87"/>
  <c r="N86"/>
  <c r="D91"/>
  <c r="D90"/>
  <c r="L89"/>
  <c r="K89"/>
  <c r="J89"/>
  <c r="I89"/>
  <c r="H89"/>
  <c r="G89"/>
  <c r="F89"/>
  <c r="E89"/>
  <c r="E85"/>
  <c r="F85"/>
  <c r="D87"/>
  <c r="D86"/>
  <c r="H85"/>
  <c r="I85"/>
  <c r="J85"/>
  <c r="K85"/>
  <c r="L85"/>
  <c r="G85"/>
  <c r="F107"/>
  <c r="D107" s="1"/>
  <c r="D106" s="1"/>
  <c r="D105" s="1"/>
  <c r="L106"/>
  <c r="K106"/>
  <c r="J106"/>
  <c r="I106"/>
  <c r="H106"/>
  <c r="G106"/>
  <c r="E106"/>
  <c r="E105" s="1"/>
  <c r="E9" i="7"/>
  <c r="I9"/>
  <c r="J9"/>
  <c r="L9"/>
  <c r="J13"/>
  <c r="J8"/>
  <c r="J72"/>
  <c r="I686" i="2"/>
  <c r="J686"/>
  <c r="K686"/>
  <c r="L686"/>
  <c r="J84" i="9" l="1"/>
  <c r="K84"/>
  <c r="L84"/>
  <c r="K105"/>
  <c r="J105"/>
  <c r="L105"/>
  <c r="F106"/>
  <c r="F105" s="1"/>
  <c r="J101"/>
  <c r="J96" s="1"/>
  <c r="I105"/>
  <c r="H101"/>
  <c r="H96" s="1"/>
  <c r="L101"/>
  <c r="L96" s="1"/>
  <c r="K101"/>
  <c r="K96" s="1"/>
  <c r="H105"/>
  <c r="G105"/>
  <c r="J7" i="7"/>
  <c r="F96" i="9"/>
  <c r="D102"/>
  <c r="D101" s="1"/>
  <c r="N102"/>
  <c r="N101" s="1"/>
  <c r="D98"/>
  <c r="D97" s="1"/>
  <c r="G101"/>
  <c r="G96" s="1"/>
  <c r="M102"/>
  <c r="M101" s="1"/>
  <c r="I101"/>
  <c r="I96" s="1"/>
  <c r="E96"/>
  <c r="N98"/>
  <c r="N97" s="1"/>
  <c r="M98"/>
  <c r="M97" s="1"/>
  <c r="D89"/>
  <c r="D85"/>
  <c r="G81"/>
  <c r="P58"/>
  <c r="H48"/>
  <c r="G46"/>
  <c r="P46" s="1"/>
  <c r="G41"/>
  <c r="P34"/>
  <c r="H322" i="2"/>
  <c r="H319" s="1"/>
  <c r="G323"/>
  <c r="G318"/>
  <c r="H202"/>
  <c r="H199" s="1"/>
  <c r="I202"/>
  <c r="I199" s="1"/>
  <c r="J202"/>
  <c r="J199" s="1"/>
  <c r="H194"/>
  <c r="I194"/>
  <c r="J194"/>
  <c r="H197"/>
  <c r="I197"/>
  <c r="J197"/>
  <c r="H385"/>
  <c r="G385"/>
  <c r="G382"/>
  <c r="F382"/>
  <c r="F380"/>
  <c r="I254"/>
  <c r="I257"/>
  <c r="I262"/>
  <c r="H263"/>
  <c r="G263"/>
  <c r="H258"/>
  <c r="G258"/>
  <c r="H255"/>
  <c r="H176" i="7"/>
  <c r="H178"/>
  <c r="G178"/>
  <c r="H171"/>
  <c r="H190" i="2"/>
  <c r="G275"/>
  <c r="H287"/>
  <c r="G287"/>
  <c r="F222"/>
  <c r="E220"/>
  <c r="F219"/>
  <c r="E219"/>
  <c r="H212"/>
  <c r="H214"/>
  <c r="G237"/>
  <c r="G232"/>
  <c r="G179"/>
  <c r="G177"/>
  <c r="G174"/>
  <c r="G172"/>
  <c r="G171"/>
  <c r="G128" i="7"/>
  <c r="F128"/>
  <c r="G123"/>
  <c r="F123"/>
  <c r="G120"/>
  <c r="I30"/>
  <c r="I29" s="1"/>
  <c r="G31"/>
  <c r="G26"/>
  <c r="E8"/>
  <c r="K8"/>
  <c r="L8"/>
  <c r="D90"/>
  <c r="D89" s="1"/>
  <c r="D86" s="1"/>
  <c r="D85"/>
  <c r="D84" s="1"/>
  <c r="D83"/>
  <c r="D82"/>
  <c r="D78"/>
  <c r="D77" s="1"/>
  <c r="D74" s="1"/>
  <c r="D73"/>
  <c r="D72" s="1"/>
  <c r="D71"/>
  <c r="D70"/>
  <c r="J75"/>
  <c r="J77"/>
  <c r="J69"/>
  <c r="J68" s="1"/>
  <c r="H134" i="9"/>
  <c r="I134"/>
  <c r="J134"/>
  <c r="K134"/>
  <c r="L134"/>
  <c r="G137"/>
  <c r="G135"/>
  <c r="F135"/>
  <c r="G132"/>
  <c r="G130"/>
  <c r="G129"/>
  <c r="F132"/>
  <c r="F129"/>
  <c r="E132"/>
  <c r="E16" s="1"/>
  <c r="E129"/>
  <c r="E12" s="1"/>
  <c r="F130"/>
  <c r="H187" i="2" l="1"/>
  <c r="I259"/>
  <c r="J74" i="7"/>
  <c r="D69"/>
  <c r="D68" s="1"/>
  <c r="D81"/>
  <c r="D80" s="1"/>
  <c r="I253" i="2"/>
  <c r="I193"/>
  <c r="H193"/>
  <c r="J193"/>
  <c r="D96" i="9"/>
  <c r="N96"/>
  <c r="M96"/>
  <c r="H211" i="2"/>
  <c r="E93" i="5"/>
  <c r="E92" s="1"/>
  <c r="E91" s="1"/>
  <c r="F93"/>
  <c r="F92" s="1"/>
  <c r="F91" s="1"/>
  <c r="G93"/>
  <c r="G92" s="1"/>
  <c r="G91" s="1"/>
  <c r="H93"/>
  <c r="H92" s="1"/>
  <c r="H91" s="1"/>
  <c r="I93"/>
  <c r="I92" s="1"/>
  <c r="I91" s="1"/>
  <c r="J93"/>
  <c r="J92" s="1"/>
  <c r="J91" s="1"/>
  <c r="K93"/>
  <c r="K92" s="1"/>
  <c r="K91" s="1"/>
  <c r="L93"/>
  <c r="L92" s="1"/>
  <c r="L91" s="1"/>
  <c r="G96"/>
  <c r="G95" s="1"/>
  <c r="G89" s="1"/>
  <c r="M97"/>
  <c r="M96" s="1"/>
  <c r="M95" s="1"/>
  <c r="D97"/>
  <c r="D96" s="1"/>
  <c r="D95" s="1"/>
  <c r="D89" s="1"/>
  <c r="L96"/>
  <c r="L95" s="1"/>
  <c r="L89" s="1"/>
  <c r="K96"/>
  <c r="K95" s="1"/>
  <c r="K89" s="1"/>
  <c r="J96"/>
  <c r="J95" s="1"/>
  <c r="J89" s="1"/>
  <c r="J88" s="1"/>
  <c r="I96"/>
  <c r="I95" s="1"/>
  <c r="I89" s="1"/>
  <c r="H96"/>
  <c r="H95" s="1"/>
  <c r="H89" s="1"/>
  <c r="F96"/>
  <c r="F95" s="1"/>
  <c r="F89" s="1"/>
  <c r="E96"/>
  <c r="E95" s="1"/>
  <c r="E89" s="1"/>
  <c r="M91"/>
  <c r="G252" i="3"/>
  <c r="G247"/>
  <c r="G263"/>
  <c r="G258"/>
  <c r="G186"/>
  <c r="G184"/>
  <c r="G181"/>
  <c r="G179"/>
  <c r="G178"/>
  <c r="H174"/>
  <c r="G174"/>
  <c r="H172"/>
  <c r="G172"/>
  <c r="H169"/>
  <c r="G169"/>
  <c r="H165"/>
  <c r="G165"/>
  <c r="H162"/>
  <c r="G162"/>
  <c r="L88" i="5" l="1"/>
  <c r="K88"/>
  <c r="I88"/>
  <c r="H88"/>
  <c r="G88"/>
  <c r="D88"/>
  <c r="F88"/>
  <c r="E88"/>
  <c r="D93"/>
  <c r="D92" s="1"/>
  <c r="D91" s="1"/>
  <c r="N97"/>
  <c r="N96" s="1"/>
  <c r="N95" s="1"/>
  <c r="M92" s="1"/>
  <c r="N93"/>
  <c r="N92" s="1"/>
  <c r="N91" s="1"/>
  <c r="E140" i="6"/>
  <c r="E176"/>
  <c r="E183"/>
  <c r="E152" s="1"/>
  <c r="F172"/>
  <c r="H176"/>
  <c r="F176"/>
  <c r="G184"/>
  <c r="G652" i="2" l="1"/>
  <c r="G660"/>
  <c r="D671" l="1"/>
  <c r="G670"/>
  <c r="G669" s="1"/>
  <c r="D669" s="1"/>
  <c r="H246" i="9"/>
  <c r="G246"/>
  <c r="H241"/>
  <c r="G241"/>
  <c r="H238"/>
  <c r="G238"/>
  <c r="D670" i="2" l="1"/>
  <c r="G42" i="3"/>
  <c r="I42" l="1"/>
  <c r="H42"/>
  <c r="H35"/>
  <c r="G35"/>
  <c r="G36"/>
  <c r="H29"/>
  <c r="G30"/>
  <c r="G29"/>
  <c r="G612" i="2"/>
  <c r="G608"/>
  <c r="E107" i="7" l="1"/>
  <c r="F107"/>
  <c r="I318" i="2"/>
  <c r="I317" s="1"/>
  <c r="I314"/>
  <c r="E375"/>
  <c r="J374"/>
  <c r="J373" s="1"/>
  <c r="K374"/>
  <c r="L374"/>
  <c r="K368"/>
  <c r="L368"/>
  <c r="J432"/>
  <c r="J431" s="1"/>
  <c r="I433"/>
  <c r="H433"/>
  <c r="H430"/>
  <c r="G430"/>
  <c r="I429"/>
  <c r="I427"/>
  <c r="H428"/>
  <c r="G428"/>
  <c r="J423"/>
  <c r="J422" s="1"/>
  <c r="I424"/>
  <c r="H424"/>
  <c r="H421"/>
  <c r="I420"/>
  <c r="I418"/>
  <c r="H419"/>
  <c r="G421"/>
  <c r="G419"/>
  <c r="E418"/>
  <c r="I406"/>
  <c r="H406"/>
  <c r="E403"/>
  <c r="H403"/>
  <c r="G403"/>
  <c r="H401"/>
  <c r="G401"/>
  <c r="I396"/>
  <c r="I393" s="1"/>
  <c r="H397"/>
  <c r="G397"/>
  <c r="L367" l="1"/>
  <c r="K373"/>
  <c r="L373"/>
  <c r="J367"/>
  <c r="I313"/>
  <c r="E373"/>
  <c r="K367"/>
  <c r="I426"/>
  <c r="I417"/>
  <c r="E20" i="7"/>
  <c r="F20"/>
  <c r="I20"/>
  <c r="J20"/>
  <c r="K20"/>
  <c r="L20"/>
  <c r="E14"/>
  <c r="F14"/>
  <c r="I14"/>
  <c r="J14"/>
  <c r="K14"/>
  <c r="L14"/>
  <c r="E13"/>
  <c r="L13"/>
  <c r="H12"/>
  <c r="I12"/>
  <c r="J12"/>
  <c r="K12"/>
  <c r="L12"/>
  <c r="H103"/>
  <c r="D104"/>
  <c r="D103" s="1"/>
  <c r="K103"/>
  <c r="J103"/>
  <c r="I103"/>
  <c r="G103"/>
  <c r="F103"/>
  <c r="E103"/>
  <c r="D102"/>
  <c r="G100"/>
  <c r="K100"/>
  <c r="J100"/>
  <c r="I100"/>
  <c r="I99" s="1"/>
  <c r="F100"/>
  <c r="E100"/>
  <c r="D98"/>
  <c r="D97" s="1"/>
  <c r="N97"/>
  <c r="M97"/>
  <c r="K97"/>
  <c r="J97"/>
  <c r="I97"/>
  <c r="H97"/>
  <c r="G97"/>
  <c r="F97"/>
  <c r="E97"/>
  <c r="D96"/>
  <c r="N95"/>
  <c r="N93" s="1"/>
  <c r="N92" s="1"/>
  <c r="M95"/>
  <c r="M93" s="1"/>
  <c r="M92" s="1"/>
  <c r="D94"/>
  <c r="L93"/>
  <c r="K93"/>
  <c r="K92" s="1"/>
  <c r="J93"/>
  <c r="J92" s="1"/>
  <c r="I93"/>
  <c r="I92" s="1"/>
  <c r="F93"/>
  <c r="E93"/>
  <c r="F92" l="1"/>
  <c r="E99"/>
  <c r="F99"/>
  <c r="K99"/>
  <c r="J99"/>
  <c r="E92"/>
  <c r="G99"/>
  <c r="H100"/>
  <c r="H99" s="1"/>
  <c r="D101"/>
  <c r="D100" s="1"/>
  <c r="D99" s="1"/>
  <c r="H93"/>
  <c r="H92" s="1"/>
  <c r="D95"/>
  <c r="D93" s="1"/>
  <c r="D92" s="1"/>
  <c r="G93"/>
  <c r="G92" s="1"/>
  <c r="E23" i="3" l="1"/>
  <c r="J23"/>
  <c r="K23"/>
  <c r="E20"/>
  <c r="F20"/>
  <c r="G20"/>
  <c r="H20"/>
  <c r="I20"/>
  <c r="J20"/>
  <c r="K20"/>
  <c r="L20"/>
  <c r="E14"/>
  <c r="F14"/>
  <c r="G14"/>
  <c r="H14"/>
  <c r="I14"/>
  <c r="J14"/>
  <c r="K14"/>
  <c r="L14"/>
  <c r="E13"/>
  <c r="F13"/>
  <c r="E111"/>
  <c r="F111"/>
  <c r="G111"/>
  <c r="H111"/>
  <c r="I111"/>
  <c r="J111"/>
  <c r="K111"/>
  <c r="L111"/>
  <c r="D114"/>
  <c r="D14" s="1"/>
  <c r="D121"/>
  <c r="D120" s="1"/>
  <c r="L120"/>
  <c r="K120"/>
  <c r="J120"/>
  <c r="I120"/>
  <c r="H120"/>
  <c r="G120"/>
  <c r="F120"/>
  <c r="E120"/>
  <c r="D119"/>
  <c r="D118" s="1"/>
  <c r="L118"/>
  <c r="K118"/>
  <c r="J118"/>
  <c r="I118"/>
  <c r="H118"/>
  <c r="G118"/>
  <c r="F118"/>
  <c r="E118"/>
  <c r="N116"/>
  <c r="N115" s="1"/>
  <c r="M116"/>
  <c r="M115" s="1"/>
  <c r="F115"/>
  <c r="L115"/>
  <c r="K115"/>
  <c r="J115"/>
  <c r="I115"/>
  <c r="H115"/>
  <c r="G115"/>
  <c r="E115"/>
  <c r="N113"/>
  <c r="M113"/>
  <c r="D113"/>
  <c r="N112"/>
  <c r="M112"/>
  <c r="D112"/>
  <c r="M111" l="1"/>
  <c r="M110" s="1"/>
  <c r="J117"/>
  <c r="D111"/>
  <c r="L110"/>
  <c r="H110"/>
  <c r="I110"/>
  <c r="E110"/>
  <c r="J110"/>
  <c r="F110"/>
  <c r="K110"/>
  <c r="G110"/>
  <c r="K117"/>
  <c r="L117"/>
  <c r="H117"/>
  <c r="G117"/>
  <c r="F117"/>
  <c r="N111"/>
  <c r="N110" s="1"/>
  <c r="D116"/>
  <c r="D115" s="1"/>
  <c r="E117"/>
  <c r="I117"/>
  <c r="D117"/>
  <c r="D110" l="1"/>
  <c r="N200" i="9"/>
  <c r="N91" i="8"/>
  <c r="N62"/>
  <c r="N111" i="13"/>
  <c r="G15" i="5"/>
  <c r="G663" i="2" l="1"/>
  <c r="G662" s="1"/>
  <c r="G686" s="1"/>
  <c r="L22" i="5" l="1"/>
  <c r="L21" s="1"/>
  <c r="K22"/>
  <c r="K21" s="1"/>
  <c r="J22"/>
  <c r="J21" s="1"/>
  <c r="I22"/>
  <c r="I21" s="1"/>
  <c r="H22"/>
  <c r="H21" s="1"/>
  <c r="G22"/>
  <c r="G21" s="1"/>
  <c r="F22"/>
  <c r="F21" s="1"/>
  <c r="E22"/>
  <c r="E21" s="1"/>
  <c r="L18"/>
  <c r="K18"/>
  <c r="J18"/>
  <c r="I18"/>
  <c r="H18"/>
  <c r="G18"/>
  <c r="F18"/>
  <c r="E18"/>
  <c r="L16"/>
  <c r="K16"/>
  <c r="J16"/>
  <c r="I16"/>
  <c r="H16"/>
  <c r="G16"/>
  <c r="G14" s="1"/>
  <c r="F16"/>
  <c r="E16"/>
  <c r="N81"/>
  <c r="N80" s="1"/>
  <c r="N79"/>
  <c r="N78" s="1"/>
  <c r="L85"/>
  <c r="L24" s="1"/>
  <c r="K85"/>
  <c r="K24" s="1"/>
  <c r="J85"/>
  <c r="I85"/>
  <c r="H85"/>
  <c r="G85"/>
  <c r="F85"/>
  <c r="E85"/>
  <c r="L83"/>
  <c r="L82" s="1"/>
  <c r="K83"/>
  <c r="K82" s="1"/>
  <c r="J83"/>
  <c r="J82" s="1"/>
  <c r="I83"/>
  <c r="I82" s="1"/>
  <c r="H83"/>
  <c r="H82" s="1"/>
  <c r="G83"/>
  <c r="G82" s="1"/>
  <c r="F83"/>
  <c r="E83"/>
  <c r="L80"/>
  <c r="K80"/>
  <c r="J80"/>
  <c r="I80"/>
  <c r="H80"/>
  <c r="G80"/>
  <c r="F80"/>
  <c r="E80"/>
  <c r="L78"/>
  <c r="K78"/>
  <c r="J78"/>
  <c r="I78"/>
  <c r="H78"/>
  <c r="G78"/>
  <c r="F78"/>
  <c r="E78"/>
  <c r="D86"/>
  <c r="D85" s="1"/>
  <c r="D24" s="1"/>
  <c r="D84"/>
  <c r="D83" s="1"/>
  <c r="D81"/>
  <c r="D80" s="1"/>
  <c r="D79"/>
  <c r="M77"/>
  <c r="H13" i="8"/>
  <c r="L102"/>
  <c r="K102"/>
  <c r="J102"/>
  <c r="L99"/>
  <c r="K99"/>
  <c r="J99"/>
  <c r="L97"/>
  <c r="K97"/>
  <c r="J97"/>
  <c r="E50" i="13"/>
  <c r="E29" i="8"/>
  <c r="E18"/>
  <c r="L13"/>
  <c r="K13"/>
  <c r="J13"/>
  <c r="I13"/>
  <c r="E13"/>
  <c r="F103"/>
  <c r="I102"/>
  <c r="H102"/>
  <c r="G102"/>
  <c r="E102"/>
  <c r="N100"/>
  <c r="N99" s="1"/>
  <c r="F100"/>
  <c r="I99"/>
  <c r="H99"/>
  <c r="G99"/>
  <c r="F99"/>
  <c r="E99"/>
  <c r="N98"/>
  <c r="N97" s="1"/>
  <c r="F98"/>
  <c r="I97"/>
  <c r="H97"/>
  <c r="G97"/>
  <c r="F97"/>
  <c r="E97"/>
  <c r="I93"/>
  <c r="I92" s="1"/>
  <c r="I90"/>
  <c r="I88"/>
  <c r="F94"/>
  <c r="F93" s="1"/>
  <c r="F92" s="1"/>
  <c r="H93"/>
  <c r="H92" s="1"/>
  <c r="G93"/>
  <c r="G92" s="1"/>
  <c r="E93"/>
  <c r="E92" s="1"/>
  <c r="N90"/>
  <c r="F91"/>
  <c r="H90"/>
  <c r="G90"/>
  <c r="E90"/>
  <c r="N89"/>
  <c r="N88" s="1"/>
  <c r="F89"/>
  <c r="M89" s="1"/>
  <c r="M88" s="1"/>
  <c r="H88"/>
  <c r="G88"/>
  <c r="E88"/>
  <c r="N16" i="5" l="1"/>
  <c r="I101" i="8"/>
  <c r="G101"/>
  <c r="L101"/>
  <c r="E101"/>
  <c r="K101"/>
  <c r="J101"/>
  <c r="D98"/>
  <c r="H101"/>
  <c r="L96"/>
  <c r="E24" i="5"/>
  <c r="G24"/>
  <c r="I24"/>
  <c r="F24"/>
  <c r="H24"/>
  <c r="J24"/>
  <c r="I96" i="8"/>
  <c r="E96"/>
  <c r="J96"/>
  <c r="E87"/>
  <c r="F96"/>
  <c r="H96"/>
  <c r="D103"/>
  <c r="K96"/>
  <c r="D78" i="5"/>
  <c r="D77" s="1"/>
  <c r="D16"/>
  <c r="E77"/>
  <c r="G77"/>
  <c r="I77"/>
  <c r="F88" i="8"/>
  <c r="D91"/>
  <c r="D90" s="1"/>
  <c r="D94"/>
  <c r="D93" s="1"/>
  <c r="D92" s="1"/>
  <c r="G96"/>
  <c r="D100"/>
  <c r="D99" s="1"/>
  <c r="F77" i="5"/>
  <c r="H77"/>
  <c r="J77"/>
  <c r="L77"/>
  <c r="N87" i="8"/>
  <c r="F90"/>
  <c r="H87"/>
  <c r="M91"/>
  <c r="M90" s="1"/>
  <c r="M87" s="1"/>
  <c r="D89"/>
  <c r="D88" s="1"/>
  <c r="I87"/>
  <c r="M98"/>
  <c r="M97" s="1"/>
  <c r="M100"/>
  <c r="M99" s="1"/>
  <c r="D97"/>
  <c r="D22" i="5"/>
  <c r="D21" s="1"/>
  <c r="K77"/>
  <c r="N18"/>
  <c r="N77"/>
  <c r="D18"/>
  <c r="F82"/>
  <c r="D82"/>
  <c r="E82"/>
  <c r="D102" i="8"/>
  <c r="D101" s="1"/>
  <c r="N96"/>
  <c r="F102"/>
  <c r="G87"/>
  <c r="E47" i="13"/>
  <c r="E46" s="1"/>
  <c r="F565" i="2"/>
  <c r="E565"/>
  <c r="H284"/>
  <c r="H286"/>
  <c r="F286"/>
  <c r="E286"/>
  <c r="D285"/>
  <c r="G284"/>
  <c r="F284"/>
  <c r="E284"/>
  <c r="D284"/>
  <c r="N282"/>
  <c r="N281" s="1"/>
  <c r="M282"/>
  <c r="M281" s="1"/>
  <c r="D282"/>
  <c r="D281" s="1"/>
  <c r="H281"/>
  <c r="G281"/>
  <c r="F281"/>
  <c r="E281"/>
  <c r="N280"/>
  <c r="M280"/>
  <c r="D280"/>
  <c r="N279"/>
  <c r="N278" s="1"/>
  <c r="M279"/>
  <c r="M278" s="1"/>
  <c r="D279"/>
  <c r="H278"/>
  <c r="G278"/>
  <c r="F278"/>
  <c r="E278"/>
  <c r="D96" i="8" l="1"/>
  <c r="F101"/>
  <c r="D87"/>
  <c r="F87"/>
  <c r="M96"/>
  <c r="D287" i="2"/>
  <c r="D286" s="1"/>
  <c r="D283" s="1"/>
  <c r="H277"/>
  <c r="H283"/>
  <c r="G286"/>
  <c r="G283" s="1"/>
  <c r="D278"/>
  <c r="D277" s="1"/>
  <c r="E277"/>
  <c r="G277"/>
  <c r="F283"/>
  <c r="E283"/>
  <c r="M277"/>
  <c r="N277"/>
  <c r="F277"/>
  <c r="F46"/>
  <c r="G46"/>
  <c r="H46"/>
  <c r="I46"/>
  <c r="J46"/>
  <c r="K46"/>
  <c r="L46"/>
  <c r="E46"/>
  <c r="E50"/>
  <c r="F50"/>
  <c r="G50"/>
  <c r="H50"/>
  <c r="I50"/>
  <c r="J50"/>
  <c r="K50"/>
  <c r="L50"/>
  <c r="E39"/>
  <c r="F39"/>
  <c r="G39"/>
  <c r="H39"/>
  <c r="I39"/>
  <c r="J39"/>
  <c r="K39"/>
  <c r="L39"/>
  <c r="F55" i="8"/>
  <c r="H55"/>
  <c r="H29" s="1"/>
  <c r="I55"/>
  <c r="I29" s="1"/>
  <c r="J55"/>
  <c r="J29" s="1"/>
  <c r="K55"/>
  <c r="K29" s="1"/>
  <c r="L29"/>
  <c r="J145"/>
  <c r="K145"/>
  <c r="L145"/>
  <c r="M145"/>
  <c r="E23"/>
  <c r="E14"/>
  <c r="L59"/>
  <c r="E59"/>
  <c r="F59"/>
  <c r="G59"/>
  <c r="H59"/>
  <c r="I59"/>
  <c r="J59"/>
  <c r="K59"/>
  <c r="N60"/>
  <c r="M283" i="3"/>
  <c r="J280"/>
  <c r="I280"/>
  <c r="L280"/>
  <c r="K280"/>
  <c r="F280"/>
  <c r="E280"/>
  <c r="D279"/>
  <c r="D278" s="1"/>
  <c r="L278"/>
  <c r="K278"/>
  <c r="J278"/>
  <c r="I278"/>
  <c r="H278"/>
  <c r="G278"/>
  <c r="F278"/>
  <c r="E278"/>
  <c r="N276"/>
  <c r="D276"/>
  <c r="N275"/>
  <c r="D275"/>
  <c r="L274"/>
  <c r="K274"/>
  <c r="J274"/>
  <c r="I274"/>
  <c r="H274"/>
  <c r="G274"/>
  <c r="F273"/>
  <c r="E273"/>
  <c r="N272"/>
  <c r="D272"/>
  <c r="N271"/>
  <c r="D271"/>
  <c r="L270"/>
  <c r="K270"/>
  <c r="J270"/>
  <c r="I270"/>
  <c r="H270"/>
  <c r="G270"/>
  <c r="N269"/>
  <c r="D269"/>
  <c r="N268"/>
  <c r="D268"/>
  <c r="L267"/>
  <c r="K267"/>
  <c r="J267"/>
  <c r="I267"/>
  <c r="H267"/>
  <c r="G267"/>
  <c r="F266"/>
  <c r="E266"/>
  <c r="L66" i="8"/>
  <c r="K66"/>
  <c r="J66"/>
  <c r="I66"/>
  <c r="H66"/>
  <c r="G66"/>
  <c r="F66"/>
  <c r="E66"/>
  <c r="L64"/>
  <c r="K64"/>
  <c r="J64"/>
  <c r="I64"/>
  <c r="H64"/>
  <c r="G64"/>
  <c r="F64"/>
  <c r="E64"/>
  <c r="L61"/>
  <c r="K61"/>
  <c r="J61"/>
  <c r="I61"/>
  <c r="H61"/>
  <c r="F61"/>
  <c r="E61"/>
  <c r="I273" i="3" l="1"/>
  <c r="K273"/>
  <c r="F265"/>
  <c r="H273"/>
  <c r="J273"/>
  <c r="L273"/>
  <c r="G273"/>
  <c r="K266"/>
  <c r="D55" i="8"/>
  <c r="L277" i="3"/>
  <c r="K277"/>
  <c r="F277"/>
  <c r="E277"/>
  <c r="E265"/>
  <c r="H266"/>
  <c r="L266"/>
  <c r="J277"/>
  <c r="H280"/>
  <c r="I277"/>
  <c r="D274"/>
  <c r="G266"/>
  <c r="J266"/>
  <c r="N270"/>
  <c r="I266"/>
  <c r="D270"/>
  <c r="P271" s="1"/>
  <c r="D267"/>
  <c r="N267"/>
  <c r="N274"/>
  <c r="N273" s="1"/>
  <c r="M267"/>
  <c r="M266" s="1"/>
  <c r="M274"/>
  <c r="M273" s="1"/>
  <c r="D62" i="8"/>
  <c r="D61" s="1"/>
  <c r="F63"/>
  <c r="H58"/>
  <c r="J63"/>
  <c r="M60"/>
  <c r="J58"/>
  <c r="D65"/>
  <c r="G63"/>
  <c r="K63"/>
  <c r="K58"/>
  <c r="L58"/>
  <c r="D67"/>
  <c r="D66" s="1"/>
  <c r="M59"/>
  <c r="N61"/>
  <c r="E63"/>
  <c r="I63"/>
  <c r="E58"/>
  <c r="G61"/>
  <c r="H63"/>
  <c r="L63"/>
  <c r="I58"/>
  <c r="N59"/>
  <c r="M62"/>
  <c r="M61" s="1"/>
  <c r="D60"/>
  <c r="D59" s="1"/>
  <c r="F58"/>
  <c r="H43" i="13"/>
  <c r="H38"/>
  <c r="F38"/>
  <c r="H40"/>
  <c r="F40"/>
  <c r="J43"/>
  <c r="I43"/>
  <c r="F43"/>
  <c r="H29"/>
  <c r="F29"/>
  <c r="H31"/>
  <c r="F31"/>
  <c r="I34"/>
  <c r="H34"/>
  <c r="F34"/>
  <c r="F40" i="5"/>
  <c r="H42"/>
  <c r="F42"/>
  <c r="G47"/>
  <c r="F47"/>
  <c r="F65" i="13"/>
  <c r="D65" s="1"/>
  <c r="F67"/>
  <c r="G70"/>
  <c r="G72"/>
  <c r="J59"/>
  <c r="I59"/>
  <c r="H59"/>
  <c r="G59"/>
  <c r="F59"/>
  <c r="J61"/>
  <c r="I61"/>
  <c r="H61"/>
  <c r="G61"/>
  <c r="F61"/>
  <c r="G56"/>
  <c r="F56"/>
  <c r="E56"/>
  <c r="E53" s="1"/>
  <c r="E18" s="1"/>
  <c r="I55"/>
  <c r="H55"/>
  <c r="G55"/>
  <c r="F55"/>
  <c r="G51"/>
  <c r="F51"/>
  <c r="G50"/>
  <c r="F50"/>
  <c r="I49"/>
  <c r="H49"/>
  <c r="G49"/>
  <c r="F49"/>
  <c r="N58" i="7"/>
  <c r="H25" i="13" l="1"/>
  <c r="F13"/>
  <c r="J25"/>
  <c r="F25"/>
  <c r="G25"/>
  <c r="I25"/>
  <c r="H13"/>
  <c r="H265" i="3"/>
  <c r="I265"/>
  <c r="J265"/>
  <c r="H277"/>
  <c r="L265"/>
  <c r="K265"/>
  <c r="G265"/>
  <c r="D266"/>
  <c r="D64" i="8"/>
  <c r="D63" s="1"/>
  <c r="D273" i="3"/>
  <c r="D281"/>
  <c r="D280" s="1"/>
  <c r="D277" s="1"/>
  <c r="G280"/>
  <c r="N266"/>
  <c r="N265" s="1"/>
  <c r="M265"/>
  <c r="N58" i="8"/>
  <c r="G58"/>
  <c r="M58"/>
  <c r="D58"/>
  <c r="G277" i="3" l="1"/>
  <c r="D265"/>
  <c r="P273"/>
  <c r="F63" i="6" l="1"/>
  <c r="F62"/>
  <c r="N109" i="7" l="1"/>
  <c r="M72" i="1" l="1"/>
  <c r="D235" i="3"/>
  <c r="M679" i="2"/>
  <c r="J678"/>
  <c r="K678"/>
  <c r="L678"/>
  <c r="M678"/>
  <c r="D263" i="3" l="1"/>
  <c r="D262" s="1"/>
  <c r="L262"/>
  <c r="K262"/>
  <c r="J262"/>
  <c r="I262"/>
  <c r="H262"/>
  <c r="G262"/>
  <c r="F262"/>
  <c r="E262"/>
  <c r="D261"/>
  <c r="D260" s="1"/>
  <c r="L260"/>
  <c r="K260"/>
  <c r="J260"/>
  <c r="I260"/>
  <c r="H260"/>
  <c r="G260"/>
  <c r="F260"/>
  <c r="E260"/>
  <c r="L257"/>
  <c r="K257"/>
  <c r="J257"/>
  <c r="I257"/>
  <c r="H257"/>
  <c r="F257"/>
  <c r="E257"/>
  <c r="L255"/>
  <c r="K255"/>
  <c r="J255"/>
  <c r="I255"/>
  <c r="H255"/>
  <c r="M255"/>
  <c r="F255"/>
  <c r="E255"/>
  <c r="D252"/>
  <c r="D251" s="1"/>
  <c r="L251"/>
  <c r="K251"/>
  <c r="J251"/>
  <c r="I251"/>
  <c r="H251"/>
  <c r="G251"/>
  <c r="F251"/>
  <c r="E251"/>
  <c r="D250"/>
  <c r="D249" s="1"/>
  <c r="L249"/>
  <c r="K249"/>
  <c r="J249"/>
  <c r="I249"/>
  <c r="H249"/>
  <c r="G249"/>
  <c r="F249"/>
  <c r="E249"/>
  <c r="N247"/>
  <c r="D247"/>
  <c r="N246"/>
  <c r="D246"/>
  <c r="L245"/>
  <c r="L244" s="1"/>
  <c r="K245"/>
  <c r="K244" s="1"/>
  <c r="J245"/>
  <c r="J244" s="1"/>
  <c r="I245"/>
  <c r="I244" s="1"/>
  <c r="H245"/>
  <c r="H244" s="1"/>
  <c r="G245"/>
  <c r="G244" s="1"/>
  <c r="F244"/>
  <c r="E244"/>
  <c r="N243"/>
  <c r="D243"/>
  <c r="N242"/>
  <c r="D242"/>
  <c r="L241"/>
  <c r="L240" s="1"/>
  <c r="K241"/>
  <c r="K240" s="1"/>
  <c r="J241"/>
  <c r="J240" s="1"/>
  <c r="I241"/>
  <c r="I240" s="1"/>
  <c r="H241"/>
  <c r="H240" s="1"/>
  <c r="G241"/>
  <c r="M240"/>
  <c r="F240"/>
  <c r="E240"/>
  <c r="D237"/>
  <c r="D236" s="1"/>
  <c r="L236"/>
  <c r="K236"/>
  <c r="J236"/>
  <c r="I236"/>
  <c r="H236"/>
  <c r="G236"/>
  <c r="F236"/>
  <c r="E236"/>
  <c r="L234"/>
  <c r="K234"/>
  <c r="J234"/>
  <c r="I234"/>
  <c r="H234"/>
  <c r="G234"/>
  <c r="F234"/>
  <c r="E234"/>
  <c r="N232"/>
  <c r="D232"/>
  <c r="N231"/>
  <c r="D231"/>
  <c r="L230"/>
  <c r="L229" s="1"/>
  <c r="K230"/>
  <c r="K229" s="1"/>
  <c r="J230"/>
  <c r="J229" s="1"/>
  <c r="I230"/>
  <c r="I229" s="1"/>
  <c r="H230"/>
  <c r="H229" s="1"/>
  <c r="G230"/>
  <c r="F229"/>
  <c r="E229"/>
  <c r="N228"/>
  <c r="D228"/>
  <c r="N227"/>
  <c r="D227"/>
  <c r="L226"/>
  <c r="K226"/>
  <c r="J226"/>
  <c r="I226"/>
  <c r="H226"/>
  <c r="G226"/>
  <c r="N225"/>
  <c r="D225"/>
  <c r="N224"/>
  <c r="D224"/>
  <c r="L223"/>
  <c r="K223"/>
  <c r="J223"/>
  <c r="I223"/>
  <c r="H223"/>
  <c r="G223"/>
  <c r="F222"/>
  <c r="E222"/>
  <c r="E22"/>
  <c r="K22"/>
  <c r="L22"/>
  <c r="E21" i="9"/>
  <c r="F21"/>
  <c r="G21"/>
  <c r="H21"/>
  <c r="I21"/>
  <c r="J21"/>
  <c r="K21"/>
  <c r="L21"/>
  <c r="E14"/>
  <c r="F14"/>
  <c r="G14"/>
  <c r="H14"/>
  <c r="I14"/>
  <c r="J14"/>
  <c r="K14"/>
  <c r="L14"/>
  <c r="D230" i="3" l="1"/>
  <c r="D234"/>
  <c r="D233" s="1"/>
  <c r="H259"/>
  <c r="L259"/>
  <c r="J259"/>
  <c r="E239"/>
  <c r="F233"/>
  <c r="J233"/>
  <c r="F221"/>
  <c r="F248"/>
  <c r="J248"/>
  <c r="E221"/>
  <c r="H233"/>
  <c r="G248"/>
  <c r="K248"/>
  <c r="F254"/>
  <c r="D248"/>
  <c r="H248"/>
  <c r="L248"/>
  <c r="E259"/>
  <c r="I259"/>
  <c r="K222"/>
  <c r="L233"/>
  <c r="G259"/>
  <c r="K259"/>
  <c r="K254"/>
  <c r="F259"/>
  <c r="L222"/>
  <c r="G233"/>
  <c r="K233"/>
  <c r="I239"/>
  <c r="E248"/>
  <c r="E254"/>
  <c r="H254"/>
  <c r="L254"/>
  <c r="F239"/>
  <c r="N256"/>
  <c r="N255" s="1"/>
  <c r="E233"/>
  <c r="I233"/>
  <c r="D241"/>
  <c r="G255"/>
  <c r="D256"/>
  <c r="D255" s="1"/>
  <c r="J254"/>
  <c r="M258"/>
  <c r="M257" s="1"/>
  <c r="M254" s="1"/>
  <c r="I254"/>
  <c r="D259"/>
  <c r="G257"/>
  <c r="D258"/>
  <c r="D257" s="1"/>
  <c r="N258"/>
  <c r="N257" s="1"/>
  <c r="I248"/>
  <c r="K239"/>
  <c r="J239"/>
  <c r="D245"/>
  <c r="D244" s="1"/>
  <c r="P244" s="1"/>
  <c r="H239"/>
  <c r="L239"/>
  <c r="N241"/>
  <c r="N240" s="1"/>
  <c r="N245"/>
  <c r="N244" s="1"/>
  <c r="M245"/>
  <c r="M244" s="1"/>
  <c r="M239" s="1"/>
  <c r="G240"/>
  <c r="J222"/>
  <c r="I222"/>
  <c r="H222"/>
  <c r="M230"/>
  <c r="M229" s="1"/>
  <c r="M223"/>
  <c r="M222" s="1"/>
  <c r="N226"/>
  <c r="D226"/>
  <c r="P226" s="1"/>
  <c r="G222"/>
  <c r="D223"/>
  <c r="N223"/>
  <c r="G229"/>
  <c r="D229"/>
  <c r="P229" s="1"/>
  <c r="N230"/>
  <c r="N229" s="1"/>
  <c r="D114" i="7"/>
  <c r="D113" s="1"/>
  <c r="D116"/>
  <c r="D115" s="1"/>
  <c r="E113"/>
  <c r="E115"/>
  <c r="E110"/>
  <c r="E106" s="1"/>
  <c r="D111"/>
  <c r="D110" s="1"/>
  <c r="D108"/>
  <c r="D109"/>
  <c r="F92" i="6"/>
  <c r="F90"/>
  <c r="F87"/>
  <c r="F85"/>
  <c r="D107" i="7" l="1"/>
  <c r="D106" s="1"/>
  <c r="E112"/>
  <c r="I221" i="3"/>
  <c r="G239"/>
  <c r="H221"/>
  <c r="J221"/>
  <c r="L221"/>
  <c r="K221"/>
  <c r="D112" i="7"/>
  <c r="D240" i="3"/>
  <c r="D239" s="1"/>
  <c r="P241"/>
  <c r="G254"/>
  <c r="D254"/>
  <c r="N254"/>
  <c r="N239"/>
  <c r="G221"/>
  <c r="M221"/>
  <c r="D222"/>
  <c r="D221" s="1"/>
  <c r="N222"/>
  <c r="N221" s="1"/>
  <c r="G415" i="2"/>
  <c r="G412"/>
  <c r="G410"/>
  <c r="H400"/>
  <c r="H402"/>
  <c r="I405"/>
  <c r="I404" s="1"/>
  <c r="G406"/>
  <c r="H391"/>
  <c r="H388"/>
  <c r="H384"/>
  <c r="J63" i="7"/>
  <c r="J65"/>
  <c r="D66"/>
  <c r="D65" s="1"/>
  <c r="D64"/>
  <c r="D63" s="1"/>
  <c r="D61"/>
  <c r="D60" s="1"/>
  <c r="D59"/>
  <c r="D58"/>
  <c r="J60"/>
  <c r="J57"/>
  <c r="F108" i="3"/>
  <c r="F103"/>
  <c r="F100"/>
  <c r="G96"/>
  <c r="G91"/>
  <c r="G88"/>
  <c r="F84"/>
  <c r="F79"/>
  <c r="F76"/>
  <c r="H69"/>
  <c r="I69"/>
  <c r="J69"/>
  <c r="K69"/>
  <c r="L69"/>
  <c r="J71"/>
  <c r="K71"/>
  <c r="L71"/>
  <c r="I72"/>
  <c r="H72"/>
  <c r="G72"/>
  <c r="F72"/>
  <c r="J63"/>
  <c r="K63"/>
  <c r="L63"/>
  <c r="J66"/>
  <c r="K66"/>
  <c r="L66"/>
  <c r="I67"/>
  <c r="H67"/>
  <c r="G67"/>
  <c r="F67"/>
  <c r="I64"/>
  <c r="G64"/>
  <c r="H64"/>
  <c r="F64"/>
  <c r="J49" i="2"/>
  <c r="K49"/>
  <c r="L49"/>
  <c r="I274"/>
  <c r="I269"/>
  <c r="I266"/>
  <c r="D275"/>
  <c r="D274" s="1"/>
  <c r="H274"/>
  <c r="G274"/>
  <c r="F274"/>
  <c r="E274"/>
  <c r="D273"/>
  <c r="G272"/>
  <c r="F272"/>
  <c r="E272"/>
  <c r="E271" s="1"/>
  <c r="D272"/>
  <c r="N270"/>
  <c r="N269" s="1"/>
  <c r="M270"/>
  <c r="M269" s="1"/>
  <c r="D270"/>
  <c r="D269" s="1"/>
  <c r="H269"/>
  <c r="G269"/>
  <c r="F269"/>
  <c r="E269"/>
  <c r="N268"/>
  <c r="M268"/>
  <c r="D268"/>
  <c r="N267"/>
  <c r="N266" s="1"/>
  <c r="M267"/>
  <c r="M266" s="1"/>
  <c r="H266"/>
  <c r="G266"/>
  <c r="F266"/>
  <c r="E266"/>
  <c r="F179"/>
  <c r="F177"/>
  <c r="F174"/>
  <c r="F172"/>
  <c r="F171"/>
  <c r="F215"/>
  <c r="F213"/>
  <c r="F210"/>
  <c r="F208"/>
  <c r="F207"/>
  <c r="H318"/>
  <c r="H314"/>
  <c r="F315"/>
  <c r="E225"/>
  <c r="F258"/>
  <c r="F255"/>
  <c r="F186"/>
  <c r="F271" l="1"/>
  <c r="H317"/>
  <c r="H313" s="1"/>
  <c r="H271"/>
  <c r="D57" i="7"/>
  <c r="D56" s="1"/>
  <c r="J62"/>
  <c r="F265" i="2"/>
  <c r="H399"/>
  <c r="E265"/>
  <c r="H265"/>
  <c r="I265"/>
  <c r="I271"/>
  <c r="H387"/>
  <c r="H383"/>
  <c r="G271"/>
  <c r="G265"/>
  <c r="D62" i="7"/>
  <c r="P239" i="3"/>
  <c r="L62"/>
  <c r="J68"/>
  <c r="K68"/>
  <c r="J62"/>
  <c r="L68"/>
  <c r="K62"/>
  <c r="J56" i="7"/>
  <c r="N265" i="2"/>
  <c r="D271"/>
  <c r="M265"/>
  <c r="D267"/>
  <c r="D266" s="1"/>
  <c r="D265" s="1"/>
  <c r="H49" l="1"/>
  <c r="N260" i="9"/>
  <c r="E15"/>
  <c r="E13"/>
  <c r="F13"/>
  <c r="G13"/>
  <c r="H13"/>
  <c r="I13"/>
  <c r="J13"/>
  <c r="K13"/>
  <c r="D241"/>
  <c r="D239"/>
  <c r="D238"/>
  <c r="D246"/>
  <c r="N29"/>
  <c r="N356" i="2"/>
  <c r="N354"/>
  <c r="N353"/>
  <c r="G358"/>
  <c r="E360"/>
  <c r="F360"/>
  <c r="G360"/>
  <c r="E352"/>
  <c r="F352"/>
  <c r="G352"/>
  <c r="E355"/>
  <c r="F355"/>
  <c r="G355"/>
  <c r="G349"/>
  <c r="E40"/>
  <c r="H40"/>
  <c r="J40"/>
  <c r="K40"/>
  <c r="L40"/>
  <c r="E48"/>
  <c r="H48"/>
  <c r="I48"/>
  <c r="J48"/>
  <c r="K48"/>
  <c r="L48"/>
  <c r="G343"/>
  <c r="G339"/>
  <c r="G357" l="1"/>
  <c r="E351"/>
  <c r="E11" i="9"/>
  <c r="G351" i="2"/>
  <c r="F351"/>
  <c r="N352"/>
  <c r="F49" i="8"/>
  <c r="J16" i="3"/>
  <c r="K16"/>
  <c r="L16"/>
  <c r="E19"/>
  <c r="F19"/>
  <c r="G19"/>
  <c r="H19"/>
  <c r="I19"/>
  <c r="J19"/>
  <c r="K19"/>
  <c r="L19"/>
  <c r="K21"/>
  <c r="E207"/>
  <c r="F207"/>
  <c r="D219"/>
  <c r="D218" s="1"/>
  <c r="L218"/>
  <c r="K218"/>
  <c r="J218"/>
  <c r="I218"/>
  <c r="H218"/>
  <c r="G218"/>
  <c r="F218"/>
  <c r="E218"/>
  <c r="D217"/>
  <c r="D216" s="1"/>
  <c r="L216"/>
  <c r="K216"/>
  <c r="J216"/>
  <c r="I216"/>
  <c r="H216"/>
  <c r="G216"/>
  <c r="F216"/>
  <c r="E216"/>
  <c r="N214"/>
  <c r="D214"/>
  <c r="N213"/>
  <c r="D213"/>
  <c r="L212"/>
  <c r="L211" s="1"/>
  <c r="K212"/>
  <c r="K211" s="1"/>
  <c r="J212"/>
  <c r="J211" s="1"/>
  <c r="I212"/>
  <c r="I211" s="1"/>
  <c r="H212"/>
  <c r="H211" s="1"/>
  <c r="G212"/>
  <c r="G211" s="1"/>
  <c r="F211"/>
  <c r="E211"/>
  <c r="N210"/>
  <c r="D210"/>
  <c r="N209"/>
  <c r="D209"/>
  <c r="L208"/>
  <c r="L207" s="1"/>
  <c r="K208"/>
  <c r="K207" s="1"/>
  <c r="J208"/>
  <c r="J207" s="1"/>
  <c r="I208"/>
  <c r="I207" s="1"/>
  <c r="H208"/>
  <c r="H207" s="1"/>
  <c r="G208"/>
  <c r="G207" s="1"/>
  <c r="M284"/>
  <c r="G193"/>
  <c r="H193"/>
  <c r="D191"/>
  <c r="D192"/>
  <c r="D194"/>
  <c r="D195"/>
  <c r="D204"/>
  <c r="D203" s="1"/>
  <c r="L203"/>
  <c r="K203"/>
  <c r="J203"/>
  <c r="I203"/>
  <c r="H203"/>
  <c r="G203"/>
  <c r="F203"/>
  <c r="E203"/>
  <c r="D202"/>
  <c r="D201" s="1"/>
  <c r="L201"/>
  <c r="K201"/>
  <c r="J201"/>
  <c r="I201"/>
  <c r="H201"/>
  <c r="G201"/>
  <c r="F201"/>
  <c r="E201"/>
  <c r="N199"/>
  <c r="D199"/>
  <c r="N198"/>
  <c r="D198"/>
  <c r="L197"/>
  <c r="L196" s="1"/>
  <c r="K197"/>
  <c r="K196" s="1"/>
  <c r="J197"/>
  <c r="J196" s="1"/>
  <c r="I197"/>
  <c r="I196" s="1"/>
  <c r="H197"/>
  <c r="H196" s="1"/>
  <c r="G197"/>
  <c r="G196" s="1"/>
  <c r="F196"/>
  <c r="E196"/>
  <c r="N195"/>
  <c r="N194"/>
  <c r="L193"/>
  <c r="K193"/>
  <c r="J193"/>
  <c r="I193"/>
  <c r="N192"/>
  <c r="N191"/>
  <c r="L190"/>
  <c r="K190"/>
  <c r="J190"/>
  <c r="I190"/>
  <c r="H190"/>
  <c r="G190"/>
  <c r="F189"/>
  <c r="E189"/>
  <c r="F76" i="8"/>
  <c r="F85"/>
  <c r="F82"/>
  <c r="F80"/>
  <c r="F81" i="6"/>
  <c r="F79"/>
  <c r="F76"/>
  <c r="F74"/>
  <c r="F29" i="8" l="1"/>
  <c r="G29"/>
  <c r="F188" i="3"/>
  <c r="E188"/>
  <c r="K200"/>
  <c r="J189"/>
  <c r="G215"/>
  <c r="E21"/>
  <c r="E18" s="1"/>
  <c r="E215"/>
  <c r="E200"/>
  <c r="I200"/>
  <c r="F358" i="2"/>
  <c r="F357" s="1"/>
  <c r="E358"/>
  <c r="E357" s="1"/>
  <c r="L200" i="3"/>
  <c r="G200"/>
  <c r="L215"/>
  <c r="F206"/>
  <c r="K18"/>
  <c r="N208"/>
  <c r="N207" s="1"/>
  <c r="K206"/>
  <c r="D212"/>
  <c r="H215"/>
  <c r="I206"/>
  <c r="I189"/>
  <c r="K189"/>
  <c r="E206"/>
  <c r="D208"/>
  <c r="D207" s="1"/>
  <c r="K215"/>
  <c r="L189"/>
  <c r="L188" s="1"/>
  <c r="F200"/>
  <c r="J200"/>
  <c r="G206"/>
  <c r="F215"/>
  <c r="J215"/>
  <c r="D215"/>
  <c r="I215"/>
  <c r="H206"/>
  <c r="L206"/>
  <c r="J206"/>
  <c r="N212"/>
  <c r="N211" s="1"/>
  <c r="M207"/>
  <c r="M212"/>
  <c r="M211" s="1"/>
  <c r="D197"/>
  <c r="D196" s="1"/>
  <c r="G189"/>
  <c r="D200"/>
  <c r="H200"/>
  <c r="D193"/>
  <c r="D190"/>
  <c r="H189"/>
  <c r="N193"/>
  <c r="N190"/>
  <c r="N197"/>
  <c r="N196" s="1"/>
  <c r="M190"/>
  <c r="M189" s="1"/>
  <c r="M197"/>
  <c r="M196" s="1"/>
  <c r="G72" i="5"/>
  <c r="F72"/>
  <c r="F75"/>
  <c r="F156" i="9"/>
  <c r="F154"/>
  <c r="F150"/>
  <c r="F147"/>
  <c r="D147" s="1"/>
  <c r="H145"/>
  <c r="G145"/>
  <c r="F146"/>
  <c r="D146" s="1"/>
  <c r="F143"/>
  <c r="D143" s="1"/>
  <c r="H141"/>
  <c r="G141"/>
  <c r="F142"/>
  <c r="D142" s="1"/>
  <c r="G212"/>
  <c r="G209"/>
  <c r="G207"/>
  <c r="H203"/>
  <c r="N199"/>
  <c r="F199"/>
  <c r="F195"/>
  <c r="F194" s="1"/>
  <c r="L136" i="6"/>
  <c r="F136"/>
  <c r="H132"/>
  <c r="F130"/>
  <c r="L128"/>
  <c r="K128"/>
  <c r="J128"/>
  <c r="I128"/>
  <c r="G128"/>
  <c r="F128"/>
  <c r="F127"/>
  <c r="H122"/>
  <c r="F122"/>
  <c r="H108"/>
  <c r="D136" l="1"/>
  <c r="F141" i="9"/>
  <c r="H188" i="3"/>
  <c r="K188"/>
  <c r="G188"/>
  <c r="I188"/>
  <c r="J188"/>
  <c r="D211"/>
  <c r="D206" s="1"/>
  <c r="P212"/>
  <c r="P208"/>
  <c r="M206"/>
  <c r="N206"/>
  <c r="M188"/>
  <c r="D189"/>
  <c r="D188" s="1"/>
  <c r="N189"/>
  <c r="N188" s="1"/>
  <c r="F145" i="9"/>
  <c r="J108" i="6"/>
  <c r="J100"/>
  <c r="H113"/>
  <c r="H103"/>
  <c r="H100"/>
  <c r="F114"/>
  <c r="F113"/>
  <c r="F103"/>
  <c r="L117"/>
  <c r="D117" s="1"/>
  <c r="H110"/>
  <c r="H112"/>
  <c r="F112"/>
  <c r="F111"/>
  <c r="L109"/>
  <c r="K109"/>
  <c r="J109"/>
  <c r="H109"/>
  <c r="F108"/>
  <c r="E108"/>
  <c r="F98"/>
  <c r="F183" l="1"/>
  <c r="H565" i="2" l="1"/>
  <c r="F660"/>
  <c r="F661"/>
  <c r="F664"/>
  <c r="F652"/>
  <c r="F675"/>
  <c r="F656"/>
  <c r="F222" i="9"/>
  <c r="F218"/>
  <c r="G222"/>
  <c r="G221"/>
  <c r="F221"/>
  <c r="G218"/>
  <c r="G217"/>
  <c r="F217"/>
  <c r="G131" i="3"/>
  <c r="F131"/>
  <c r="G130"/>
  <c r="F130"/>
  <c r="G127"/>
  <c r="F127"/>
  <c r="G126"/>
  <c r="F126"/>
  <c r="F169" i="9"/>
  <c r="F165"/>
  <c r="G169"/>
  <c r="G165"/>
  <c r="H169"/>
  <c r="H167" s="1"/>
  <c r="H165"/>
  <c r="H163" s="1"/>
  <c r="H243" i="6"/>
  <c r="F255"/>
  <c r="I156" i="3"/>
  <c r="H156"/>
  <c r="H152"/>
  <c r="G152"/>
  <c r="I151"/>
  <c r="H151"/>
  <c r="G151"/>
  <c r="I146"/>
  <c r="I23" s="1"/>
  <c r="H23"/>
  <c r="G23"/>
  <c r="G143"/>
  <c r="F143"/>
  <c r="F142"/>
  <c r="F140"/>
  <c r="N169" i="9" l="1"/>
  <c r="G167"/>
  <c r="N165"/>
  <c r="G163"/>
  <c r="F611" i="2"/>
  <c r="F612"/>
  <c r="F608"/>
  <c r="F607"/>
  <c r="F644"/>
  <c r="F603"/>
  <c r="G12" i="7"/>
  <c r="G121"/>
  <c r="F120"/>
  <c r="F12" s="1"/>
  <c r="F167" i="9"/>
  <c r="F164"/>
  <c r="F163" s="1"/>
  <c r="F168"/>
  <c r="F239" i="2"/>
  <c r="F234"/>
  <c r="F231"/>
  <c r="E51" i="9"/>
  <c r="G51"/>
  <c r="F55"/>
  <c r="F52"/>
  <c r="F51" s="1"/>
  <c r="D58"/>
  <c r="D57" s="1"/>
  <c r="L57"/>
  <c r="K57"/>
  <c r="J57"/>
  <c r="I57"/>
  <c r="H57"/>
  <c r="G57"/>
  <c r="F57"/>
  <c r="E57"/>
  <c r="N53"/>
  <c r="D53"/>
  <c r="N41"/>
  <c r="G39"/>
  <c r="E39"/>
  <c r="D46"/>
  <c r="D45" s="1"/>
  <c r="L45"/>
  <c r="K45"/>
  <c r="J45"/>
  <c r="I45"/>
  <c r="H45"/>
  <c r="G45"/>
  <c r="F45"/>
  <c r="E45"/>
  <c r="F43"/>
  <c r="D41"/>
  <c r="F40"/>
  <c r="F39" s="1"/>
  <c r="D34"/>
  <c r="D33" s="1"/>
  <c r="L33"/>
  <c r="K33"/>
  <c r="J33"/>
  <c r="I33"/>
  <c r="H33"/>
  <c r="G33"/>
  <c r="F33"/>
  <c r="E33"/>
  <c r="F31"/>
  <c r="E27"/>
  <c r="D29"/>
  <c r="F28"/>
  <c r="N14" l="1"/>
  <c r="G27"/>
  <c r="N31"/>
  <c r="F27"/>
  <c r="G224" i="6"/>
  <c r="F224"/>
  <c r="G222"/>
  <c r="F222"/>
  <c r="G219"/>
  <c r="F219"/>
  <c r="G216"/>
  <c r="F216"/>
  <c r="H20" i="7"/>
  <c r="G20"/>
  <c r="H14"/>
  <c r="G14"/>
  <c r="F35"/>
  <c r="F8" s="1"/>
  <c r="G176"/>
  <c r="H173"/>
  <c r="G173"/>
  <c r="G171"/>
  <c r="I166"/>
  <c r="H166"/>
  <c r="G166"/>
  <c r="I164"/>
  <c r="H164"/>
  <c r="G164"/>
  <c r="I161"/>
  <c r="H161"/>
  <c r="G161"/>
  <c r="I159"/>
  <c r="H159"/>
  <c r="H8" s="1"/>
  <c r="G159"/>
  <c r="G8" s="1"/>
  <c r="G133"/>
  <c r="F133"/>
  <c r="H54"/>
  <c r="G54"/>
  <c r="H52"/>
  <c r="G52"/>
  <c r="H49"/>
  <c r="G49"/>
  <c r="H47"/>
  <c r="F47"/>
  <c r="F167" i="2"/>
  <c r="F162"/>
  <c r="F159"/>
  <c r="G130"/>
  <c r="G129" s="1"/>
  <c r="G143"/>
  <c r="F136"/>
  <c r="F131"/>
  <c r="G81"/>
  <c r="F82"/>
  <c r="F251"/>
  <c r="F246"/>
  <c r="F243"/>
  <c r="F237"/>
  <c r="F232"/>
  <c r="G215" i="6"/>
  <c r="F215"/>
  <c r="H9" i="7" l="1"/>
  <c r="I13"/>
  <c r="I8"/>
  <c r="H13"/>
  <c r="G80" i="2"/>
  <c r="L14" i="8"/>
  <c r="L18"/>
  <c r="J47"/>
  <c r="J14" s="1"/>
  <c r="J49"/>
  <c r="J18" s="1"/>
  <c r="I47"/>
  <c r="I14" s="1"/>
  <c r="I49"/>
  <c r="I18" s="1"/>
  <c r="H47"/>
  <c r="H14" s="1"/>
  <c r="H49"/>
  <c r="H18" s="1"/>
  <c r="F47"/>
  <c r="F14" s="1"/>
  <c r="L23"/>
  <c r="J52"/>
  <c r="J23" s="1"/>
  <c r="I52"/>
  <c r="I23" s="1"/>
  <c r="H52"/>
  <c r="H23" s="1"/>
  <c r="F52"/>
  <c r="G217" i="6"/>
  <c r="F217"/>
  <c r="F23" i="8" l="1"/>
  <c r="G37" i="6"/>
  <c r="F65"/>
  <c r="G68"/>
  <c r="G70"/>
  <c r="F29"/>
  <c r="F33"/>
  <c r="G34"/>
  <c r="F34"/>
  <c r="N34" l="1"/>
  <c r="G31"/>
  <c r="F30" i="3"/>
  <c r="F29"/>
  <c r="F36"/>
  <c r="F35"/>
  <c r="G22"/>
  <c r="G454" i="2"/>
  <c r="F454"/>
  <c r="G455"/>
  <c r="F455"/>
  <c r="G459"/>
  <c r="F459"/>
  <c r="G460"/>
  <c r="F460"/>
  <c r="H463"/>
  <c r="H375" s="1"/>
  <c r="G463"/>
  <c r="G375" s="1"/>
  <c r="G440"/>
  <c r="F440"/>
  <c r="F439"/>
  <c r="G445"/>
  <c r="F445"/>
  <c r="F444"/>
  <c r="N444"/>
  <c r="F448"/>
  <c r="F373" l="1"/>
  <c r="F375"/>
  <c r="G373"/>
  <c r="H373"/>
  <c r="P457"/>
  <c r="I22" i="3"/>
  <c r="I21" s="1"/>
  <c r="I18" s="1"/>
  <c r="H22"/>
  <c r="H21" s="1"/>
  <c r="H18" s="1"/>
  <c r="D262" i="9" l="1"/>
  <c r="D267" l="1"/>
  <c r="L266"/>
  <c r="K266"/>
  <c r="J266"/>
  <c r="I266"/>
  <c r="H266"/>
  <c r="G266"/>
  <c r="F266"/>
  <c r="E266"/>
  <c r="D265"/>
  <c r="L264"/>
  <c r="K264"/>
  <c r="J264"/>
  <c r="I264"/>
  <c r="H264"/>
  <c r="G264"/>
  <c r="F264"/>
  <c r="E264"/>
  <c r="N262"/>
  <c r="N261" s="1"/>
  <c r="M262"/>
  <c r="M261" s="1"/>
  <c r="D261"/>
  <c r="L261"/>
  <c r="K261"/>
  <c r="J261"/>
  <c r="I261"/>
  <c r="H261"/>
  <c r="G261"/>
  <c r="E261"/>
  <c r="M260"/>
  <c r="D260"/>
  <c r="D14" s="1"/>
  <c r="N259"/>
  <c r="N258" s="1"/>
  <c r="M259"/>
  <c r="D259"/>
  <c r="L258"/>
  <c r="K258"/>
  <c r="J258"/>
  <c r="I258"/>
  <c r="H258"/>
  <c r="G258"/>
  <c r="F258"/>
  <c r="E258"/>
  <c r="D255"/>
  <c r="D254" s="1"/>
  <c r="D253" s="1"/>
  <c r="L254"/>
  <c r="K254"/>
  <c r="J254"/>
  <c r="I254"/>
  <c r="H254"/>
  <c r="G254"/>
  <c r="F254"/>
  <c r="E254"/>
  <c r="E253"/>
  <c r="N252"/>
  <c r="N251" s="1"/>
  <c r="M252"/>
  <c r="M251" s="1"/>
  <c r="D252"/>
  <c r="D251" s="1"/>
  <c r="I251"/>
  <c r="G251"/>
  <c r="E251"/>
  <c r="N250"/>
  <c r="N249" s="1"/>
  <c r="M250"/>
  <c r="M249" s="1"/>
  <c r="D250"/>
  <c r="D249" s="1"/>
  <c r="L249"/>
  <c r="K249"/>
  <c r="J249"/>
  <c r="I249"/>
  <c r="H249"/>
  <c r="G249"/>
  <c r="F249"/>
  <c r="E249"/>
  <c r="F248"/>
  <c r="G263" l="1"/>
  <c r="K263"/>
  <c r="E263"/>
  <c r="I263"/>
  <c r="I248"/>
  <c r="G253"/>
  <c r="G248" s="1"/>
  <c r="D258"/>
  <c r="E248"/>
  <c r="K253"/>
  <c r="K248" s="1"/>
  <c r="I257"/>
  <c r="J248"/>
  <c r="H263"/>
  <c r="L263"/>
  <c r="I253"/>
  <c r="F253"/>
  <c r="H253"/>
  <c r="H248" s="1"/>
  <c r="J253"/>
  <c r="L253"/>
  <c r="L248" s="1"/>
  <c r="G257"/>
  <c r="K257"/>
  <c r="F257"/>
  <c r="H257"/>
  <c r="J257"/>
  <c r="L257"/>
  <c r="E257"/>
  <c r="J263"/>
  <c r="D266"/>
  <c r="D264"/>
  <c r="M248"/>
  <c r="D248"/>
  <c r="M258"/>
  <c r="M257" s="1"/>
  <c r="F263"/>
  <c r="D257"/>
  <c r="N257"/>
  <c r="N248"/>
  <c r="D263" l="1"/>
  <c r="F318" i="2"/>
  <c r="L58" i="3" l="1"/>
  <c r="K58"/>
  <c r="J58"/>
  <c r="I58"/>
  <c r="L56"/>
  <c r="L55" s="1"/>
  <c r="K56"/>
  <c r="J56"/>
  <c r="I56"/>
  <c r="L52"/>
  <c r="K52"/>
  <c r="J52"/>
  <c r="I52"/>
  <c r="L47"/>
  <c r="K47"/>
  <c r="J47"/>
  <c r="I47"/>
  <c r="E47"/>
  <c r="I55" l="1"/>
  <c r="K51"/>
  <c r="J51"/>
  <c r="I51"/>
  <c r="L51"/>
  <c r="K46"/>
  <c r="I46"/>
  <c r="J46"/>
  <c r="L46"/>
  <c r="J55"/>
  <c r="K55"/>
  <c r="I45" l="1"/>
  <c r="L45"/>
  <c r="J45"/>
  <c r="K45"/>
  <c r="N48" l="1"/>
  <c r="N49"/>
  <c r="F52"/>
  <c r="E52"/>
  <c r="E17" s="1"/>
  <c r="D186" l="1"/>
  <c r="D185" s="1"/>
  <c r="L185"/>
  <c r="K185"/>
  <c r="J185"/>
  <c r="I185"/>
  <c r="H185"/>
  <c r="G185"/>
  <c r="F185"/>
  <c r="E185"/>
  <c r="D184"/>
  <c r="D183" s="1"/>
  <c r="L183"/>
  <c r="K183"/>
  <c r="J183"/>
  <c r="I183"/>
  <c r="H183"/>
  <c r="G183"/>
  <c r="F183"/>
  <c r="E183"/>
  <c r="K180"/>
  <c r="J180"/>
  <c r="I180"/>
  <c r="H180"/>
  <c r="L180"/>
  <c r="F180"/>
  <c r="E180"/>
  <c r="L177"/>
  <c r="K177"/>
  <c r="J177"/>
  <c r="I177"/>
  <c r="H177"/>
  <c r="G177"/>
  <c r="F177"/>
  <c r="E177"/>
  <c r="E159"/>
  <c r="F159"/>
  <c r="D174"/>
  <c r="L171"/>
  <c r="K171"/>
  <c r="J171"/>
  <c r="I171"/>
  <c r="H171"/>
  <c r="G171"/>
  <c r="F171"/>
  <c r="E171"/>
  <c r="D172"/>
  <c r="D171" s="1"/>
  <c r="L163"/>
  <c r="L13" s="1"/>
  <c r="K163"/>
  <c r="K13" s="1"/>
  <c r="J163"/>
  <c r="J13" s="1"/>
  <c r="I163"/>
  <c r="I13" s="1"/>
  <c r="H163"/>
  <c r="H13" s="1"/>
  <c r="G163"/>
  <c r="G13" s="1"/>
  <c r="D165"/>
  <c r="D164"/>
  <c r="N165"/>
  <c r="N164"/>
  <c r="J182" l="1"/>
  <c r="E176"/>
  <c r="L182"/>
  <c r="F182"/>
  <c r="H182"/>
  <c r="M181"/>
  <c r="M180" s="1"/>
  <c r="E182"/>
  <c r="G182"/>
  <c r="I182"/>
  <c r="K182"/>
  <c r="N163"/>
  <c r="F176"/>
  <c r="J176"/>
  <c r="I176"/>
  <c r="K176"/>
  <c r="M178"/>
  <c r="M177" s="1"/>
  <c r="D179"/>
  <c r="P184" s="1"/>
  <c r="H176"/>
  <c r="L176"/>
  <c r="D182"/>
  <c r="G180"/>
  <c r="D181"/>
  <c r="D180" s="1"/>
  <c r="D163"/>
  <c r="D178"/>
  <c r="N178"/>
  <c r="N179"/>
  <c r="N181"/>
  <c r="N180" s="1"/>
  <c r="M176" l="1"/>
  <c r="P172"/>
  <c r="G176"/>
  <c r="D177"/>
  <c r="D176" s="1"/>
  <c r="P186"/>
  <c r="N177"/>
  <c r="N176" s="1"/>
  <c r="L167" l="1"/>
  <c r="K167"/>
  <c r="J167"/>
  <c r="I167"/>
  <c r="H167"/>
  <c r="G167"/>
  <c r="N169"/>
  <c r="N168"/>
  <c r="N162"/>
  <c r="N161"/>
  <c r="H160"/>
  <c r="I160"/>
  <c r="J160"/>
  <c r="K160"/>
  <c r="L160"/>
  <c r="G160"/>
  <c r="N160" l="1"/>
  <c r="N159" s="1"/>
  <c r="H159"/>
  <c r="J159"/>
  <c r="K159"/>
  <c r="L159"/>
  <c r="I159"/>
  <c r="G159"/>
  <c r="D167"/>
  <c r="D173"/>
  <c r="D170" s="1"/>
  <c r="L173"/>
  <c r="K173"/>
  <c r="J173"/>
  <c r="I173"/>
  <c r="H173"/>
  <c r="G173"/>
  <c r="F173"/>
  <c r="E173"/>
  <c r="D169"/>
  <c r="D168"/>
  <c r="M167"/>
  <c r="M166" s="1"/>
  <c r="N167"/>
  <c r="N166" s="1"/>
  <c r="L166"/>
  <c r="K166"/>
  <c r="J166"/>
  <c r="I166"/>
  <c r="H166"/>
  <c r="G166"/>
  <c r="F166"/>
  <c r="E166"/>
  <c r="D162"/>
  <c r="D161"/>
  <c r="M160"/>
  <c r="M159" s="1"/>
  <c r="F170" l="1"/>
  <c r="E170"/>
  <c r="P174"/>
  <c r="I170"/>
  <c r="K170"/>
  <c r="J170"/>
  <c r="L170"/>
  <c r="J158"/>
  <c r="N158"/>
  <c r="H170"/>
  <c r="G170"/>
  <c r="D166"/>
  <c r="H158"/>
  <c r="L158"/>
  <c r="F158"/>
  <c r="E158"/>
  <c r="K158"/>
  <c r="G158"/>
  <c r="I158"/>
  <c r="M158"/>
  <c r="D160"/>
  <c r="D159" s="1"/>
  <c r="F442" i="2"/>
  <c r="D158" i="3" l="1"/>
  <c r="P157" l="1"/>
  <c r="N172" i="2" l="1"/>
  <c r="N232"/>
  <c r="O59" i="4" l="1"/>
  <c r="L59"/>
  <c r="M287" i="9" l="1"/>
  <c r="M172" i="2" l="1"/>
  <c r="M145" i="7"/>
  <c r="L56" i="4"/>
  <c r="M92"/>
  <c r="M87"/>
  <c r="M75"/>
  <c r="M171" i="7"/>
  <c r="M159"/>
  <c r="M56" i="4" l="1"/>
  <c r="E30" i="7"/>
  <c r="E29" s="1"/>
  <c r="D444" i="2" l="1"/>
  <c r="E22" i="7" l="1"/>
  <c r="F22"/>
  <c r="G22"/>
  <c r="H22"/>
  <c r="I22"/>
  <c r="J22"/>
  <c r="K22"/>
  <c r="L22"/>
  <c r="I113" i="6" l="1"/>
  <c r="I103"/>
  <c r="E31" l="1"/>
  <c r="I19" i="7" l="1"/>
  <c r="M239" i="9"/>
  <c r="M14" s="1"/>
  <c r="F94" l="1"/>
  <c r="M35" i="8" l="1"/>
  <c r="M15" s="1"/>
  <c r="E19" i="7"/>
  <c r="H19"/>
  <c r="J19"/>
  <c r="K19"/>
  <c r="L19"/>
  <c r="E16"/>
  <c r="F16"/>
  <c r="G16"/>
  <c r="H16"/>
  <c r="I16"/>
  <c r="J16"/>
  <c r="K16"/>
  <c r="L16"/>
  <c r="E158"/>
  <c r="E12" s="1"/>
  <c r="D178"/>
  <c r="D177" s="1"/>
  <c r="K177"/>
  <c r="J177"/>
  <c r="I177"/>
  <c r="H177"/>
  <c r="G177"/>
  <c r="F177"/>
  <c r="E177"/>
  <c r="D176"/>
  <c r="D175" s="1"/>
  <c r="K175"/>
  <c r="J175"/>
  <c r="J174" s="1"/>
  <c r="I175"/>
  <c r="H175"/>
  <c r="G175"/>
  <c r="F175"/>
  <c r="F174" s="1"/>
  <c r="E175"/>
  <c r="D173"/>
  <c r="D172" s="1"/>
  <c r="N172"/>
  <c r="M172"/>
  <c r="K172"/>
  <c r="J172"/>
  <c r="I172"/>
  <c r="H172"/>
  <c r="G172"/>
  <c r="F172"/>
  <c r="E172"/>
  <c r="N171"/>
  <c r="N169" s="1"/>
  <c r="N168" s="1"/>
  <c r="M169"/>
  <c r="M168" s="1"/>
  <c r="D170"/>
  <c r="K169"/>
  <c r="J169"/>
  <c r="J168" s="1"/>
  <c r="I169"/>
  <c r="H169"/>
  <c r="G169"/>
  <c r="F169"/>
  <c r="E169"/>
  <c r="D166"/>
  <c r="D165" s="1"/>
  <c r="K165"/>
  <c r="J165"/>
  <c r="I165"/>
  <c r="H165"/>
  <c r="G165"/>
  <c r="F165"/>
  <c r="E165"/>
  <c r="D164"/>
  <c r="D163" s="1"/>
  <c r="K163"/>
  <c r="J163"/>
  <c r="J162" s="1"/>
  <c r="I163"/>
  <c r="H163"/>
  <c r="G163"/>
  <c r="G162" s="1"/>
  <c r="F163"/>
  <c r="F162" s="1"/>
  <c r="E163"/>
  <c r="D161"/>
  <c r="D160" s="1"/>
  <c r="N160"/>
  <c r="M160"/>
  <c r="K160"/>
  <c r="J160"/>
  <c r="I160"/>
  <c r="H160"/>
  <c r="G160"/>
  <c r="F160"/>
  <c r="E160"/>
  <c r="N159"/>
  <c r="N157" s="1"/>
  <c r="N156" s="1"/>
  <c r="M157"/>
  <c r="M156" s="1"/>
  <c r="K157"/>
  <c r="J157"/>
  <c r="I157"/>
  <c r="H157"/>
  <c r="G157"/>
  <c r="F157"/>
  <c r="G19"/>
  <c r="F52"/>
  <c r="F19" s="1"/>
  <c r="G47"/>
  <c r="G9" s="1"/>
  <c r="G156" l="1"/>
  <c r="K156"/>
  <c r="D158"/>
  <c r="K168"/>
  <c r="F156"/>
  <c r="J156"/>
  <c r="E168"/>
  <c r="I168"/>
  <c r="K174"/>
  <c r="K162"/>
  <c r="E162"/>
  <c r="I156"/>
  <c r="G174"/>
  <c r="H168"/>
  <c r="G168"/>
  <c r="F168"/>
  <c r="E174"/>
  <c r="I174"/>
  <c r="I162"/>
  <c r="H156"/>
  <c r="H162"/>
  <c r="E157"/>
  <c r="E156" s="1"/>
  <c r="H174"/>
  <c r="D174"/>
  <c r="D162"/>
  <c r="D171"/>
  <c r="D159"/>
  <c r="D157" s="1"/>
  <c r="D156" s="1"/>
  <c r="F251" i="6"/>
  <c r="M251" s="1"/>
  <c r="G250"/>
  <c r="G249" s="1"/>
  <c r="I43"/>
  <c r="E43"/>
  <c r="E41" s="1"/>
  <c r="I47"/>
  <c r="E47"/>
  <c r="E45" s="1"/>
  <c r="I52"/>
  <c r="E52"/>
  <c r="E50" s="1"/>
  <c r="D53"/>
  <c r="F58"/>
  <c r="N33"/>
  <c r="F37"/>
  <c r="N52" l="1"/>
  <c r="D48"/>
  <c r="D33"/>
  <c r="M33"/>
  <c r="D52"/>
  <c r="M199"/>
  <c r="D169" i="7"/>
  <c r="D168" s="1"/>
  <c r="D47" i="6"/>
  <c r="G71" i="5"/>
  <c r="G70" s="1"/>
  <c r="G74"/>
  <c r="G73" s="1"/>
  <c r="I29" i="3"/>
  <c r="I30"/>
  <c r="H30"/>
  <c r="E30"/>
  <c r="E27" s="1"/>
  <c r="E12" s="1"/>
  <c r="E11" s="1"/>
  <c r="I35"/>
  <c r="I36"/>
  <c r="H36"/>
  <c r="E36"/>
  <c r="J42"/>
  <c r="F42"/>
  <c r="F22" s="1"/>
  <c r="I454" i="2"/>
  <c r="H454"/>
  <c r="I455"/>
  <c r="H455"/>
  <c r="I459"/>
  <c r="H459"/>
  <c r="I460"/>
  <c r="H460"/>
  <c r="I448"/>
  <c r="H440"/>
  <c r="N440" s="1"/>
  <c r="E440"/>
  <c r="H445"/>
  <c r="N445" s="1"/>
  <c r="E445"/>
  <c r="E442" s="1"/>
  <c r="E369" s="1"/>
  <c r="E367" s="1"/>
  <c r="I375" l="1"/>
  <c r="I373" s="1"/>
  <c r="N36" i="3"/>
  <c r="N455" i="2"/>
  <c r="N35" i="3"/>
  <c r="N30"/>
  <c r="N454" i="2"/>
  <c r="N29" i="3"/>
  <c r="J22"/>
  <c r="J21" s="1"/>
  <c r="J18" s="1"/>
  <c r="D445" i="2"/>
  <c r="D440"/>
  <c r="E437"/>
  <c r="D35" i="3"/>
  <c r="D29"/>
  <c r="D36"/>
  <c r="E33"/>
  <c r="E16" s="1"/>
  <c r="E15" s="1"/>
  <c r="D30"/>
  <c r="E10" l="1"/>
  <c r="N73" i="8"/>
  <c r="F73"/>
  <c r="F18" s="1"/>
  <c r="F71"/>
  <c r="D244" i="9"/>
  <c r="D21" s="1"/>
  <c r="L243"/>
  <c r="K243"/>
  <c r="J243"/>
  <c r="I243"/>
  <c r="H243"/>
  <c r="G243"/>
  <c r="F243"/>
  <c r="E243"/>
  <c r="E237"/>
  <c r="F237"/>
  <c r="G237"/>
  <c r="H237"/>
  <c r="I237"/>
  <c r="H240"/>
  <c r="I240"/>
  <c r="J240"/>
  <c r="K240"/>
  <c r="L240"/>
  <c r="E232"/>
  <c r="E233"/>
  <c r="J237"/>
  <c r="K237"/>
  <c r="L237"/>
  <c r="J233"/>
  <c r="I230"/>
  <c r="I228"/>
  <c r="J228"/>
  <c r="K228"/>
  <c r="L228"/>
  <c r="H228"/>
  <c r="D245"/>
  <c r="L245"/>
  <c r="K245"/>
  <c r="J245"/>
  <c r="I245"/>
  <c r="H245"/>
  <c r="G245"/>
  <c r="F245"/>
  <c r="E245"/>
  <c r="N241"/>
  <c r="N240" s="1"/>
  <c r="M241"/>
  <c r="M240" s="1"/>
  <c r="D240"/>
  <c r="G240"/>
  <c r="E240"/>
  <c r="N238"/>
  <c r="N237" s="1"/>
  <c r="M238"/>
  <c r="M237" s="1"/>
  <c r="D237"/>
  <c r="D234"/>
  <c r="D233" s="1"/>
  <c r="D232" s="1"/>
  <c r="L233"/>
  <c r="L23" s="1"/>
  <c r="K233"/>
  <c r="K23" s="1"/>
  <c r="I233"/>
  <c r="I23" s="1"/>
  <c r="H233"/>
  <c r="H23" s="1"/>
  <c r="G233"/>
  <c r="F233"/>
  <c r="N231"/>
  <c r="N230" s="1"/>
  <c r="M231"/>
  <c r="M230" s="1"/>
  <c r="D231"/>
  <c r="D230" s="1"/>
  <c r="G230"/>
  <c r="E230"/>
  <c r="N229"/>
  <c r="N228" s="1"/>
  <c r="M229"/>
  <c r="M228" s="1"/>
  <c r="D229"/>
  <c r="D228" s="1"/>
  <c r="G228"/>
  <c r="F228"/>
  <c r="E228"/>
  <c r="F227"/>
  <c r="J23" l="1"/>
  <c r="E23"/>
  <c r="L236"/>
  <c r="M227"/>
  <c r="E236"/>
  <c r="F236"/>
  <c r="E227"/>
  <c r="K236"/>
  <c r="D236"/>
  <c r="J236"/>
  <c r="L232"/>
  <c r="L227" s="1"/>
  <c r="J227"/>
  <c r="I236"/>
  <c r="H236"/>
  <c r="D243"/>
  <c r="D242" s="1"/>
  <c r="G236"/>
  <c r="I227"/>
  <c r="G232"/>
  <c r="I232"/>
  <c r="G242"/>
  <c r="I242"/>
  <c r="J232"/>
  <c r="F232"/>
  <c r="H232"/>
  <c r="K232"/>
  <c r="H242"/>
  <c r="J242"/>
  <c r="F242"/>
  <c r="L242"/>
  <c r="K242"/>
  <c r="E242"/>
  <c r="M236"/>
  <c r="N236"/>
  <c r="D227"/>
  <c r="N227"/>
  <c r="F137"/>
  <c r="G227" l="1"/>
  <c r="K227"/>
  <c r="H227"/>
  <c r="G40" i="13" l="1"/>
  <c r="G29" l="1"/>
  <c r="G38"/>
  <c r="G31"/>
  <c r="G13" l="1"/>
  <c r="G172" i="9"/>
  <c r="G23" s="1"/>
  <c r="F172"/>
  <c r="H18" i="7" l="1"/>
  <c r="I18"/>
  <c r="J18"/>
  <c r="L18"/>
  <c r="E11"/>
  <c r="H11"/>
  <c r="J11"/>
  <c r="L11"/>
  <c r="E18"/>
  <c r="F18"/>
  <c r="K18"/>
  <c r="I11"/>
  <c r="D152"/>
  <c r="D20" s="1"/>
  <c r="E150"/>
  <c r="F150"/>
  <c r="G150"/>
  <c r="H150"/>
  <c r="I150"/>
  <c r="J150"/>
  <c r="K150"/>
  <c r="E143"/>
  <c r="F143"/>
  <c r="G143"/>
  <c r="H143"/>
  <c r="I143"/>
  <c r="J143"/>
  <c r="K143"/>
  <c r="L143"/>
  <c r="D146"/>
  <c r="D14" s="1"/>
  <c r="D154"/>
  <c r="D153" s="1"/>
  <c r="K153"/>
  <c r="J153"/>
  <c r="I153"/>
  <c r="H153"/>
  <c r="G153"/>
  <c r="F153"/>
  <c r="E153"/>
  <c r="D151"/>
  <c r="D148"/>
  <c r="D147" s="1"/>
  <c r="N147"/>
  <c r="M147"/>
  <c r="K147"/>
  <c r="J147"/>
  <c r="I147"/>
  <c r="H147"/>
  <c r="G147"/>
  <c r="F147"/>
  <c r="E147"/>
  <c r="M143"/>
  <c r="M142" s="1"/>
  <c r="D145"/>
  <c r="D144"/>
  <c r="E7"/>
  <c r="H7"/>
  <c r="I7"/>
  <c r="L7"/>
  <c r="F39"/>
  <c r="F38" s="1"/>
  <c r="D40"/>
  <c r="D39" s="1"/>
  <c r="D38" s="1"/>
  <c r="G39"/>
  <c r="G38" s="1"/>
  <c r="D37"/>
  <c r="D36" s="1"/>
  <c r="G34"/>
  <c r="G33" s="1"/>
  <c r="M35"/>
  <c r="D35"/>
  <c r="D8" s="1"/>
  <c r="I34"/>
  <c r="H34"/>
  <c r="F34"/>
  <c r="F33" s="1"/>
  <c r="E34"/>
  <c r="E33" s="1"/>
  <c r="I33"/>
  <c r="H33"/>
  <c r="L23" i="3"/>
  <c r="H45" i="2"/>
  <c r="I45"/>
  <c r="J45"/>
  <c r="K45"/>
  <c r="L45"/>
  <c r="H38"/>
  <c r="I38"/>
  <c r="J38"/>
  <c r="K38"/>
  <c r="L38"/>
  <c r="N231"/>
  <c r="N230" s="1"/>
  <c r="G45"/>
  <c r="G38"/>
  <c r="G176"/>
  <c r="F176"/>
  <c r="H262"/>
  <c r="H257"/>
  <c r="H254"/>
  <c r="D263"/>
  <c r="D262" s="1"/>
  <c r="G262"/>
  <c r="E262"/>
  <c r="D261"/>
  <c r="D260" s="1"/>
  <c r="G260"/>
  <c r="F260"/>
  <c r="E260"/>
  <c r="N258"/>
  <c r="N257" s="1"/>
  <c r="D258"/>
  <c r="D257" s="1"/>
  <c r="G257"/>
  <c r="E257"/>
  <c r="N256"/>
  <c r="M256"/>
  <c r="D256"/>
  <c r="N255"/>
  <c r="N254" s="1"/>
  <c r="D255"/>
  <c r="G254"/>
  <c r="E254"/>
  <c r="G580"/>
  <c r="G579" s="1"/>
  <c r="F581"/>
  <c r="K149" i="7" l="1"/>
  <c r="E142"/>
  <c r="K142"/>
  <c r="I142"/>
  <c r="F142"/>
  <c r="E149"/>
  <c r="I149"/>
  <c r="L21" i="3"/>
  <c r="L18" s="1"/>
  <c r="J142" i="7"/>
  <c r="M174" i="2"/>
  <c r="D254"/>
  <c r="D253" s="1"/>
  <c r="M171"/>
  <c r="M170" s="1"/>
  <c r="G21" i="3"/>
  <c r="G18" s="1"/>
  <c r="N88"/>
  <c r="E253" i="2"/>
  <c r="D150" i="7"/>
  <c r="D149" s="1"/>
  <c r="G149"/>
  <c r="G142"/>
  <c r="H142"/>
  <c r="H259" i="2"/>
  <c r="N171"/>
  <c r="N170" s="1"/>
  <c r="M34" i="7"/>
  <c r="M33" s="1"/>
  <c r="M8"/>
  <c r="G253" i="2"/>
  <c r="H253"/>
  <c r="D34" i="7"/>
  <c r="D33" s="1"/>
  <c r="M67" i="3"/>
  <c r="M64"/>
  <c r="G18" i="7"/>
  <c r="J149"/>
  <c r="H149"/>
  <c r="F149"/>
  <c r="D143"/>
  <c r="D142" s="1"/>
  <c r="N145"/>
  <c r="N143" s="1"/>
  <c r="N142" s="1"/>
  <c r="N35"/>
  <c r="N34" s="1"/>
  <c r="N33" s="1"/>
  <c r="G259" i="2"/>
  <c r="E259"/>
  <c r="D259"/>
  <c r="N253"/>
  <c r="M255"/>
  <c r="M254" s="1"/>
  <c r="M258"/>
  <c r="M257" s="1"/>
  <c r="F254"/>
  <c r="F257"/>
  <c r="F262"/>
  <c r="G379"/>
  <c r="G381"/>
  <c r="G378" l="1"/>
  <c r="F259"/>
  <c r="F253"/>
  <c r="M253"/>
  <c r="F115" i="13" l="1"/>
  <c r="F103" s="1"/>
  <c r="N115" l="1"/>
  <c r="G103"/>
  <c r="N103" s="1"/>
  <c r="M215" i="6"/>
  <c r="M219"/>
  <c r="M216"/>
  <c r="F156" i="3" l="1"/>
  <c r="F153"/>
  <c r="F152"/>
  <c r="D152" s="1"/>
  <c r="F151"/>
  <c r="F146"/>
  <c r="I143"/>
  <c r="N143" s="1"/>
  <c r="F141"/>
  <c r="F139"/>
  <c r="F23" l="1"/>
  <c r="D153"/>
  <c r="D143"/>
  <c r="D140"/>
  <c r="D142"/>
  <c r="D151"/>
  <c r="D139"/>
  <c r="D141"/>
  <c r="D85" i="8"/>
  <c r="D84" s="1"/>
  <c r="D83" s="1"/>
  <c r="H84"/>
  <c r="G84"/>
  <c r="F84"/>
  <c r="E84"/>
  <c r="N82"/>
  <c r="N81" s="1"/>
  <c r="M82"/>
  <c r="M81" s="1"/>
  <c r="D82"/>
  <c r="D81" s="1"/>
  <c r="H81"/>
  <c r="G81"/>
  <c r="F81"/>
  <c r="E81"/>
  <c r="N80"/>
  <c r="N79" s="1"/>
  <c r="M80"/>
  <c r="M79" s="1"/>
  <c r="D80"/>
  <c r="D79" s="1"/>
  <c r="H79"/>
  <c r="G79"/>
  <c r="F79"/>
  <c r="E79"/>
  <c r="J10"/>
  <c r="K10"/>
  <c r="L10"/>
  <c r="F20"/>
  <c r="G20"/>
  <c r="H20"/>
  <c r="I20"/>
  <c r="J20"/>
  <c r="K20"/>
  <c r="L20"/>
  <c r="D76"/>
  <c r="I75"/>
  <c r="H75"/>
  <c r="G75"/>
  <c r="F75"/>
  <c r="E75"/>
  <c r="H74"/>
  <c r="H145" s="1"/>
  <c r="N72"/>
  <c r="M73"/>
  <c r="M72" s="1"/>
  <c r="D73"/>
  <c r="D72" s="1"/>
  <c r="I72"/>
  <c r="H72"/>
  <c r="G72"/>
  <c r="F72"/>
  <c r="E72"/>
  <c r="N71"/>
  <c r="N70" s="1"/>
  <c r="M71"/>
  <c r="D71"/>
  <c r="I70"/>
  <c r="H70"/>
  <c r="G70"/>
  <c r="F70"/>
  <c r="E70"/>
  <c r="D106"/>
  <c r="E106"/>
  <c r="F106"/>
  <c r="G106"/>
  <c r="H106"/>
  <c r="I106"/>
  <c r="J106"/>
  <c r="H83" l="1"/>
  <c r="G83"/>
  <c r="D29"/>
  <c r="E69"/>
  <c r="D75"/>
  <c r="D74" s="1"/>
  <c r="D145" s="1"/>
  <c r="H78"/>
  <c r="G78"/>
  <c r="I69"/>
  <c r="I10" s="1"/>
  <c r="F74"/>
  <c r="F145" s="1"/>
  <c r="G69"/>
  <c r="E74"/>
  <c r="E145" s="1"/>
  <c r="I74"/>
  <c r="I145" s="1"/>
  <c r="N106"/>
  <c r="E78"/>
  <c r="G74"/>
  <c r="G145" s="1"/>
  <c r="F83"/>
  <c r="N78"/>
  <c r="D78"/>
  <c r="F78"/>
  <c r="M78"/>
  <c r="E83"/>
  <c r="N69"/>
  <c r="F69"/>
  <c r="H69"/>
  <c r="M70"/>
  <c r="M69" s="1"/>
  <c r="D70"/>
  <c r="D69" s="1"/>
  <c r="K52"/>
  <c r="K23" s="1"/>
  <c r="K49"/>
  <c r="K18" s="1"/>
  <c r="K47"/>
  <c r="K14" s="1"/>
  <c r="G14"/>
  <c r="G18" l="1"/>
  <c r="N49"/>
  <c r="G23"/>
  <c r="D52"/>
  <c r="D23" s="1"/>
  <c r="F584" i="2"/>
  <c r="F537" s="1"/>
  <c r="E581"/>
  <c r="E251" i="6"/>
  <c r="M51" i="5"/>
  <c r="M31"/>
  <c r="M29"/>
  <c r="L13" i="9"/>
  <c r="E20"/>
  <c r="E19" s="1"/>
  <c r="F20"/>
  <c r="F19" s="1"/>
  <c r="G20"/>
  <c r="G19" s="1"/>
  <c r="H20"/>
  <c r="H19" s="1"/>
  <c r="I20"/>
  <c r="I19" s="1"/>
  <c r="J20"/>
  <c r="J19" s="1"/>
  <c r="K20"/>
  <c r="K19" s="1"/>
  <c r="L20"/>
  <c r="L19" s="1"/>
  <c r="E22"/>
  <c r="E18" s="1"/>
  <c r="I22"/>
  <c r="J22"/>
  <c r="K22"/>
  <c r="L22"/>
  <c r="E15" i="8"/>
  <c r="F15"/>
  <c r="G15"/>
  <c r="H15"/>
  <c r="I15"/>
  <c r="J15"/>
  <c r="K15"/>
  <c r="L15"/>
  <c r="G16"/>
  <c r="H16"/>
  <c r="I16"/>
  <c r="J16"/>
  <c r="K16"/>
  <c r="L16"/>
  <c r="E20"/>
  <c r="E16" s="1"/>
  <c r="E25"/>
  <c r="F25"/>
  <c r="G25"/>
  <c r="H25"/>
  <c r="I25"/>
  <c r="J25"/>
  <c r="K25"/>
  <c r="L25"/>
  <c r="E31"/>
  <c r="E28" s="1"/>
  <c r="F31"/>
  <c r="H31"/>
  <c r="H28" s="1"/>
  <c r="I31"/>
  <c r="I28" s="1"/>
  <c r="J31"/>
  <c r="J28" s="1"/>
  <c r="K31"/>
  <c r="K28" s="1"/>
  <c r="L31"/>
  <c r="L28" s="1"/>
  <c r="G54"/>
  <c r="G51"/>
  <c r="G48"/>
  <c r="G46"/>
  <c r="G13" s="1"/>
  <c r="L109" i="4"/>
  <c r="K109"/>
  <c r="F109"/>
  <c r="M59"/>
  <c r="E56"/>
  <c r="F56"/>
  <c r="G56"/>
  <c r="K56"/>
  <c r="E57"/>
  <c r="E6" s="1"/>
  <c r="F57"/>
  <c r="F6" s="1"/>
  <c r="G57"/>
  <c r="H57"/>
  <c r="I57"/>
  <c r="J57"/>
  <c r="K57"/>
  <c r="L57"/>
  <c r="E58"/>
  <c r="F58"/>
  <c r="G58"/>
  <c r="H58"/>
  <c r="I58"/>
  <c r="J58"/>
  <c r="G57" i="1" s="1"/>
  <c r="G109" s="1"/>
  <c r="K58" i="4"/>
  <c r="L58"/>
  <c r="I57" i="1" s="1"/>
  <c r="E59" i="4"/>
  <c r="F59"/>
  <c r="G59"/>
  <c r="H59"/>
  <c r="I59"/>
  <c r="J59"/>
  <c r="K59"/>
  <c r="E61"/>
  <c r="F61"/>
  <c r="G61"/>
  <c r="H61"/>
  <c r="I61"/>
  <c r="J61"/>
  <c r="K61"/>
  <c r="L61"/>
  <c r="E62"/>
  <c r="F62"/>
  <c r="G62"/>
  <c r="H62"/>
  <c r="I62"/>
  <c r="J62"/>
  <c r="K62"/>
  <c r="L62"/>
  <c r="E66"/>
  <c r="F66"/>
  <c r="G66"/>
  <c r="H66"/>
  <c r="I66"/>
  <c r="J66"/>
  <c r="K66"/>
  <c r="L66"/>
  <c r="E67"/>
  <c r="F67"/>
  <c r="G67"/>
  <c r="H67"/>
  <c r="I67"/>
  <c r="J67"/>
  <c r="K67"/>
  <c r="L67"/>
  <c r="E68"/>
  <c r="F68"/>
  <c r="G68"/>
  <c r="H68"/>
  <c r="I68"/>
  <c r="J68"/>
  <c r="K68"/>
  <c r="L68"/>
  <c r="M52"/>
  <c r="E52"/>
  <c r="F52"/>
  <c r="G52"/>
  <c r="H52"/>
  <c r="I52"/>
  <c r="J52"/>
  <c r="K52"/>
  <c r="L52"/>
  <c r="E53"/>
  <c r="F53"/>
  <c r="G53"/>
  <c r="K53"/>
  <c r="L53"/>
  <c r="I56" i="1" l="1"/>
  <c r="L6" i="4"/>
  <c r="E56" i="1"/>
  <c r="H6" i="4"/>
  <c r="F56" i="1"/>
  <c r="I6" i="4"/>
  <c r="G56" i="1"/>
  <c r="J6" i="4"/>
  <c r="H56" i="1"/>
  <c r="K6" i="4"/>
  <c r="D56" i="1"/>
  <c r="K18" i="9"/>
  <c r="I18"/>
  <c r="J18"/>
  <c r="L18"/>
  <c r="M13"/>
  <c r="G45" i="8"/>
  <c r="G44" s="1"/>
  <c r="G9" s="1"/>
  <c r="G12"/>
  <c r="G11" s="1"/>
  <c r="N13" i="9"/>
  <c r="K65" i="4"/>
  <c r="K64" s="1"/>
  <c r="I65"/>
  <c r="G65"/>
  <c r="E65"/>
  <c r="E64" s="1"/>
  <c r="L65"/>
  <c r="J65"/>
  <c r="H65"/>
  <c r="F65"/>
  <c r="F64" s="1"/>
  <c r="L55"/>
  <c r="L54" s="1"/>
  <c r="J55"/>
  <c r="J54" s="1"/>
  <c r="H55"/>
  <c r="H54" s="1"/>
  <c r="K55"/>
  <c r="K54" s="1"/>
  <c r="I55"/>
  <c r="I54" s="1"/>
  <c r="G55"/>
  <c r="G54" s="1"/>
  <c r="E55"/>
  <c r="E54" s="1"/>
  <c r="K22" i="8"/>
  <c r="I22"/>
  <c r="I21" s="1"/>
  <c r="E22"/>
  <c r="E21" s="1"/>
  <c r="I12"/>
  <c r="I11" s="1"/>
  <c r="E12"/>
  <c r="E11" s="1"/>
  <c r="L22"/>
  <c r="L21" s="1"/>
  <c r="J22"/>
  <c r="J21" s="1"/>
  <c r="H22"/>
  <c r="H21" s="1"/>
  <c r="L12"/>
  <c r="L11" s="1"/>
  <c r="G22"/>
  <c r="H12"/>
  <c r="H11" s="1"/>
  <c r="F55" i="4"/>
  <c r="F54" s="1"/>
  <c r="K12" i="8"/>
  <c r="K11" s="1"/>
  <c r="J12"/>
  <c r="J11" s="1"/>
  <c r="G50"/>
  <c r="G144" s="1"/>
  <c r="E10" i="9"/>
  <c r="K21" i="8"/>
  <c r="L64" i="4"/>
  <c r="H64" l="1"/>
  <c r="G64"/>
  <c r="M8"/>
  <c r="M6" s="1"/>
  <c r="G6"/>
  <c r="N6"/>
  <c r="J64"/>
  <c r="I64"/>
  <c r="E380" i="2"/>
  <c r="H41"/>
  <c r="J41"/>
  <c r="K41"/>
  <c r="L41"/>
  <c r="G138"/>
  <c r="E143"/>
  <c r="F143"/>
  <c r="E140"/>
  <c r="F140"/>
  <c r="F45" s="1"/>
  <c r="E136"/>
  <c r="E133"/>
  <c r="F133"/>
  <c r="F38" s="1"/>
  <c r="E131"/>
  <c r="E90"/>
  <c r="E88"/>
  <c r="E85"/>
  <c r="E83"/>
  <c r="E82"/>
  <c r="E38" l="1"/>
  <c r="E45"/>
  <c r="E44" s="1"/>
  <c r="K44"/>
  <c r="K43" s="1"/>
  <c r="I44"/>
  <c r="K36"/>
  <c r="K35" s="1"/>
  <c r="L44"/>
  <c r="L43" s="1"/>
  <c r="J44"/>
  <c r="J43" s="1"/>
  <c r="H44"/>
  <c r="H43" s="1"/>
  <c r="L36"/>
  <c r="L35" s="1"/>
  <c r="J36"/>
  <c r="J35" s="1"/>
  <c r="H36"/>
  <c r="H35" s="1"/>
  <c r="E41" l="1"/>
  <c r="E49"/>
  <c r="E43" s="1"/>
  <c r="E36"/>
  <c r="M115" i="13"/>
  <c r="M114" s="1"/>
  <c r="M113" s="1"/>
  <c r="M111"/>
  <c r="M110" s="1"/>
  <c r="M109" s="1"/>
  <c r="M100"/>
  <c r="M67"/>
  <c r="M66" s="1"/>
  <c r="M65"/>
  <c r="M64" s="1"/>
  <c r="M51"/>
  <c r="M75"/>
  <c r="M40"/>
  <c r="M39" s="1"/>
  <c r="M38"/>
  <c r="M37" s="1"/>
  <c r="M31"/>
  <c r="M30" s="1"/>
  <c r="M29"/>
  <c r="M28" s="1"/>
  <c r="M17"/>
  <c r="M290" i="9"/>
  <c r="M289" s="1"/>
  <c r="M286"/>
  <c r="M285" s="1"/>
  <c r="M283"/>
  <c r="M282" s="1"/>
  <c r="M281" s="1"/>
  <c r="M222"/>
  <c r="M221"/>
  <c r="M218"/>
  <c r="M217"/>
  <c r="M209"/>
  <c r="M208" s="1"/>
  <c r="M207"/>
  <c r="M206" s="1"/>
  <c r="M200"/>
  <c r="M199"/>
  <c r="M196"/>
  <c r="M195"/>
  <c r="M187"/>
  <c r="M186" s="1"/>
  <c r="M185"/>
  <c r="M184" s="1"/>
  <c r="M178"/>
  <c r="M177" s="1"/>
  <c r="M176"/>
  <c r="M175" s="1"/>
  <c r="M167"/>
  <c r="M166" s="1"/>
  <c r="M163"/>
  <c r="M162" s="1"/>
  <c r="M156"/>
  <c r="M155" s="1"/>
  <c r="M154"/>
  <c r="M153" s="1"/>
  <c r="M130"/>
  <c r="M122"/>
  <c r="M121" s="1"/>
  <c r="M120"/>
  <c r="M119" s="1"/>
  <c r="M133" i="8"/>
  <c r="M132" s="1"/>
  <c r="M131" s="1"/>
  <c r="M125"/>
  <c r="M124"/>
  <c r="M134" i="7"/>
  <c r="M133"/>
  <c r="M131" s="1"/>
  <c r="M130" s="1"/>
  <c r="M122"/>
  <c r="M110"/>
  <c r="M109"/>
  <c r="M107" s="1"/>
  <c r="M106" s="1"/>
  <c r="M84"/>
  <c r="M83"/>
  <c r="M81" s="1"/>
  <c r="M80" s="1"/>
  <c r="M72"/>
  <c r="M70"/>
  <c r="M69" s="1"/>
  <c r="M68" s="1"/>
  <c r="M60"/>
  <c r="M58"/>
  <c r="M57" s="1"/>
  <c r="M56" s="1"/>
  <c r="M48"/>
  <c r="M15"/>
  <c r="M262" i="6"/>
  <c r="M261"/>
  <c r="M250"/>
  <c r="M249" s="1"/>
  <c r="M230"/>
  <c r="M229" s="1"/>
  <c r="M228"/>
  <c r="M218"/>
  <c r="M214"/>
  <c r="M173"/>
  <c r="M129"/>
  <c r="M120"/>
  <c r="M102"/>
  <c r="M17" s="1"/>
  <c r="M101"/>
  <c r="M99"/>
  <c r="M87"/>
  <c r="M86" s="1"/>
  <c r="M85"/>
  <c r="M84" s="1"/>
  <c r="M65"/>
  <c r="M64" s="1"/>
  <c r="M63"/>
  <c r="M62"/>
  <c r="M53"/>
  <c r="M52"/>
  <c r="M48"/>
  <c r="M47"/>
  <c r="M43"/>
  <c r="M96" i="4"/>
  <c r="M95" s="1"/>
  <c r="M94" s="1"/>
  <c r="M91"/>
  <c r="M90"/>
  <c r="M89" s="1"/>
  <c r="M86"/>
  <c r="M85"/>
  <c r="M84" s="1"/>
  <c r="M76"/>
  <c r="M61" s="1"/>
  <c r="M74"/>
  <c r="M101" i="3"/>
  <c r="M89"/>
  <c r="M79"/>
  <c r="M78" s="1"/>
  <c r="M77"/>
  <c r="M76"/>
  <c r="M66"/>
  <c r="M65"/>
  <c r="M63" s="1"/>
  <c r="M50"/>
  <c r="M37"/>
  <c r="M36"/>
  <c r="M35"/>
  <c r="M31"/>
  <c r="M30"/>
  <c r="M29"/>
  <c r="M675" i="2"/>
  <c r="M674" s="1"/>
  <c r="M673" s="1"/>
  <c r="M668"/>
  <c r="M667" s="1"/>
  <c r="M666" s="1"/>
  <c r="M660"/>
  <c r="M640"/>
  <c r="M639" s="1"/>
  <c r="M638" s="1"/>
  <c r="M636"/>
  <c r="M635" s="1"/>
  <c r="M634" s="1"/>
  <c r="M629"/>
  <c r="M628"/>
  <c r="M621"/>
  <c r="M620"/>
  <c r="M596"/>
  <c r="M595" s="1"/>
  <c r="M594" s="1"/>
  <c r="M589"/>
  <c r="M588"/>
  <c r="M587" s="1"/>
  <c r="M586" s="1"/>
  <c r="M574"/>
  <c r="M573"/>
  <c r="M569"/>
  <c r="M568" s="1"/>
  <c r="M567" s="1"/>
  <c r="M558"/>
  <c r="M521"/>
  <c r="M520" s="1"/>
  <c r="M519"/>
  <c r="M518" s="1"/>
  <c r="M503"/>
  <c r="M502" s="1"/>
  <c r="M501"/>
  <c r="M500" s="1"/>
  <c r="M488"/>
  <c r="M487"/>
  <c r="M485"/>
  <c r="M484"/>
  <c r="M483"/>
  <c r="M460"/>
  <c r="M459"/>
  <c r="M455"/>
  <c r="M454"/>
  <c r="M430"/>
  <c r="M429" s="1"/>
  <c r="M428"/>
  <c r="M427" s="1"/>
  <c r="M421"/>
  <c r="M420" s="1"/>
  <c r="M419"/>
  <c r="M418" s="1"/>
  <c r="M390"/>
  <c r="M339"/>
  <c r="M356"/>
  <c r="M355" s="1"/>
  <c r="M354"/>
  <c r="M353"/>
  <c r="M244"/>
  <c r="M232"/>
  <c r="M220"/>
  <c r="M120"/>
  <c r="M119" s="1"/>
  <c r="M108"/>
  <c r="M107" s="1"/>
  <c r="M97"/>
  <c r="M96" s="1"/>
  <c r="M95"/>
  <c r="M85"/>
  <c r="M84" s="1"/>
  <c r="M83"/>
  <c r="M73"/>
  <c r="M72" s="1"/>
  <c r="M71"/>
  <c r="M60"/>
  <c r="M58" s="1"/>
  <c r="M57"/>
  <c r="K139" i="1"/>
  <c r="K130"/>
  <c r="K125"/>
  <c r="K124"/>
  <c r="K122"/>
  <c r="K121"/>
  <c r="K120"/>
  <c r="K119"/>
  <c r="M191" i="9" l="1"/>
  <c r="M74" i="13"/>
  <c r="E35" i="2"/>
  <c r="K140" i="1"/>
  <c r="M123" i="8"/>
  <c r="M122" s="1"/>
  <c r="M38" i="6"/>
  <c r="M53" i="4"/>
  <c r="M51" s="1"/>
  <c r="M62" i="3"/>
  <c r="M417" i="2"/>
  <c r="M426"/>
  <c r="M352"/>
  <c r="M351" s="1"/>
  <c r="M482"/>
  <c r="M260" i="6"/>
  <c r="M259" s="1"/>
  <c r="M216" i="9"/>
  <c r="M215" s="1"/>
  <c r="M194"/>
  <c r="M193" s="1"/>
  <c r="M220"/>
  <c r="M219" s="1"/>
  <c r="M572" i="2"/>
  <c r="M571" s="1"/>
  <c r="M61" i="6"/>
  <c r="M60" s="1"/>
  <c r="V110" i="4"/>
  <c r="K126" i="1"/>
  <c r="M83" i="6"/>
  <c r="M486" i="2"/>
  <c r="M72" i="4"/>
  <c r="M71" s="1"/>
  <c r="M36" i="13"/>
  <c r="M27"/>
  <c r="M213" i="6"/>
  <c r="M183" i="9"/>
  <c r="M174"/>
  <c r="M63" i="13"/>
  <c r="M152" i="9"/>
  <c r="M118"/>
  <c r="M161"/>
  <c r="M205"/>
  <c r="M55" i="4"/>
  <c r="M54" s="1"/>
  <c r="M75" i="3"/>
  <c r="M74" s="1"/>
  <c r="M619" i="2"/>
  <c r="M618" s="1"/>
  <c r="M627"/>
  <c r="M626" s="1"/>
  <c r="M499"/>
  <c r="M517"/>
  <c r="M139" i="5"/>
  <c r="M138" s="1"/>
  <c r="M129"/>
  <c r="M126"/>
  <c r="M125" s="1"/>
  <c r="M119"/>
  <c r="M118" s="1"/>
  <c r="M117" s="1"/>
  <c r="M101"/>
  <c r="M72"/>
  <c r="M71" s="1"/>
  <c r="M70" s="1"/>
  <c r="M65"/>
  <c r="M64" s="1"/>
  <c r="M63" s="1"/>
  <c r="M58"/>
  <c r="M57" s="1"/>
  <c r="M56" s="1"/>
  <c r="M50"/>
  <c r="M49" s="1"/>
  <c r="M30"/>
  <c r="M28"/>
  <c r="M12"/>
  <c r="E75"/>
  <c r="E72"/>
  <c r="E47"/>
  <c r="M42"/>
  <c r="M41" s="1"/>
  <c r="E42"/>
  <c r="M40"/>
  <c r="M39" s="1"/>
  <c r="E40"/>
  <c r="M481" i="2" l="1"/>
  <c r="M214" i="9"/>
  <c r="M38" i="5"/>
  <c r="M27"/>
  <c r="E370" i="2"/>
  <c r="E372" l="1"/>
  <c r="E366"/>
  <c r="M382" l="1"/>
  <c r="M381" s="1"/>
  <c r="M380"/>
  <c r="M379" s="1"/>
  <c r="M557"/>
  <c r="M556" s="1"/>
  <c r="M555" s="1"/>
  <c r="M581"/>
  <c r="M580" s="1"/>
  <c r="M579" s="1"/>
  <c r="M198"/>
  <c r="M197" s="1"/>
  <c r="M195"/>
  <c r="M194" s="1"/>
  <c r="M150"/>
  <c r="M149" s="1"/>
  <c r="E141"/>
  <c r="E138"/>
  <c r="M136"/>
  <c r="M134" s="1"/>
  <c r="M131"/>
  <c r="M116"/>
  <c r="M115" s="1"/>
  <c r="M114" s="1"/>
  <c r="M106"/>
  <c r="M105" s="1"/>
  <c r="M104" s="1"/>
  <c r="M94"/>
  <c r="M93" s="1"/>
  <c r="M92" s="1"/>
  <c r="M82"/>
  <c r="M81" s="1"/>
  <c r="M80" s="1"/>
  <c r="M70"/>
  <c r="M69" s="1"/>
  <c r="M68" s="1"/>
  <c r="M56"/>
  <c r="M55" s="1"/>
  <c r="M54" s="1"/>
  <c r="M193" l="1"/>
  <c r="E137"/>
  <c r="M378"/>
  <c r="M133"/>
  <c r="M130" s="1"/>
  <c r="M129" s="1"/>
  <c r="M147"/>
  <c r="M146" s="1"/>
  <c r="M145" s="1"/>
  <c r="E149"/>
  <c r="E146"/>
  <c r="E154"/>
  <c r="E151" s="1"/>
  <c r="N92" i="4"/>
  <c r="H157" i="6"/>
  <c r="I157"/>
  <c r="J157"/>
  <c r="K157"/>
  <c r="L157"/>
  <c r="F158"/>
  <c r="F157" s="1"/>
  <c r="G158"/>
  <c r="G157" s="1"/>
  <c r="D159"/>
  <c r="M159" s="1"/>
  <c r="N159"/>
  <c r="H161"/>
  <c r="H160" s="1"/>
  <c r="I161"/>
  <c r="I160" s="1"/>
  <c r="J161"/>
  <c r="J160" s="1"/>
  <c r="K161"/>
  <c r="K160" s="1"/>
  <c r="L161"/>
  <c r="L160" s="1"/>
  <c r="F162"/>
  <c r="F161" s="1"/>
  <c r="G162"/>
  <c r="G161" s="1"/>
  <c r="G160" s="1"/>
  <c r="F164"/>
  <c r="G164"/>
  <c r="H164"/>
  <c r="I164"/>
  <c r="J164"/>
  <c r="K164"/>
  <c r="L164"/>
  <c r="D165"/>
  <c r="H167"/>
  <c r="H166" s="1"/>
  <c r="I167"/>
  <c r="I166" s="1"/>
  <c r="J167"/>
  <c r="J166" s="1"/>
  <c r="K167"/>
  <c r="K166" s="1"/>
  <c r="L167"/>
  <c r="L166" s="1"/>
  <c r="F168"/>
  <c r="F167" s="1"/>
  <c r="G168"/>
  <c r="G167" s="1"/>
  <c r="G166" s="1"/>
  <c r="N173"/>
  <c r="N53"/>
  <c r="N47"/>
  <c r="N48"/>
  <c r="N43"/>
  <c r="N100" i="13"/>
  <c r="N65"/>
  <c r="N64" s="1"/>
  <c r="N67"/>
  <c r="N66" s="1"/>
  <c r="N51"/>
  <c r="N40"/>
  <c r="N38"/>
  <c r="N31"/>
  <c r="N29"/>
  <c r="N158" i="6" l="1"/>
  <c r="N162"/>
  <c r="N63" i="13"/>
  <c r="E145" i="2"/>
  <c r="D164" i="6"/>
  <c r="L163"/>
  <c r="F166"/>
  <c r="D166" s="1"/>
  <c r="D167"/>
  <c r="K163"/>
  <c r="I163"/>
  <c r="G163"/>
  <c r="F160"/>
  <c r="F156" s="1"/>
  <c r="D161"/>
  <c r="M161" s="1"/>
  <c r="N161"/>
  <c r="D157"/>
  <c r="M157" s="1"/>
  <c r="N157"/>
  <c r="K156"/>
  <c r="I156"/>
  <c r="J163"/>
  <c r="H163"/>
  <c r="G156"/>
  <c r="L156"/>
  <c r="J156"/>
  <c r="H156"/>
  <c r="D168"/>
  <c r="D162"/>
  <c r="M162" s="1"/>
  <c r="D158"/>
  <c r="M158" s="1"/>
  <c r="D275" i="9"/>
  <c r="N287"/>
  <c r="N283"/>
  <c r="N222"/>
  <c r="N221"/>
  <c r="N218"/>
  <c r="N217"/>
  <c r="N209"/>
  <c r="N207"/>
  <c r="N196"/>
  <c r="N195"/>
  <c r="N187"/>
  <c r="N185"/>
  <c r="N178"/>
  <c r="N176"/>
  <c r="N167"/>
  <c r="N163"/>
  <c r="N156"/>
  <c r="N154"/>
  <c r="N130"/>
  <c r="N122"/>
  <c r="N120"/>
  <c r="N124" i="8"/>
  <c r="N18"/>
  <c r="N47"/>
  <c r="N14" s="1"/>
  <c r="N35"/>
  <c r="N15" s="1"/>
  <c r="N194" i="9" l="1"/>
  <c r="F163" i="6"/>
  <c r="D163" s="1"/>
  <c r="N216" i="9"/>
  <c r="N215" s="1"/>
  <c r="N220"/>
  <c r="N219" s="1"/>
  <c r="D156" i="6"/>
  <c r="M156" s="1"/>
  <c r="N156"/>
  <c r="D160"/>
  <c r="M160" s="1"/>
  <c r="N160"/>
  <c r="N214" i="9" l="1"/>
  <c r="N133" i="7"/>
  <c r="N99" i="6"/>
  <c r="N101"/>
  <c r="N131"/>
  <c r="N130"/>
  <c r="N129"/>
  <c r="E15"/>
  <c r="J15"/>
  <c r="K15"/>
  <c r="L15"/>
  <c r="E16"/>
  <c r="E22"/>
  <c r="H22"/>
  <c r="I22"/>
  <c r="J22"/>
  <c r="K22"/>
  <c r="L22"/>
  <c r="N261"/>
  <c r="N251"/>
  <c r="N230"/>
  <c r="N228"/>
  <c r="N87"/>
  <c r="N85"/>
  <c r="N76"/>
  <c r="N74"/>
  <c r="N65"/>
  <c r="N63"/>
  <c r="N62"/>
  <c r="N40" i="5"/>
  <c r="N42"/>
  <c r="N72"/>
  <c r="N58"/>
  <c r="N87" i="4"/>
  <c r="N76"/>
  <c r="N61" s="1"/>
  <c r="N75"/>
  <c r="N59" s="1"/>
  <c r="N74"/>
  <c r="N13" i="3"/>
  <c r="N103"/>
  <c r="N101"/>
  <c r="N100"/>
  <c r="N89"/>
  <c r="N79"/>
  <c r="N77"/>
  <c r="N76"/>
  <c r="N65"/>
  <c r="N675" i="2"/>
  <c r="N668"/>
  <c r="N661"/>
  <c r="N660"/>
  <c r="N653"/>
  <c r="N652"/>
  <c r="N648"/>
  <c r="N608"/>
  <c r="N581"/>
  <c r="N569"/>
  <c r="N558"/>
  <c r="N557"/>
  <c r="N430"/>
  <c r="N428"/>
  <c r="N421"/>
  <c r="N419"/>
  <c r="N412"/>
  <c r="N410"/>
  <c r="N403"/>
  <c r="N401"/>
  <c r="N392"/>
  <c r="N390"/>
  <c r="N389"/>
  <c r="N382"/>
  <c r="N380"/>
  <c r="N339"/>
  <c r="N318"/>
  <c r="N222"/>
  <c r="N220"/>
  <c r="N207"/>
  <c r="N198"/>
  <c r="N195"/>
  <c r="N150"/>
  <c r="N147"/>
  <c r="N136"/>
  <c r="N133"/>
  <c r="N131"/>
  <c r="N120"/>
  <c r="N116"/>
  <c r="N108"/>
  <c r="N106"/>
  <c r="N97"/>
  <c r="N95"/>
  <c r="N94"/>
  <c r="N85"/>
  <c r="N83"/>
  <c r="N82"/>
  <c r="N73"/>
  <c r="N71"/>
  <c r="N70"/>
  <c r="N60"/>
  <c r="N57"/>
  <c r="N56"/>
  <c r="N56" i="4" l="1"/>
  <c r="W109"/>
  <c r="V112" s="1"/>
  <c r="N52"/>
  <c r="M13" i="3"/>
  <c r="M661" i="2" l="1"/>
  <c r="M659" s="1"/>
  <c r="M658" s="1"/>
  <c r="F648" l="1"/>
  <c r="M648" s="1"/>
  <c r="M647" s="1"/>
  <c r="M646" s="1"/>
  <c r="F60" i="9" l="1"/>
  <c r="N55"/>
  <c r="M55"/>
  <c r="M54" s="1"/>
  <c r="N52"/>
  <c r="N51" s="1"/>
  <c r="M52"/>
  <c r="M51" s="1"/>
  <c r="F48"/>
  <c r="N43"/>
  <c r="M43"/>
  <c r="M42" s="1"/>
  <c r="N40"/>
  <c r="N39" s="1"/>
  <c r="G22"/>
  <c r="G18" s="1"/>
  <c r="F36"/>
  <c r="F23" s="1"/>
  <c r="F22" l="1"/>
  <c r="F18" s="1"/>
  <c r="M50"/>
  <c r="M40"/>
  <c r="M39" s="1"/>
  <c r="M38" s="1"/>
  <c r="M28"/>
  <c r="N28"/>
  <c r="M31"/>
  <c r="M30" s="1"/>
  <c r="H224" i="2"/>
  <c r="H226"/>
  <c r="F227"/>
  <c r="H221"/>
  <c r="H218"/>
  <c r="M222"/>
  <c r="M221" s="1"/>
  <c r="N210"/>
  <c r="M210"/>
  <c r="M209" s="1"/>
  <c r="M207"/>
  <c r="G141"/>
  <c r="G137" s="1"/>
  <c r="N174"/>
  <c r="F191"/>
  <c r="N186"/>
  <c r="N183"/>
  <c r="N219" l="1"/>
  <c r="N27" i="9"/>
  <c r="M27"/>
  <c r="M26" s="1"/>
  <c r="M219" i="2"/>
  <c r="M218" s="1"/>
  <c r="M217" s="1"/>
  <c r="H217"/>
  <c r="M315"/>
  <c r="M314" s="1"/>
  <c r="M208"/>
  <c r="M206" s="1"/>
  <c r="M205" s="1"/>
  <c r="N208"/>
  <c r="N315"/>
  <c r="M183"/>
  <c r="M182" s="1"/>
  <c r="M186"/>
  <c r="M185" s="1"/>
  <c r="M173"/>
  <c r="H223"/>
  <c r="G49" l="1"/>
  <c r="M169"/>
  <c r="M181"/>
  <c r="J644" l="1"/>
  <c r="J643"/>
  <c r="I644"/>
  <c r="H644"/>
  <c r="J602"/>
  <c r="J601" s="1"/>
  <c r="I602"/>
  <c r="I601" s="1"/>
  <c r="N603" l="1"/>
  <c r="M644"/>
  <c r="M643" s="1"/>
  <c r="M642" s="1"/>
  <c r="M603"/>
  <c r="M602" s="1"/>
  <c r="M601" s="1"/>
  <c r="N644"/>
  <c r="J642"/>
  <c r="G150" i="3"/>
  <c r="H150"/>
  <c r="I150"/>
  <c r="J150"/>
  <c r="K150"/>
  <c r="F150"/>
  <c r="M150" l="1"/>
  <c r="M149" s="1"/>
  <c r="M148" s="1"/>
  <c r="N651" i="2"/>
  <c r="M130" i="6" l="1"/>
  <c r="L108"/>
  <c r="L100"/>
  <c r="F104"/>
  <c r="E125"/>
  <c r="E121"/>
  <c r="E102"/>
  <c r="F96"/>
  <c r="D130"/>
  <c r="D129"/>
  <c r="E109"/>
  <c r="E96"/>
  <c r="E14" s="1"/>
  <c r="L96" l="1"/>
  <c r="E106"/>
  <c r="E17"/>
  <c r="B23" i="1" s="1"/>
  <c r="N17" i="13" l="1"/>
  <c r="F21"/>
  <c r="F20" s="1"/>
  <c r="D278" i="9"/>
  <c r="D277" s="1"/>
  <c r="D56" i="8"/>
  <c r="D126" i="7"/>
  <c r="D133"/>
  <c r="D46"/>
  <c r="D28"/>
  <c r="D132"/>
  <c r="D265" i="6"/>
  <c r="D262"/>
  <c r="D45" i="5"/>
  <c r="D44" s="1"/>
  <c r="D106" i="3"/>
  <c r="D101"/>
  <c r="D94"/>
  <c r="D89"/>
  <c r="D43"/>
  <c r="D40"/>
  <c r="D37"/>
  <c r="D31"/>
  <c r="D524" i="2"/>
  <c r="D521"/>
  <c r="D519"/>
  <c r="D506"/>
  <c r="D503"/>
  <c r="D501"/>
  <c r="D497"/>
  <c r="D496"/>
  <c r="D495"/>
  <c r="D493"/>
  <c r="D492"/>
  <c r="D491"/>
  <c r="D488"/>
  <c r="D487"/>
  <c r="D485"/>
  <c r="D484"/>
  <c r="D483"/>
  <c r="D460"/>
  <c r="D459"/>
  <c r="D592"/>
  <c r="D589"/>
  <c r="D588"/>
  <c r="D577"/>
  <c r="D574"/>
  <c r="D573"/>
  <c r="D333"/>
  <c r="D361"/>
  <c r="D359"/>
  <c r="D356"/>
  <c r="D354"/>
  <c r="D353"/>
  <c r="D321"/>
  <c r="D316"/>
  <c r="D249"/>
  <c r="D244"/>
  <c r="D237"/>
  <c r="D232"/>
  <c r="D126"/>
  <c r="D124"/>
  <c r="D123"/>
  <c r="D102"/>
  <c r="D65"/>
  <c r="D59"/>
  <c r="D57"/>
  <c r="E182" i="6"/>
  <c r="E181" s="1"/>
  <c r="E179"/>
  <c r="E171"/>
  <c r="E175"/>
  <c r="E174" s="1"/>
  <c r="E144"/>
  <c r="E143" s="1"/>
  <c r="E19" s="1"/>
  <c r="E23"/>
  <c r="E21" s="1"/>
  <c r="N15" i="1"/>
  <c r="E151" i="6" l="1"/>
  <c r="E25" s="1"/>
  <c r="E13"/>
  <c r="E170"/>
  <c r="E178"/>
  <c r="E142"/>
  <c r="E18"/>
  <c r="E24" l="1"/>
  <c r="E20" s="1"/>
  <c r="E150"/>
  <c r="E12"/>
  <c r="E255"/>
  <c r="E243" s="1"/>
  <c r="E242" s="1"/>
  <c r="E241" s="1"/>
  <c r="E23" i="13"/>
  <c r="E21"/>
  <c r="E20" s="1"/>
  <c r="E14"/>
  <c r="E12" s="1"/>
  <c r="E21" i="7"/>
  <c r="E17" s="1"/>
  <c r="E15"/>
  <c r="E25" i="5"/>
  <c r="E23" s="1"/>
  <c r="E20" s="1"/>
  <c r="E19"/>
  <c r="E17" s="1"/>
  <c r="E15"/>
  <c r="E14" s="1"/>
  <c r="E540" i="2"/>
  <c r="E539"/>
  <c r="E538"/>
  <c r="E534"/>
  <c r="E533"/>
  <c r="E532"/>
  <c r="E531"/>
  <c r="E28"/>
  <c r="E15"/>
  <c r="B20" i="1" s="1"/>
  <c r="E114" i="13"/>
  <c r="E113" s="1"/>
  <c r="E110"/>
  <c r="E109" s="1"/>
  <c r="E71"/>
  <c r="E69"/>
  <c r="E66"/>
  <c r="E64"/>
  <c r="E60"/>
  <c r="E58"/>
  <c r="E52"/>
  <c r="E39"/>
  <c r="E37"/>
  <c r="E30"/>
  <c r="E28"/>
  <c r="D115"/>
  <c r="D51"/>
  <c r="D111"/>
  <c r="D72"/>
  <c r="D71" s="1"/>
  <c r="D70"/>
  <c r="D69" s="1"/>
  <c r="D67"/>
  <c r="D66" s="1"/>
  <c r="D64"/>
  <c r="D48"/>
  <c r="D31"/>
  <c r="D29"/>
  <c r="E286" i="9"/>
  <c r="E285" s="1"/>
  <c r="E282"/>
  <c r="E281" s="1"/>
  <c r="E224"/>
  <c r="E219"/>
  <c r="E215"/>
  <c r="E211"/>
  <c r="E210" s="1"/>
  <c r="E208"/>
  <c r="E206"/>
  <c r="E202"/>
  <c r="E197"/>
  <c r="E193"/>
  <c r="E189"/>
  <c r="E186"/>
  <c r="E184"/>
  <c r="E180"/>
  <c r="E177"/>
  <c r="E175"/>
  <c r="E171"/>
  <c r="E166"/>
  <c r="E162"/>
  <c r="E158"/>
  <c r="E157" s="1"/>
  <c r="E155"/>
  <c r="E153"/>
  <c r="E149"/>
  <c r="E148" s="1"/>
  <c r="E144"/>
  <c r="E140"/>
  <c r="E134"/>
  <c r="E136"/>
  <c r="E131"/>
  <c r="E128"/>
  <c r="E124"/>
  <c r="E123" s="1"/>
  <c r="E121"/>
  <c r="E119"/>
  <c r="E93"/>
  <c r="E92" s="1"/>
  <c r="E88"/>
  <c r="E84"/>
  <c r="E80"/>
  <c r="E79" s="1"/>
  <c r="E77"/>
  <c r="E75"/>
  <c r="E59"/>
  <c r="E54"/>
  <c r="E47"/>
  <c r="E44" s="1"/>
  <c r="E42"/>
  <c r="E38" s="1"/>
  <c r="E35"/>
  <c r="E32" s="1"/>
  <c r="E30"/>
  <c r="D287"/>
  <c r="D283"/>
  <c r="D225"/>
  <c r="D212"/>
  <c r="D209"/>
  <c r="D207"/>
  <c r="D203"/>
  <c r="D181"/>
  <c r="D172"/>
  <c r="D171" s="1"/>
  <c r="D170" s="1"/>
  <c r="D167"/>
  <c r="D163"/>
  <c r="D159"/>
  <c r="D158" s="1"/>
  <c r="D157" s="1"/>
  <c r="D156"/>
  <c r="D154"/>
  <c r="D150"/>
  <c r="D149" s="1"/>
  <c r="D148" s="1"/>
  <c r="D135"/>
  <c r="D130"/>
  <c r="D13" s="1"/>
  <c r="D125"/>
  <c r="D124" s="1"/>
  <c r="D123" s="1"/>
  <c r="D122"/>
  <c r="D120"/>
  <c r="D81"/>
  <c r="E54" i="8"/>
  <c r="E51"/>
  <c r="E48"/>
  <c r="E45"/>
  <c r="E41"/>
  <c r="E39"/>
  <c r="E38" s="1"/>
  <c r="E36"/>
  <c r="E34"/>
  <c r="E123"/>
  <c r="E122" s="1"/>
  <c r="E107" s="1"/>
  <c r="E105" s="1"/>
  <c r="D128"/>
  <c r="D124"/>
  <c r="D53"/>
  <c r="E131" i="7"/>
  <c r="E125"/>
  <c r="E127"/>
  <c r="E122"/>
  <c r="E119"/>
  <c r="E53"/>
  <c r="E51"/>
  <c r="E48"/>
  <c r="E45"/>
  <c r="E25"/>
  <c r="E24" s="1"/>
  <c r="D120"/>
  <c r="D12" s="1"/>
  <c r="D123"/>
  <c r="D52"/>
  <c r="D49"/>
  <c r="D128"/>
  <c r="D54"/>
  <c r="D31"/>
  <c r="E260" i="6"/>
  <c r="E259" s="1"/>
  <c r="E254"/>
  <c r="E253" s="1"/>
  <c r="E250"/>
  <c r="E249" s="1"/>
  <c r="E234"/>
  <c r="E232"/>
  <c r="E229"/>
  <c r="E227"/>
  <c r="E223"/>
  <c r="E221"/>
  <c r="E218"/>
  <c r="E214"/>
  <c r="E148"/>
  <c r="E139"/>
  <c r="E138" s="1"/>
  <c r="E135"/>
  <c r="E134" s="1"/>
  <c r="E124"/>
  <c r="E120"/>
  <c r="E116"/>
  <c r="E115" s="1"/>
  <c r="E105"/>
  <c r="E95"/>
  <c r="E91"/>
  <c r="E89"/>
  <c r="E86"/>
  <c r="E84"/>
  <c r="E80"/>
  <c r="E78"/>
  <c r="E75"/>
  <c r="E73"/>
  <c r="E69"/>
  <c r="E67"/>
  <c r="E64"/>
  <c r="E61"/>
  <c r="E57"/>
  <c r="E55"/>
  <c r="E49"/>
  <c r="E40"/>
  <c r="E36"/>
  <c r="E35" s="1"/>
  <c r="E30"/>
  <c r="E28"/>
  <c r="D87"/>
  <c r="D70"/>
  <c r="D69" s="1"/>
  <c r="D37"/>
  <c r="D261"/>
  <c r="D251"/>
  <c r="D235"/>
  <c r="D233"/>
  <c r="D230"/>
  <c r="D228"/>
  <c r="D101"/>
  <c r="D99"/>
  <c r="D97"/>
  <c r="D92"/>
  <c r="D90"/>
  <c r="D85"/>
  <c r="D68"/>
  <c r="D65"/>
  <c r="D64" s="1"/>
  <c r="D63"/>
  <c r="D62"/>
  <c r="D58"/>
  <c r="D56"/>
  <c r="D43"/>
  <c r="E74" i="5"/>
  <c r="E73" s="1"/>
  <c r="E71"/>
  <c r="E70" s="1"/>
  <c r="E60"/>
  <c r="E59" s="1"/>
  <c r="E57"/>
  <c r="E56" s="1"/>
  <c r="E44"/>
  <c r="E46"/>
  <c r="E41"/>
  <c r="E39"/>
  <c r="D61"/>
  <c r="D92" i="4"/>
  <c r="E95"/>
  <c r="E94" s="1"/>
  <c r="E90"/>
  <c r="E89" s="1"/>
  <c r="E85"/>
  <c r="E84" s="1"/>
  <c r="E72"/>
  <c r="E71" s="1"/>
  <c r="E80"/>
  <c r="E79"/>
  <c r="D96"/>
  <c r="D91"/>
  <c r="D87"/>
  <c r="D56" s="1"/>
  <c r="D86"/>
  <c r="D66"/>
  <c r="D76"/>
  <c r="D75"/>
  <c r="D74"/>
  <c r="D58" s="1"/>
  <c r="D73"/>
  <c r="E155" i="3"/>
  <c r="E154" s="1"/>
  <c r="E149"/>
  <c r="E148" s="1"/>
  <c r="E145"/>
  <c r="E144" s="1"/>
  <c r="E137"/>
  <c r="E136" s="1"/>
  <c r="E133"/>
  <c r="E132" s="1"/>
  <c r="E128"/>
  <c r="E124"/>
  <c r="E105"/>
  <c r="E107"/>
  <c r="E102"/>
  <c r="E99"/>
  <c r="E93"/>
  <c r="E95"/>
  <c r="E90"/>
  <c r="E87"/>
  <c r="E81"/>
  <c r="E83"/>
  <c r="E78"/>
  <c r="E75"/>
  <c r="E69"/>
  <c r="E71"/>
  <c r="E66"/>
  <c r="E63"/>
  <c r="E56"/>
  <c r="E58"/>
  <c r="E51"/>
  <c r="E46"/>
  <c r="E32"/>
  <c r="E26"/>
  <c r="D76"/>
  <c r="E19" i="13" l="1"/>
  <c r="D103"/>
  <c r="P63" i="6"/>
  <c r="E147"/>
  <c r="E239"/>
  <c r="E72"/>
  <c r="E83"/>
  <c r="E44" i="7"/>
  <c r="E56" i="9"/>
  <c r="E170"/>
  <c r="E299" s="1"/>
  <c r="E201"/>
  <c r="E213" i="6"/>
  <c r="D22" i="7"/>
  <c r="E33" i="8"/>
  <c r="E54" i="6"/>
  <c r="E77"/>
  <c r="E231"/>
  <c r="D16" i="7"/>
  <c r="E44" i="8"/>
  <c r="E9" s="1"/>
  <c r="E50" i="7"/>
  <c r="E74" i="9"/>
  <c r="E118" i="7"/>
  <c r="E205" i="9"/>
  <c r="E26"/>
  <c r="E223"/>
  <c r="D19" i="7"/>
  <c r="D18" s="1"/>
  <c r="D59" i="4"/>
  <c r="E183" i="9"/>
  <c r="E179"/>
  <c r="D52" i="4"/>
  <c r="E50" i="8"/>
  <c r="E16" i="13"/>
  <c r="E118" i="9"/>
  <c r="E133"/>
  <c r="E192"/>
  <c r="E174"/>
  <c r="E188"/>
  <c r="E530" i="2"/>
  <c r="E529" s="1"/>
  <c r="E43" i="5"/>
  <c r="E143" s="1"/>
  <c r="E13"/>
  <c r="D67" i="6"/>
  <c r="E214" i="9"/>
  <c r="E226" i="6"/>
  <c r="E27"/>
  <c r="E39"/>
  <c r="E25" i="3"/>
  <c r="E45"/>
  <c r="E62"/>
  <c r="E74"/>
  <c r="E86"/>
  <c r="E98"/>
  <c r="E123"/>
  <c r="E94" i="6"/>
  <c r="E119"/>
  <c r="E27" i="13"/>
  <c r="E36"/>
  <c r="E45"/>
  <c r="E57"/>
  <c r="E63"/>
  <c r="E10" s="1"/>
  <c r="D61" i="6"/>
  <c r="E88"/>
  <c r="D63" i="13"/>
  <c r="D10" s="1"/>
  <c r="D68"/>
  <c r="D120" s="1"/>
  <c r="E68"/>
  <c r="E120" s="1"/>
  <c r="E50" i="9"/>
  <c r="E161"/>
  <c r="E83"/>
  <c r="E9" s="1"/>
  <c r="E127"/>
  <c r="E139"/>
  <c r="E152"/>
  <c r="E124" i="7"/>
  <c r="E10"/>
  <c r="E60" i="6"/>
  <c r="E66"/>
  <c r="E220"/>
  <c r="E38" i="5"/>
  <c r="E51" i="4"/>
  <c r="E55" i="3"/>
  <c r="E68"/>
  <c r="E80"/>
  <c r="E92"/>
  <c r="E104"/>
  <c r="E536" i="2"/>
  <c r="E535" s="1"/>
  <c r="E127" i="8"/>
  <c r="E126" s="1"/>
  <c r="D84" i="3"/>
  <c r="D79"/>
  <c r="D156"/>
  <c r="D146"/>
  <c r="P146" s="1"/>
  <c r="D134"/>
  <c r="E580" i="2"/>
  <c r="E579" s="1"/>
  <c r="E674"/>
  <c r="E673" s="1"/>
  <c r="E667"/>
  <c r="E666" s="1"/>
  <c r="E663"/>
  <c r="E662" s="1"/>
  <c r="E659"/>
  <c r="E658" s="1"/>
  <c r="E655"/>
  <c r="E654" s="1"/>
  <c r="E651"/>
  <c r="E650" s="1"/>
  <c r="E643"/>
  <c r="E642" s="1"/>
  <c r="E610"/>
  <c r="E609" s="1"/>
  <c r="E606"/>
  <c r="E605" s="1"/>
  <c r="E602"/>
  <c r="E601" s="1"/>
  <c r="E568"/>
  <c r="E567" s="1"/>
  <c r="E564"/>
  <c r="E563" s="1"/>
  <c r="E560"/>
  <c r="E559" s="1"/>
  <c r="E556"/>
  <c r="E555" s="1"/>
  <c r="E546"/>
  <c r="E543"/>
  <c r="E542" s="1"/>
  <c r="E462"/>
  <c r="E456"/>
  <c r="E451"/>
  <c r="E441"/>
  <c r="E436"/>
  <c r="E432"/>
  <c r="E431" s="1"/>
  <c r="E429"/>
  <c r="E428"/>
  <c r="E365" s="1"/>
  <c r="E423"/>
  <c r="E422" s="1"/>
  <c r="E420"/>
  <c r="E8" i="9" l="1"/>
  <c r="E300"/>
  <c r="E686" i="2"/>
  <c r="B89" i="1" s="1"/>
  <c r="E283" i="3"/>
  <c r="E8"/>
  <c r="E144" i="8"/>
  <c r="E146" s="1"/>
  <c r="E11" i="13"/>
  <c r="E10" i="8"/>
  <c r="E8" s="1"/>
  <c r="E461" i="2"/>
  <c r="E678" s="1"/>
  <c r="E284" i="3"/>
  <c r="E9"/>
  <c r="P68"/>
  <c r="E685" i="2"/>
  <c r="B88" i="1" s="1"/>
  <c r="E10" i="6"/>
  <c r="E427" i="2"/>
  <c r="E426" s="1"/>
  <c r="E11" i="6"/>
  <c r="E9" i="13"/>
  <c r="E527" i="2"/>
  <c r="E417"/>
  <c r="E435"/>
  <c r="E528"/>
  <c r="E450"/>
  <c r="E414"/>
  <c r="E413" s="1"/>
  <c r="E411"/>
  <c r="E409"/>
  <c r="E405"/>
  <c r="E404" s="1"/>
  <c r="E402"/>
  <c r="E400"/>
  <c r="E396"/>
  <c r="E394"/>
  <c r="E391"/>
  <c r="E388"/>
  <c r="E383"/>
  <c r="E381"/>
  <c r="E379"/>
  <c r="E348"/>
  <c r="E345"/>
  <c r="E342"/>
  <c r="E338"/>
  <c r="E322"/>
  <c r="E320"/>
  <c r="E317"/>
  <c r="E314"/>
  <c r="E248"/>
  <c r="E250"/>
  <c r="E245"/>
  <c r="E242"/>
  <c r="E236"/>
  <c r="E238"/>
  <c r="E233"/>
  <c r="E230"/>
  <c r="E226"/>
  <c r="E224"/>
  <c r="E221"/>
  <c r="E218"/>
  <c r="E214"/>
  <c r="E212"/>
  <c r="E209"/>
  <c r="E206"/>
  <c r="E202"/>
  <c r="E200"/>
  <c r="E197"/>
  <c r="E194"/>
  <c r="E190"/>
  <c r="E185"/>
  <c r="E182"/>
  <c r="E178"/>
  <c r="E173"/>
  <c r="E170"/>
  <c r="E166"/>
  <c r="E163" s="1"/>
  <c r="E161"/>
  <c r="E158"/>
  <c r="E134"/>
  <c r="E130"/>
  <c r="E125"/>
  <c r="E119"/>
  <c r="E115"/>
  <c r="E110"/>
  <c r="E109" s="1"/>
  <c r="E107"/>
  <c r="E105"/>
  <c r="D675"/>
  <c r="D668"/>
  <c r="D660"/>
  <c r="D644"/>
  <c r="D584"/>
  <c r="D569"/>
  <c r="D561"/>
  <c r="D558"/>
  <c r="D557"/>
  <c r="D548"/>
  <c r="D547" s="1"/>
  <c r="D546" s="1"/>
  <c r="D463"/>
  <c r="D433"/>
  <c r="D430"/>
  <c r="D428"/>
  <c r="D424"/>
  <c r="D421"/>
  <c r="D419"/>
  <c r="D395"/>
  <c r="D390"/>
  <c r="D339"/>
  <c r="D227"/>
  <c r="D225"/>
  <c r="D222"/>
  <c r="D220"/>
  <c r="D219"/>
  <c r="D215"/>
  <c r="D213"/>
  <c r="D210"/>
  <c r="D208"/>
  <c r="D140"/>
  <c r="D133"/>
  <c r="D132"/>
  <c r="D120"/>
  <c r="D111"/>
  <c r="D108"/>
  <c r="D100"/>
  <c r="D97"/>
  <c r="D95"/>
  <c r="D90"/>
  <c r="D88"/>
  <c r="D85"/>
  <c r="D83"/>
  <c r="D76"/>
  <c r="D73"/>
  <c r="D71"/>
  <c r="D78"/>
  <c r="D66"/>
  <c r="D63"/>
  <c r="D60"/>
  <c r="E187" l="1"/>
  <c r="E301" i="9"/>
  <c r="E7"/>
  <c r="E7" i="3"/>
  <c r="E687" i="2"/>
  <c r="E688" s="1"/>
  <c r="E9" i="6"/>
  <c r="E364" i="2"/>
  <c r="E363" s="1"/>
  <c r="E526"/>
  <c r="E8" i="13"/>
  <c r="E199" i="2"/>
  <c r="E205"/>
  <c r="E217"/>
  <c r="E223"/>
  <c r="E229"/>
  <c r="E241"/>
  <c r="E169"/>
  <c r="E175"/>
  <c r="E313"/>
  <c r="E319"/>
  <c r="E337"/>
  <c r="E344"/>
  <c r="E114"/>
  <c r="E104"/>
  <c r="E408"/>
  <c r="E247"/>
  <c r="E235"/>
  <c r="E387"/>
  <c r="E393"/>
  <c r="E399"/>
  <c r="E25"/>
  <c r="B30" i="1" s="1"/>
  <c r="E122" i="2"/>
  <c r="E121" s="1"/>
  <c r="E129"/>
  <c r="E157"/>
  <c r="E193"/>
  <c r="E378"/>
  <c r="E211"/>
  <c r="E181"/>
  <c r="K372" l="1"/>
  <c r="J372"/>
  <c r="I372"/>
  <c r="H372"/>
  <c r="G372"/>
  <c r="F372"/>
  <c r="D661" l="1"/>
  <c r="D664"/>
  <c r="G538" l="1"/>
  <c r="H538"/>
  <c r="I538"/>
  <c r="J538"/>
  <c r="K538"/>
  <c r="L538"/>
  <c r="G532"/>
  <c r="H532"/>
  <c r="I532"/>
  <c r="J532"/>
  <c r="K532"/>
  <c r="L532"/>
  <c r="G651"/>
  <c r="H651"/>
  <c r="I651"/>
  <c r="J651"/>
  <c r="K651"/>
  <c r="L651"/>
  <c r="F653"/>
  <c r="M653" s="1"/>
  <c r="F655"/>
  <c r="F654" s="1"/>
  <c r="L655"/>
  <c r="L654" s="1"/>
  <c r="K655"/>
  <c r="K654" s="1"/>
  <c r="J655"/>
  <c r="J654" s="1"/>
  <c r="I655"/>
  <c r="I654" s="1"/>
  <c r="H655"/>
  <c r="H654" s="1"/>
  <c r="G655"/>
  <c r="G654" s="1"/>
  <c r="N565"/>
  <c r="D581"/>
  <c r="F583"/>
  <c r="F582" s="1"/>
  <c r="G583"/>
  <c r="G582" s="1"/>
  <c r="H583"/>
  <c r="H582" s="1"/>
  <c r="I583"/>
  <c r="I582" s="1"/>
  <c r="J583"/>
  <c r="J582" s="1"/>
  <c r="K583"/>
  <c r="K582" s="1"/>
  <c r="L583"/>
  <c r="L582" s="1"/>
  <c r="D583"/>
  <c r="D582" s="1"/>
  <c r="M565" l="1"/>
  <c r="M564" s="1"/>
  <c r="M563" s="1"/>
  <c r="M528" s="1"/>
  <c r="D652"/>
  <c r="M652"/>
  <c r="M651" s="1"/>
  <c r="M650" s="1"/>
  <c r="D565"/>
  <c r="N532"/>
  <c r="D656"/>
  <c r="D655" s="1"/>
  <c r="D654" s="1"/>
  <c r="F532"/>
  <c r="M532" s="1"/>
  <c r="D653"/>
  <c r="D532" s="1"/>
  <c r="F651"/>
  <c r="F538"/>
  <c r="N89" i="9"/>
  <c r="N85"/>
  <c r="D538" i="2" l="1"/>
  <c r="M85" i="9"/>
  <c r="M84" s="1"/>
  <c r="M89"/>
  <c r="M88" s="1"/>
  <c r="D94"/>
  <c r="D218"/>
  <c r="D20"/>
  <c r="D19" s="1"/>
  <c r="M83" l="1"/>
  <c r="D93"/>
  <c r="D92" s="1"/>
  <c r="G411" i="2"/>
  <c r="G409"/>
  <c r="H414"/>
  <c r="H413" s="1"/>
  <c r="F415"/>
  <c r="D415" s="1"/>
  <c r="G400"/>
  <c r="H405"/>
  <c r="H404" s="1"/>
  <c r="F406"/>
  <c r="G402"/>
  <c r="F403"/>
  <c r="G391"/>
  <c r="H396"/>
  <c r="D385"/>
  <c r="D382"/>
  <c r="D380"/>
  <c r="H393" l="1"/>
  <c r="G399"/>
  <c r="D403"/>
  <c r="M403"/>
  <c r="M402" s="1"/>
  <c r="D410"/>
  <c r="M410"/>
  <c r="M409" s="1"/>
  <c r="D392"/>
  <c r="M392"/>
  <c r="M391" s="1"/>
  <c r="D389"/>
  <c r="M389"/>
  <c r="M388" s="1"/>
  <c r="M401"/>
  <c r="M400" s="1"/>
  <c r="D412"/>
  <c r="M412"/>
  <c r="M411" s="1"/>
  <c r="D406"/>
  <c r="D397"/>
  <c r="G408"/>
  <c r="G322"/>
  <c r="G319" s="1"/>
  <c r="F323"/>
  <c r="D323" s="1"/>
  <c r="D315"/>
  <c r="D82"/>
  <c r="D56"/>
  <c r="D106"/>
  <c r="D94"/>
  <c r="M399" l="1"/>
  <c r="M387"/>
  <c r="M408"/>
  <c r="D318"/>
  <c r="M318"/>
  <c r="M317" s="1"/>
  <c r="M313" s="1"/>
  <c r="N246"/>
  <c r="N243"/>
  <c r="D251"/>
  <c r="D127"/>
  <c r="D116"/>
  <c r="N234"/>
  <c r="D239"/>
  <c r="D155"/>
  <c r="D150"/>
  <c r="D147"/>
  <c r="D174"/>
  <c r="D198"/>
  <c r="D195"/>
  <c r="D186"/>
  <c r="N162"/>
  <c r="M162"/>
  <c r="M161" s="1"/>
  <c r="D143"/>
  <c r="D136"/>
  <c r="F121" i="7"/>
  <c r="D140"/>
  <c r="K139"/>
  <c r="J139"/>
  <c r="I139"/>
  <c r="H139"/>
  <c r="G139"/>
  <c r="F139"/>
  <c r="K137"/>
  <c r="J137"/>
  <c r="I137"/>
  <c r="H137"/>
  <c r="G137"/>
  <c r="F137"/>
  <c r="N134"/>
  <c r="K134"/>
  <c r="J134"/>
  <c r="I134"/>
  <c r="H134"/>
  <c r="G134"/>
  <c r="F134"/>
  <c r="N131"/>
  <c r="N130" s="1"/>
  <c r="D131"/>
  <c r="K131"/>
  <c r="J131"/>
  <c r="I131"/>
  <c r="I130" s="1"/>
  <c r="H131"/>
  <c r="G131"/>
  <c r="F131"/>
  <c r="F26"/>
  <c r="F9" s="1"/>
  <c r="H75" i="9"/>
  <c r="H77"/>
  <c r="F78"/>
  <c r="F76"/>
  <c r="D60"/>
  <c r="D55"/>
  <c r="D52"/>
  <c r="D51" s="1"/>
  <c r="D48"/>
  <c r="D43"/>
  <c r="D40"/>
  <c r="D39" s="1"/>
  <c r="H22"/>
  <c r="H18" s="1"/>
  <c r="D28"/>
  <c r="I136" i="7" l="1"/>
  <c r="H136"/>
  <c r="G7"/>
  <c r="G13"/>
  <c r="F13"/>
  <c r="G136"/>
  <c r="K136"/>
  <c r="D27" i="9"/>
  <c r="N78"/>
  <c r="M121" i="7"/>
  <c r="M119" s="1"/>
  <c r="M118" s="1"/>
  <c r="M37" i="2"/>
  <c r="N76" i="9"/>
  <c r="F7" i="7"/>
  <c r="N121"/>
  <c r="G119"/>
  <c r="N26"/>
  <c r="M26"/>
  <c r="D121"/>
  <c r="D76" i="9"/>
  <c r="M76"/>
  <c r="D78"/>
  <c r="M78"/>
  <c r="M77" s="1"/>
  <c r="H74"/>
  <c r="N159" i="2"/>
  <c r="D231"/>
  <c r="M231"/>
  <c r="M230" s="1"/>
  <c r="D243"/>
  <c r="M243"/>
  <c r="M242" s="1"/>
  <c r="M159"/>
  <c r="M158" s="1"/>
  <c r="M157" s="1"/>
  <c r="M234"/>
  <c r="M233" s="1"/>
  <c r="M246"/>
  <c r="M245" s="1"/>
  <c r="D246"/>
  <c r="D159"/>
  <c r="D167"/>
  <c r="D31" i="9"/>
  <c r="D36"/>
  <c r="D138" i="7"/>
  <c r="D137" s="1"/>
  <c r="D26"/>
  <c r="F130"/>
  <c r="H130"/>
  <c r="J130"/>
  <c r="F136"/>
  <c r="D162" i="2"/>
  <c r="D183"/>
  <c r="D191"/>
  <c r="D171"/>
  <c r="D179"/>
  <c r="D234"/>
  <c r="G130" i="7"/>
  <c r="K130"/>
  <c r="J136"/>
  <c r="D139"/>
  <c r="E139"/>
  <c r="E134"/>
  <c r="E130" s="1"/>
  <c r="E137"/>
  <c r="F220" i="9"/>
  <c r="F219" s="1"/>
  <c r="L224"/>
  <c r="K224"/>
  <c r="J224"/>
  <c r="I224"/>
  <c r="H224"/>
  <c r="G224"/>
  <c r="F224"/>
  <c r="D222"/>
  <c r="D221"/>
  <c r="L220"/>
  <c r="L219" s="1"/>
  <c r="K220"/>
  <c r="K219" s="1"/>
  <c r="J220"/>
  <c r="J219" s="1"/>
  <c r="I220"/>
  <c r="I219" s="1"/>
  <c r="H220"/>
  <c r="H219" s="1"/>
  <c r="G220"/>
  <c r="G219" s="1"/>
  <c r="D217"/>
  <c r="L216"/>
  <c r="K216"/>
  <c r="J216"/>
  <c r="I216"/>
  <c r="H216"/>
  <c r="G216"/>
  <c r="F216"/>
  <c r="F12" s="1"/>
  <c r="F11" l="1"/>
  <c r="M75"/>
  <c r="M74" s="1"/>
  <c r="J223"/>
  <c r="M229" i="2"/>
  <c r="Q7" i="7"/>
  <c r="F11"/>
  <c r="F215" i="9"/>
  <c r="F223"/>
  <c r="L223"/>
  <c r="G11" i="7"/>
  <c r="J215" i="9"/>
  <c r="H215"/>
  <c r="L215"/>
  <c r="G215"/>
  <c r="I215"/>
  <c r="K215"/>
  <c r="K223"/>
  <c r="M25" i="7"/>
  <c r="M24" s="1"/>
  <c r="M241" i="2"/>
  <c r="H223" i="9"/>
  <c r="D216"/>
  <c r="G223"/>
  <c r="I223"/>
  <c r="D220"/>
  <c r="D136" i="7"/>
  <c r="D135"/>
  <c r="D134" s="1"/>
  <c r="D130" s="1"/>
  <c r="D224" i="9"/>
  <c r="E136" i="7"/>
  <c r="D219" i="9"/>
  <c r="F131" i="6"/>
  <c r="H214" i="9" l="1"/>
  <c r="G214"/>
  <c r="F214"/>
  <c r="L214"/>
  <c r="D223"/>
  <c r="J214"/>
  <c r="I214"/>
  <c r="K214"/>
  <c r="D131" i="6"/>
  <c r="M131"/>
  <c r="D215" i="9"/>
  <c r="D214" s="1"/>
  <c r="G132" i="6"/>
  <c r="N132" s="1"/>
  <c r="G122"/>
  <c r="M112"/>
  <c r="K100"/>
  <c r="K96" l="1"/>
  <c r="N127"/>
  <c r="M127"/>
  <c r="D112"/>
  <c r="N112"/>
  <c r="F106"/>
  <c r="F102"/>
  <c r="D127"/>
  <c r="D81"/>
  <c r="D76" l="1"/>
  <c r="M76"/>
  <c r="M75" s="1"/>
  <c r="D74"/>
  <c r="M74"/>
  <c r="M73" s="1"/>
  <c r="D79"/>
  <c r="G134" i="9"/>
  <c r="F134"/>
  <c r="N129"/>
  <c r="F128"/>
  <c r="G128"/>
  <c r="H128"/>
  <c r="I128"/>
  <c r="J128"/>
  <c r="K128"/>
  <c r="L128"/>
  <c r="G208"/>
  <c r="D208" s="1"/>
  <c r="F211"/>
  <c r="G211"/>
  <c r="H211"/>
  <c r="I211"/>
  <c r="J211"/>
  <c r="K211"/>
  <c r="L211"/>
  <c r="L210" s="1"/>
  <c r="F206"/>
  <c r="G206"/>
  <c r="H206"/>
  <c r="I206"/>
  <c r="J206"/>
  <c r="K206"/>
  <c r="L206"/>
  <c r="L205" s="1"/>
  <c r="D200"/>
  <c r="D199"/>
  <c r="D195"/>
  <c r="N208"/>
  <c r="N206"/>
  <c r="F202"/>
  <c r="G202"/>
  <c r="H202"/>
  <c r="I202"/>
  <c r="J202"/>
  <c r="K202"/>
  <c r="L202"/>
  <c r="F198"/>
  <c r="F16" s="1"/>
  <c r="G198"/>
  <c r="G16" s="1"/>
  <c r="H198"/>
  <c r="H16" s="1"/>
  <c r="I198"/>
  <c r="I16" s="1"/>
  <c r="J198"/>
  <c r="J16" s="1"/>
  <c r="K198"/>
  <c r="K16" s="1"/>
  <c r="L198"/>
  <c r="L16" s="1"/>
  <c r="G194"/>
  <c r="G12" s="1"/>
  <c r="H194"/>
  <c r="H12" s="1"/>
  <c r="I194"/>
  <c r="I12" s="1"/>
  <c r="J194"/>
  <c r="K194"/>
  <c r="L194"/>
  <c r="L12" s="1"/>
  <c r="J12" l="1"/>
  <c r="J11" s="1"/>
  <c r="K12"/>
  <c r="K11" s="1"/>
  <c r="G11"/>
  <c r="H11"/>
  <c r="I11"/>
  <c r="G15"/>
  <c r="K15"/>
  <c r="J15"/>
  <c r="F15"/>
  <c r="L15"/>
  <c r="H15"/>
  <c r="I15"/>
  <c r="M72" i="6"/>
  <c r="N198" i="9"/>
  <c r="N197" s="1"/>
  <c r="N128"/>
  <c r="L11"/>
  <c r="D134"/>
  <c r="H210"/>
  <c r="F210"/>
  <c r="J210"/>
  <c r="F205"/>
  <c r="M129"/>
  <c r="M198"/>
  <c r="M197" s="1"/>
  <c r="M192" s="1"/>
  <c r="N193"/>
  <c r="G210"/>
  <c r="D129"/>
  <c r="K201"/>
  <c r="I201"/>
  <c r="G201"/>
  <c r="K205"/>
  <c r="G205"/>
  <c r="D198"/>
  <c r="D194"/>
  <c r="L201"/>
  <c r="J201"/>
  <c r="H201"/>
  <c r="F201"/>
  <c r="I205"/>
  <c r="J205"/>
  <c r="H205"/>
  <c r="K210"/>
  <c r="I210"/>
  <c r="K197"/>
  <c r="I197"/>
  <c r="G197"/>
  <c r="L197"/>
  <c r="J197"/>
  <c r="H197"/>
  <c r="F197"/>
  <c r="L193"/>
  <c r="J193"/>
  <c r="H193"/>
  <c r="K193"/>
  <c r="I193"/>
  <c r="G193"/>
  <c r="D206"/>
  <c r="D202"/>
  <c r="D211"/>
  <c r="N205"/>
  <c r="F193"/>
  <c r="N674" i="2"/>
  <c r="N673" s="1"/>
  <c r="F674"/>
  <c r="F673" s="1"/>
  <c r="G674"/>
  <c r="G673" s="1"/>
  <c r="H674"/>
  <c r="H673" s="1"/>
  <c r="I674"/>
  <c r="I673" s="1"/>
  <c r="J674"/>
  <c r="J673" s="1"/>
  <c r="J528" s="1"/>
  <c r="K674"/>
  <c r="K673" s="1"/>
  <c r="K528" s="1"/>
  <c r="L674"/>
  <c r="L673" s="1"/>
  <c r="L528" s="1"/>
  <c r="D674"/>
  <c r="D673" s="1"/>
  <c r="F545"/>
  <c r="F544"/>
  <c r="I611"/>
  <c r="I537" s="1"/>
  <c r="I607"/>
  <c r="J10" i="9" l="1"/>
  <c r="K10"/>
  <c r="I10"/>
  <c r="D197"/>
  <c r="M128"/>
  <c r="L10"/>
  <c r="G192"/>
  <c r="N607" i="2"/>
  <c r="K192" i="9"/>
  <c r="M607" i="2"/>
  <c r="L192" i="9"/>
  <c r="D205"/>
  <c r="G10"/>
  <c r="D210"/>
  <c r="D193"/>
  <c r="D544" i="2"/>
  <c r="M544"/>
  <c r="D545"/>
  <c r="M545"/>
  <c r="N192" i="9"/>
  <c r="D607" i="2"/>
  <c r="H192" i="9"/>
  <c r="D201"/>
  <c r="J192"/>
  <c r="I192"/>
  <c r="D611" i="2"/>
  <c r="D537" s="1"/>
  <c r="F192" i="9"/>
  <c r="D192" l="1"/>
  <c r="M543" i="2"/>
  <c r="M542" s="1"/>
  <c r="L10" i="13" l="1"/>
  <c r="K10"/>
  <c r="J10"/>
  <c r="I10"/>
  <c r="H10"/>
  <c r="G10"/>
  <c r="H21"/>
  <c r="H20" s="1"/>
  <c r="I21"/>
  <c r="I20" s="1"/>
  <c r="J21"/>
  <c r="J20" s="1"/>
  <c r="K21"/>
  <c r="K20" s="1"/>
  <c r="N10" l="1"/>
  <c r="D57" i="4" l="1"/>
  <c r="D61" i="13" l="1"/>
  <c r="F64"/>
  <c r="F66"/>
  <c r="G69"/>
  <c r="G71"/>
  <c r="G453" i="2"/>
  <c r="H453"/>
  <c r="I453"/>
  <c r="F453"/>
  <c r="F458"/>
  <c r="G458"/>
  <c r="H458"/>
  <c r="I458"/>
  <c r="N453" l="1"/>
  <c r="M458"/>
  <c r="M453"/>
  <c r="D59" i="13"/>
  <c r="D21" s="1"/>
  <c r="D20" s="1"/>
  <c r="G21"/>
  <c r="G20" s="1"/>
  <c r="F63"/>
  <c r="D458" i="2"/>
  <c r="G68" i="13"/>
  <c r="G120" s="1"/>
  <c r="F10" l="1"/>
  <c r="M10" s="1"/>
  <c r="D453" i="2"/>
  <c r="D454"/>
  <c r="D455"/>
  <c r="G452"/>
  <c r="H452"/>
  <c r="I452"/>
  <c r="I365" s="1"/>
  <c r="F452"/>
  <c r="N458"/>
  <c r="N459"/>
  <c r="N460"/>
  <c r="G457"/>
  <c r="H457"/>
  <c r="I457"/>
  <c r="F457"/>
  <c r="F369" s="1"/>
  <c r="D462"/>
  <c r="D461" s="1"/>
  <c r="H462"/>
  <c r="I462"/>
  <c r="G462"/>
  <c r="I369" l="1"/>
  <c r="I367" s="1"/>
  <c r="F367"/>
  <c r="M452"/>
  <c r="M451" s="1"/>
  <c r="M457"/>
  <c r="M456" s="1"/>
  <c r="N457"/>
  <c r="N456" s="1"/>
  <c r="D452"/>
  <c r="N452"/>
  <c r="N451" s="1"/>
  <c r="D457"/>
  <c r="F456"/>
  <c r="I461"/>
  <c r="G461"/>
  <c r="H461"/>
  <c r="H451"/>
  <c r="I451"/>
  <c r="G451"/>
  <c r="F451"/>
  <c r="G456"/>
  <c r="H456"/>
  <c r="I456"/>
  <c r="N450" l="1"/>
  <c r="M450"/>
  <c r="D456"/>
  <c r="H450"/>
  <c r="G450"/>
  <c r="F450"/>
  <c r="D451"/>
  <c r="I450"/>
  <c r="D450" l="1"/>
  <c r="D55" i="6" l="1"/>
  <c r="D57"/>
  <c r="G55"/>
  <c r="H55"/>
  <c r="I55"/>
  <c r="J55"/>
  <c r="F55"/>
  <c r="G57"/>
  <c r="H57"/>
  <c r="I57"/>
  <c r="J57"/>
  <c r="F57"/>
  <c r="F41"/>
  <c r="G41"/>
  <c r="H41"/>
  <c r="I41"/>
  <c r="F45"/>
  <c r="G45"/>
  <c r="H45"/>
  <c r="H15" s="1"/>
  <c r="I45"/>
  <c r="I15" s="1"/>
  <c r="F50"/>
  <c r="G50"/>
  <c r="H50"/>
  <c r="H49" s="1"/>
  <c r="I50"/>
  <c r="I49" s="1"/>
  <c r="F61"/>
  <c r="D45" l="1"/>
  <c r="N50"/>
  <c r="N49" s="1"/>
  <c r="M50"/>
  <c r="M49" s="1"/>
  <c r="M45"/>
  <c r="M41"/>
  <c r="N45"/>
  <c r="G49"/>
  <c r="N41"/>
  <c r="F49"/>
  <c r="D50"/>
  <c r="D49" s="1"/>
  <c r="D41"/>
  <c r="J54"/>
  <c r="H54"/>
  <c r="F54"/>
  <c r="I54"/>
  <c r="G54"/>
  <c r="P54" s="1"/>
  <c r="D54"/>
  <c r="I40"/>
  <c r="G40"/>
  <c r="H40"/>
  <c r="F40"/>
  <c r="N40" l="1"/>
  <c r="N39" s="1"/>
  <c r="M40"/>
  <c r="M39" s="1"/>
  <c r="F39"/>
  <c r="H39"/>
  <c r="I39"/>
  <c r="G39"/>
  <c r="D40"/>
  <c r="D39" s="1"/>
  <c r="M172" l="1"/>
  <c r="M171" s="1"/>
  <c r="N172"/>
  <c r="N171" s="1"/>
  <c r="N177"/>
  <c r="N199"/>
  <c r="I200"/>
  <c r="I198" s="1"/>
  <c r="H200"/>
  <c r="I207"/>
  <c r="H207"/>
  <c r="N176" l="1"/>
  <c r="N175" s="1"/>
  <c r="N174" s="1"/>
  <c r="M176"/>
  <c r="D612" i="2" l="1"/>
  <c r="D608" l="1"/>
  <c r="M608"/>
  <c r="M606" s="1"/>
  <c r="M605" s="1"/>
  <c r="M527" s="1"/>
  <c r="M526" s="1"/>
  <c r="G539"/>
  <c r="H539"/>
  <c r="I539"/>
  <c r="J539"/>
  <c r="K539"/>
  <c r="L539"/>
  <c r="L533"/>
  <c r="K533"/>
  <c r="J533"/>
  <c r="I533"/>
  <c r="H533"/>
  <c r="G533"/>
  <c r="F533"/>
  <c r="F539"/>
  <c r="F663"/>
  <c r="F662" s="1"/>
  <c r="F686" s="1"/>
  <c r="D663"/>
  <c r="L659"/>
  <c r="K659"/>
  <c r="J659"/>
  <c r="I659"/>
  <c r="H659"/>
  <c r="G659"/>
  <c r="M533" l="1"/>
  <c r="N533"/>
  <c r="F659"/>
  <c r="D662"/>
  <c r="D165" i="9" l="1"/>
  <c r="D169"/>
  <c r="D168"/>
  <c r="D164"/>
  <c r="D34" i="13" l="1"/>
  <c r="D25" s="1"/>
  <c r="D43"/>
  <c r="K119" l="1"/>
  <c r="K121" s="1"/>
  <c r="L119"/>
  <c r="L121" s="1"/>
  <c r="M29" i="6" l="1"/>
  <c r="M28" s="1"/>
  <c r="M34" l="1"/>
  <c r="D34"/>
  <c r="D29"/>
  <c r="N29"/>
  <c r="M132" i="9"/>
  <c r="M131" s="1"/>
  <c r="M127" s="1"/>
  <c r="F119"/>
  <c r="N132" l="1"/>
  <c r="D132"/>
  <c r="D137"/>
  <c r="D23" s="1"/>
  <c r="D131" i="2"/>
  <c r="D136" i="9" l="1"/>
  <c r="D133" s="1"/>
  <c r="F84" i="6"/>
  <c r="F86"/>
  <c r="F89"/>
  <c r="F91"/>
  <c r="F88" l="1"/>
  <c r="F83"/>
  <c r="I99" i="13"/>
  <c r="J99"/>
  <c r="K99"/>
  <c r="L99"/>
  <c r="N114"/>
  <c r="N113" s="1"/>
  <c r="G114"/>
  <c r="G113" s="1"/>
  <c r="F114"/>
  <c r="F113" s="1"/>
  <c r="D114" l="1"/>
  <c r="D113" s="1"/>
  <c r="K31" i="6"/>
  <c r="J31"/>
  <c r="I31"/>
  <c r="H31"/>
  <c r="F31"/>
  <c r="M31" l="1"/>
  <c r="M30" s="1"/>
  <c r="M27" s="1"/>
  <c r="N31"/>
  <c r="D31"/>
  <c r="D59" i="9"/>
  <c r="D56" s="1"/>
  <c r="H59"/>
  <c r="G59"/>
  <c r="F59"/>
  <c r="G54"/>
  <c r="N54"/>
  <c r="D54"/>
  <c r="F54"/>
  <c r="H56" l="1"/>
  <c r="F56"/>
  <c r="G56"/>
  <c r="N50"/>
  <c r="G50"/>
  <c r="D50"/>
  <c r="F50" l="1"/>
  <c r="N255" i="6"/>
  <c r="L138" i="3" l="1"/>
  <c r="K138"/>
  <c r="J138"/>
  <c r="I138"/>
  <c r="H138"/>
  <c r="G138"/>
  <c r="F138"/>
  <c r="D155"/>
  <c r="D154" s="1"/>
  <c r="L155"/>
  <c r="K155"/>
  <c r="J155"/>
  <c r="I155"/>
  <c r="H155"/>
  <c r="G155"/>
  <c r="F155"/>
  <c r="L150"/>
  <c r="J149"/>
  <c r="I149"/>
  <c r="H149"/>
  <c r="K149"/>
  <c r="G149"/>
  <c r="D145"/>
  <c r="D144" s="1"/>
  <c r="L145"/>
  <c r="K145"/>
  <c r="J145"/>
  <c r="I145"/>
  <c r="H145"/>
  <c r="G145"/>
  <c r="F145"/>
  <c r="D133"/>
  <c r="D132" s="1"/>
  <c r="L133"/>
  <c r="L132" s="1"/>
  <c r="K133"/>
  <c r="K132" s="1"/>
  <c r="J133"/>
  <c r="J132" s="1"/>
  <c r="I133"/>
  <c r="H133"/>
  <c r="G133"/>
  <c r="F133"/>
  <c r="D131"/>
  <c r="D130"/>
  <c r="L129"/>
  <c r="L17" s="1"/>
  <c r="K129"/>
  <c r="J129"/>
  <c r="I129"/>
  <c r="H129"/>
  <c r="G129"/>
  <c r="F129"/>
  <c r="D127"/>
  <c r="D126"/>
  <c r="L125"/>
  <c r="L12" s="1"/>
  <c r="K125"/>
  <c r="K12" s="1"/>
  <c r="J125"/>
  <c r="J12" s="1"/>
  <c r="I125"/>
  <c r="H125"/>
  <c r="G125"/>
  <c r="F125"/>
  <c r="F17" l="1"/>
  <c r="J17"/>
  <c r="J15" s="1"/>
  <c r="L11"/>
  <c r="K11"/>
  <c r="J11"/>
  <c r="I17"/>
  <c r="K17"/>
  <c r="L15"/>
  <c r="J137"/>
  <c r="J136" s="1"/>
  <c r="K137"/>
  <c r="K136" s="1"/>
  <c r="L137"/>
  <c r="L136" s="1"/>
  <c r="K154"/>
  <c r="K128"/>
  <c r="J128"/>
  <c r="J124"/>
  <c r="I124"/>
  <c r="H124"/>
  <c r="L124"/>
  <c r="K124"/>
  <c r="N125"/>
  <c r="N124" s="1"/>
  <c r="M129"/>
  <c r="M128" s="1"/>
  <c r="H137"/>
  <c r="H136" s="1"/>
  <c r="I137"/>
  <c r="I136" s="1"/>
  <c r="G137"/>
  <c r="G136" s="1"/>
  <c r="N150"/>
  <c r="F154"/>
  <c r="H154"/>
  <c r="J154"/>
  <c r="L154"/>
  <c r="L144"/>
  <c r="G154"/>
  <c r="I154"/>
  <c r="M138"/>
  <c r="M137" s="1"/>
  <c r="M136" s="1"/>
  <c r="D138"/>
  <c r="D137" s="1"/>
  <c r="D136" s="1"/>
  <c r="M125"/>
  <c r="M124" s="1"/>
  <c r="N138"/>
  <c r="G124"/>
  <c r="N129"/>
  <c r="L149"/>
  <c r="L148" s="1"/>
  <c r="D150"/>
  <c r="P151" s="1"/>
  <c r="F144"/>
  <c r="J144"/>
  <c r="F137"/>
  <c r="F136" s="1"/>
  <c r="D129"/>
  <c r="D125"/>
  <c r="H144"/>
  <c r="G132"/>
  <c r="I132"/>
  <c r="G144"/>
  <c r="P144" s="1"/>
  <c r="I144"/>
  <c r="K144"/>
  <c r="G148"/>
  <c r="H148"/>
  <c r="J148"/>
  <c r="F132"/>
  <c r="H132"/>
  <c r="K148"/>
  <c r="I148"/>
  <c r="G128"/>
  <c r="I128"/>
  <c r="F149"/>
  <c r="H128"/>
  <c r="L128"/>
  <c r="F128"/>
  <c r="F124"/>
  <c r="K15" l="1"/>
  <c r="K10" s="1"/>
  <c r="J123"/>
  <c r="L123"/>
  <c r="P136"/>
  <c r="L10"/>
  <c r="J10"/>
  <c r="K123"/>
  <c r="H123"/>
  <c r="I123"/>
  <c r="M123"/>
  <c r="G123"/>
  <c r="F148"/>
  <c r="F123"/>
  <c r="N149"/>
  <c r="N148" s="1"/>
  <c r="D149"/>
  <c r="D148" s="1"/>
  <c r="N137"/>
  <c r="N136" s="1"/>
  <c r="N128"/>
  <c r="N123" s="1"/>
  <c r="D128"/>
  <c r="D124"/>
  <c r="D123" l="1"/>
  <c r="J531" i="2"/>
  <c r="K531"/>
  <c r="L531"/>
  <c r="N667"/>
  <c r="N666" s="1"/>
  <c r="D667"/>
  <c r="D666" s="1"/>
  <c r="I667"/>
  <c r="I666" s="1"/>
  <c r="H667"/>
  <c r="H666" s="1"/>
  <c r="G667"/>
  <c r="G666" s="1"/>
  <c r="F667"/>
  <c r="F666" s="1"/>
  <c r="L111" i="6" l="1"/>
  <c r="P105" l="1"/>
  <c r="P95"/>
  <c r="P94" l="1"/>
  <c r="J527" i="2"/>
  <c r="K527"/>
  <c r="L527"/>
  <c r="F534"/>
  <c r="G534"/>
  <c r="H534"/>
  <c r="I534"/>
  <c r="J534"/>
  <c r="K534"/>
  <c r="L534"/>
  <c r="F540"/>
  <c r="C66" i="1" s="1"/>
  <c r="G540" i="2"/>
  <c r="D66" i="1" s="1"/>
  <c r="H540" i="2"/>
  <c r="E66" i="1" s="1"/>
  <c r="I540" i="2"/>
  <c r="F66" i="1" s="1"/>
  <c r="J540" i="2"/>
  <c r="G66" i="1" s="1"/>
  <c r="K540" i="2"/>
  <c r="H66" i="1" s="1"/>
  <c r="L540" i="2"/>
  <c r="I66" i="1" s="1"/>
  <c r="H543" i="2"/>
  <c r="H542" s="1"/>
  <c r="I543"/>
  <c r="I542" s="1"/>
  <c r="G543"/>
  <c r="F546"/>
  <c r="G546"/>
  <c r="H546"/>
  <c r="I546"/>
  <c r="J547"/>
  <c r="J546" s="1"/>
  <c r="J685" s="1"/>
  <c r="K547"/>
  <c r="K546" s="1"/>
  <c r="K685" s="1"/>
  <c r="L547"/>
  <c r="L546" s="1"/>
  <c r="L685" s="1"/>
  <c r="D534"/>
  <c r="H88" i="1" l="1"/>
  <c r="K687" i="2"/>
  <c r="I88" i="1"/>
  <c r="L687" i="2"/>
  <c r="G88" i="1"/>
  <c r="J687" i="2"/>
  <c r="M534"/>
  <c r="N534"/>
  <c r="D540"/>
  <c r="N543"/>
  <c r="F543"/>
  <c r="F330" l="1"/>
  <c r="F335"/>
  <c r="F328"/>
  <c r="I349"/>
  <c r="F349"/>
  <c r="G346"/>
  <c r="F346"/>
  <c r="I343"/>
  <c r="G41"/>
  <c r="F343"/>
  <c r="I340"/>
  <c r="G340"/>
  <c r="F340"/>
  <c r="I41" l="1"/>
  <c r="G48"/>
  <c r="G44" s="1"/>
  <c r="G43" s="1"/>
  <c r="F40"/>
  <c r="F36" s="1"/>
  <c r="G40"/>
  <c r="G36" s="1"/>
  <c r="G35" s="1"/>
  <c r="I40"/>
  <c r="I36" s="1"/>
  <c r="F48"/>
  <c r="F44" s="1"/>
  <c r="M343"/>
  <c r="M342" s="1"/>
  <c r="M340"/>
  <c r="M338" s="1"/>
  <c r="D328"/>
  <c r="M328"/>
  <c r="M326" s="1"/>
  <c r="D330"/>
  <c r="M330"/>
  <c r="M329" s="1"/>
  <c r="D340"/>
  <c r="N343"/>
  <c r="D346"/>
  <c r="D48" s="1"/>
  <c r="D335"/>
  <c r="D349"/>
  <c r="D343"/>
  <c r="F49" l="1"/>
  <c r="F43" s="1"/>
  <c r="I49"/>
  <c r="I43" s="1"/>
  <c r="I35"/>
  <c r="D40"/>
  <c r="N40"/>
  <c r="M337"/>
  <c r="M42"/>
  <c r="F41"/>
  <c r="F35" s="1"/>
  <c r="M325"/>
  <c r="F95" i="4"/>
  <c r="F94" s="1"/>
  <c r="G95"/>
  <c r="G94" s="1"/>
  <c r="H95"/>
  <c r="H94" s="1"/>
  <c r="I95"/>
  <c r="I94" s="1"/>
  <c r="J95"/>
  <c r="J94" s="1"/>
  <c r="K95"/>
  <c r="K94" s="1"/>
  <c r="L95"/>
  <c r="L94" s="1"/>
  <c r="M10" i="2" l="1"/>
  <c r="N95" i="4"/>
  <c r="N94" s="1"/>
  <c r="D95"/>
  <c r="D94" s="1"/>
  <c r="M141" i="9" l="1"/>
  <c r="N141"/>
  <c r="N12" s="1"/>
  <c r="N11" s="1"/>
  <c r="D141"/>
  <c r="D12" s="1"/>
  <c r="M140" l="1"/>
  <c r="M12"/>
  <c r="M11" s="1"/>
  <c r="M145"/>
  <c r="M144" s="1"/>
  <c r="D11"/>
  <c r="H10"/>
  <c r="N16"/>
  <c r="N145"/>
  <c r="D145"/>
  <c r="D16" s="1"/>
  <c r="M139" l="1"/>
  <c r="P23"/>
  <c r="F10"/>
  <c r="M16"/>
  <c r="M15" s="1"/>
  <c r="G184" l="1"/>
  <c r="D108" i="3" l="1"/>
  <c r="N91"/>
  <c r="F21"/>
  <c r="F18" s="1"/>
  <c r="D91" l="1"/>
  <c r="M91"/>
  <c r="M90" s="1"/>
  <c r="D88"/>
  <c r="P88" s="1"/>
  <c r="M88"/>
  <c r="M87" s="1"/>
  <c r="D96"/>
  <c r="D103"/>
  <c r="M103"/>
  <c r="M102" s="1"/>
  <c r="D100"/>
  <c r="M100"/>
  <c r="M99" s="1"/>
  <c r="D186" i="9"/>
  <c r="D189"/>
  <c r="D188" s="1"/>
  <c r="N175"/>
  <c r="N177"/>
  <c r="D175"/>
  <c r="G175"/>
  <c r="H175"/>
  <c r="F175"/>
  <c r="D177"/>
  <c r="G177"/>
  <c r="H177"/>
  <c r="F177"/>
  <c r="G180"/>
  <c r="H180"/>
  <c r="F180"/>
  <c r="D180"/>
  <c r="D179" s="1"/>
  <c r="D299" s="1"/>
  <c r="N184"/>
  <c r="N186"/>
  <c r="H184"/>
  <c r="I184"/>
  <c r="F184"/>
  <c r="D184"/>
  <c r="G186"/>
  <c r="H186"/>
  <c r="I186"/>
  <c r="F186"/>
  <c r="G189"/>
  <c r="H189"/>
  <c r="I189"/>
  <c r="F189"/>
  <c r="G442" i="2"/>
  <c r="G369" s="1"/>
  <c r="H442"/>
  <c r="J31"/>
  <c r="I31"/>
  <c r="K31"/>
  <c r="L31"/>
  <c r="G22" i="6"/>
  <c r="F22"/>
  <c r="N219"/>
  <c r="G15"/>
  <c r="F15"/>
  <c r="N215"/>
  <c r="N128"/>
  <c r="L123"/>
  <c r="K123"/>
  <c r="K121" s="1"/>
  <c r="K120" s="1"/>
  <c r="J123"/>
  <c r="I123"/>
  <c r="I121" s="1"/>
  <c r="I120" s="1"/>
  <c r="H123"/>
  <c r="G123"/>
  <c r="G121" s="1"/>
  <c r="G120" s="1"/>
  <c r="F123"/>
  <c r="L133"/>
  <c r="L125" s="1"/>
  <c r="K133"/>
  <c r="K125" s="1"/>
  <c r="J133"/>
  <c r="J125" s="1"/>
  <c r="I133"/>
  <c r="I125" s="1"/>
  <c r="H133"/>
  <c r="H125" s="1"/>
  <c r="G133"/>
  <c r="F133"/>
  <c r="F132"/>
  <c r="M132" s="1"/>
  <c r="H116"/>
  <c r="H115" s="1"/>
  <c r="F116"/>
  <c r="F115" s="1"/>
  <c r="L114"/>
  <c r="K114"/>
  <c r="J114"/>
  <c r="I114"/>
  <c r="H114"/>
  <c r="G114"/>
  <c r="K111"/>
  <c r="J111"/>
  <c r="I111"/>
  <c r="H111"/>
  <c r="L110"/>
  <c r="K110"/>
  <c r="J110"/>
  <c r="M109"/>
  <c r="K108"/>
  <c r="L104"/>
  <c r="L102" s="1"/>
  <c r="K104"/>
  <c r="K102" s="1"/>
  <c r="J104"/>
  <c r="I104"/>
  <c r="I102" s="1"/>
  <c r="H104"/>
  <c r="G104"/>
  <c r="H96"/>
  <c r="I98"/>
  <c r="N37" i="8"/>
  <c r="N20" s="1"/>
  <c r="N16" s="1"/>
  <c r="D72" i="5"/>
  <c r="D75"/>
  <c r="D74" s="1"/>
  <c r="D73" s="1"/>
  <c r="D40"/>
  <c r="D42"/>
  <c r="D41" s="1"/>
  <c r="D47"/>
  <c r="F33" i="3"/>
  <c r="F16" s="1"/>
  <c r="F15" s="1"/>
  <c r="G27"/>
  <c r="H27"/>
  <c r="I27"/>
  <c r="I12" s="1"/>
  <c r="J158" i="9"/>
  <c r="K158"/>
  <c r="L158"/>
  <c r="I155"/>
  <c r="J155"/>
  <c r="K155"/>
  <c r="L155"/>
  <c r="I153"/>
  <c r="J153"/>
  <c r="K153"/>
  <c r="L153"/>
  <c r="H153"/>
  <c r="F84"/>
  <c r="F30"/>
  <c r="F26" s="1"/>
  <c r="F131"/>
  <c r="F75"/>
  <c r="F77"/>
  <c r="F153"/>
  <c r="F155"/>
  <c r="G88"/>
  <c r="G84"/>
  <c r="G30"/>
  <c r="G26" s="1"/>
  <c r="G131"/>
  <c r="G75"/>
  <c r="G77"/>
  <c r="G153"/>
  <c r="G155"/>
  <c r="H155"/>
  <c r="H88"/>
  <c r="H84"/>
  <c r="H26"/>
  <c r="H127"/>
  <c r="I88"/>
  <c r="I84"/>
  <c r="I127"/>
  <c r="J88"/>
  <c r="J83" s="1"/>
  <c r="J127"/>
  <c r="K152"/>
  <c r="K88"/>
  <c r="K83" s="1"/>
  <c r="K127"/>
  <c r="L88"/>
  <c r="L83" s="1"/>
  <c r="L127"/>
  <c r="F118"/>
  <c r="F140"/>
  <c r="F144"/>
  <c r="F162"/>
  <c r="F166"/>
  <c r="G124"/>
  <c r="G119"/>
  <c r="G140"/>
  <c r="G144"/>
  <c r="G162"/>
  <c r="G166"/>
  <c r="H118"/>
  <c r="H140"/>
  <c r="H144"/>
  <c r="H162"/>
  <c r="H166"/>
  <c r="I118"/>
  <c r="I139"/>
  <c r="I161"/>
  <c r="J118"/>
  <c r="J139"/>
  <c r="J161"/>
  <c r="K118"/>
  <c r="K139"/>
  <c r="K161"/>
  <c r="L118"/>
  <c r="L139"/>
  <c r="L161"/>
  <c r="D30"/>
  <c r="D26" s="1"/>
  <c r="D128"/>
  <c r="D153"/>
  <c r="D119"/>
  <c r="D140"/>
  <c r="D166"/>
  <c r="D35"/>
  <c r="D32" s="1"/>
  <c r="N67" i="3"/>
  <c r="N66" s="1"/>
  <c r="N64"/>
  <c r="D67"/>
  <c r="D127" i="7"/>
  <c r="K127"/>
  <c r="J127"/>
  <c r="I127"/>
  <c r="H127"/>
  <c r="G127"/>
  <c r="F127"/>
  <c r="D125"/>
  <c r="K125"/>
  <c r="J125"/>
  <c r="I125"/>
  <c r="H125"/>
  <c r="G125"/>
  <c r="F125"/>
  <c r="D122"/>
  <c r="N122"/>
  <c r="K122"/>
  <c r="J122"/>
  <c r="I122"/>
  <c r="H122"/>
  <c r="G122"/>
  <c r="F122"/>
  <c r="N119"/>
  <c r="N118" s="1"/>
  <c r="K119"/>
  <c r="J119"/>
  <c r="I119"/>
  <c r="H119"/>
  <c r="F119"/>
  <c r="G118"/>
  <c r="K47"/>
  <c r="K9" s="1"/>
  <c r="L171" i="9"/>
  <c r="K171"/>
  <c r="J171"/>
  <c r="I171"/>
  <c r="H171"/>
  <c r="G171"/>
  <c r="F171"/>
  <c r="N166"/>
  <c r="N162"/>
  <c r="F158"/>
  <c r="G158"/>
  <c r="H158"/>
  <c r="I158"/>
  <c r="F149"/>
  <c r="G149"/>
  <c r="H149"/>
  <c r="I149"/>
  <c r="J149"/>
  <c r="K149"/>
  <c r="L149"/>
  <c r="N155"/>
  <c r="N153"/>
  <c r="N144"/>
  <c r="N140"/>
  <c r="G200" i="6"/>
  <c r="I203"/>
  <c r="H203"/>
  <c r="H202" s="1"/>
  <c r="H201" s="1"/>
  <c r="G204"/>
  <c r="M204" s="1"/>
  <c r="G207"/>
  <c r="I210"/>
  <c r="H210"/>
  <c r="H209" s="1"/>
  <c r="H208" s="1"/>
  <c r="G211"/>
  <c r="M445" i="2"/>
  <c r="M440"/>
  <c r="I447"/>
  <c r="I446" s="1"/>
  <c r="I678" s="1"/>
  <c r="F334"/>
  <c r="F332"/>
  <c r="F329"/>
  <c r="F326"/>
  <c r="G345"/>
  <c r="F80" i="9"/>
  <c r="G80"/>
  <c r="H80"/>
  <c r="I274"/>
  <c r="J274"/>
  <c r="K274"/>
  <c r="L274"/>
  <c r="E274"/>
  <c r="F274"/>
  <c r="G274"/>
  <c r="H274"/>
  <c r="D274"/>
  <c r="N286"/>
  <c r="N285" s="1"/>
  <c r="L286"/>
  <c r="K286"/>
  <c r="J286"/>
  <c r="I286"/>
  <c r="H286"/>
  <c r="G286"/>
  <c r="F286"/>
  <c r="D286"/>
  <c r="L285"/>
  <c r="K285"/>
  <c r="J285"/>
  <c r="I285"/>
  <c r="H285"/>
  <c r="G285"/>
  <c r="F285"/>
  <c r="D285"/>
  <c r="N75"/>
  <c r="N77"/>
  <c r="D203" i="2"/>
  <c r="D250"/>
  <c r="G250"/>
  <c r="F250"/>
  <c r="D248"/>
  <c r="G248"/>
  <c r="F248"/>
  <c r="N245"/>
  <c r="D245"/>
  <c r="G245"/>
  <c r="F245"/>
  <c r="N244"/>
  <c r="N242"/>
  <c r="G242"/>
  <c r="F242"/>
  <c r="D238"/>
  <c r="G238"/>
  <c r="F238"/>
  <c r="D236"/>
  <c r="G236"/>
  <c r="F236"/>
  <c r="N233"/>
  <c r="G233"/>
  <c r="F233"/>
  <c r="D233"/>
  <c r="G230"/>
  <c r="F230"/>
  <c r="D226"/>
  <c r="G226"/>
  <c r="F226"/>
  <c r="G224"/>
  <c r="F224"/>
  <c r="N221"/>
  <c r="D221"/>
  <c r="G221"/>
  <c r="F221"/>
  <c r="N218"/>
  <c r="G218"/>
  <c r="F218"/>
  <c r="G214"/>
  <c r="G212"/>
  <c r="G206"/>
  <c r="F209"/>
  <c r="G209"/>
  <c r="D207"/>
  <c r="D214"/>
  <c r="D209"/>
  <c r="F214"/>
  <c r="D212"/>
  <c r="F212"/>
  <c r="N209"/>
  <c r="D70"/>
  <c r="D224"/>
  <c r="D218"/>
  <c r="N133" i="8"/>
  <c r="N132" s="1"/>
  <c r="N131" s="1"/>
  <c r="K106"/>
  <c r="L106"/>
  <c r="D110"/>
  <c r="E120"/>
  <c r="B66" i="1" s="1"/>
  <c r="J66" s="1"/>
  <c r="E119" i="8"/>
  <c r="F119"/>
  <c r="F116" s="1"/>
  <c r="F115" s="1"/>
  <c r="G119"/>
  <c r="H119"/>
  <c r="H116" s="1"/>
  <c r="H115" s="1"/>
  <c r="I119"/>
  <c r="J119"/>
  <c r="K119"/>
  <c r="K116" s="1"/>
  <c r="K115" s="1"/>
  <c r="L119"/>
  <c r="E113"/>
  <c r="F113"/>
  <c r="G113"/>
  <c r="H113"/>
  <c r="I113"/>
  <c r="J113"/>
  <c r="K113"/>
  <c r="L113"/>
  <c r="J116"/>
  <c r="J115" s="1"/>
  <c r="D113"/>
  <c r="F127"/>
  <c r="F126" s="1"/>
  <c r="C89" i="1" s="1"/>
  <c r="G127" i="8"/>
  <c r="G126" s="1"/>
  <c r="D89" i="1" s="1"/>
  <c r="H127" i="8"/>
  <c r="H126" s="1"/>
  <c r="E89" i="1" s="1"/>
  <c r="I127" i="8"/>
  <c r="I126" s="1"/>
  <c r="F89" i="1" s="1"/>
  <c r="J127" i="8"/>
  <c r="J126" s="1"/>
  <c r="G89" i="1" s="1"/>
  <c r="K127" i="8"/>
  <c r="K126" s="1"/>
  <c r="H89" i="1" s="1"/>
  <c r="L127" i="8"/>
  <c r="L126" s="1"/>
  <c r="I89" i="1" s="1"/>
  <c r="F123" i="8"/>
  <c r="F122" s="1"/>
  <c r="F107" s="1"/>
  <c r="F105" s="1"/>
  <c r="G123"/>
  <c r="G122" s="1"/>
  <c r="G107" s="1"/>
  <c r="H123"/>
  <c r="H122" s="1"/>
  <c r="H107" s="1"/>
  <c r="H105" s="1"/>
  <c r="I123"/>
  <c r="I122" s="1"/>
  <c r="I107" s="1"/>
  <c r="I105" s="1"/>
  <c r="J123"/>
  <c r="J122" s="1"/>
  <c r="J107" s="1"/>
  <c r="J105" s="1"/>
  <c r="K123"/>
  <c r="K122" s="1"/>
  <c r="K107" s="1"/>
  <c r="L123"/>
  <c r="L122" s="1"/>
  <c r="L107" s="1"/>
  <c r="D119"/>
  <c r="L110"/>
  <c r="H110"/>
  <c r="J110"/>
  <c r="F110"/>
  <c r="E110"/>
  <c r="K110"/>
  <c r="I110"/>
  <c r="G110"/>
  <c r="N85" i="4"/>
  <c r="N84" s="1"/>
  <c r="J26" i="3"/>
  <c r="J25" s="1"/>
  <c r="F41"/>
  <c r="F38" s="1"/>
  <c r="H41"/>
  <c r="J41"/>
  <c r="G71"/>
  <c r="F66"/>
  <c r="G63"/>
  <c r="G66"/>
  <c r="B130" i="1"/>
  <c r="B142"/>
  <c r="D234" i="6"/>
  <c r="D260"/>
  <c r="D259" s="1"/>
  <c r="D229"/>
  <c r="D28"/>
  <c r="D58" i="13"/>
  <c r="P33"/>
  <c r="D85" i="4"/>
  <c r="D84" s="1"/>
  <c r="D75" i="3"/>
  <c r="D659" i="2"/>
  <c r="D658" s="1"/>
  <c r="D366"/>
  <c r="D332"/>
  <c r="N90" i="4"/>
  <c r="N89" s="1"/>
  <c r="N30" i="13"/>
  <c r="N119" i="9"/>
  <c r="N262" i="6"/>
  <c r="N260" s="1"/>
  <c r="N259" s="1"/>
  <c r="N73"/>
  <c r="N28"/>
  <c r="N65" i="5"/>
  <c r="N64" s="1"/>
  <c r="N63" s="1"/>
  <c r="F15"/>
  <c r="F14" s="1"/>
  <c r="N12"/>
  <c r="N90" i="3"/>
  <c r="N659" i="2"/>
  <c r="N658" s="1"/>
  <c r="N640"/>
  <c r="N636"/>
  <c r="N635" s="1"/>
  <c r="N634" s="1"/>
  <c r="N629"/>
  <c r="N628"/>
  <c r="N621"/>
  <c r="N596"/>
  <c r="N595" s="1"/>
  <c r="N594" s="1"/>
  <c r="N330"/>
  <c r="N329" s="1"/>
  <c r="N328"/>
  <c r="N326" s="1"/>
  <c r="N355"/>
  <c r="N206"/>
  <c r="N81"/>
  <c r="F28" i="6"/>
  <c r="G28"/>
  <c r="H28"/>
  <c r="I28"/>
  <c r="J28"/>
  <c r="K28"/>
  <c r="H140"/>
  <c r="D59" i="3"/>
  <c r="F580" i="2"/>
  <c r="F579" s="1"/>
  <c r="N37"/>
  <c r="N411"/>
  <c r="N409"/>
  <c r="F115"/>
  <c r="F114" s="1"/>
  <c r="N149"/>
  <c r="D651"/>
  <c r="D650" s="1"/>
  <c r="D38" i="13"/>
  <c r="D13" s="1"/>
  <c r="J30" i="6"/>
  <c r="K30"/>
  <c r="J36"/>
  <c r="J35" s="1"/>
  <c r="K36"/>
  <c r="K35" s="1"/>
  <c r="L36"/>
  <c r="L35" s="1"/>
  <c r="F177"/>
  <c r="D177" s="1"/>
  <c r="D145" s="1"/>
  <c r="F184"/>
  <c r="D184" s="1"/>
  <c r="D153" s="1"/>
  <c r="F250"/>
  <c r="F249" s="1"/>
  <c r="F240" s="1"/>
  <c r="F83" i="3"/>
  <c r="F78"/>
  <c r="F75"/>
  <c r="H71"/>
  <c r="I71"/>
  <c r="I68" s="1"/>
  <c r="H66"/>
  <c r="I66"/>
  <c r="H63"/>
  <c r="I63"/>
  <c r="J53" i="7"/>
  <c r="K53"/>
  <c r="J51"/>
  <c r="K51"/>
  <c r="J48"/>
  <c r="K48"/>
  <c r="J45"/>
  <c r="G30"/>
  <c r="G29" s="1"/>
  <c r="G234" i="6"/>
  <c r="F234"/>
  <c r="F232"/>
  <c r="G232"/>
  <c r="N229"/>
  <c r="G229"/>
  <c r="F229"/>
  <c r="G227"/>
  <c r="N227" s="1"/>
  <c r="F227"/>
  <c r="M49" i="8"/>
  <c r="M18" s="1"/>
  <c r="M47"/>
  <c r="M14" s="1"/>
  <c r="L107" i="3"/>
  <c r="K107"/>
  <c r="J107"/>
  <c r="I107"/>
  <c r="H107"/>
  <c r="G107"/>
  <c r="F107"/>
  <c r="L105"/>
  <c r="K105"/>
  <c r="J105"/>
  <c r="I105"/>
  <c r="H105"/>
  <c r="G105"/>
  <c r="F105"/>
  <c r="N102"/>
  <c r="L102"/>
  <c r="K102"/>
  <c r="J102"/>
  <c r="I102"/>
  <c r="H102"/>
  <c r="G102"/>
  <c r="F102"/>
  <c r="L99"/>
  <c r="K99"/>
  <c r="J99"/>
  <c r="I99"/>
  <c r="H99"/>
  <c r="G99"/>
  <c r="F99"/>
  <c r="F55" i="2"/>
  <c r="F54" s="1"/>
  <c r="F69"/>
  <c r="F68" s="1"/>
  <c r="F81"/>
  <c r="F80" s="1"/>
  <c r="F93"/>
  <c r="F92" s="1"/>
  <c r="F105"/>
  <c r="F104" s="1"/>
  <c r="N173"/>
  <c r="N169" s="1"/>
  <c r="N185"/>
  <c r="N182"/>
  <c r="G121" i="9"/>
  <c r="L136"/>
  <c r="L133" s="1"/>
  <c r="K136"/>
  <c r="K133" s="1"/>
  <c r="J136"/>
  <c r="J133" s="1"/>
  <c r="I136"/>
  <c r="I133" s="1"/>
  <c r="H136"/>
  <c r="H133" s="1"/>
  <c r="G136"/>
  <c r="F136"/>
  <c r="N131"/>
  <c r="L124"/>
  <c r="L123" s="1"/>
  <c r="K124"/>
  <c r="K123" s="1"/>
  <c r="J124"/>
  <c r="J123" s="1"/>
  <c r="I124"/>
  <c r="H124"/>
  <c r="F124"/>
  <c r="N121"/>
  <c r="N542" i="2"/>
  <c r="F556"/>
  <c r="F555" s="1"/>
  <c r="H348"/>
  <c r="H345"/>
  <c r="I345"/>
  <c r="I348"/>
  <c r="H338"/>
  <c r="H342"/>
  <c r="I342"/>
  <c r="I338"/>
  <c r="N340"/>
  <c r="I658"/>
  <c r="H658"/>
  <c r="G658"/>
  <c r="F658"/>
  <c r="G650"/>
  <c r="H650"/>
  <c r="I650"/>
  <c r="N650"/>
  <c r="F650"/>
  <c r="I564"/>
  <c r="I563" s="1"/>
  <c r="N564"/>
  <c r="N563" s="1"/>
  <c r="N620"/>
  <c r="I50" i="13"/>
  <c r="H50"/>
  <c r="I56"/>
  <c r="H56"/>
  <c r="F71" i="5"/>
  <c r="F70" s="1"/>
  <c r="F74"/>
  <c r="F41"/>
  <c r="F39"/>
  <c r="L23" i="13"/>
  <c r="J16"/>
  <c r="K16"/>
  <c r="L16"/>
  <c r="J14"/>
  <c r="J12" s="1"/>
  <c r="K14"/>
  <c r="K12" s="1"/>
  <c r="L14"/>
  <c r="L12" s="1"/>
  <c r="F42"/>
  <c r="G42"/>
  <c r="H42"/>
  <c r="I42"/>
  <c r="J42"/>
  <c r="F37"/>
  <c r="G37"/>
  <c r="H37"/>
  <c r="I37"/>
  <c r="F39"/>
  <c r="G39"/>
  <c r="H39"/>
  <c r="I39"/>
  <c r="G33"/>
  <c r="H33"/>
  <c r="I33"/>
  <c r="F33"/>
  <c r="F30"/>
  <c r="G30"/>
  <c r="H30"/>
  <c r="F28"/>
  <c r="G28"/>
  <c r="H28"/>
  <c r="H47" i="9"/>
  <c r="G47"/>
  <c r="H27"/>
  <c r="I36" i="13"/>
  <c r="N88" i="9"/>
  <c r="F130" i="2"/>
  <c r="D54" i="3"/>
  <c r="D53"/>
  <c r="D48"/>
  <c r="G52"/>
  <c r="G17" s="1"/>
  <c r="H52"/>
  <c r="H17" s="1"/>
  <c r="D49"/>
  <c r="F47"/>
  <c r="G47"/>
  <c r="G12" s="1"/>
  <c r="H47"/>
  <c r="H12" s="1"/>
  <c r="G58"/>
  <c r="H58"/>
  <c r="F56"/>
  <c r="G56"/>
  <c r="H56"/>
  <c r="G36" i="8"/>
  <c r="H36"/>
  <c r="G34"/>
  <c r="H34"/>
  <c r="H41"/>
  <c r="H39"/>
  <c r="H38" s="1"/>
  <c r="D40"/>
  <c r="D25" s="1"/>
  <c r="F282" i="9"/>
  <c r="F281" s="1"/>
  <c r="F270" s="1"/>
  <c r="G282"/>
  <c r="G281" s="1"/>
  <c r="H282"/>
  <c r="H281" s="1"/>
  <c r="F437" i="2"/>
  <c r="F365" s="1"/>
  <c r="H26" i="3"/>
  <c r="I610" i="2"/>
  <c r="I609" s="1"/>
  <c r="I685" s="1"/>
  <c r="I531"/>
  <c r="H602"/>
  <c r="H601" s="1"/>
  <c r="H564"/>
  <c r="H563" s="1"/>
  <c r="D648"/>
  <c r="D647" s="1"/>
  <c r="D646" s="1"/>
  <c r="F647"/>
  <c r="F646" s="1"/>
  <c r="N639"/>
  <c r="N638" s="1"/>
  <c r="L372"/>
  <c r="F366"/>
  <c r="F25" s="1"/>
  <c r="C30" i="1" s="1"/>
  <c r="G366" i="2"/>
  <c r="G25" s="1"/>
  <c r="H366"/>
  <c r="I366"/>
  <c r="I25" s="1"/>
  <c r="F30" i="1" s="1"/>
  <c r="J366" i="2"/>
  <c r="J25" s="1"/>
  <c r="G30" i="1" s="1"/>
  <c r="K366" i="2"/>
  <c r="K15" s="1"/>
  <c r="H20" i="1" s="1"/>
  <c r="L366" i="2"/>
  <c r="K364"/>
  <c r="G202"/>
  <c r="F202"/>
  <c r="D201"/>
  <c r="D200" s="1"/>
  <c r="N197"/>
  <c r="G197"/>
  <c r="F197"/>
  <c r="D196"/>
  <c r="D194" s="1"/>
  <c r="N194"/>
  <c r="G194"/>
  <c r="F194"/>
  <c r="G190"/>
  <c r="F190"/>
  <c r="D189"/>
  <c r="D188" s="1"/>
  <c r="D185"/>
  <c r="G185"/>
  <c r="F185"/>
  <c r="D184"/>
  <c r="G182"/>
  <c r="F182"/>
  <c r="G178"/>
  <c r="F178"/>
  <c r="D177"/>
  <c r="G173"/>
  <c r="F173"/>
  <c r="D172"/>
  <c r="G170"/>
  <c r="F170"/>
  <c r="G166"/>
  <c r="G161"/>
  <c r="G158"/>
  <c r="F166"/>
  <c r="D165"/>
  <c r="D164" s="1"/>
  <c r="N161"/>
  <c r="F161"/>
  <c r="D160"/>
  <c r="N158"/>
  <c r="F158"/>
  <c r="I432"/>
  <c r="H432"/>
  <c r="G432"/>
  <c r="F432"/>
  <c r="N429"/>
  <c r="H429"/>
  <c r="G429"/>
  <c r="F429"/>
  <c r="N427"/>
  <c r="N426" s="1"/>
  <c r="H427"/>
  <c r="G427"/>
  <c r="F427"/>
  <c r="I423"/>
  <c r="G423"/>
  <c r="H423"/>
  <c r="G420"/>
  <c r="H420"/>
  <c r="G418"/>
  <c r="H418"/>
  <c r="F423"/>
  <c r="N420"/>
  <c r="F420"/>
  <c r="N418"/>
  <c r="F418"/>
  <c r="G414"/>
  <c r="F414"/>
  <c r="D411"/>
  <c r="F411"/>
  <c r="F409"/>
  <c r="G405"/>
  <c r="G404" s="1"/>
  <c r="F405"/>
  <c r="F404" s="1"/>
  <c r="N402"/>
  <c r="F402"/>
  <c r="N400"/>
  <c r="F400"/>
  <c r="N647"/>
  <c r="N646" s="1"/>
  <c r="G647"/>
  <c r="G646" s="1"/>
  <c r="G388"/>
  <c r="G396"/>
  <c r="N391"/>
  <c r="N388"/>
  <c r="G384"/>
  <c r="F381"/>
  <c r="F379"/>
  <c r="D394"/>
  <c r="D372"/>
  <c r="D371" s="1"/>
  <c r="I54" i="8"/>
  <c r="J54"/>
  <c r="K54"/>
  <c r="L54"/>
  <c r="I51"/>
  <c r="I50" s="1"/>
  <c r="I144" s="1"/>
  <c r="J51"/>
  <c r="J50" s="1"/>
  <c r="J144" s="1"/>
  <c r="K51"/>
  <c r="L51"/>
  <c r="L50" s="1"/>
  <c r="L144" s="1"/>
  <c r="I48"/>
  <c r="J48"/>
  <c r="K48"/>
  <c r="L48"/>
  <c r="I45"/>
  <c r="I44" s="1"/>
  <c r="I9" s="1"/>
  <c r="J45"/>
  <c r="K45"/>
  <c r="K44" s="1"/>
  <c r="K9" s="1"/>
  <c r="L45"/>
  <c r="D207" i="6"/>
  <c r="D206" s="1"/>
  <c r="F19" i="5"/>
  <c r="F17" s="1"/>
  <c r="G19"/>
  <c r="G17" s="1"/>
  <c r="H19"/>
  <c r="H17" s="1"/>
  <c r="I19"/>
  <c r="I17" s="1"/>
  <c r="J19"/>
  <c r="J17" s="1"/>
  <c r="K19"/>
  <c r="K17" s="1"/>
  <c r="L19"/>
  <c r="L17" s="1"/>
  <c r="F25"/>
  <c r="F23" s="1"/>
  <c r="F20" s="1"/>
  <c r="G25"/>
  <c r="G23" s="1"/>
  <c r="G20" s="1"/>
  <c r="H25"/>
  <c r="H23" s="1"/>
  <c r="H20" s="1"/>
  <c r="I25"/>
  <c r="I23" s="1"/>
  <c r="I20" s="1"/>
  <c r="J25"/>
  <c r="J23" s="1"/>
  <c r="J20" s="1"/>
  <c r="K25"/>
  <c r="K23" s="1"/>
  <c r="K20" s="1"/>
  <c r="L25"/>
  <c r="L23" s="1"/>
  <c r="L20" s="1"/>
  <c r="L21" i="13"/>
  <c r="L20" s="1"/>
  <c r="J9"/>
  <c r="K9"/>
  <c r="K8" s="1"/>
  <c r="L9"/>
  <c r="L8" s="1"/>
  <c r="J58"/>
  <c r="J60"/>
  <c r="F58"/>
  <c r="G58"/>
  <c r="H58"/>
  <c r="I58"/>
  <c r="F60"/>
  <c r="G60"/>
  <c r="H60"/>
  <c r="I60"/>
  <c r="F140" i="6"/>
  <c r="F299"/>
  <c r="I191"/>
  <c r="I190" s="1"/>
  <c r="I189" s="1"/>
  <c r="H191"/>
  <c r="G191"/>
  <c r="G190" s="1"/>
  <c r="G189" s="1"/>
  <c r="I195"/>
  <c r="I299" s="1"/>
  <c r="H195"/>
  <c r="H299" s="1"/>
  <c r="G195"/>
  <c r="D71" i="5"/>
  <c r="D70" s="1"/>
  <c r="N71"/>
  <c r="N70" s="1"/>
  <c r="G437" i="2"/>
  <c r="G365" s="1"/>
  <c r="G214" i="6"/>
  <c r="N342" i="2"/>
  <c r="N338"/>
  <c r="E300" i="6"/>
  <c r="E303" s="1"/>
  <c r="K299"/>
  <c r="K298"/>
  <c r="J299"/>
  <c r="J298"/>
  <c r="G298"/>
  <c r="F298"/>
  <c r="G223"/>
  <c r="F221"/>
  <c r="G218"/>
  <c r="F218"/>
  <c r="G447" i="2"/>
  <c r="G446" s="1"/>
  <c r="G678" s="1"/>
  <c r="H447"/>
  <c r="F447"/>
  <c r="F446" s="1"/>
  <c r="F678" s="1"/>
  <c r="F348"/>
  <c r="G348"/>
  <c r="F342"/>
  <c r="G342"/>
  <c r="F345"/>
  <c r="F344" s="1"/>
  <c r="F338"/>
  <c r="G338"/>
  <c r="D327"/>
  <c r="G317"/>
  <c r="G314"/>
  <c r="D180" i="6"/>
  <c r="G198"/>
  <c r="H198"/>
  <c r="F198"/>
  <c r="J198"/>
  <c r="K198"/>
  <c r="L198"/>
  <c r="D200"/>
  <c r="F206"/>
  <c r="G206"/>
  <c r="H206"/>
  <c r="I206"/>
  <c r="J206"/>
  <c r="K206"/>
  <c r="L206"/>
  <c r="G140"/>
  <c r="I140"/>
  <c r="J140"/>
  <c r="K140"/>
  <c r="L140"/>
  <c r="L14" s="1"/>
  <c r="F141"/>
  <c r="G141"/>
  <c r="H141"/>
  <c r="H16" s="1"/>
  <c r="I141"/>
  <c r="I16" s="1"/>
  <c r="J141"/>
  <c r="J16" s="1"/>
  <c r="K141"/>
  <c r="K16" s="1"/>
  <c r="L141"/>
  <c r="L16" s="1"/>
  <c r="F144"/>
  <c r="J144"/>
  <c r="J301" s="1"/>
  <c r="K144"/>
  <c r="K301" s="1"/>
  <c r="L144"/>
  <c r="G145"/>
  <c r="H145"/>
  <c r="I145"/>
  <c r="J145"/>
  <c r="K145"/>
  <c r="L145"/>
  <c r="F146"/>
  <c r="H146"/>
  <c r="I146"/>
  <c r="J146"/>
  <c r="K146"/>
  <c r="L146"/>
  <c r="F149"/>
  <c r="G149"/>
  <c r="G23" s="1"/>
  <c r="H149"/>
  <c r="H148" s="1"/>
  <c r="I149"/>
  <c r="I23" s="1"/>
  <c r="J149"/>
  <c r="K149"/>
  <c r="K23" s="1"/>
  <c r="L149"/>
  <c r="L148" s="1"/>
  <c r="F152"/>
  <c r="J152"/>
  <c r="K152"/>
  <c r="L152"/>
  <c r="G153"/>
  <c r="H153"/>
  <c r="I153"/>
  <c r="J153"/>
  <c r="K153"/>
  <c r="L153"/>
  <c r="F154"/>
  <c r="H154"/>
  <c r="I154"/>
  <c r="J154"/>
  <c r="K154"/>
  <c r="L154"/>
  <c r="F171"/>
  <c r="G171"/>
  <c r="H171"/>
  <c r="I171"/>
  <c r="J171"/>
  <c r="K171"/>
  <c r="L171"/>
  <c r="G175"/>
  <c r="G174" s="1"/>
  <c r="H175"/>
  <c r="I175"/>
  <c r="I174" s="1"/>
  <c r="J175"/>
  <c r="J174" s="1"/>
  <c r="K175"/>
  <c r="K174" s="1"/>
  <c r="L175"/>
  <c r="L174" s="1"/>
  <c r="D173"/>
  <c r="D172"/>
  <c r="F179"/>
  <c r="G179"/>
  <c r="H179"/>
  <c r="I179"/>
  <c r="J179"/>
  <c r="K179"/>
  <c r="L179"/>
  <c r="G182"/>
  <c r="G181" s="1"/>
  <c r="H182"/>
  <c r="H181" s="1"/>
  <c r="I182"/>
  <c r="J182"/>
  <c r="J181" s="1"/>
  <c r="K182"/>
  <c r="L182"/>
  <c r="L181" s="1"/>
  <c r="F187"/>
  <c r="G187"/>
  <c r="H187"/>
  <c r="I187"/>
  <c r="J187"/>
  <c r="K187"/>
  <c r="L187"/>
  <c r="D188"/>
  <c r="M188" s="1"/>
  <c r="N188"/>
  <c r="F190"/>
  <c r="F189" s="1"/>
  <c r="J190"/>
  <c r="J189" s="1"/>
  <c r="K190"/>
  <c r="K189" s="1"/>
  <c r="L190"/>
  <c r="L189" s="1"/>
  <c r="F194"/>
  <c r="F193" s="1"/>
  <c r="F192" s="1"/>
  <c r="J194"/>
  <c r="J193" s="1"/>
  <c r="J192" s="1"/>
  <c r="K194"/>
  <c r="K193" s="1"/>
  <c r="K192" s="1"/>
  <c r="L194"/>
  <c r="L193" s="1"/>
  <c r="L192" s="1"/>
  <c r="D199"/>
  <c r="F202"/>
  <c r="J202"/>
  <c r="J201" s="1"/>
  <c r="K202"/>
  <c r="K201" s="1"/>
  <c r="L202"/>
  <c r="L201" s="1"/>
  <c r="F209"/>
  <c r="F208" s="1"/>
  <c r="F205" s="1"/>
  <c r="J209"/>
  <c r="J208" s="1"/>
  <c r="K209"/>
  <c r="K208" s="1"/>
  <c r="L209"/>
  <c r="L208" s="1"/>
  <c r="J93" i="9"/>
  <c r="L98" i="13"/>
  <c r="K98"/>
  <c r="J98"/>
  <c r="H110"/>
  <c r="H109" s="1"/>
  <c r="H99" s="1"/>
  <c r="H98" s="1"/>
  <c r="G110"/>
  <c r="G109" s="1"/>
  <c r="G99" s="1"/>
  <c r="F110"/>
  <c r="F109" s="1"/>
  <c r="F99" s="1"/>
  <c r="N110"/>
  <c r="N109" s="1"/>
  <c r="Q112" s="1"/>
  <c r="I107"/>
  <c r="I106" s="1"/>
  <c r="I105" s="1"/>
  <c r="H107"/>
  <c r="H106" s="1"/>
  <c r="H105" s="1"/>
  <c r="G107"/>
  <c r="G106" s="1"/>
  <c r="G105" s="1"/>
  <c r="F107"/>
  <c r="F106" s="1"/>
  <c r="F105" s="1"/>
  <c r="D107"/>
  <c r="D106" s="1"/>
  <c r="D105" s="1"/>
  <c r="I104"/>
  <c r="H104"/>
  <c r="G104"/>
  <c r="F104"/>
  <c r="D104"/>
  <c r="I98"/>
  <c r="D110"/>
  <c r="D109" s="1"/>
  <c r="D99" s="1"/>
  <c r="D98" s="1"/>
  <c r="G39" i="5"/>
  <c r="H39"/>
  <c r="G41"/>
  <c r="H41"/>
  <c r="F44"/>
  <c r="G44"/>
  <c r="L523" i="2"/>
  <c r="L522" s="1"/>
  <c r="K523"/>
  <c r="K522" s="1"/>
  <c r="J523"/>
  <c r="J522" s="1"/>
  <c r="L520"/>
  <c r="K520"/>
  <c r="J520"/>
  <c r="L518"/>
  <c r="K518"/>
  <c r="J518"/>
  <c r="J530"/>
  <c r="J529" s="1"/>
  <c r="L530"/>
  <c r="L529" s="1"/>
  <c r="K530"/>
  <c r="K529" s="1"/>
  <c r="L264" i="6"/>
  <c r="L263" s="1"/>
  <c r="L279" i="9"/>
  <c r="K264" i="6"/>
  <c r="K263" s="1"/>
  <c r="J264"/>
  <c r="J263" s="1"/>
  <c r="J279" i="9"/>
  <c r="L260" i="6"/>
  <c r="L259" s="1"/>
  <c r="L239" s="1"/>
  <c r="L238" s="1"/>
  <c r="K260"/>
  <c r="K259" s="1"/>
  <c r="K239" s="1"/>
  <c r="K238" s="1"/>
  <c r="J260"/>
  <c r="J259" s="1"/>
  <c r="J239" s="1"/>
  <c r="J238" s="1"/>
  <c r="J90" i="4"/>
  <c r="J89" s="1"/>
  <c r="K90"/>
  <c r="K89" s="1"/>
  <c r="L90"/>
  <c r="L89" s="1"/>
  <c r="I90"/>
  <c r="I89" s="1"/>
  <c r="H90"/>
  <c r="H89" s="1"/>
  <c r="G90"/>
  <c r="G89" s="1"/>
  <c r="F90"/>
  <c r="F89" s="1"/>
  <c r="L80"/>
  <c r="L79" s="1"/>
  <c r="K80"/>
  <c r="K79" s="1"/>
  <c r="J80"/>
  <c r="J79" s="1"/>
  <c r="L72"/>
  <c r="L71" s="1"/>
  <c r="K72"/>
  <c r="K71" s="1"/>
  <c r="J72"/>
  <c r="J71" s="1"/>
  <c r="P571" i="2"/>
  <c r="J526"/>
  <c r="K526"/>
  <c r="D576"/>
  <c r="D575" s="1"/>
  <c r="L526"/>
  <c r="J39" i="5"/>
  <c r="K39"/>
  <c r="L39"/>
  <c r="J41"/>
  <c r="K41"/>
  <c r="L41"/>
  <c r="J46"/>
  <c r="J43" s="1"/>
  <c r="J143" s="1"/>
  <c r="K46"/>
  <c r="K43" s="1"/>
  <c r="K143" s="1"/>
  <c r="L46"/>
  <c r="L43" s="1"/>
  <c r="L143" s="1"/>
  <c r="J50"/>
  <c r="K50"/>
  <c r="L50"/>
  <c r="J53"/>
  <c r="J52" s="1"/>
  <c r="K53"/>
  <c r="K52" s="1"/>
  <c r="L53"/>
  <c r="L52" s="1"/>
  <c r="J57"/>
  <c r="J56" s="1"/>
  <c r="K57"/>
  <c r="K56" s="1"/>
  <c r="L57"/>
  <c r="L56" s="1"/>
  <c r="J60"/>
  <c r="K60"/>
  <c r="L60"/>
  <c r="J102"/>
  <c r="J100" s="1"/>
  <c r="K102"/>
  <c r="K100" s="1"/>
  <c r="L102"/>
  <c r="L100" s="1"/>
  <c r="J108"/>
  <c r="K108"/>
  <c r="L108"/>
  <c r="J104"/>
  <c r="K104"/>
  <c r="L104"/>
  <c r="J114"/>
  <c r="J110" s="1"/>
  <c r="K114"/>
  <c r="K110" s="1"/>
  <c r="L114"/>
  <c r="L110" s="1"/>
  <c r="J126"/>
  <c r="K126"/>
  <c r="L126"/>
  <c r="J132"/>
  <c r="K132"/>
  <c r="L132"/>
  <c r="J139"/>
  <c r="J138" s="1"/>
  <c r="K139"/>
  <c r="K138" s="1"/>
  <c r="L139"/>
  <c r="L138" s="1"/>
  <c r="J64"/>
  <c r="K64"/>
  <c r="L64"/>
  <c r="J67"/>
  <c r="J66" s="1"/>
  <c r="K67"/>
  <c r="K66" s="1"/>
  <c r="L67"/>
  <c r="L66" s="1"/>
  <c r="I67"/>
  <c r="H67"/>
  <c r="G67"/>
  <c r="G66" s="1"/>
  <c r="F67"/>
  <c r="I66"/>
  <c r="H66"/>
  <c r="I64"/>
  <c r="H64"/>
  <c r="G64"/>
  <c r="F64"/>
  <c r="F63" s="1"/>
  <c r="F102"/>
  <c r="G102"/>
  <c r="H102"/>
  <c r="I102"/>
  <c r="N84" i="9"/>
  <c r="I279"/>
  <c r="I278" s="1"/>
  <c r="I277" s="1"/>
  <c r="K279"/>
  <c r="K278" s="1"/>
  <c r="K277" s="1"/>
  <c r="H279"/>
  <c r="H278" s="1"/>
  <c r="H277" s="1"/>
  <c r="J281"/>
  <c r="J270" s="1"/>
  <c r="G49" i="1" s="1"/>
  <c r="K281" i="9"/>
  <c r="K271" s="1"/>
  <c r="L281"/>
  <c r="K93"/>
  <c r="L93"/>
  <c r="G69" i="3"/>
  <c r="F69"/>
  <c r="D69"/>
  <c r="D81"/>
  <c r="D78"/>
  <c r="N78"/>
  <c r="N75"/>
  <c r="K370" i="2"/>
  <c r="G150" i="1"/>
  <c r="H150"/>
  <c r="I150"/>
  <c r="G139"/>
  <c r="H139"/>
  <c r="I139"/>
  <c r="G142"/>
  <c r="H142"/>
  <c r="I142"/>
  <c r="G130"/>
  <c r="H130"/>
  <c r="I130"/>
  <c r="C130"/>
  <c r="D130"/>
  <c r="E130"/>
  <c r="F130"/>
  <c r="B139"/>
  <c r="C139"/>
  <c r="D139"/>
  <c r="E139"/>
  <c r="F139"/>
  <c r="J139"/>
  <c r="C142"/>
  <c r="D142"/>
  <c r="E142"/>
  <c r="F142"/>
  <c r="B150"/>
  <c r="C150"/>
  <c r="D150"/>
  <c r="E150"/>
  <c r="F150"/>
  <c r="J150"/>
  <c r="J130"/>
  <c r="J142"/>
  <c r="L135" i="6"/>
  <c r="L134" s="1"/>
  <c r="K135"/>
  <c r="K134" s="1"/>
  <c r="J135"/>
  <c r="J134" s="1"/>
  <c r="L116"/>
  <c r="L115" s="1"/>
  <c r="K116"/>
  <c r="K115" s="1"/>
  <c r="J8" i="13"/>
  <c r="J23"/>
  <c r="J19" s="1"/>
  <c r="K23"/>
  <c r="J275" i="9"/>
  <c r="G55" i="1" s="1"/>
  <c r="K275" i="9"/>
  <c r="H55" i="1" s="1"/>
  <c r="L275" i="9"/>
  <c r="I55" i="1" s="1"/>
  <c r="J276" i="9"/>
  <c r="J273" s="1"/>
  <c r="J272" s="1"/>
  <c r="K276"/>
  <c r="L276"/>
  <c r="J15" i="7"/>
  <c r="J10" s="1"/>
  <c r="K15"/>
  <c r="L15"/>
  <c r="L10" s="1"/>
  <c r="J21"/>
  <c r="J17" s="1"/>
  <c r="K21"/>
  <c r="K17" s="1"/>
  <c r="L21"/>
  <c r="L17" s="1"/>
  <c r="L51" i="4"/>
  <c r="G155" i="1"/>
  <c r="I109"/>
  <c r="I155" s="1"/>
  <c r="G59"/>
  <c r="H59"/>
  <c r="I59"/>
  <c r="G58"/>
  <c r="H58"/>
  <c r="I58"/>
  <c r="G61"/>
  <c r="G60" s="1"/>
  <c r="I61"/>
  <c r="I60" s="1"/>
  <c r="G64"/>
  <c r="H64"/>
  <c r="I64"/>
  <c r="G65"/>
  <c r="H65"/>
  <c r="I65"/>
  <c r="G69"/>
  <c r="G68" s="1"/>
  <c r="H69"/>
  <c r="H68" s="1"/>
  <c r="I69"/>
  <c r="I68" s="1"/>
  <c r="J85" i="4"/>
  <c r="J84" s="1"/>
  <c r="K85"/>
  <c r="K84" s="1"/>
  <c r="L85"/>
  <c r="L84" s="1"/>
  <c r="J15" i="5"/>
  <c r="K15"/>
  <c r="L15"/>
  <c r="H61" i="1"/>
  <c r="H60" s="1"/>
  <c r="J51" i="4"/>
  <c r="K51"/>
  <c r="J95" i="3"/>
  <c r="K95"/>
  <c r="L95"/>
  <c r="J93"/>
  <c r="K93"/>
  <c r="L93"/>
  <c r="J90"/>
  <c r="K90"/>
  <c r="L90"/>
  <c r="J87"/>
  <c r="K87"/>
  <c r="L87"/>
  <c r="L370" i="2"/>
  <c r="J467"/>
  <c r="K467"/>
  <c r="L467"/>
  <c r="J468"/>
  <c r="J14" s="1"/>
  <c r="K468"/>
  <c r="K14" s="1"/>
  <c r="L468"/>
  <c r="J469"/>
  <c r="K469"/>
  <c r="K16" s="1"/>
  <c r="L469"/>
  <c r="J471"/>
  <c r="J20" s="1"/>
  <c r="K471"/>
  <c r="K20" s="1"/>
  <c r="L471"/>
  <c r="L20" s="1"/>
  <c r="J472"/>
  <c r="J21" s="1"/>
  <c r="K472"/>
  <c r="K21" s="1"/>
  <c r="L472"/>
  <c r="L21" s="1"/>
  <c r="J475"/>
  <c r="J24" s="1"/>
  <c r="G29" i="1" s="1"/>
  <c r="K475" i="2"/>
  <c r="K24" s="1"/>
  <c r="H29" i="1" s="1"/>
  <c r="L475" i="2"/>
  <c r="J476"/>
  <c r="K476"/>
  <c r="L476"/>
  <c r="L26" s="1"/>
  <c r="J478"/>
  <c r="J32" s="1"/>
  <c r="K478"/>
  <c r="K32" s="1"/>
  <c r="L478"/>
  <c r="L32" s="1"/>
  <c r="J479"/>
  <c r="J33" s="1"/>
  <c r="K479"/>
  <c r="K33" s="1"/>
  <c r="L479"/>
  <c r="L33" s="1"/>
  <c r="J510"/>
  <c r="J509" s="1"/>
  <c r="K510"/>
  <c r="K509" s="1"/>
  <c r="L510"/>
  <c r="J512"/>
  <c r="K512"/>
  <c r="L512"/>
  <c r="J515"/>
  <c r="J514" s="1"/>
  <c r="J513" s="1"/>
  <c r="K515"/>
  <c r="K514" s="1"/>
  <c r="K513" s="1"/>
  <c r="L515"/>
  <c r="L514" s="1"/>
  <c r="L513" s="1"/>
  <c r="L17"/>
  <c r="I22" i="1" s="1"/>
  <c r="L27" i="2"/>
  <c r="I32" i="1" s="1"/>
  <c r="I123" s="1"/>
  <c r="L30" i="2"/>
  <c r="J17"/>
  <c r="G22" i="1" s="1"/>
  <c r="K17" i="2"/>
  <c r="H22" i="1" s="1"/>
  <c r="J27" i="2"/>
  <c r="G32" i="1" s="1"/>
  <c r="G123" s="1"/>
  <c r="J28" i="2"/>
  <c r="K28"/>
  <c r="J30"/>
  <c r="L28"/>
  <c r="D512"/>
  <c r="D511" s="1"/>
  <c r="D468"/>
  <c r="D14" s="1"/>
  <c r="J370"/>
  <c r="G93" i="3"/>
  <c r="H93"/>
  <c r="I93"/>
  <c r="G95"/>
  <c r="H95"/>
  <c r="I95"/>
  <c r="G90"/>
  <c r="H90"/>
  <c r="I90"/>
  <c r="G87"/>
  <c r="H87"/>
  <c r="I87"/>
  <c r="N120" i="6"/>
  <c r="N102"/>
  <c r="I135"/>
  <c r="I134" s="1"/>
  <c r="H135"/>
  <c r="H134" s="1"/>
  <c r="G135"/>
  <c r="G134" s="1"/>
  <c r="P137" s="1"/>
  <c r="F135"/>
  <c r="F134" s="1"/>
  <c r="I116"/>
  <c r="I115" s="1"/>
  <c r="G116"/>
  <c r="G115" s="1"/>
  <c r="G51" i="4"/>
  <c r="N78" i="13"/>
  <c r="N74" s="1"/>
  <c r="N28"/>
  <c r="N125" i="8"/>
  <c r="N123" s="1"/>
  <c r="N122" s="1"/>
  <c r="N114"/>
  <c r="N48" i="7"/>
  <c r="N60"/>
  <c r="N72"/>
  <c r="N84"/>
  <c r="N110"/>
  <c r="N107"/>
  <c r="N106" s="1"/>
  <c r="N81"/>
  <c r="N80" s="1"/>
  <c r="N69"/>
  <c r="N68" s="1"/>
  <c r="N15"/>
  <c r="N86" i="6"/>
  <c r="N84"/>
  <c r="N64"/>
  <c r="N488" i="2"/>
  <c r="N643"/>
  <c r="N642" s="1"/>
  <c r="N589"/>
  <c r="N588"/>
  <c r="N587" s="1"/>
  <c r="N586" s="1"/>
  <c r="N580"/>
  <c r="N579" s="1"/>
  <c r="N574"/>
  <c r="N573"/>
  <c r="N568"/>
  <c r="N567" s="1"/>
  <c r="N556"/>
  <c r="N555" s="1"/>
  <c r="N521"/>
  <c r="N520" s="1"/>
  <c r="N519"/>
  <c r="N518" s="1"/>
  <c r="N503"/>
  <c r="N502" s="1"/>
  <c r="N501"/>
  <c r="N500" s="1"/>
  <c r="N487"/>
  <c r="N483"/>
  <c r="N485"/>
  <c r="N484"/>
  <c r="N381"/>
  <c r="N317"/>
  <c r="N314"/>
  <c r="N134"/>
  <c r="N130"/>
  <c r="N119"/>
  <c r="N115"/>
  <c r="N107"/>
  <c r="N105"/>
  <c r="N96"/>
  <c r="N84"/>
  <c r="N72"/>
  <c r="N58"/>
  <c r="L119" i="1"/>
  <c r="L120"/>
  <c r="L121"/>
  <c r="L122"/>
  <c r="L124"/>
  <c r="L125"/>
  <c r="N75" i="6"/>
  <c r="N72" s="1"/>
  <c r="L139" i="1"/>
  <c r="N69" i="2"/>
  <c r="N68" s="1"/>
  <c r="N93"/>
  <c r="N30" i="6"/>
  <c r="N55" i="2"/>
  <c r="L130" i="1"/>
  <c r="N290" i="9"/>
  <c r="N289" s="1"/>
  <c r="N30"/>
  <c r="N26" s="1"/>
  <c r="N139" i="5"/>
  <c r="N138" s="1"/>
  <c r="N57"/>
  <c r="N56" s="1"/>
  <c r="N51"/>
  <c r="N50" s="1"/>
  <c r="N49" s="1"/>
  <c r="N41"/>
  <c r="N129"/>
  <c r="N126"/>
  <c r="N125" s="1"/>
  <c r="N119"/>
  <c r="N118" s="1"/>
  <c r="N117" s="1"/>
  <c r="N101"/>
  <c r="N39"/>
  <c r="N37" i="3"/>
  <c r="N31"/>
  <c r="C59" i="1"/>
  <c r="N282" i="9"/>
  <c r="N281" s="1"/>
  <c r="N25" i="7"/>
  <c r="N24" s="1"/>
  <c r="G39" i="8"/>
  <c r="G38" s="1"/>
  <c r="F51" i="4"/>
  <c r="I93" i="9"/>
  <c r="H93"/>
  <c r="G93"/>
  <c r="F93"/>
  <c r="I92"/>
  <c r="F384" i="2"/>
  <c r="D469"/>
  <c r="D16" s="1"/>
  <c r="F317"/>
  <c r="F322"/>
  <c r="F314"/>
  <c r="H45" i="8"/>
  <c r="H48"/>
  <c r="H51"/>
  <c r="H54"/>
  <c r="N46"/>
  <c r="N13" s="1"/>
  <c r="N12" s="1"/>
  <c r="F46"/>
  <c r="F13" s="1"/>
  <c r="N48"/>
  <c r="F154" i="2"/>
  <c r="F149"/>
  <c r="F146"/>
  <c r="D153"/>
  <c r="D148"/>
  <c r="F134"/>
  <c r="F138"/>
  <c r="F141"/>
  <c r="D142"/>
  <c r="D50" s="1"/>
  <c r="D49" s="1"/>
  <c r="D139"/>
  <c r="D46" s="1"/>
  <c r="F122"/>
  <c r="F125"/>
  <c r="D118"/>
  <c r="D117"/>
  <c r="D60" i="5"/>
  <c r="D59" s="1"/>
  <c r="I60"/>
  <c r="I59" s="1"/>
  <c r="H60"/>
  <c r="H59" s="1"/>
  <c r="G60"/>
  <c r="G59" s="1"/>
  <c r="F60"/>
  <c r="F59" s="1"/>
  <c r="D57"/>
  <c r="D56" s="1"/>
  <c r="I57"/>
  <c r="H57"/>
  <c r="G57"/>
  <c r="F57"/>
  <c r="F56" s="1"/>
  <c r="E275" i="9"/>
  <c r="F275"/>
  <c r="G275"/>
  <c r="H275"/>
  <c r="E55" i="1" s="1"/>
  <c r="I275" i="9"/>
  <c r="F55" i="1" s="1"/>
  <c r="I281" i="9"/>
  <c r="I290"/>
  <c r="I289" s="1"/>
  <c r="H290"/>
  <c r="H289" s="1"/>
  <c r="G290"/>
  <c r="G289" s="1"/>
  <c r="I293"/>
  <c r="I292" s="1"/>
  <c r="H293"/>
  <c r="H292" s="1"/>
  <c r="G293"/>
  <c r="D39" i="3"/>
  <c r="D475" i="2"/>
  <c r="D24" s="1"/>
  <c r="F610"/>
  <c r="F609" s="1"/>
  <c r="F685" s="1"/>
  <c r="G610"/>
  <c r="G609" s="1"/>
  <c r="G685" s="1"/>
  <c r="D88" i="1" s="1"/>
  <c r="I65" i="7"/>
  <c r="I63"/>
  <c r="I60"/>
  <c r="I57"/>
  <c r="H65"/>
  <c r="H63"/>
  <c r="H60"/>
  <c r="H57"/>
  <c r="I77"/>
  <c r="I75"/>
  <c r="I72"/>
  <c r="I69"/>
  <c r="H77"/>
  <c r="H75"/>
  <c r="H72"/>
  <c r="H69"/>
  <c r="I115"/>
  <c r="I113"/>
  <c r="I110"/>
  <c r="I107"/>
  <c r="H115"/>
  <c r="H113"/>
  <c r="H110"/>
  <c r="H107"/>
  <c r="I89"/>
  <c r="I87"/>
  <c r="I84"/>
  <c r="I81"/>
  <c r="H89"/>
  <c r="H87"/>
  <c r="H84"/>
  <c r="H81"/>
  <c r="I48"/>
  <c r="I45"/>
  <c r="H48"/>
  <c r="H45"/>
  <c r="I53"/>
  <c r="I51"/>
  <c r="H53"/>
  <c r="H51"/>
  <c r="H25"/>
  <c r="H24" s="1"/>
  <c r="I25"/>
  <c r="I24" s="1"/>
  <c r="C56" i="1"/>
  <c r="F15" i="7"/>
  <c r="G15"/>
  <c r="G10" s="1"/>
  <c r="H15"/>
  <c r="I15"/>
  <c r="D67" i="1"/>
  <c r="D122" s="1"/>
  <c r="D168" s="1"/>
  <c r="F21" i="7"/>
  <c r="G21"/>
  <c r="G17" s="1"/>
  <c r="H21"/>
  <c r="H17" s="1"/>
  <c r="I21"/>
  <c r="I17" s="1"/>
  <c r="F61" i="1"/>
  <c r="F60" s="1"/>
  <c r="C61"/>
  <c r="I10" i="7"/>
  <c r="G23" i="13"/>
  <c r="G19" s="1"/>
  <c r="I23"/>
  <c r="I19" s="1"/>
  <c r="F23"/>
  <c r="F19" s="1"/>
  <c r="H23"/>
  <c r="H19" s="1"/>
  <c r="E107" i="5"/>
  <c r="B54" i="1" s="1"/>
  <c r="D15" i="5"/>
  <c r="D14" s="1"/>
  <c r="E28"/>
  <c r="N29"/>
  <c r="N28" s="1"/>
  <c r="N31"/>
  <c r="N30" s="1"/>
  <c r="H15"/>
  <c r="H14" s="1"/>
  <c r="I15"/>
  <c r="I14" s="1"/>
  <c r="I35"/>
  <c r="H35"/>
  <c r="I33"/>
  <c r="H33"/>
  <c r="I30"/>
  <c r="H30"/>
  <c r="I28"/>
  <c r="H28"/>
  <c r="I39"/>
  <c r="I41"/>
  <c r="H46"/>
  <c r="H43" s="1"/>
  <c r="I46"/>
  <c r="I43" s="1"/>
  <c r="H50"/>
  <c r="I50"/>
  <c r="H53"/>
  <c r="H52" s="1"/>
  <c r="I53"/>
  <c r="I52" s="1"/>
  <c r="H106"/>
  <c r="I106"/>
  <c r="H108"/>
  <c r="I108"/>
  <c r="H114"/>
  <c r="I114"/>
  <c r="H111"/>
  <c r="I111"/>
  <c r="I132"/>
  <c r="H132"/>
  <c r="I126"/>
  <c r="H126"/>
  <c r="I139"/>
  <c r="I138" s="1"/>
  <c r="H139"/>
  <c r="H138" s="1"/>
  <c r="I276" i="9"/>
  <c r="I273" s="1"/>
  <c r="I272" s="1"/>
  <c r="H276"/>
  <c r="G276"/>
  <c r="H35"/>
  <c r="G35"/>
  <c r="F35"/>
  <c r="F32" s="1"/>
  <c r="E35" i="5"/>
  <c r="E32" s="1"/>
  <c r="E30"/>
  <c r="F80" i="4"/>
  <c r="G80"/>
  <c r="H80"/>
  <c r="I80"/>
  <c r="F79"/>
  <c r="G79"/>
  <c r="H79"/>
  <c r="I79"/>
  <c r="F72"/>
  <c r="G72"/>
  <c r="G71" s="1"/>
  <c r="H72"/>
  <c r="H71" s="1"/>
  <c r="I72"/>
  <c r="I71" s="1"/>
  <c r="F71"/>
  <c r="H85"/>
  <c r="H84" s="1"/>
  <c r="I85"/>
  <c r="I84" s="1"/>
  <c r="E69" i="1"/>
  <c r="E68" s="1"/>
  <c r="F69"/>
  <c r="F68" s="1"/>
  <c r="C65"/>
  <c r="C64"/>
  <c r="D64"/>
  <c r="E64"/>
  <c r="F64"/>
  <c r="C58"/>
  <c r="D58"/>
  <c r="E58"/>
  <c r="D59"/>
  <c r="E59"/>
  <c r="F59"/>
  <c r="I51" i="4"/>
  <c r="N50" i="3"/>
  <c r="H643" i="2"/>
  <c r="H642" s="1"/>
  <c r="I643"/>
  <c r="I642" s="1"/>
  <c r="I364"/>
  <c r="I370"/>
  <c r="I606"/>
  <c r="I605" s="1"/>
  <c r="H606"/>
  <c r="H605" s="1"/>
  <c r="I568"/>
  <c r="I567" s="1"/>
  <c r="H568"/>
  <c r="H567" s="1"/>
  <c r="F58" i="1"/>
  <c r="I520" i="2"/>
  <c r="I518"/>
  <c r="H520"/>
  <c r="H518"/>
  <c r="I523"/>
  <c r="I522" s="1"/>
  <c r="H523"/>
  <c r="H522" s="1"/>
  <c r="I515"/>
  <c r="I514" s="1"/>
  <c r="I513" s="1"/>
  <c r="I512"/>
  <c r="I511" s="1"/>
  <c r="I510"/>
  <c r="I509" s="1"/>
  <c r="H515"/>
  <c r="H514" s="1"/>
  <c r="H513" s="1"/>
  <c r="H512"/>
  <c r="H511" s="1"/>
  <c r="H510"/>
  <c r="H509" s="1"/>
  <c r="G515"/>
  <c r="G514" s="1"/>
  <c r="G513" s="1"/>
  <c r="G512"/>
  <c r="G511" s="1"/>
  <c r="G510"/>
  <c r="G509" s="1"/>
  <c r="I494"/>
  <c r="I490"/>
  <c r="I486"/>
  <c r="I482"/>
  <c r="H494"/>
  <c r="H490"/>
  <c r="H486"/>
  <c r="H482"/>
  <c r="G494"/>
  <c r="G490"/>
  <c r="G486"/>
  <c r="G482"/>
  <c r="F494"/>
  <c r="F490"/>
  <c r="F486"/>
  <c r="F482"/>
  <c r="I472"/>
  <c r="I21" s="1"/>
  <c r="I471"/>
  <c r="I20" s="1"/>
  <c r="I469"/>
  <c r="I16" s="1"/>
  <c r="I468"/>
  <c r="I14" s="1"/>
  <c r="I467"/>
  <c r="H472"/>
  <c r="H21" s="1"/>
  <c r="H471"/>
  <c r="H469"/>
  <c r="H468"/>
  <c r="H14" s="1"/>
  <c r="H467"/>
  <c r="I479"/>
  <c r="I478"/>
  <c r="I32" s="1"/>
  <c r="I476"/>
  <c r="I26" s="1"/>
  <c r="I475"/>
  <c r="I24" s="1"/>
  <c r="F29" i="1" s="1"/>
  <c r="H479" i="2"/>
  <c r="H478"/>
  <c r="H32" s="1"/>
  <c r="H476"/>
  <c r="H475"/>
  <c r="H24" s="1"/>
  <c r="E29" i="1" s="1"/>
  <c r="H17" i="2"/>
  <c r="E22" i="1" s="1"/>
  <c r="I17" i="2"/>
  <c r="F22" i="1" s="1"/>
  <c r="H27" i="2"/>
  <c r="E32" i="1" s="1"/>
  <c r="E123" s="1"/>
  <c r="I27" i="2"/>
  <c r="F32" i="1" s="1"/>
  <c r="F123" s="1"/>
  <c r="H28" i="2"/>
  <c r="I28"/>
  <c r="H30"/>
  <c r="I30"/>
  <c r="D490"/>
  <c r="E475"/>
  <c r="E24" s="1"/>
  <c r="I15"/>
  <c r="F20" i="1" s="1"/>
  <c r="E65"/>
  <c r="F65"/>
  <c r="E468" i="2"/>
  <c r="E512"/>
  <c r="E19" s="1"/>
  <c r="E520"/>
  <c r="F247" i="6"/>
  <c r="F246" s="1"/>
  <c r="F245" s="1"/>
  <c r="G247"/>
  <c r="G246" s="1"/>
  <c r="G245" s="1"/>
  <c r="H247"/>
  <c r="H246" s="1"/>
  <c r="H245" s="1"/>
  <c r="I247"/>
  <c r="I246" s="1"/>
  <c r="I245" s="1"/>
  <c r="I264"/>
  <c r="I263" s="1"/>
  <c r="H264"/>
  <c r="H263" s="1"/>
  <c r="G264"/>
  <c r="G263" s="1"/>
  <c r="F264"/>
  <c r="F263" s="1"/>
  <c r="I260"/>
  <c r="I259" s="1"/>
  <c r="H260"/>
  <c r="H259" s="1"/>
  <c r="G260"/>
  <c r="G259" s="1"/>
  <c r="F260"/>
  <c r="F259" s="1"/>
  <c r="F244"/>
  <c r="G244"/>
  <c r="H244"/>
  <c r="I244"/>
  <c r="I243"/>
  <c r="I242" s="1"/>
  <c r="I241" s="1"/>
  <c r="H242"/>
  <c r="H241" s="1"/>
  <c r="H240"/>
  <c r="I240"/>
  <c r="H91"/>
  <c r="I91"/>
  <c r="H89"/>
  <c r="I89"/>
  <c r="H86"/>
  <c r="I86"/>
  <c r="H84"/>
  <c r="I84"/>
  <c r="I80"/>
  <c r="H80"/>
  <c r="I78"/>
  <c r="H78"/>
  <c r="I75"/>
  <c r="H75"/>
  <c r="I73"/>
  <c r="H73"/>
  <c r="I61"/>
  <c r="I69"/>
  <c r="H69"/>
  <c r="G69"/>
  <c r="F69"/>
  <c r="I67"/>
  <c r="H67"/>
  <c r="G67"/>
  <c r="F67"/>
  <c r="I66"/>
  <c r="H66"/>
  <c r="G66"/>
  <c r="P66" s="1"/>
  <c r="F66"/>
  <c r="I64"/>
  <c r="H64"/>
  <c r="G64"/>
  <c r="F64"/>
  <c r="H61"/>
  <c r="G61"/>
  <c r="I36"/>
  <c r="I35" s="1"/>
  <c r="H36"/>
  <c r="H35" s="1"/>
  <c r="G36"/>
  <c r="G35" s="1"/>
  <c r="P35" s="1"/>
  <c r="F36"/>
  <c r="F35" s="1"/>
  <c r="I30"/>
  <c r="H30"/>
  <c r="G30"/>
  <c r="F30"/>
  <c r="I254"/>
  <c r="I253" s="1"/>
  <c r="H254"/>
  <c r="H253" s="1"/>
  <c r="H239" s="1"/>
  <c r="G243"/>
  <c r="M255"/>
  <c r="M254" s="1"/>
  <c r="M253" s="1"/>
  <c r="F47" i="9"/>
  <c r="G91" i="6"/>
  <c r="G86"/>
  <c r="G89"/>
  <c r="G84"/>
  <c r="D80"/>
  <c r="F80"/>
  <c r="G80"/>
  <c r="F78"/>
  <c r="G78"/>
  <c r="G77" s="1"/>
  <c r="D75"/>
  <c r="F75"/>
  <c r="G75"/>
  <c r="F73"/>
  <c r="G73"/>
  <c r="G69" i="7"/>
  <c r="F69"/>
  <c r="F85" i="4"/>
  <c r="F84" s="1"/>
  <c r="G85"/>
  <c r="G84" s="1"/>
  <c r="D42" i="13"/>
  <c r="D41" s="1"/>
  <c r="D37"/>
  <c r="D30"/>
  <c r="D33"/>
  <c r="D32" s="1"/>
  <c r="F276" i="9"/>
  <c r="D127" i="8"/>
  <c r="D126" s="1"/>
  <c r="E114"/>
  <c r="M114" s="1"/>
  <c r="F54"/>
  <c r="F51"/>
  <c r="F48"/>
  <c r="F41"/>
  <c r="F39"/>
  <c r="F38" s="1"/>
  <c r="F34"/>
  <c r="G115" i="7"/>
  <c r="F115"/>
  <c r="G113"/>
  <c r="F113"/>
  <c r="G110"/>
  <c r="F110"/>
  <c r="F106" s="1"/>
  <c r="G107"/>
  <c r="G89"/>
  <c r="F89"/>
  <c r="G87"/>
  <c r="F87"/>
  <c r="G84"/>
  <c r="F84"/>
  <c r="G81"/>
  <c r="F81"/>
  <c r="G77"/>
  <c r="F77"/>
  <c r="G75"/>
  <c r="F75"/>
  <c r="G72"/>
  <c r="F72"/>
  <c r="G65"/>
  <c r="F65"/>
  <c r="G63"/>
  <c r="F63"/>
  <c r="G60"/>
  <c r="F60"/>
  <c r="G57"/>
  <c r="F57"/>
  <c r="G53"/>
  <c r="F53"/>
  <c r="G51"/>
  <c r="F51"/>
  <c r="G48"/>
  <c r="F48"/>
  <c r="G45"/>
  <c r="F45"/>
  <c r="G25"/>
  <c r="G24" s="1"/>
  <c r="F25"/>
  <c r="F24" s="1"/>
  <c r="G254" i="6"/>
  <c r="G253" s="1"/>
  <c r="G239" s="1"/>
  <c r="F254"/>
  <c r="F253" s="1"/>
  <c r="N250"/>
  <c r="N249" s="1"/>
  <c r="G240"/>
  <c r="G139" i="5"/>
  <c r="G138" s="1"/>
  <c r="F139"/>
  <c r="F138" s="1"/>
  <c r="D112"/>
  <c r="G132"/>
  <c r="F132"/>
  <c r="G126"/>
  <c r="F126"/>
  <c r="G118"/>
  <c r="G117" s="1"/>
  <c r="F118"/>
  <c r="F117" s="1"/>
  <c r="F115"/>
  <c r="C69" i="1" s="1"/>
  <c r="C68" s="1"/>
  <c r="G114" i="5"/>
  <c r="F113"/>
  <c r="C67" i="1" s="1"/>
  <c r="C122" s="1"/>
  <c r="C168" s="1"/>
  <c r="F112" i="5"/>
  <c r="G111"/>
  <c r="G108"/>
  <c r="F108"/>
  <c r="F107"/>
  <c r="G106"/>
  <c r="F106"/>
  <c r="F105"/>
  <c r="M93" s="1"/>
  <c r="G53"/>
  <c r="G52" s="1"/>
  <c r="F53"/>
  <c r="F52" s="1"/>
  <c r="G50"/>
  <c r="F50"/>
  <c r="F49" s="1"/>
  <c r="G46"/>
  <c r="F46"/>
  <c r="G35"/>
  <c r="F35"/>
  <c r="G33"/>
  <c r="F33"/>
  <c r="G30"/>
  <c r="F30"/>
  <c r="G28"/>
  <c r="F28"/>
  <c r="D77" i="4"/>
  <c r="F95" i="3"/>
  <c r="F93"/>
  <c r="F90"/>
  <c r="F87"/>
  <c r="G643" i="2"/>
  <c r="G642" s="1"/>
  <c r="F643"/>
  <c r="F642" s="1"/>
  <c r="D606"/>
  <c r="D605" s="1"/>
  <c r="G606"/>
  <c r="G605" s="1"/>
  <c r="F606"/>
  <c r="F605" s="1"/>
  <c r="G602"/>
  <c r="G601" s="1"/>
  <c r="F602"/>
  <c r="F601" s="1"/>
  <c r="D591"/>
  <c r="D590" s="1"/>
  <c r="G568"/>
  <c r="G567" s="1"/>
  <c r="F568"/>
  <c r="F567" s="1"/>
  <c r="G564"/>
  <c r="G563" s="1"/>
  <c r="F564"/>
  <c r="F563" s="1"/>
  <c r="G542"/>
  <c r="F542"/>
  <c r="D65" i="1"/>
  <c r="G523" i="2"/>
  <c r="G522" s="1"/>
  <c r="F523"/>
  <c r="F522" s="1"/>
  <c r="G520"/>
  <c r="F520"/>
  <c r="G518"/>
  <c r="F518"/>
  <c r="F515"/>
  <c r="F514" s="1"/>
  <c r="F513" s="1"/>
  <c r="F512"/>
  <c r="F511" s="1"/>
  <c r="F510"/>
  <c r="F509" s="1"/>
  <c r="G479"/>
  <c r="G33" s="1"/>
  <c r="F479"/>
  <c r="F33" s="1"/>
  <c r="G478"/>
  <c r="G32" s="1"/>
  <c r="F478"/>
  <c r="F32" s="1"/>
  <c r="G476"/>
  <c r="G26" s="1"/>
  <c r="F476"/>
  <c r="G475"/>
  <c r="G24" s="1"/>
  <c r="F475"/>
  <c r="F24" s="1"/>
  <c r="G472"/>
  <c r="G21" s="1"/>
  <c r="F472"/>
  <c r="F21" s="1"/>
  <c r="G471"/>
  <c r="G20" s="1"/>
  <c r="F471"/>
  <c r="F20" s="1"/>
  <c r="G469"/>
  <c r="G16" s="1"/>
  <c r="F469"/>
  <c r="G468"/>
  <c r="G14" s="1"/>
  <c r="F468"/>
  <c r="F14" s="1"/>
  <c r="G467"/>
  <c r="F467"/>
  <c r="D320"/>
  <c r="D317"/>
  <c r="D58"/>
  <c r="G30"/>
  <c r="F30"/>
  <c r="G28"/>
  <c r="F28"/>
  <c r="G27"/>
  <c r="D32" i="1" s="1"/>
  <c r="D123" s="1"/>
  <c r="F27" i="2"/>
  <c r="C32" i="1" s="1"/>
  <c r="D342" i="2"/>
  <c r="D568"/>
  <c r="D567" s="1"/>
  <c r="D77"/>
  <c r="D322"/>
  <c r="D89"/>
  <c r="D476"/>
  <c r="E102" i="5"/>
  <c r="E109"/>
  <c r="E108" s="1"/>
  <c r="D109"/>
  <c r="D108" s="1"/>
  <c r="E139"/>
  <c r="E138" s="1"/>
  <c r="E129"/>
  <c r="E113"/>
  <c r="E106"/>
  <c r="E135"/>
  <c r="E115"/>
  <c r="E114" s="1"/>
  <c r="D141" i="2"/>
  <c r="E139" i="8"/>
  <c r="D120"/>
  <c r="D68" i="4"/>
  <c r="D67"/>
  <c r="E244" i="6"/>
  <c r="E264"/>
  <c r="E263" s="1"/>
  <c r="E247"/>
  <c r="E246" s="1"/>
  <c r="E245" s="1"/>
  <c r="D50" i="3"/>
  <c r="D13" s="1"/>
  <c r="D57"/>
  <c r="D20" s="1"/>
  <c r="D616" i="2"/>
  <c r="E77"/>
  <c r="P586"/>
  <c r="P499"/>
  <c r="D244" i="6"/>
  <c r="D520" i="2"/>
  <c r="D106" i="5"/>
  <c r="D123" i="8"/>
  <c r="D122" s="1"/>
  <c r="D107" s="1"/>
  <c r="D105" s="1"/>
  <c r="D114"/>
  <c r="D130" i="2"/>
  <c r="P481"/>
  <c r="D347"/>
  <c r="E490"/>
  <c r="E489" s="1"/>
  <c r="E476"/>
  <c r="D352"/>
  <c r="E502"/>
  <c r="P524"/>
  <c r="E515"/>
  <c r="E523"/>
  <c r="E522" s="1"/>
  <c r="D102" i="5"/>
  <c r="D51" i="7"/>
  <c r="B56" i="1"/>
  <c r="D93" i="3"/>
  <c r="E112" i="5"/>
  <c r="E132"/>
  <c r="E126"/>
  <c r="E105"/>
  <c r="D60" i="3"/>
  <c r="E504" i="2"/>
  <c r="D505"/>
  <c r="D504" s="1"/>
  <c r="E87"/>
  <c r="D341"/>
  <c r="D110"/>
  <c r="D109" s="1"/>
  <c r="E96"/>
  <c r="E89"/>
  <c r="D348"/>
  <c r="D360"/>
  <c r="E478"/>
  <c r="E32" s="1"/>
  <c r="B35" i="1" s="1"/>
  <c r="E486" i="2"/>
  <c r="E471"/>
  <c r="E20" s="1"/>
  <c r="E469"/>
  <c r="E500"/>
  <c r="D247" i="6"/>
  <c r="D246" s="1"/>
  <c r="D245" s="1"/>
  <c r="D264"/>
  <c r="D263" s="1"/>
  <c r="D139" i="8"/>
  <c r="D115" i="5"/>
  <c r="D114" s="1"/>
  <c r="D39"/>
  <c r="D107"/>
  <c r="D500" i="2"/>
  <c r="D515"/>
  <c r="D62" i="4"/>
  <c r="H51"/>
  <c r="D28" i="2"/>
  <c r="D87"/>
  <c r="D560"/>
  <c r="D559" s="1"/>
  <c r="D686" s="1"/>
  <c r="O15" i="1"/>
  <c r="P538" i="2"/>
  <c r="D30" i="6"/>
  <c r="D84"/>
  <c r="D89"/>
  <c r="K9" i="9" l="1"/>
  <c r="K14" i="6"/>
  <c r="C123" i="1"/>
  <c r="C169" s="1"/>
  <c r="J8" i="9"/>
  <c r="I8"/>
  <c r="L8"/>
  <c r="K8"/>
  <c r="J197" i="6"/>
  <c r="D514" i="2"/>
  <c r="D513" s="1"/>
  <c r="D31"/>
  <c r="H369"/>
  <c r="H367" s="1"/>
  <c r="K122" i="13"/>
  <c r="K19"/>
  <c r="L19"/>
  <c r="J89" i="1"/>
  <c r="I431" i="2"/>
  <c r="D39" i="8"/>
  <c r="I27" i="6"/>
  <c r="F182"/>
  <c r="F181" s="1"/>
  <c r="G80" i="7"/>
  <c r="D169" i="1"/>
  <c r="F169"/>
  <c r="G114"/>
  <c r="G160" s="1"/>
  <c r="J14" i="5"/>
  <c r="H11" i="3"/>
  <c r="N80" i="2"/>
  <c r="E114" i="1"/>
  <c r="E160" s="1"/>
  <c r="H114"/>
  <c r="H160" s="1"/>
  <c r="I114"/>
  <c r="I160" s="1"/>
  <c r="K14" i="5"/>
  <c r="F114" i="1"/>
  <c r="F160" s="1"/>
  <c r="G169"/>
  <c r="I169"/>
  <c r="L14" i="5"/>
  <c r="E169" i="1"/>
  <c r="G11" i="3"/>
  <c r="I11"/>
  <c r="G15" i="2"/>
  <c r="D20" i="1" s="1"/>
  <c r="D111" s="1"/>
  <c r="D157" s="1"/>
  <c r="K25" i="2"/>
  <c r="H30" i="1" s="1"/>
  <c r="H120" s="1"/>
  <c r="H166" s="1"/>
  <c r="L273" i="9"/>
  <c r="L272" s="1"/>
  <c r="H298" i="6"/>
  <c r="G43" i="5"/>
  <c r="I41" i="13"/>
  <c r="G187" i="2"/>
  <c r="I72" i="6"/>
  <c r="F153"/>
  <c r="H144"/>
  <c r="H301" s="1"/>
  <c r="H270" i="9"/>
  <c r="H269" s="1"/>
  <c r="N118"/>
  <c r="D116" i="8"/>
  <c r="D115" s="1"/>
  <c r="F45"/>
  <c r="K273" i="9"/>
  <c r="K272" s="1"/>
  <c r="B140" i="1"/>
  <c r="L270" i="9"/>
  <c r="I49" i="1" s="1"/>
  <c r="F68" i="7"/>
  <c r="F74"/>
  <c r="H68"/>
  <c r="I68"/>
  <c r="J44" i="8"/>
  <c r="J9" s="1"/>
  <c r="H36" i="13"/>
  <c r="P77" i="6"/>
  <c r="I88"/>
  <c r="I13" i="2"/>
  <c r="I12" s="1"/>
  <c r="J41" i="13"/>
  <c r="G68" i="7"/>
  <c r="G106"/>
  <c r="G112"/>
  <c r="F239" i="6"/>
  <c r="I239"/>
  <c r="I238" s="1"/>
  <c r="F175" i="2"/>
  <c r="F41" i="13"/>
  <c r="I109" i="8"/>
  <c r="I108" s="1"/>
  <c r="I530" i="2"/>
  <c r="I529" s="1"/>
  <c r="H88" i="6"/>
  <c r="K102" i="13"/>
  <c r="K101" s="1"/>
  <c r="H54" i="1"/>
  <c r="G238" i="6"/>
  <c r="H72"/>
  <c r="G74" i="7"/>
  <c r="G86"/>
  <c r="F86"/>
  <c r="H38" i="5"/>
  <c r="E27"/>
  <c r="E11" s="1"/>
  <c r="B57" i="1"/>
  <c r="I100" i="5"/>
  <c r="F100"/>
  <c r="C57" i="1"/>
  <c r="C109" s="1"/>
  <c r="C155" s="1"/>
  <c r="E104" i="5"/>
  <c r="D100"/>
  <c r="H100"/>
  <c r="F43"/>
  <c r="N107"/>
  <c r="H110"/>
  <c r="I32"/>
  <c r="F92" i="9"/>
  <c r="J109" i="8"/>
  <c r="J108" s="1"/>
  <c r="F32" i="13"/>
  <c r="L109" i="8"/>
  <c r="L108" s="1"/>
  <c r="I106" i="6"/>
  <c r="I105" s="1"/>
  <c r="L197"/>
  <c r="H205"/>
  <c r="G441" i="2"/>
  <c r="G367"/>
  <c r="G477"/>
  <c r="K45" i="7"/>
  <c r="K13"/>
  <c r="G417" i="2"/>
  <c r="F44" i="7"/>
  <c r="F56"/>
  <c r="D25" i="5"/>
  <c r="D23" s="1"/>
  <c r="D20" s="1"/>
  <c r="L106" i="6"/>
  <c r="F62" i="7"/>
  <c r="K205" i="6"/>
  <c r="D439" i="2"/>
  <c r="N439"/>
  <c r="D27" i="6"/>
  <c r="D46" i="5"/>
  <c r="D43" s="1"/>
  <c r="D143" s="1"/>
  <c r="D145" s="1"/>
  <c r="F15" i="2"/>
  <c r="C20" i="1" s="1"/>
  <c r="C111" s="1"/>
  <c r="C157" s="1"/>
  <c r="D29"/>
  <c r="I270" i="9"/>
  <c r="G68" i="3"/>
  <c r="J92" i="9"/>
  <c r="H437" i="2"/>
  <c r="H41" i="13"/>
  <c r="H32"/>
  <c r="K270" i="6"/>
  <c r="Q106"/>
  <c r="H143" i="5"/>
  <c r="I143"/>
  <c r="D19"/>
  <c r="D17" s="1"/>
  <c r="D13" s="1"/>
  <c r="I110"/>
  <c r="G110"/>
  <c r="G63"/>
  <c r="J63"/>
  <c r="L103"/>
  <c r="G32"/>
  <c r="I27"/>
  <c r="H32"/>
  <c r="F27"/>
  <c r="F114"/>
  <c r="H27"/>
  <c r="D38"/>
  <c r="D11" s="1"/>
  <c r="D10" s="1"/>
  <c r="G38"/>
  <c r="G157" i="2"/>
  <c r="D140" i="1"/>
  <c r="K50" i="8"/>
  <c r="K144" s="1"/>
  <c r="G86" i="3"/>
  <c r="D30" i="1"/>
  <c r="D120" s="1"/>
  <c r="D166" s="1"/>
  <c r="Q25" i="2"/>
  <c r="G393"/>
  <c r="G383"/>
  <c r="G387"/>
  <c r="I92" i="3"/>
  <c r="C140" i="1"/>
  <c r="I63" i="5"/>
  <c r="D152" i="2"/>
  <c r="D45"/>
  <c r="I57" i="13"/>
  <c r="F57"/>
  <c r="P13" i="3"/>
  <c r="J86"/>
  <c r="I86"/>
  <c r="G92"/>
  <c r="P92" s="1"/>
  <c r="F92"/>
  <c r="I62"/>
  <c r="M98"/>
  <c r="M9" s="1"/>
  <c r="L364" i="2"/>
  <c r="L363" s="1"/>
  <c r="L13"/>
  <c r="I18" i="1" s="1"/>
  <c r="F111" i="5"/>
  <c r="I77" i="6"/>
  <c r="H83"/>
  <c r="H49" i="5"/>
  <c r="E103"/>
  <c r="G27"/>
  <c r="F32"/>
  <c r="G56" i="7"/>
  <c r="G83" i="6"/>
  <c r="H77"/>
  <c r="I83"/>
  <c r="I49" i="5"/>
  <c r="J13" i="2"/>
  <c r="L63" i="5"/>
  <c r="J38"/>
  <c r="K13" i="2"/>
  <c r="H18" i="1" s="1"/>
  <c r="H33" i="8"/>
  <c r="I152" i="9"/>
  <c r="H92" i="3"/>
  <c r="K103" i="5"/>
  <c r="F50" i="7"/>
  <c r="G56" i="5"/>
  <c r="I56"/>
  <c r="K7" i="9"/>
  <c r="F422" i="2"/>
  <c r="G422"/>
  <c r="F163"/>
  <c r="H446"/>
  <c r="H678" s="1"/>
  <c r="F517"/>
  <c r="G199"/>
  <c r="N627"/>
  <c r="N626" s="1"/>
  <c r="K363"/>
  <c r="F470"/>
  <c r="G517"/>
  <c r="N387"/>
  <c r="F466"/>
  <c r="N619"/>
  <c r="N618" s="1"/>
  <c r="N417"/>
  <c r="H417"/>
  <c r="G49" i="5"/>
  <c r="E125"/>
  <c r="F477" i="2"/>
  <c r="G62" i="7"/>
  <c r="I50"/>
  <c r="I44"/>
  <c r="H86"/>
  <c r="I80"/>
  <c r="I86"/>
  <c r="H106"/>
  <c r="I106"/>
  <c r="I112"/>
  <c r="H74"/>
  <c r="H56"/>
  <c r="I56"/>
  <c r="I62"/>
  <c r="H56" i="5"/>
  <c r="N486" i="2"/>
  <c r="G148" i="6"/>
  <c r="L205"/>
  <c r="J205"/>
  <c r="H152"/>
  <c r="G41" i="13"/>
  <c r="I47"/>
  <c r="I14" s="1"/>
  <c r="I12" s="1"/>
  <c r="G344" i="2"/>
  <c r="L92" i="9"/>
  <c r="G109" i="8"/>
  <c r="G108" s="1"/>
  <c r="I26" i="3"/>
  <c r="F86"/>
  <c r="L86"/>
  <c r="L92"/>
  <c r="L98"/>
  <c r="L9" s="1"/>
  <c r="M86"/>
  <c r="F72" i="6"/>
  <c r="G100" i="5"/>
  <c r="N102"/>
  <c r="N100" s="1"/>
  <c r="H431" i="2"/>
  <c r="G193"/>
  <c r="L25"/>
  <c r="I30" i="1" s="1"/>
  <c r="I120" s="1"/>
  <c r="I166" s="1"/>
  <c r="L15" i="2"/>
  <c r="I20" i="1" s="1"/>
  <c r="I111" s="1"/>
  <c r="I157" s="1"/>
  <c r="H25" i="2"/>
  <c r="E30" i="1" s="1"/>
  <c r="E120" s="1"/>
  <c r="E166" s="1"/>
  <c r="H15" i="2"/>
  <c r="E20" i="1" s="1"/>
  <c r="E111" s="1"/>
  <c r="E157" s="1"/>
  <c r="F73" i="5"/>
  <c r="I116" i="8"/>
  <c r="I115" s="1"/>
  <c r="G116"/>
  <c r="G115" s="1"/>
  <c r="M110" i="6"/>
  <c r="D474" i="2"/>
  <c r="E131" i="5"/>
  <c r="D138" i="2"/>
  <c r="F112" i="7"/>
  <c r="F50" i="8"/>
  <c r="F144" s="1"/>
  <c r="N106" i="5"/>
  <c r="N104" s="1"/>
  <c r="N103" s="1"/>
  <c r="K38"/>
  <c r="I139" i="6"/>
  <c r="D195"/>
  <c r="D299" s="1"/>
  <c r="H194"/>
  <c r="H193" s="1"/>
  <c r="H192" s="1"/>
  <c r="J57" i="13"/>
  <c r="J119" s="1"/>
  <c r="J121" s="1"/>
  <c r="J122" s="1"/>
  <c r="G54" i="1" s="1"/>
  <c r="G33" i="8"/>
  <c r="G10" s="1"/>
  <c r="J11" i="13"/>
  <c r="L116" i="8"/>
  <c r="L115" s="1"/>
  <c r="G13" i="5"/>
  <c r="F104"/>
  <c r="F66"/>
  <c r="N240" i="6"/>
  <c r="H273" i="9"/>
  <c r="H272" s="1"/>
  <c r="I38" i="5"/>
  <c r="K270" i="9"/>
  <c r="H49" i="1" s="1"/>
  <c r="K63" i="5"/>
  <c r="G270" i="9"/>
  <c r="G269" s="1"/>
  <c r="F109" i="8"/>
  <c r="F108" s="1"/>
  <c r="H109"/>
  <c r="H108" s="1"/>
  <c r="F44" i="9"/>
  <c r="I13" i="5"/>
  <c r="H44" i="9"/>
  <c r="E111" i="5"/>
  <c r="F474" i="2"/>
  <c r="G44" i="7"/>
  <c r="G184" s="1"/>
  <c r="G185" s="1"/>
  <c r="G44" i="9"/>
  <c r="K11" i="13"/>
  <c r="I53"/>
  <c r="I18" s="1"/>
  <c r="F104" i="3"/>
  <c r="H104"/>
  <c r="H284" s="1"/>
  <c r="J104"/>
  <c r="J284" s="1"/>
  <c r="J44" i="7"/>
  <c r="E140" i="1"/>
  <c r="H32" i="9"/>
  <c r="G32"/>
  <c r="H50" i="7"/>
  <c r="G50"/>
  <c r="H44"/>
  <c r="G163" i="2"/>
  <c r="L140" i="1"/>
  <c r="M111" i="6"/>
  <c r="M114"/>
  <c r="M133"/>
  <c r="J103" i="5"/>
  <c r="K44" i="7"/>
  <c r="E100" i="5"/>
  <c r="M102"/>
  <c r="M100" s="1"/>
  <c r="I104"/>
  <c r="F57" i="1"/>
  <c r="F109" s="1"/>
  <c r="F155" s="1"/>
  <c r="M107" i="5"/>
  <c r="L38"/>
  <c r="D56" i="13"/>
  <c r="N56"/>
  <c r="M56"/>
  <c r="F145" i="6"/>
  <c r="M177"/>
  <c r="M175" s="1"/>
  <c r="M174" s="1"/>
  <c r="M170" s="1"/>
  <c r="F247" i="2"/>
  <c r="F47" i="13"/>
  <c r="F46" s="1"/>
  <c r="M49"/>
  <c r="H50" i="1"/>
  <c r="M47" i="7"/>
  <c r="M9" s="1"/>
  <c r="M7" s="1"/>
  <c r="N11" i="8"/>
  <c r="M100" i="6"/>
  <c r="J106"/>
  <c r="J105" s="1"/>
  <c r="M108"/>
  <c r="J116"/>
  <c r="J115" s="1"/>
  <c r="M128"/>
  <c r="N49" i="13"/>
  <c r="G104" i="5"/>
  <c r="D57" i="1"/>
  <c r="D109" s="1"/>
  <c r="D155" s="1"/>
  <c r="H104" i="5"/>
  <c r="E57" i="1"/>
  <c r="E109" s="1"/>
  <c r="E155" s="1"/>
  <c r="M106" i="5"/>
  <c r="L470" i="2"/>
  <c r="N13" i="13"/>
  <c r="G53"/>
  <c r="N55"/>
  <c r="N50"/>
  <c r="M50"/>
  <c r="L104" i="3"/>
  <c r="L284" s="1"/>
  <c r="G105" i="8"/>
  <c r="N107"/>
  <c r="N105" s="1"/>
  <c r="N113"/>
  <c r="M113"/>
  <c r="M109" s="1"/>
  <c r="M108" s="1"/>
  <c r="M203" i="6"/>
  <c r="N200"/>
  <c r="M200"/>
  <c r="F53" i="13"/>
  <c r="F18" s="1"/>
  <c r="D55"/>
  <c r="M55"/>
  <c r="N98" i="6"/>
  <c r="M98"/>
  <c r="K106"/>
  <c r="K289" s="1"/>
  <c r="N113"/>
  <c r="M113"/>
  <c r="M240"/>
  <c r="G72"/>
  <c r="D198"/>
  <c r="F60"/>
  <c r="L23"/>
  <c r="L21" s="1"/>
  <c r="K143"/>
  <c r="K142" s="1"/>
  <c r="K197"/>
  <c r="H197"/>
  <c r="M227"/>
  <c r="M226" s="1"/>
  <c r="N313" i="2"/>
  <c r="H13" i="5"/>
  <c r="N510" i="2"/>
  <c r="N509" s="1"/>
  <c r="N467"/>
  <c r="N471"/>
  <c r="I474"/>
  <c r="H470"/>
  <c r="H51" i="3"/>
  <c r="N17"/>
  <c r="J92"/>
  <c r="I104"/>
  <c r="I284" s="1"/>
  <c r="K86"/>
  <c r="G470" i="2"/>
  <c r="M15" i="6"/>
  <c r="P15" s="1"/>
  <c r="D52" i="3"/>
  <c r="D17" s="1"/>
  <c r="G46"/>
  <c r="N104" i="13"/>
  <c r="M104"/>
  <c r="M52" i="3"/>
  <c r="M51" s="1"/>
  <c r="M198" i="6"/>
  <c r="M140"/>
  <c r="M139" s="1"/>
  <c r="C88" i="1"/>
  <c r="F687" i="2"/>
  <c r="D87" i="1"/>
  <c r="G687" i="2"/>
  <c r="F88" i="1"/>
  <c r="F87" s="1"/>
  <c r="I687" i="2"/>
  <c r="H50" i="8"/>
  <c r="H144" s="1"/>
  <c r="I146"/>
  <c r="F22"/>
  <c r="F12"/>
  <c r="L146"/>
  <c r="J146"/>
  <c r="J147" s="1"/>
  <c r="D42"/>
  <c r="G31"/>
  <c r="G28" s="1"/>
  <c r="G21" s="1"/>
  <c r="F16"/>
  <c r="F28"/>
  <c r="L270" i="6"/>
  <c r="H489" i="2"/>
  <c r="J477"/>
  <c r="G146" i="8"/>
  <c r="D47" i="7"/>
  <c r="K7"/>
  <c r="N47"/>
  <c r="H441" i="2"/>
  <c r="E474"/>
  <c r="G466"/>
  <c r="N472"/>
  <c r="F489"/>
  <c r="K470"/>
  <c r="K477"/>
  <c r="J474"/>
  <c r="G36" i="13"/>
  <c r="I32"/>
  <c r="D176" i="2"/>
  <c r="K59" i="1"/>
  <c r="G98" i="13"/>
  <c r="N99"/>
  <c r="N98" s="1"/>
  <c r="M99"/>
  <c r="M98" s="1"/>
  <c r="J8" i="8"/>
  <c r="K8"/>
  <c r="I8"/>
  <c r="K58" i="1"/>
  <c r="M244" i="6"/>
  <c r="F13" i="5"/>
  <c r="L145"/>
  <c r="L146" s="1"/>
  <c r="J145"/>
  <c r="K145"/>
  <c r="K146" s="1"/>
  <c r="J13"/>
  <c r="M15"/>
  <c r="M14" s="1"/>
  <c r="N27"/>
  <c r="N19"/>
  <c r="N17" s="1"/>
  <c r="N15"/>
  <c r="N14" s="1"/>
  <c r="M19"/>
  <c r="M17" s="1"/>
  <c r="M13" i="13"/>
  <c r="L122"/>
  <c r="F27"/>
  <c r="G273" i="9"/>
  <c r="G272" s="1"/>
  <c r="N276"/>
  <c r="C55" i="1"/>
  <c r="M275" i="9"/>
  <c r="N274"/>
  <c r="F273"/>
  <c r="F272" s="1"/>
  <c r="M276"/>
  <c r="D55" i="1"/>
  <c r="L55" s="1"/>
  <c r="N275" i="9"/>
  <c r="M274"/>
  <c r="F44" i="8"/>
  <c r="F9" s="1"/>
  <c r="M107"/>
  <c r="D37"/>
  <c r="D20" s="1"/>
  <c r="M37"/>
  <c r="M20" s="1"/>
  <c r="M16" s="1"/>
  <c r="D49"/>
  <c r="D18" s="1"/>
  <c r="E116"/>
  <c r="E115" s="1"/>
  <c r="F36"/>
  <c r="F21" i="1"/>
  <c r="F112" s="1"/>
  <c r="F158" s="1"/>
  <c r="M46" i="8"/>
  <c r="M13" s="1"/>
  <c r="M12" s="1"/>
  <c r="G41"/>
  <c r="M34"/>
  <c r="D47"/>
  <c r="D14" s="1"/>
  <c r="K109"/>
  <c r="K108" s="1"/>
  <c r="N109"/>
  <c r="N108" s="1"/>
  <c r="M106"/>
  <c r="F16" i="6"/>
  <c r="M141"/>
  <c r="M145"/>
  <c r="F201"/>
  <c r="F14"/>
  <c r="L58" i="1"/>
  <c r="D69"/>
  <c r="D68" s="1"/>
  <c r="E61"/>
  <c r="E60" s="1"/>
  <c r="M47" i="3"/>
  <c r="M46" s="1"/>
  <c r="M17"/>
  <c r="N114" i="2"/>
  <c r="D137"/>
  <c r="I517"/>
  <c r="I9" s="1"/>
  <c r="E14"/>
  <c r="M14" s="1"/>
  <c r="M468"/>
  <c r="M40"/>
  <c r="M439"/>
  <c r="M471"/>
  <c r="M469"/>
  <c r="G474"/>
  <c r="N512"/>
  <c r="N511" s="1"/>
  <c r="M512"/>
  <c r="M511" s="1"/>
  <c r="I363"/>
  <c r="M366"/>
  <c r="M444"/>
  <c r="F17"/>
  <c r="M39"/>
  <c r="M38"/>
  <c r="F38" i="5"/>
  <c r="D56" i="3"/>
  <c r="D19"/>
  <c r="G337" i="2"/>
  <c r="H517"/>
  <c r="N38"/>
  <c r="G17"/>
  <c r="D22" i="1" s="1"/>
  <c r="N39" i="2"/>
  <c r="L59" i="1"/>
  <c r="G169" i="2"/>
  <c r="N366"/>
  <c r="J15"/>
  <c r="L29"/>
  <c r="D448"/>
  <c r="D375" s="1"/>
  <c r="G19"/>
  <c r="N442"/>
  <c r="D171" i="6"/>
  <c r="J139"/>
  <c r="G139"/>
  <c r="K148"/>
  <c r="G231"/>
  <c r="N110"/>
  <c r="N111"/>
  <c r="N114"/>
  <c r="N133"/>
  <c r="D123"/>
  <c r="D215"/>
  <c r="K186"/>
  <c r="G242"/>
  <c r="G241" s="1"/>
  <c r="N243"/>
  <c r="D204"/>
  <c r="N204"/>
  <c r="G96"/>
  <c r="N100"/>
  <c r="N203"/>
  <c r="D203"/>
  <c r="D104"/>
  <c r="N108"/>
  <c r="D109"/>
  <c r="N109"/>
  <c r="N145"/>
  <c r="N141"/>
  <c r="G16"/>
  <c r="N16" s="1"/>
  <c r="H14"/>
  <c r="N27" i="13"/>
  <c r="I17" i="6"/>
  <c r="F23" i="1" s="1"/>
  <c r="K17" i="6"/>
  <c r="H23" i="1" s="1"/>
  <c r="N17" i="6"/>
  <c r="N140"/>
  <c r="N139" s="1"/>
  <c r="G102"/>
  <c r="G17" s="1"/>
  <c r="D23" i="1" s="1"/>
  <c r="D103" i="6"/>
  <c r="H102"/>
  <c r="H95" s="1"/>
  <c r="J102"/>
  <c r="D110"/>
  <c r="G106"/>
  <c r="D111"/>
  <c r="D113"/>
  <c r="F121"/>
  <c r="F17" s="1"/>
  <c r="C23" i="1" s="1"/>
  <c r="D122" i="6"/>
  <c r="D132"/>
  <c r="H121"/>
  <c r="J121"/>
  <c r="L121"/>
  <c r="G125"/>
  <c r="N125" s="1"/>
  <c r="F231"/>
  <c r="D98"/>
  <c r="I96"/>
  <c r="I95" s="1"/>
  <c r="J96"/>
  <c r="J14" s="1"/>
  <c r="H106"/>
  <c r="D108"/>
  <c r="D114"/>
  <c r="D133"/>
  <c r="D128"/>
  <c r="F125"/>
  <c r="F124" s="1"/>
  <c r="N15"/>
  <c r="N216"/>
  <c r="N214" s="1"/>
  <c r="N38" i="5"/>
  <c r="N47" i="3"/>
  <c r="N46" s="1"/>
  <c r="N52"/>
  <c r="N51" s="1"/>
  <c r="G26"/>
  <c r="N27"/>
  <c r="H55"/>
  <c r="F36" i="13"/>
  <c r="G27"/>
  <c r="G32"/>
  <c r="H27"/>
  <c r="F129" i="2"/>
  <c r="D141" i="6"/>
  <c r="K118" i="7"/>
  <c r="D40" i="13"/>
  <c r="D50"/>
  <c r="D49"/>
  <c r="H57"/>
  <c r="L11"/>
  <c r="E147" i="8"/>
  <c r="L44"/>
  <c r="L9" s="1"/>
  <c r="D109"/>
  <c r="D108" s="1"/>
  <c r="N34"/>
  <c r="H44"/>
  <c r="H9" s="1"/>
  <c r="D46"/>
  <c r="D13" s="1"/>
  <c r="D35"/>
  <c r="D15" s="1"/>
  <c r="B55" i="1"/>
  <c r="E109" i="8"/>
  <c r="E108" s="1"/>
  <c r="K105"/>
  <c r="L105"/>
  <c r="I87" i="1"/>
  <c r="I50"/>
  <c r="G50"/>
  <c r="I118" i="7"/>
  <c r="F124"/>
  <c r="H124"/>
  <c r="J124"/>
  <c r="H112"/>
  <c r="I74"/>
  <c r="N254" i="6"/>
  <c r="N253" s="1"/>
  <c r="D255"/>
  <c r="F226"/>
  <c r="D217"/>
  <c r="G226"/>
  <c r="F175"/>
  <c r="F174" s="1"/>
  <c r="F170" s="1"/>
  <c r="D100"/>
  <c r="D216"/>
  <c r="N218"/>
  <c r="D219"/>
  <c r="D218" s="1"/>
  <c r="C29" i="1"/>
  <c r="D222" i="6"/>
  <c r="D22" s="1"/>
  <c r="F223"/>
  <c r="D224"/>
  <c r="D223" s="1"/>
  <c r="K13" i="5"/>
  <c r="J146"/>
  <c r="K49"/>
  <c r="L49"/>
  <c r="J49"/>
  <c r="H145"/>
  <c r="H146" s="1"/>
  <c r="I145"/>
  <c r="I146" s="1"/>
  <c r="L13"/>
  <c r="H63"/>
  <c r="E10"/>
  <c r="D61" i="1"/>
  <c r="D60" s="1"/>
  <c r="N72" i="4"/>
  <c r="N71" s="1"/>
  <c r="C60" i="1"/>
  <c r="D64" i="3"/>
  <c r="D63" s="1"/>
  <c r="F71"/>
  <c r="D72"/>
  <c r="D23" s="1"/>
  <c r="D42"/>
  <c r="D47"/>
  <c r="H86"/>
  <c r="K92"/>
  <c r="G55"/>
  <c r="N54" i="2"/>
  <c r="F508"/>
  <c r="F431"/>
  <c r="N482"/>
  <c r="G211"/>
  <c r="N157"/>
  <c r="E499"/>
  <c r="E86"/>
  <c r="G175"/>
  <c r="D523"/>
  <c r="D522" s="1"/>
  <c r="E16"/>
  <c r="B39" i="1" s="1"/>
  <c r="E511" i="2"/>
  <c r="F370"/>
  <c r="E514"/>
  <c r="E513" s="1"/>
  <c r="E31"/>
  <c r="E26"/>
  <c r="E17"/>
  <c r="D603"/>
  <c r="F143" i="6"/>
  <c r="F301"/>
  <c r="D140"/>
  <c r="E110" i="5"/>
  <c r="D105"/>
  <c r="D113"/>
  <c r="D111" s="1"/>
  <c r="D110" s="1"/>
  <c r="E145"/>
  <c r="E146" s="1"/>
  <c r="J56" i="1"/>
  <c r="H87"/>
  <c r="N99" i="3"/>
  <c r="N98" s="1"/>
  <c r="N87"/>
  <c r="N86" s="1"/>
  <c r="F17" i="7"/>
  <c r="F10"/>
  <c r="H118"/>
  <c r="J118"/>
  <c r="F80"/>
  <c r="H80"/>
  <c r="H62"/>
  <c r="G124"/>
  <c r="I124"/>
  <c r="K124"/>
  <c r="D124"/>
  <c r="D48"/>
  <c r="D27"/>
  <c r="N57"/>
  <c r="N56" s="1"/>
  <c r="K50"/>
  <c r="F118"/>
  <c r="D119"/>
  <c r="D118" s="1"/>
  <c r="H10"/>
  <c r="J50"/>
  <c r="H474" i="2"/>
  <c r="F393"/>
  <c r="N468"/>
  <c r="F145"/>
  <c r="N92"/>
  <c r="J470"/>
  <c r="F31" i="1"/>
  <c r="F121" s="1"/>
  <c r="F167" s="1"/>
  <c r="D31"/>
  <c r="I270" i="6"/>
  <c r="F148"/>
  <c r="F23"/>
  <c r="D116"/>
  <c r="D115" s="1"/>
  <c r="G221"/>
  <c r="G220" s="1"/>
  <c r="D615" i="2"/>
  <c r="D614" s="1"/>
  <c r="D88" i="9"/>
  <c r="I271"/>
  <c r="G133"/>
  <c r="F133"/>
  <c r="D16" i="6"/>
  <c r="E276" i="9"/>
  <c r="E273" s="1"/>
  <c r="E272" s="1"/>
  <c r="N83"/>
  <c r="D47"/>
  <c r="D44" s="1"/>
  <c r="D300" s="1"/>
  <c r="F269"/>
  <c r="D80"/>
  <c r="D79" s="1"/>
  <c r="D144"/>
  <c r="D139" s="1"/>
  <c r="D121"/>
  <c r="D118" s="1"/>
  <c r="F88"/>
  <c r="L152"/>
  <c r="J152"/>
  <c r="L271"/>
  <c r="J271"/>
  <c r="J278"/>
  <c r="J277" s="1"/>
  <c r="L278"/>
  <c r="L277" s="1"/>
  <c r="F170"/>
  <c r="F42"/>
  <c r="F38" s="1"/>
  <c r="N42"/>
  <c r="D155"/>
  <c r="D152" s="1"/>
  <c r="D77"/>
  <c r="D42"/>
  <c r="D38" s="1"/>
  <c r="D183"/>
  <c r="F74"/>
  <c r="G79"/>
  <c r="D282"/>
  <c r="D281" s="1"/>
  <c r="D270" s="1"/>
  <c r="D269" s="1"/>
  <c r="E270"/>
  <c r="N152"/>
  <c r="H139"/>
  <c r="F161"/>
  <c r="H83"/>
  <c r="G74"/>
  <c r="G42"/>
  <c r="N174"/>
  <c r="H179"/>
  <c r="N74"/>
  <c r="I83"/>
  <c r="G83"/>
  <c r="J170"/>
  <c r="I123"/>
  <c r="H170"/>
  <c r="L170"/>
  <c r="H123"/>
  <c r="G92"/>
  <c r="F79"/>
  <c r="H79"/>
  <c r="G170"/>
  <c r="I170"/>
  <c r="K170"/>
  <c r="D276"/>
  <c r="D273" s="1"/>
  <c r="D272" s="1"/>
  <c r="D174"/>
  <c r="G127"/>
  <c r="F152"/>
  <c r="F127"/>
  <c r="F188"/>
  <c r="H188"/>
  <c r="I183"/>
  <c r="G183"/>
  <c r="F174"/>
  <c r="G174"/>
  <c r="I188"/>
  <c r="G188"/>
  <c r="F183"/>
  <c r="H183"/>
  <c r="N183"/>
  <c r="F179"/>
  <c r="G179"/>
  <c r="H174"/>
  <c r="G528" i="2"/>
  <c r="D50" i="1" s="1"/>
  <c r="F481" i="2"/>
  <c r="G481"/>
  <c r="G313"/>
  <c r="F229"/>
  <c r="D202"/>
  <c r="D199" s="1"/>
  <c r="N572"/>
  <c r="N571" s="1"/>
  <c r="L517"/>
  <c r="L9" s="1"/>
  <c r="L8" s="1"/>
  <c r="G489"/>
  <c r="N528"/>
  <c r="N379"/>
  <c r="N378" s="1"/>
  <c r="F13"/>
  <c r="N469"/>
  <c r="N337"/>
  <c r="H528"/>
  <c r="E50" i="1" s="1"/>
  <c r="I528" i="2"/>
  <c r="F50" i="1" s="1"/>
  <c r="F528" i="2"/>
  <c r="C50" i="1" s="1"/>
  <c r="G370" i="2"/>
  <c r="H370"/>
  <c r="I466"/>
  <c r="H19" i="1"/>
  <c r="H110" s="1"/>
  <c r="H156" s="1"/>
  <c r="F19"/>
  <c r="F110" s="1"/>
  <c r="F156" s="1"/>
  <c r="G19"/>
  <c r="G110" s="1"/>
  <c r="G156" s="1"/>
  <c r="B61"/>
  <c r="B59"/>
  <c r="N59" s="1"/>
  <c r="D60" i="13"/>
  <c r="D57" s="1"/>
  <c r="D119" s="1"/>
  <c r="D121" s="1"/>
  <c r="D23"/>
  <c r="D19" s="1"/>
  <c r="D28"/>
  <c r="D27" s="1"/>
  <c r="G57"/>
  <c r="H53"/>
  <c r="G47"/>
  <c r="G46" s="1"/>
  <c r="I46"/>
  <c r="F98"/>
  <c r="I16"/>
  <c r="F52"/>
  <c r="N39"/>
  <c r="D39"/>
  <c r="D36" s="1"/>
  <c r="H47"/>
  <c r="H14" s="1"/>
  <c r="N37"/>
  <c r="P43"/>
  <c r="G213" i="6"/>
  <c r="D227"/>
  <c r="D226" s="1"/>
  <c r="J178"/>
  <c r="J148"/>
  <c r="J23"/>
  <c r="G209"/>
  <c r="G154"/>
  <c r="D211"/>
  <c r="D154" s="1"/>
  <c r="I298"/>
  <c r="I300" s="1"/>
  <c r="I209"/>
  <c r="I208" s="1"/>
  <c r="I205" s="1"/>
  <c r="G146"/>
  <c r="N146" s="1"/>
  <c r="G202"/>
  <c r="I144"/>
  <c r="I301" s="1"/>
  <c r="I202"/>
  <c r="I201" s="1"/>
  <c r="I197" s="1"/>
  <c r="D183"/>
  <c r="E240"/>
  <c r="E290"/>
  <c r="N244"/>
  <c r="F21"/>
  <c r="H23"/>
  <c r="D210"/>
  <c r="D176"/>
  <c r="D144" s="1"/>
  <c r="G299"/>
  <c r="G300" s="1"/>
  <c r="G152"/>
  <c r="G194"/>
  <c r="G193" s="1"/>
  <c r="I152"/>
  <c r="I194"/>
  <c r="I193" s="1"/>
  <c r="I192" s="1"/>
  <c r="D191"/>
  <c r="M191" s="1"/>
  <c r="N191"/>
  <c r="H190"/>
  <c r="H189" s="1"/>
  <c r="H186" s="1"/>
  <c r="G144"/>
  <c r="F139"/>
  <c r="F214"/>
  <c r="F213" s="1"/>
  <c r="H60"/>
  <c r="G60"/>
  <c r="I60"/>
  <c r="N27"/>
  <c r="F186"/>
  <c r="G186"/>
  <c r="F178"/>
  <c r="D179"/>
  <c r="D135"/>
  <c r="D134" s="1"/>
  <c r="D278" s="1"/>
  <c r="N198"/>
  <c r="F300"/>
  <c r="N226"/>
  <c r="D232"/>
  <c r="D231" s="1"/>
  <c r="D539" i="2"/>
  <c r="H481"/>
  <c r="I527"/>
  <c r="F536"/>
  <c r="F535" s="1"/>
  <c r="I536"/>
  <c r="I535" s="1"/>
  <c r="H67" i="1"/>
  <c r="H122" s="1"/>
  <c r="H168" s="1"/>
  <c r="K536" i="2"/>
  <c r="K535" s="1"/>
  <c r="K688" s="1"/>
  <c r="H531"/>
  <c r="B65" i="1"/>
  <c r="J65" s="1"/>
  <c r="H527" i="2"/>
  <c r="E49" i="1" s="1"/>
  <c r="N104" i="2"/>
  <c r="G536"/>
  <c r="G535" s="1"/>
  <c r="H536"/>
  <c r="H535" s="1"/>
  <c r="I67" i="1"/>
  <c r="I122" s="1"/>
  <c r="I168" s="1"/>
  <c r="L536" i="2"/>
  <c r="L535" s="1"/>
  <c r="L688" s="1"/>
  <c r="G67" i="1"/>
  <c r="G122" s="1"/>
  <c r="G168" s="1"/>
  <c r="J536" i="2"/>
  <c r="J535" s="1"/>
  <c r="J688" s="1"/>
  <c r="G531"/>
  <c r="F206"/>
  <c r="F205" s="1"/>
  <c r="F531"/>
  <c r="G413"/>
  <c r="I481"/>
  <c r="I489"/>
  <c r="H174" i="6"/>
  <c r="H170" s="1"/>
  <c r="I148"/>
  <c r="H139"/>
  <c r="I186"/>
  <c r="D182"/>
  <c r="G178"/>
  <c r="K170"/>
  <c r="I170"/>
  <c r="G170"/>
  <c r="J300"/>
  <c r="N61"/>
  <c r="N60" s="1"/>
  <c r="D60"/>
  <c r="D66"/>
  <c r="L143"/>
  <c r="L19" s="1"/>
  <c r="I26" i="1" s="1"/>
  <c r="K300" i="6"/>
  <c r="L186"/>
  <c r="J186"/>
  <c r="L178"/>
  <c r="J143"/>
  <c r="L139"/>
  <c r="H300"/>
  <c r="H143"/>
  <c r="H178"/>
  <c r="D149"/>
  <c r="E301"/>
  <c r="K139"/>
  <c r="H151"/>
  <c r="H25" s="1"/>
  <c r="H24" s="1"/>
  <c r="N187"/>
  <c r="D187"/>
  <c r="M187" s="1"/>
  <c r="K181"/>
  <c r="K178" s="1"/>
  <c r="K151"/>
  <c r="K25" s="1"/>
  <c r="H35" i="1" s="1"/>
  <c r="I181" i="6"/>
  <c r="I178" s="1"/>
  <c r="N170"/>
  <c r="L151"/>
  <c r="L25" s="1"/>
  <c r="I35" i="1" s="1"/>
  <c r="F151" i="6"/>
  <c r="F25" s="1"/>
  <c r="C35" i="1" s="1"/>
  <c r="L170" i="6"/>
  <c r="J170"/>
  <c r="H161" i="9"/>
  <c r="N161"/>
  <c r="D162"/>
  <c r="D161" s="1"/>
  <c r="D8" s="1"/>
  <c r="G161"/>
  <c r="F95" i="6"/>
  <c r="D90" i="3"/>
  <c r="P90" s="1"/>
  <c r="F46"/>
  <c r="G104"/>
  <c r="G284" s="1"/>
  <c r="H62"/>
  <c r="H68"/>
  <c r="H38"/>
  <c r="N63"/>
  <c r="N62" s="1"/>
  <c r="F63"/>
  <c r="G41"/>
  <c r="I41"/>
  <c r="G51"/>
  <c r="F80"/>
  <c r="F284" s="1"/>
  <c r="F58"/>
  <c r="D74"/>
  <c r="D83"/>
  <c r="D80" s="1"/>
  <c r="J38"/>
  <c r="F27"/>
  <c r="M27" s="1"/>
  <c r="F74"/>
  <c r="G27" i="6"/>
  <c r="K27"/>
  <c r="G192"/>
  <c r="J151"/>
  <c r="J25" s="1"/>
  <c r="G35" i="1" s="1"/>
  <c r="N74" i="3"/>
  <c r="N127" i="9"/>
  <c r="D131"/>
  <c r="N129" i="2"/>
  <c r="N83" i="6"/>
  <c r="F77"/>
  <c r="J27"/>
  <c r="D250"/>
  <c r="D249" s="1"/>
  <c r="D240" s="1"/>
  <c r="F243"/>
  <c r="F27"/>
  <c r="H27"/>
  <c r="I290"/>
  <c r="I124"/>
  <c r="K124"/>
  <c r="K290"/>
  <c r="H290"/>
  <c r="H124"/>
  <c r="J124"/>
  <c r="J290"/>
  <c r="L124"/>
  <c r="L290"/>
  <c r="H238"/>
  <c r="H98" i="3"/>
  <c r="H9" s="1"/>
  <c r="J98"/>
  <c r="J9" s="1"/>
  <c r="H46"/>
  <c r="K98"/>
  <c r="K9" s="1"/>
  <c r="G62"/>
  <c r="D105"/>
  <c r="G33"/>
  <c r="G16" s="1"/>
  <c r="G15" s="1"/>
  <c r="I33"/>
  <c r="I16" s="1"/>
  <c r="I15" s="1"/>
  <c r="K104"/>
  <c r="K284" s="1"/>
  <c r="H33"/>
  <c r="H16" s="1"/>
  <c r="H15" s="1"/>
  <c r="D87"/>
  <c r="D102"/>
  <c r="F32"/>
  <c r="D99"/>
  <c r="D107"/>
  <c r="G98"/>
  <c r="G9" s="1"/>
  <c r="I98"/>
  <c r="I9" s="1"/>
  <c r="F140" i="1"/>
  <c r="L289" i="6"/>
  <c r="L105"/>
  <c r="L95"/>
  <c r="F105"/>
  <c r="I34" i="1"/>
  <c r="I124" s="1"/>
  <c r="I170" s="1"/>
  <c r="H34"/>
  <c r="H124" s="1"/>
  <c r="H170" s="1"/>
  <c r="F34"/>
  <c r="F124" s="1"/>
  <c r="F170" s="1"/>
  <c r="J140"/>
  <c r="D64" i="2"/>
  <c r="E64"/>
  <c r="E62"/>
  <c r="J473"/>
  <c r="L477"/>
  <c r="K517"/>
  <c r="K9" s="1"/>
  <c r="K8" s="1"/>
  <c r="N351"/>
  <c r="D396"/>
  <c r="D393" s="1"/>
  <c r="N399"/>
  <c r="N193"/>
  <c r="D334"/>
  <c r="D331" s="1"/>
  <c r="D479"/>
  <c r="D33" s="1"/>
  <c r="E479"/>
  <c r="E33" s="1"/>
  <c r="H33"/>
  <c r="H477"/>
  <c r="H473" s="1"/>
  <c r="I33"/>
  <c r="I477"/>
  <c r="I473" s="1"/>
  <c r="N517"/>
  <c r="L19"/>
  <c r="I25" i="1" s="1"/>
  <c r="I113" s="1"/>
  <c r="I159" s="1"/>
  <c r="L511" i="2"/>
  <c r="J19"/>
  <c r="J511"/>
  <c r="J508" s="1"/>
  <c r="D572"/>
  <c r="D571" s="1"/>
  <c r="H422"/>
  <c r="F181"/>
  <c r="G181"/>
  <c r="D494"/>
  <c r="D489" s="1"/>
  <c r="H466"/>
  <c r="I470"/>
  <c r="F383"/>
  <c r="L126" i="1"/>
  <c r="K30" i="2"/>
  <c r="K29" s="1"/>
  <c r="K27"/>
  <c r="H32" i="1" s="1"/>
  <c r="H123" s="1"/>
  <c r="K19" i="2"/>
  <c r="H25" i="1" s="1"/>
  <c r="H113" s="1"/>
  <c r="H159" s="1"/>
  <c r="K511" i="2"/>
  <c r="K508" s="1"/>
  <c r="L509"/>
  <c r="K26"/>
  <c r="K474"/>
  <c r="L24"/>
  <c r="I29" i="1" s="1"/>
  <c r="L474" i="2"/>
  <c r="L14"/>
  <c r="I19" i="1" s="1"/>
  <c r="L466" i="2"/>
  <c r="D358"/>
  <c r="D357" s="1"/>
  <c r="D418"/>
  <c r="I422"/>
  <c r="G426"/>
  <c r="F426"/>
  <c r="H426"/>
  <c r="G431"/>
  <c r="F169"/>
  <c r="D170"/>
  <c r="D72"/>
  <c r="J466"/>
  <c r="J465" s="1"/>
  <c r="F337"/>
  <c r="F193"/>
  <c r="N602"/>
  <c r="N601" s="1"/>
  <c r="J517"/>
  <c r="N499"/>
  <c r="F378"/>
  <c r="F387"/>
  <c r="G235"/>
  <c r="D161"/>
  <c r="F157"/>
  <c r="F199"/>
  <c r="N181"/>
  <c r="N408"/>
  <c r="D211"/>
  <c r="F211"/>
  <c r="F217"/>
  <c r="F223"/>
  <c r="G241"/>
  <c r="F235"/>
  <c r="D154"/>
  <c r="E518"/>
  <c r="E517" s="1"/>
  <c r="E510"/>
  <c r="D166"/>
  <c r="D163" s="1"/>
  <c r="D178"/>
  <c r="F121"/>
  <c r="D405"/>
  <c r="D404" s="1"/>
  <c r="N606"/>
  <c r="N605" s="1"/>
  <c r="H344"/>
  <c r="D182"/>
  <c r="D181" s="1"/>
  <c r="D235"/>
  <c r="E58"/>
  <c r="D69"/>
  <c r="E69"/>
  <c r="D99"/>
  <c r="E99"/>
  <c r="D122"/>
  <c r="D149"/>
  <c r="D146"/>
  <c r="F151"/>
  <c r="F137"/>
  <c r="F319"/>
  <c r="D587"/>
  <c r="D586" s="1"/>
  <c r="G508"/>
  <c r="N146"/>
  <c r="N145" s="1"/>
  <c r="F399"/>
  <c r="F408"/>
  <c r="F413"/>
  <c r="F417"/>
  <c r="F187"/>
  <c r="G223"/>
  <c r="G229"/>
  <c r="P517"/>
  <c r="D125"/>
  <c r="D478"/>
  <c r="D477" s="1"/>
  <c r="D107"/>
  <c r="D86"/>
  <c r="D30"/>
  <c r="F527"/>
  <c r="C49" i="1" s="1"/>
  <c r="H508" i="2"/>
  <c r="D414"/>
  <c r="D413" s="1"/>
  <c r="D190"/>
  <c r="D187" s="1"/>
  <c r="D197"/>
  <c r="D193" s="1"/>
  <c r="D319"/>
  <c r="G527"/>
  <c r="D49" i="1" s="1"/>
  <c r="F313" i="2"/>
  <c r="D115"/>
  <c r="M41"/>
  <c r="N217"/>
  <c r="D223"/>
  <c r="D230"/>
  <c r="D229" s="1"/>
  <c r="N241"/>
  <c r="N205"/>
  <c r="G205"/>
  <c r="G217"/>
  <c r="D242"/>
  <c r="D241" s="1"/>
  <c r="F331"/>
  <c r="F111" i="1"/>
  <c r="F157" s="1"/>
  <c r="D502" i="2"/>
  <c r="D499" s="1"/>
  <c r="D471"/>
  <c r="G23"/>
  <c r="D96"/>
  <c r="N21"/>
  <c r="D314"/>
  <c r="D313" s="1"/>
  <c r="D381"/>
  <c r="D384"/>
  <c r="D383" s="1"/>
  <c r="D643"/>
  <c r="D642" s="1"/>
  <c r="I508"/>
  <c r="E472"/>
  <c r="M472" s="1"/>
  <c r="D105"/>
  <c r="D543"/>
  <c r="D542" s="1"/>
  <c r="D432"/>
  <c r="D431" s="1"/>
  <c r="H26"/>
  <c r="D402"/>
  <c r="D420"/>
  <c r="D158"/>
  <c r="F67" i="1"/>
  <c r="F122" s="1"/>
  <c r="F168" s="1"/>
  <c r="D247" i="2"/>
  <c r="E67" i="1"/>
  <c r="E122" s="1"/>
  <c r="E168" s="1"/>
  <c r="D206" i="2"/>
  <c r="D205" s="1"/>
  <c r="H610"/>
  <c r="H609" s="1"/>
  <c r="H685" s="1"/>
  <c r="H337"/>
  <c r="D326"/>
  <c r="N229"/>
  <c r="F241"/>
  <c r="I19"/>
  <c r="D217"/>
  <c r="G247"/>
  <c r="H19"/>
  <c r="G34" i="1"/>
  <c r="G124" s="1"/>
  <c r="G170" s="1"/>
  <c r="F120"/>
  <c r="F166" s="1"/>
  <c r="C120"/>
  <c r="C166" s="1"/>
  <c r="I23" i="2"/>
  <c r="K466"/>
  <c r="K465" s="1"/>
  <c r="H16"/>
  <c r="D329"/>
  <c r="F325"/>
  <c r="L16"/>
  <c r="J16"/>
  <c r="J26"/>
  <c r="F26"/>
  <c r="N325"/>
  <c r="I344"/>
  <c r="D338"/>
  <c r="D337" s="1"/>
  <c r="F16"/>
  <c r="D345"/>
  <c r="D344" s="1"/>
  <c r="I337"/>
  <c r="G120" i="1"/>
  <c r="G166" s="1"/>
  <c r="H111"/>
  <c r="H157" s="1"/>
  <c r="D90" i="4"/>
  <c r="D89" s="1"/>
  <c r="N55"/>
  <c r="N54" s="1"/>
  <c r="F51" i="3"/>
  <c r="N139" i="9"/>
  <c r="G139"/>
  <c r="F139"/>
  <c r="H152"/>
  <c r="G152"/>
  <c r="L148"/>
  <c r="L299" s="1"/>
  <c r="K148"/>
  <c r="K299" s="1"/>
  <c r="J148"/>
  <c r="J299" s="1"/>
  <c r="I148"/>
  <c r="I299" s="1"/>
  <c r="H148"/>
  <c r="G148"/>
  <c r="F148"/>
  <c r="F299" s="1"/>
  <c r="I157"/>
  <c r="I300" s="1"/>
  <c r="H157"/>
  <c r="G157"/>
  <c r="F157"/>
  <c r="L157"/>
  <c r="K157"/>
  <c r="J157"/>
  <c r="K92"/>
  <c r="G123"/>
  <c r="H92"/>
  <c r="H300" s="1"/>
  <c r="K95" i="6"/>
  <c r="F289"/>
  <c r="K21"/>
  <c r="I21"/>
  <c r="G21"/>
  <c r="D91"/>
  <c r="D88" s="1"/>
  <c r="G88"/>
  <c r="P88" s="1"/>
  <c r="F119" i="1"/>
  <c r="B29"/>
  <c r="G436" i="2"/>
  <c r="J364"/>
  <c r="J363" s="1"/>
  <c r="F436"/>
  <c r="E119" i="1"/>
  <c r="F98" i="3"/>
  <c r="H108" i="1" l="1"/>
  <c r="L9" i="9"/>
  <c r="J9"/>
  <c r="N369" i="2"/>
  <c r="G299" i="9"/>
  <c r="H299"/>
  <c r="H301" s="1"/>
  <c r="I9"/>
  <c r="H9"/>
  <c r="J283" i="3"/>
  <c r="H23" i="2"/>
  <c r="F8" i="9"/>
  <c r="H8"/>
  <c r="H365" i="2"/>
  <c r="H13" s="1"/>
  <c r="E18" i="1" s="1"/>
  <c r="F465" i="2"/>
  <c r="D122" i="13"/>
  <c r="H20" i="2"/>
  <c r="H18" s="1"/>
  <c r="D146" i="5"/>
  <c r="H18" i="13"/>
  <c r="H16" s="1"/>
  <c r="G52"/>
  <c r="G18"/>
  <c r="E19" i="1"/>
  <c r="H12" i="13"/>
  <c r="K13" i="6"/>
  <c r="I289"/>
  <c r="D152"/>
  <c r="C21" i="1"/>
  <c r="I688" i="2"/>
  <c r="N239" i="6"/>
  <c r="N238" s="1"/>
  <c r="G18" i="1"/>
  <c r="G108" s="1"/>
  <c r="H169"/>
  <c r="E35"/>
  <c r="E125" s="1"/>
  <c r="E171" s="1"/>
  <c r="N17" i="2"/>
  <c r="I31" i="1"/>
  <c r="I121" s="1"/>
  <c r="I167" s="1"/>
  <c r="G143" i="5"/>
  <c r="G145" s="1"/>
  <c r="G146" s="1"/>
  <c r="D473" i="2"/>
  <c r="F49" i="1"/>
  <c r="F48" s="1"/>
  <c r="M270" i="9"/>
  <c r="F119" i="13"/>
  <c r="F121" s="1"/>
  <c r="L269" i="9"/>
  <c r="N270"/>
  <c r="H436" i="2"/>
  <c r="D175"/>
  <c r="K105" i="6"/>
  <c r="D71" i="3"/>
  <c r="D68" s="1"/>
  <c r="H119" i="13"/>
  <c r="H121" s="1"/>
  <c r="H122" s="1"/>
  <c r="H102" s="1"/>
  <c r="H101" s="1"/>
  <c r="M437" i="2"/>
  <c r="M436" s="1"/>
  <c r="F110" i="5"/>
  <c r="K473" i="2"/>
  <c r="G473"/>
  <c r="D301" i="9"/>
  <c r="F300"/>
  <c r="F301" s="1"/>
  <c r="G300"/>
  <c r="L300"/>
  <c r="J300"/>
  <c r="L7"/>
  <c r="D9" i="7"/>
  <c r="D7" s="1"/>
  <c r="D13"/>
  <c r="D11" s="1"/>
  <c r="N45"/>
  <c r="N44" s="1"/>
  <c r="N9"/>
  <c r="N7" s="1"/>
  <c r="K300" i="9"/>
  <c r="J7"/>
  <c r="L102" i="13"/>
  <c r="L101" s="1"/>
  <c r="I54" i="1"/>
  <c r="I108" s="1"/>
  <c r="E269" i="9"/>
  <c r="B49" i="1"/>
  <c r="F143" i="5"/>
  <c r="F145" s="1"/>
  <c r="F146" s="1"/>
  <c r="M89"/>
  <c r="N90"/>
  <c r="M90"/>
  <c r="M88" s="1"/>
  <c r="D104"/>
  <c r="D103" s="1"/>
  <c r="N89"/>
  <c r="H103"/>
  <c r="F103"/>
  <c r="G103"/>
  <c r="I103"/>
  <c r="H526" i="2"/>
  <c r="D32"/>
  <c r="J8" i="3"/>
  <c r="H283"/>
  <c r="P55"/>
  <c r="J292" i="6"/>
  <c r="J303" s="1"/>
  <c r="K8" i="3"/>
  <c r="L8"/>
  <c r="K283"/>
  <c r="L283"/>
  <c r="I84" i="1" s="1"/>
  <c r="I78" s="1"/>
  <c r="F12" i="3"/>
  <c r="F11" s="1"/>
  <c r="F10" s="1"/>
  <c r="P71"/>
  <c r="N13" i="5"/>
  <c r="I119" i="6"/>
  <c r="I11" s="1"/>
  <c r="F14" i="1" s="1"/>
  <c r="I465" i="2"/>
  <c r="G124" i="6"/>
  <c r="I52" i="13"/>
  <c r="H270" i="6"/>
  <c r="D437" i="2"/>
  <c r="G16" i="13"/>
  <c r="N437" i="2"/>
  <c r="N436" s="1"/>
  <c r="F292" i="6"/>
  <c r="F303" s="1"/>
  <c r="J270"/>
  <c r="G10" i="3"/>
  <c r="P25" i="5"/>
  <c r="G11"/>
  <c r="G10" s="1"/>
  <c r="J11"/>
  <c r="F11"/>
  <c r="F10" s="1"/>
  <c r="I11"/>
  <c r="I10" s="1"/>
  <c r="L11"/>
  <c r="L10" s="1"/>
  <c r="K11"/>
  <c r="K10" s="1"/>
  <c r="H11"/>
  <c r="H10" s="1"/>
  <c r="N9" i="8"/>
  <c r="K146"/>
  <c r="K147" s="1"/>
  <c r="D54"/>
  <c r="F68" i="3"/>
  <c r="G270" i="6"/>
  <c r="P220"/>
  <c r="K292"/>
  <c r="K303" s="1"/>
  <c r="G289"/>
  <c r="D189"/>
  <c r="M189" s="1"/>
  <c r="M186" s="1"/>
  <c r="D447" i="2"/>
  <c r="D48" i="1"/>
  <c r="C48"/>
  <c r="D151" i="2"/>
  <c r="G290" i="6"/>
  <c r="D175"/>
  <c r="I119" i="13"/>
  <c r="I121" s="1"/>
  <c r="I122" s="1"/>
  <c r="I102" s="1"/>
  <c r="I101" s="1"/>
  <c r="K269" i="9"/>
  <c r="D277" i="6"/>
  <c r="D279" s="1"/>
  <c r="D446" i="2"/>
  <c r="D678" s="1"/>
  <c r="N12" i="3"/>
  <c r="N11" s="1"/>
  <c r="H10"/>
  <c r="D41"/>
  <c r="D38" s="1"/>
  <c r="D22"/>
  <c r="I10"/>
  <c r="G292" i="6"/>
  <c r="G303" s="1"/>
  <c r="N9" i="3"/>
  <c r="F9"/>
  <c r="D98"/>
  <c r="D9" s="1"/>
  <c r="H292" i="6"/>
  <c r="H303" s="1"/>
  <c r="L292"/>
  <c r="L303" s="1"/>
  <c r="I292"/>
  <c r="I303" s="1"/>
  <c r="D86" i="3"/>
  <c r="H10" i="8"/>
  <c r="N10" s="1"/>
  <c r="M144" i="6"/>
  <c r="M105" i="8"/>
  <c r="N365" i="2"/>
  <c r="N364" s="1"/>
  <c r="G13"/>
  <c r="G63" i="1"/>
  <c r="G62" s="1"/>
  <c r="G72" s="1"/>
  <c r="G465" i="2"/>
  <c r="E40" i="1"/>
  <c r="N470" i="2"/>
  <c r="D157"/>
  <c r="F473"/>
  <c r="L465"/>
  <c r="N481"/>
  <c r="M15"/>
  <c r="H465"/>
  <c r="N508"/>
  <c r="I18"/>
  <c r="I11" s="1"/>
  <c r="F146" i="8"/>
  <c r="G32" i="3"/>
  <c r="J19" i="6"/>
  <c r="D106"/>
  <c r="K19"/>
  <c r="H19"/>
  <c r="H289"/>
  <c r="H105"/>
  <c r="F94"/>
  <c r="N273" i="9"/>
  <c r="N272" s="1"/>
  <c r="P49" i="8"/>
  <c r="F688" i="2"/>
  <c r="M273" i="9"/>
  <c r="M272" s="1"/>
  <c r="N213" i="6"/>
  <c r="M11" i="8"/>
  <c r="D221" i="6"/>
  <c r="D220" s="1"/>
  <c r="H32" i="3"/>
  <c r="H146" i="8"/>
  <c r="H147" s="1"/>
  <c r="J10" i="5"/>
  <c r="H57" i="1"/>
  <c r="H53" s="1"/>
  <c r="H52" s="1"/>
  <c r="H71" s="1"/>
  <c r="M13" i="7"/>
  <c r="M11" s="1"/>
  <c r="M10" s="1"/>
  <c r="I301" i="9"/>
  <c r="I302" s="1"/>
  <c r="N271"/>
  <c r="D45" i="7"/>
  <c r="D44" s="1"/>
  <c r="D187"/>
  <c r="G8" i="8"/>
  <c r="M104" i="5"/>
  <c r="M103" s="1"/>
  <c r="M125" i="6"/>
  <c r="M124" s="1"/>
  <c r="M119" s="1"/>
  <c r="M118" s="1"/>
  <c r="H45" i="3"/>
  <c r="I94" i="6"/>
  <c r="D102"/>
  <c r="D202"/>
  <c r="N189"/>
  <c r="N186" s="1"/>
  <c r="K119"/>
  <c r="F290"/>
  <c r="J95"/>
  <c r="J94" s="1"/>
  <c r="I151"/>
  <c r="I25" s="1"/>
  <c r="F35" i="1" s="1"/>
  <c r="D190" i="6"/>
  <c r="M190" s="1"/>
  <c r="D21" i="1"/>
  <c r="D112" s="1"/>
  <c r="D158" s="1"/>
  <c r="J289" i="6"/>
  <c r="M106"/>
  <c r="M105" s="1"/>
  <c r="M202"/>
  <c r="G14"/>
  <c r="G13" s="1"/>
  <c r="M96"/>
  <c r="M95" s="1"/>
  <c r="L22" i="1"/>
  <c r="L114" s="1"/>
  <c r="G20"/>
  <c r="L20" s="1"/>
  <c r="L111" s="1"/>
  <c r="M531" i="2"/>
  <c r="M530" s="1"/>
  <c r="M529" s="1"/>
  <c r="G688"/>
  <c r="M45" i="3"/>
  <c r="N45"/>
  <c r="D46"/>
  <c r="M243" i="6"/>
  <c r="M242" s="1"/>
  <c r="M241" s="1"/>
  <c r="M16" i="3"/>
  <c r="M15" s="1"/>
  <c r="M33"/>
  <c r="M32" s="1"/>
  <c r="N53" i="13"/>
  <c r="N52" s="1"/>
  <c r="N47"/>
  <c r="N46" s="1"/>
  <c r="G45" i="3"/>
  <c r="F197" i="6"/>
  <c r="F142"/>
  <c r="G95"/>
  <c r="D96"/>
  <c r="E88" i="1"/>
  <c r="E87" s="1"/>
  <c r="H687" i="2"/>
  <c r="H688" s="1"/>
  <c r="D139" i="6"/>
  <c r="F11" i="8"/>
  <c r="D51"/>
  <c r="D31"/>
  <c r="P31" s="1"/>
  <c r="D41"/>
  <c r="D38"/>
  <c r="F21"/>
  <c r="F31" i="2"/>
  <c r="C34" i="1" s="1"/>
  <c r="C124" s="1"/>
  <c r="C170" s="1"/>
  <c r="M442" i="2"/>
  <c r="M441" s="1"/>
  <c r="M435" s="1"/>
  <c r="K11" i="7"/>
  <c r="K10" s="1"/>
  <c r="N13"/>
  <c r="N11" s="1"/>
  <c r="N10" s="1"/>
  <c r="M45"/>
  <c r="M44" s="1"/>
  <c r="B19" i="1"/>
  <c r="B110" s="1"/>
  <c r="B156" s="1"/>
  <c r="N14" i="2"/>
  <c r="I48" i="1"/>
  <c r="I63"/>
  <c r="I62" s="1"/>
  <c r="I72" s="1"/>
  <c r="I86" s="1"/>
  <c r="D28"/>
  <c r="F530" i="2"/>
  <c r="F529" s="1"/>
  <c r="D15" i="6"/>
  <c r="P17" s="1"/>
  <c r="I7" i="9"/>
  <c r="H63" i="1"/>
  <c r="H62" s="1"/>
  <c r="H72" s="1"/>
  <c r="H86" s="1"/>
  <c r="K55"/>
  <c r="K50"/>
  <c r="D45" i="8"/>
  <c r="L8"/>
  <c r="D48"/>
  <c r="F238" i="6"/>
  <c r="M239"/>
  <c r="M238" s="1"/>
  <c r="M13" i="5"/>
  <c r="F14" i="13"/>
  <c r="F12" s="1"/>
  <c r="M47"/>
  <c r="M46" s="1"/>
  <c r="M53"/>
  <c r="M52" s="1"/>
  <c r="I269" i="9"/>
  <c r="M271"/>
  <c r="M10"/>
  <c r="M45" i="8"/>
  <c r="F33"/>
  <c r="M48"/>
  <c r="D36"/>
  <c r="G48" i="1"/>
  <c r="I147" i="8"/>
  <c r="M36"/>
  <c r="M33" s="1"/>
  <c r="M16" i="6"/>
  <c r="P16" s="1"/>
  <c r="M299"/>
  <c r="F19"/>
  <c r="M146"/>
  <c r="M26" i="3"/>
  <c r="L508" i="2"/>
  <c r="M365"/>
  <c r="M364" s="1"/>
  <c r="E509"/>
  <c r="E508" s="1"/>
  <c r="M510"/>
  <c r="M509" s="1"/>
  <c r="M508" s="1"/>
  <c r="M16"/>
  <c r="M470"/>
  <c r="M36"/>
  <c r="M35" s="1"/>
  <c r="C22" i="1"/>
  <c r="C114" s="1"/>
  <c r="C160" s="1"/>
  <c r="M17" i="2"/>
  <c r="N15"/>
  <c r="G18"/>
  <c r="N19"/>
  <c r="K18"/>
  <c r="L23"/>
  <c r="L22" s="1"/>
  <c r="D325"/>
  <c r="L473"/>
  <c r="N368"/>
  <c r="N367" s="1"/>
  <c r="G530"/>
  <c r="G529" s="1"/>
  <c r="N531"/>
  <c r="N530" s="1"/>
  <c r="N529" s="1"/>
  <c r="G201" i="6"/>
  <c r="G197" s="1"/>
  <c r="N202"/>
  <c r="N106"/>
  <c r="N105" s="1"/>
  <c r="N96"/>
  <c r="N95" s="1"/>
  <c r="G301"/>
  <c r="N144"/>
  <c r="I14"/>
  <c r="F18" i="1" s="1"/>
  <c r="J120" i="6"/>
  <c r="J119" s="1"/>
  <c r="J17"/>
  <c r="G23" i="1" s="1"/>
  <c r="L120" i="6"/>
  <c r="L119" s="1"/>
  <c r="L17"/>
  <c r="I23" i="1" s="1"/>
  <c r="H120" i="6"/>
  <c r="H119" s="1"/>
  <c r="H17"/>
  <c r="E23" i="1" s="1"/>
  <c r="G105" i="6"/>
  <c r="N51" i="4"/>
  <c r="D51" i="3"/>
  <c r="N16"/>
  <c r="N15" s="1"/>
  <c r="N33"/>
  <c r="N32" s="1"/>
  <c r="N527" i="2"/>
  <c r="N526" s="1"/>
  <c r="L50" i="1"/>
  <c r="H48"/>
  <c r="N124" i="6"/>
  <c r="N119" s="1"/>
  <c r="L147" i="8"/>
  <c r="G147"/>
  <c r="F16" i="13"/>
  <c r="G14"/>
  <c r="G12" s="1"/>
  <c r="D47"/>
  <c r="D14" s="1"/>
  <c r="D12" s="1"/>
  <c r="D53"/>
  <c r="D18" s="1"/>
  <c r="P30" i="8"/>
  <c r="P24"/>
  <c r="D34"/>
  <c r="D33" s="1"/>
  <c r="D10" s="1"/>
  <c r="N45"/>
  <c r="N44" s="1"/>
  <c r="D22"/>
  <c r="N36"/>
  <c r="N33" s="1"/>
  <c r="J55" i="1"/>
  <c r="N55"/>
  <c r="D12" i="8"/>
  <c r="F120" i="6"/>
  <c r="F119" s="1"/>
  <c r="D121"/>
  <c r="F220"/>
  <c r="F270" s="1"/>
  <c r="J29" i="1"/>
  <c r="D125" i="6"/>
  <c r="D124" s="1"/>
  <c r="D282" s="1"/>
  <c r="G87" i="1"/>
  <c r="J61"/>
  <c r="N61"/>
  <c r="I32" i="3"/>
  <c r="D33"/>
  <c r="D16" s="1"/>
  <c r="D15" s="1"/>
  <c r="E25" i="1"/>
  <c r="E113" s="1"/>
  <c r="F26" i="3"/>
  <c r="D27"/>
  <c r="D12" s="1"/>
  <c r="D11" s="1"/>
  <c r="F62"/>
  <c r="M368" i="2"/>
  <c r="M367" s="1"/>
  <c r="D442"/>
  <c r="D369" s="1"/>
  <c r="E21"/>
  <c r="E30"/>
  <c r="E29" s="1"/>
  <c r="E18"/>
  <c r="N56" i="1"/>
  <c r="O56" s="1"/>
  <c r="E27" i="2"/>
  <c r="B32" i="1" s="1"/>
  <c r="J59"/>
  <c r="O59" s="1"/>
  <c r="D174" i="6"/>
  <c r="D104" i="3"/>
  <c r="D284" s="1"/>
  <c r="D145" i="2"/>
  <c r="B69" i="1"/>
  <c r="J69" s="1"/>
  <c r="D30" i="7"/>
  <c r="D29" s="1"/>
  <c r="D15"/>
  <c r="D21"/>
  <c r="D17" s="1"/>
  <c r="D53"/>
  <c r="D50" s="1"/>
  <c r="D25"/>
  <c r="D24" s="1"/>
  <c r="N36" i="2"/>
  <c r="K12"/>
  <c r="I8"/>
  <c r="D26"/>
  <c r="D417"/>
  <c r="D25"/>
  <c r="I29"/>
  <c r="I22" s="1"/>
  <c r="I679" s="1"/>
  <c r="L18"/>
  <c r="E72"/>
  <c r="E68" s="1"/>
  <c r="D119"/>
  <c r="D114" s="1"/>
  <c r="E61"/>
  <c r="D62"/>
  <c r="D61" s="1"/>
  <c r="N466"/>
  <c r="H31" i="1"/>
  <c r="H121" s="1"/>
  <c r="H167" s="1"/>
  <c r="B21"/>
  <c r="C31"/>
  <c r="C28" s="1"/>
  <c r="P37" i="6"/>
  <c r="D36"/>
  <c r="D35" s="1"/>
  <c r="H150"/>
  <c r="D193"/>
  <c r="D192" s="1"/>
  <c r="D214"/>
  <c r="D213" s="1"/>
  <c r="G143"/>
  <c r="G19" s="1"/>
  <c r="D26" i="1" s="1"/>
  <c r="H21" i="6"/>
  <c r="H20" s="1"/>
  <c r="E31" i="1"/>
  <c r="J21" i="6"/>
  <c r="G31" i="1"/>
  <c r="G121" s="1"/>
  <c r="G167" s="1"/>
  <c r="H21"/>
  <c r="H112" s="1"/>
  <c r="H158" s="1"/>
  <c r="G526" i="2"/>
  <c r="D564"/>
  <c r="D563" s="1"/>
  <c r="G21" i="1"/>
  <c r="G112" s="1"/>
  <c r="G158" s="1"/>
  <c r="I21"/>
  <c r="I112" s="1"/>
  <c r="I158" s="1"/>
  <c r="E21"/>
  <c r="E112" s="1"/>
  <c r="E158" s="1"/>
  <c r="D15" i="9"/>
  <c r="D10" s="1"/>
  <c r="D84"/>
  <c r="D83" s="1"/>
  <c r="D209" i="6"/>
  <c r="L94"/>
  <c r="N269" i="9"/>
  <c r="D75"/>
  <c r="D74" s="1"/>
  <c r="J269"/>
  <c r="G38"/>
  <c r="G9" s="1"/>
  <c r="N38"/>
  <c r="F83"/>
  <c r="F9" s="1"/>
  <c r="E302"/>
  <c r="E279" s="1"/>
  <c r="D22"/>
  <c r="D18" s="1"/>
  <c r="G118"/>
  <c r="G8" s="1"/>
  <c r="N15"/>
  <c r="N10" s="1"/>
  <c r="E75" i="2"/>
  <c r="E74" s="1"/>
  <c r="E9"/>
  <c r="H31"/>
  <c r="G31"/>
  <c r="J9"/>
  <c r="J8" s="1"/>
  <c r="E63" i="1"/>
  <c r="E62" s="1"/>
  <c r="E72" s="1"/>
  <c r="K23" i="2"/>
  <c r="K22" s="1"/>
  <c r="K679" s="1"/>
  <c r="F63" i="1"/>
  <c r="F62" s="1"/>
  <c r="F72" s="1"/>
  <c r="F86" s="1"/>
  <c r="I526" i="2"/>
  <c r="H52" i="13"/>
  <c r="N190" i="6"/>
  <c r="I143"/>
  <c r="I19" s="1"/>
  <c r="F26" i="1" s="1"/>
  <c r="D301" i="6"/>
  <c r="B60" i="1"/>
  <c r="N60" s="1"/>
  <c r="G119" i="13"/>
  <c r="G121" s="1"/>
  <c r="G122" s="1"/>
  <c r="D54" i="1" s="1"/>
  <c r="N36" i="13"/>
  <c r="H46"/>
  <c r="G45"/>
  <c r="F45"/>
  <c r="I11"/>
  <c r="I45"/>
  <c r="I119" i="1"/>
  <c r="I165" s="1"/>
  <c r="D86" i="6"/>
  <c r="D83" s="1"/>
  <c r="D73"/>
  <c r="D72" s="1"/>
  <c r="E238"/>
  <c r="N299"/>
  <c r="D194"/>
  <c r="D298"/>
  <c r="M298" s="1"/>
  <c r="G208"/>
  <c r="G151"/>
  <c r="C87" i="1"/>
  <c r="D423" i="2"/>
  <c r="D422" s="1"/>
  <c r="D533"/>
  <c r="P533" s="1"/>
  <c r="H530"/>
  <c r="H529" s="1"/>
  <c r="D170" i="6"/>
  <c r="L150"/>
  <c r="H142"/>
  <c r="H138" s="1"/>
  <c r="J142"/>
  <c r="L142"/>
  <c r="E270"/>
  <c r="I150"/>
  <c r="K150"/>
  <c r="F150"/>
  <c r="D181"/>
  <c r="D178" s="1"/>
  <c r="D146" s="1"/>
  <c r="K138"/>
  <c r="F25" i="3"/>
  <c r="N26"/>
  <c r="J102" i="13"/>
  <c r="J101" s="1"/>
  <c r="G53" i="1"/>
  <c r="G52" s="1"/>
  <c r="G71" s="1"/>
  <c r="F25"/>
  <c r="F113" s="1"/>
  <c r="F55" i="3"/>
  <c r="D66"/>
  <c r="D62" s="1"/>
  <c r="I38"/>
  <c r="I283" s="1"/>
  <c r="G38"/>
  <c r="G283" s="1"/>
  <c r="J24" i="6"/>
  <c r="J150"/>
  <c r="I40" i="1"/>
  <c r="L24" i="6"/>
  <c r="L20" s="1"/>
  <c r="E48" i="1"/>
  <c r="D134" i="2"/>
  <c r="D129" s="1"/>
  <c r="P136"/>
  <c r="D127" i="9"/>
  <c r="N242" i="6"/>
  <c r="N241" s="1"/>
  <c r="F242"/>
  <c r="F241" s="1"/>
  <c r="D95" i="3"/>
  <c r="D92" s="1"/>
  <c r="D58"/>
  <c r="D55" s="1"/>
  <c r="P508" i="2"/>
  <c r="B34" i="1"/>
  <c r="D93" i="2"/>
  <c r="D92" s="1"/>
  <c r="E93"/>
  <c r="E92" s="1"/>
  <c r="G25" i="1"/>
  <c r="G113" s="1"/>
  <c r="G159" s="1"/>
  <c r="J18" i="2"/>
  <c r="D602"/>
  <c r="D601" s="1"/>
  <c r="D527" s="1"/>
  <c r="E81"/>
  <c r="E477"/>
  <c r="D173"/>
  <c r="D169" s="1"/>
  <c r="D429"/>
  <c r="D391"/>
  <c r="E467"/>
  <c r="E482"/>
  <c r="B22" i="1"/>
  <c r="D379" i="2"/>
  <c r="D378" s="1"/>
  <c r="E55"/>
  <c r="P465"/>
  <c r="D510"/>
  <c r="D509" s="1"/>
  <c r="D508" s="1"/>
  <c r="D518"/>
  <c r="D517" s="1"/>
  <c r="F28" i="1"/>
  <c r="F526" i="2"/>
  <c r="D400"/>
  <c r="D399" s="1"/>
  <c r="E101"/>
  <c r="E98" s="1"/>
  <c r="D104"/>
  <c r="D68"/>
  <c r="D121"/>
  <c r="D427"/>
  <c r="D409"/>
  <c r="D408" s="1"/>
  <c r="N41"/>
  <c r="D84"/>
  <c r="E84"/>
  <c r="E470"/>
  <c r="F441"/>
  <c r="N441"/>
  <c r="D472"/>
  <c r="D21" s="1"/>
  <c r="D486"/>
  <c r="B25" i="1"/>
  <c r="L12" i="2"/>
  <c r="J29"/>
  <c r="G40" i="1"/>
  <c r="F23" i="2"/>
  <c r="J23"/>
  <c r="N16"/>
  <c r="B64" i="1"/>
  <c r="D80" i="4"/>
  <c r="D65"/>
  <c r="D79"/>
  <c r="B58" i="1"/>
  <c r="N58" s="1"/>
  <c r="F45" i="3"/>
  <c r="E289" i="6"/>
  <c r="C119" i="1"/>
  <c r="G119"/>
  <c r="D119"/>
  <c r="H119"/>
  <c r="F364" i="2"/>
  <c r="H364"/>
  <c r="H363" s="1"/>
  <c r="G364"/>
  <c r="J12"/>
  <c r="G435"/>
  <c r="I110" i="1"/>
  <c r="E165"/>
  <c r="F165"/>
  <c r="D9" i="9" l="1"/>
  <c r="E86" i="1"/>
  <c r="M20" i="2"/>
  <c r="E26" i="1"/>
  <c r="I154"/>
  <c r="J32"/>
  <c r="J123" s="1"/>
  <c r="J169" s="1"/>
  <c r="B123"/>
  <c r="B169" s="1"/>
  <c r="N20" i="2"/>
  <c r="G92" i="1"/>
  <c r="D436" i="2"/>
  <c r="D365"/>
  <c r="D373"/>
  <c r="D19"/>
  <c r="D20"/>
  <c r="N435"/>
  <c r="F84" i="1"/>
  <c r="D84"/>
  <c r="G84"/>
  <c r="G78" s="1"/>
  <c r="E84"/>
  <c r="E78" s="1"/>
  <c r="J7" i="3"/>
  <c r="H435" i="2"/>
  <c r="L7" i="3"/>
  <c r="N465" i="2"/>
  <c r="I28" i="1"/>
  <c r="N18" i="13"/>
  <c r="N16" s="1"/>
  <c r="K7" i="3"/>
  <c r="K18" i="6"/>
  <c r="K12" s="1"/>
  <c r="H26" i="1"/>
  <c r="H115" s="1"/>
  <c r="H161" s="1"/>
  <c r="D18"/>
  <c r="D108" s="1"/>
  <c r="K301" i="9"/>
  <c r="K302" s="1"/>
  <c r="J301"/>
  <c r="J302" s="1"/>
  <c r="J18" i="6"/>
  <c r="G26" i="1"/>
  <c r="G115" s="1"/>
  <c r="G161" s="1"/>
  <c r="M269" i="9"/>
  <c r="H147" i="6"/>
  <c r="K94"/>
  <c r="E54" i="1"/>
  <c r="M18" i="13"/>
  <c r="M16" s="1"/>
  <c r="D50" i="8"/>
  <c r="D144" s="1"/>
  <c r="D146" s="1"/>
  <c r="D25" i="1"/>
  <c r="L25" s="1"/>
  <c r="D14" i="6"/>
  <c r="I293"/>
  <c r="I304" s="1"/>
  <c r="I53" i="1"/>
  <c r="I52" s="1"/>
  <c r="F54"/>
  <c r="F53" s="1"/>
  <c r="F52" s="1"/>
  <c r="F71" s="1"/>
  <c r="J88"/>
  <c r="N88" i="5"/>
  <c r="H7" i="9"/>
  <c r="D186" i="6"/>
  <c r="G119"/>
  <c r="G11" s="1"/>
  <c r="D14" i="1" s="1"/>
  <c r="F283" i="3"/>
  <c r="F285" s="1"/>
  <c r="F286" s="1"/>
  <c r="D283"/>
  <c r="F8"/>
  <c r="F7" s="1"/>
  <c r="K10" i="6"/>
  <c r="H13" i="1" s="1"/>
  <c r="F19" i="2"/>
  <c r="M19" s="1"/>
  <c r="N14" i="13"/>
  <c r="N12" s="1"/>
  <c r="D19" i="1"/>
  <c r="L19" s="1"/>
  <c r="L57"/>
  <c r="L109" s="1"/>
  <c r="K49"/>
  <c r="K48" s="1"/>
  <c r="L49"/>
  <c r="L48" s="1"/>
  <c r="D52" i="13"/>
  <c r="P38" i="3"/>
  <c r="G142" i="6"/>
  <c r="H154" i="1"/>
  <c r="H17"/>
  <c r="N14" i="6"/>
  <c r="N13" s="1"/>
  <c r="D44" i="8"/>
  <c r="D9" s="1"/>
  <c r="D8" s="1"/>
  <c r="L679" i="2"/>
  <c r="L680" s="1"/>
  <c r="L681" s="1"/>
  <c r="G25" i="3"/>
  <c r="G8" s="1"/>
  <c r="H25"/>
  <c r="H8" s="1"/>
  <c r="L285"/>
  <c r="L286" s="1"/>
  <c r="D32"/>
  <c r="H8" i="8"/>
  <c r="M467" i="2"/>
  <c r="M466" s="1"/>
  <c r="M465" s="1"/>
  <c r="E13"/>
  <c r="E12" s="1"/>
  <c r="E11" s="1"/>
  <c r="G86" i="1"/>
  <c r="E41"/>
  <c r="J57"/>
  <c r="N9" i="9"/>
  <c r="P7"/>
  <c r="D114" i="1"/>
  <c r="D160" s="1"/>
  <c r="F147" i="8"/>
  <c r="N8" i="9"/>
  <c r="H94" i="6"/>
  <c r="F10"/>
  <c r="F293"/>
  <c r="F304" s="1"/>
  <c r="K20" i="1"/>
  <c r="K111" s="1"/>
  <c r="D302" i="9"/>
  <c r="R10" i="7"/>
  <c r="F7" i="9"/>
  <c r="D188" i="7"/>
  <c r="L301" i="9"/>
  <c r="L302" s="1"/>
  <c r="H84" i="1"/>
  <c r="H78" s="1"/>
  <c r="L10" i="6"/>
  <c r="I13" i="1" s="1"/>
  <c r="J11" i="6"/>
  <c r="G14" i="1" s="1"/>
  <c r="F11" i="6"/>
  <c r="H11"/>
  <c r="L11"/>
  <c r="K293"/>
  <c r="K304" s="1"/>
  <c r="J10"/>
  <c r="G13" i="1" s="1"/>
  <c r="K11" i="6"/>
  <c r="I10"/>
  <c r="I9" s="1"/>
  <c r="J20"/>
  <c r="F138"/>
  <c r="J13"/>
  <c r="J22" i="1"/>
  <c r="G111"/>
  <c r="G157" s="1"/>
  <c r="D45" i="3"/>
  <c r="D292" i="6"/>
  <c r="M292" s="1"/>
  <c r="M25" i="3"/>
  <c r="M8" s="1"/>
  <c r="D64" i="4"/>
  <c r="M89" i="1"/>
  <c r="I25" i="3"/>
  <c r="I8" s="1"/>
  <c r="F29" i="2"/>
  <c r="F22" s="1"/>
  <c r="F679" s="1"/>
  <c r="M13"/>
  <c r="M12" s="1"/>
  <c r="L21" i="1"/>
  <c r="L112" s="1"/>
  <c r="N45" i="13"/>
  <c r="M12" i="3"/>
  <c r="M11" s="1"/>
  <c r="M10" s="1"/>
  <c r="M201" i="6"/>
  <c r="M197" s="1"/>
  <c r="M11" s="1"/>
  <c r="F18"/>
  <c r="M19"/>
  <c r="P19" s="1"/>
  <c r="M143"/>
  <c r="M142" s="1"/>
  <c r="M138" s="1"/>
  <c r="M14"/>
  <c r="P14" s="1"/>
  <c r="N201"/>
  <c r="N197" s="1"/>
  <c r="N11" s="1"/>
  <c r="D201"/>
  <c r="D197" s="1"/>
  <c r="P23" i="8"/>
  <c r="P14"/>
  <c r="M94" i="6"/>
  <c r="F10" i="8"/>
  <c r="M10" s="1"/>
  <c r="H92" i="1"/>
  <c r="K57"/>
  <c r="K109" s="1"/>
  <c r="H109"/>
  <c r="H155" s="1"/>
  <c r="I13" i="6"/>
  <c r="G363" i="2"/>
  <c r="K11"/>
  <c r="D16" i="13"/>
  <c r="D11" s="1"/>
  <c r="P25"/>
  <c r="K22" i="1"/>
  <c r="K114" s="1"/>
  <c r="M363" i="2"/>
  <c r="M8" i="9"/>
  <c r="K21" i="1"/>
  <c r="K112" s="1"/>
  <c r="M9" i="8"/>
  <c r="M11" i="5"/>
  <c r="M10" s="1"/>
  <c r="N11"/>
  <c r="N10" s="1"/>
  <c r="G102" i="13"/>
  <c r="G101" s="1"/>
  <c r="M45"/>
  <c r="M14"/>
  <c r="M12" s="1"/>
  <c r="C19" i="1"/>
  <c r="C110" s="1"/>
  <c r="C156" s="1"/>
  <c r="M44" i="8"/>
  <c r="N301" i="6"/>
  <c r="M301"/>
  <c r="N35" i="2"/>
  <c r="M21"/>
  <c r="C18" i="1"/>
  <c r="C26"/>
  <c r="C115" s="1"/>
  <c r="C161" s="1"/>
  <c r="O55"/>
  <c r="P529" i="2"/>
  <c r="N12"/>
  <c r="D151" i="6"/>
  <c r="D25" s="1"/>
  <c r="G25"/>
  <c r="D35" i="1" s="1"/>
  <c r="J35" s="1"/>
  <c r="N94" i="6"/>
  <c r="L13"/>
  <c r="I17" i="1"/>
  <c r="N143" i="6"/>
  <c r="N142" s="1"/>
  <c r="N138" s="1"/>
  <c r="H13"/>
  <c r="G94"/>
  <c r="P33" i="3"/>
  <c r="N363" i="2"/>
  <c r="L11"/>
  <c r="N10" i="3"/>
  <c r="F11" i="13"/>
  <c r="G11"/>
  <c r="D28" i="8"/>
  <c r="D21" s="1"/>
  <c r="P21"/>
  <c r="P15"/>
  <c r="P25"/>
  <c r="P29"/>
  <c r="P16"/>
  <c r="D16"/>
  <c r="D11" s="1"/>
  <c r="D26" i="3"/>
  <c r="F76" i="1"/>
  <c r="N57"/>
  <c r="E23" i="2"/>
  <c r="E22" s="1"/>
  <c r="E679" s="1"/>
  <c r="B119" i="1"/>
  <c r="B165" s="1"/>
  <c r="J64"/>
  <c r="M64" s="1"/>
  <c r="J58"/>
  <c r="M65" s="1"/>
  <c r="B113"/>
  <c r="B159" s="1"/>
  <c r="J20"/>
  <c r="N20"/>
  <c r="B112"/>
  <c r="B158" s="1"/>
  <c r="J21"/>
  <c r="N22"/>
  <c r="J138" i="6"/>
  <c r="N21" i="1"/>
  <c r="D143" i="6"/>
  <c r="D19" s="1"/>
  <c r="E119" i="13"/>
  <c r="E121" s="1"/>
  <c r="E122" s="1"/>
  <c r="D10" i="7"/>
  <c r="D290" i="6"/>
  <c r="J68" i="1"/>
  <c r="B68"/>
  <c r="J11" i="2"/>
  <c r="H28" i="1"/>
  <c r="J22" i="2"/>
  <c r="D531"/>
  <c r="B31" i="1"/>
  <c r="J31" s="1"/>
  <c r="G18" i="6"/>
  <c r="G12" s="1"/>
  <c r="D536" i="2"/>
  <c r="D535" s="1"/>
  <c r="F363"/>
  <c r="H302" i="9"/>
  <c r="G301"/>
  <c r="G302" s="1"/>
  <c r="G279" s="1"/>
  <c r="G278" s="1"/>
  <c r="G277" s="1"/>
  <c r="J293" i="6"/>
  <c r="J304" s="1"/>
  <c r="L293"/>
  <c r="L304" s="1"/>
  <c r="F302" i="9"/>
  <c r="F279" s="1"/>
  <c r="E278"/>
  <c r="E277" s="1"/>
  <c r="D75" i="2"/>
  <c r="D74" s="1"/>
  <c r="P39"/>
  <c r="D470"/>
  <c r="G29"/>
  <c r="G22" s="1"/>
  <c r="D34" i="1"/>
  <c r="D124" s="1"/>
  <c r="D170" s="1"/>
  <c r="G9" i="2"/>
  <c r="F435"/>
  <c r="D426"/>
  <c r="B50" i="1"/>
  <c r="N50" s="1"/>
  <c r="E34"/>
  <c r="H29" i="2"/>
  <c r="H22" s="1"/>
  <c r="E54"/>
  <c r="D55"/>
  <c r="D54" s="1"/>
  <c r="D556"/>
  <c r="D555" s="1"/>
  <c r="P53" i="13"/>
  <c r="I142" i="6"/>
  <c r="J60" i="1"/>
  <c r="O60" s="1"/>
  <c r="O61"/>
  <c r="I9" i="13"/>
  <c r="I8" s="1"/>
  <c r="F9"/>
  <c r="G9"/>
  <c r="H45"/>
  <c r="D46"/>
  <c r="P47"/>
  <c r="H11"/>
  <c r="D208" i="6"/>
  <c r="D205" s="1"/>
  <c r="G205"/>
  <c r="G150"/>
  <c r="D300"/>
  <c r="N298"/>
  <c r="D254"/>
  <c r="D253" s="1"/>
  <c r="D243"/>
  <c r="D242" s="1"/>
  <c r="D241" s="1"/>
  <c r="F13"/>
  <c r="E481" i="2"/>
  <c r="E473"/>
  <c r="L147" i="6"/>
  <c r="L18"/>
  <c r="H18"/>
  <c r="L138"/>
  <c r="D78"/>
  <c r="D77" s="1"/>
  <c r="G28" i="1"/>
  <c r="F147" i="6"/>
  <c r="K147"/>
  <c r="I24"/>
  <c r="I20" s="1"/>
  <c r="F40" i="1"/>
  <c r="D148" i="6"/>
  <c r="D23"/>
  <c r="D21" s="1"/>
  <c r="C40" i="1"/>
  <c r="F24" i="6"/>
  <c r="F20" s="1"/>
  <c r="K24"/>
  <c r="K20" s="1"/>
  <c r="H40" i="1"/>
  <c r="I147" i="6"/>
  <c r="N25" i="3"/>
  <c r="N8" s="1"/>
  <c r="K680" i="2"/>
  <c r="K681" s="1"/>
  <c r="I680"/>
  <c r="I681" s="1"/>
  <c r="D10" i="3"/>
  <c r="K285"/>
  <c r="K286" s="1"/>
  <c r="H285"/>
  <c r="H286" s="1"/>
  <c r="J285"/>
  <c r="J286" s="1"/>
  <c r="I125" i="1"/>
  <c r="I33"/>
  <c r="I41"/>
  <c r="J147" i="6"/>
  <c r="P23" i="3"/>
  <c r="H293" i="6"/>
  <c r="H304" s="1"/>
  <c r="N49" i="1"/>
  <c r="D482" i="2"/>
  <c r="D481" s="1"/>
  <c r="D467"/>
  <c r="D466" s="1"/>
  <c r="D610"/>
  <c r="D609" s="1"/>
  <c r="B124" i="1"/>
  <c r="B170" s="1"/>
  <c r="E466" i="2"/>
  <c r="B67" i="1"/>
  <c r="D15" i="2"/>
  <c r="D81"/>
  <c r="D80" s="1"/>
  <c r="B114" i="1"/>
  <c r="B160" s="1"/>
  <c r="D17" i="2"/>
  <c r="D101"/>
  <c r="D98" s="1"/>
  <c r="D580"/>
  <c r="D579" s="1"/>
  <c r="J30" i="1"/>
  <c r="E121"/>
  <c r="E28"/>
  <c r="D355" i="2"/>
  <c r="D351" s="1"/>
  <c r="E80"/>
  <c r="D441"/>
  <c r="D435" s="1"/>
  <c r="D9" s="1"/>
  <c r="P448"/>
  <c r="D388"/>
  <c r="D387" s="1"/>
  <c r="F18"/>
  <c r="B40" i="1"/>
  <c r="G125"/>
  <c r="G171" s="1"/>
  <c r="G33"/>
  <c r="G41"/>
  <c r="C112"/>
  <c r="C158" s="1"/>
  <c r="P26" i="2"/>
  <c r="D61" i="4"/>
  <c r="D72"/>
  <c r="D71" s="1"/>
  <c r="B109" i="1"/>
  <c r="B155" s="1"/>
  <c r="B111"/>
  <c r="B157" s="1"/>
  <c r="D120" i="6"/>
  <c r="D119" s="1"/>
  <c r="D17"/>
  <c r="E293"/>
  <c r="E304" s="1"/>
  <c r="D105"/>
  <c r="B26" i="1"/>
  <c r="C165"/>
  <c r="D165"/>
  <c r="H165"/>
  <c r="G165"/>
  <c r="G12" i="2"/>
  <c r="G11" s="1"/>
  <c r="H12"/>
  <c r="H11" s="1"/>
  <c r="F12"/>
  <c r="I156" i="1"/>
  <c r="E159"/>
  <c r="F159"/>
  <c r="F108" l="1"/>
  <c r="F154" s="1"/>
  <c r="E53"/>
  <c r="E52" s="1"/>
  <c r="E71" s="1"/>
  <c r="E92" s="1"/>
  <c r="E108"/>
  <c r="I71"/>
  <c r="I92" s="1"/>
  <c r="J12" i="6"/>
  <c r="D367" i="2"/>
  <c r="G138" i="6"/>
  <c r="H9" i="2"/>
  <c r="H8" s="1"/>
  <c r="D113" i="1"/>
  <c r="D159" s="1"/>
  <c r="M11" i="13"/>
  <c r="N11"/>
  <c r="H14" i="1"/>
  <c r="I14"/>
  <c r="H271" i="6"/>
  <c r="F13" i="1"/>
  <c r="E14"/>
  <c r="E76" s="1"/>
  <c r="G17"/>
  <c r="G116"/>
  <c r="F92"/>
  <c r="L54"/>
  <c r="M30"/>
  <c r="P194" i="6"/>
  <c r="D76" i="1"/>
  <c r="H10" i="6"/>
  <c r="H9" s="1"/>
  <c r="D465" i="2"/>
  <c r="D239" i="6"/>
  <c r="G7" i="3"/>
  <c r="D13" i="2"/>
  <c r="I7" i="3"/>
  <c r="M31" i="1"/>
  <c r="G679" i="2"/>
  <c r="C25" i="1"/>
  <c r="K25" s="1"/>
  <c r="M18" i="2"/>
  <c r="M11" s="1"/>
  <c r="D147" i="8"/>
  <c r="D45" i="13"/>
  <c r="D9" s="1"/>
  <c r="D8" s="1"/>
  <c r="L12" i="6"/>
  <c r="H679" i="2"/>
  <c r="J679"/>
  <c r="K9" i="6"/>
  <c r="H7" i="3"/>
  <c r="C84" i="1"/>
  <c r="C78" s="1"/>
  <c r="D25" i="3"/>
  <c r="D8" s="1"/>
  <c r="D7" s="1"/>
  <c r="H116" i="1"/>
  <c r="P11" i="6"/>
  <c r="M7" i="3"/>
  <c r="N7"/>
  <c r="P7" s="1"/>
  <c r="G75" i="1"/>
  <c r="M9" i="9"/>
  <c r="M7" s="1"/>
  <c r="F9" i="6"/>
  <c r="H24" i="1"/>
  <c r="H16" s="1"/>
  <c r="H37" s="1"/>
  <c r="G7" i="9"/>
  <c r="F8" i="8"/>
  <c r="P8" s="1"/>
  <c r="M10" i="6"/>
  <c r="M9" s="1"/>
  <c r="D11"/>
  <c r="G10"/>
  <c r="D13" i="1" s="1"/>
  <c r="N10" i="6"/>
  <c r="N9" s="1"/>
  <c r="D303"/>
  <c r="M303" s="1"/>
  <c r="D24" i="1"/>
  <c r="G8" i="13"/>
  <c r="L18" i="1"/>
  <c r="M13" i="6"/>
  <c r="M18"/>
  <c r="F17" i="1"/>
  <c r="F12" i="6"/>
  <c r="M88" i="1"/>
  <c r="M87" s="1"/>
  <c r="D685" i="2"/>
  <c r="D687" s="1"/>
  <c r="D688" s="1"/>
  <c r="L271" i="6"/>
  <c r="J271"/>
  <c r="I271"/>
  <c r="F85" i="1" s="1"/>
  <c r="K271" i="6"/>
  <c r="R11" i="7"/>
  <c r="N290" i="6"/>
  <c r="M290"/>
  <c r="H162" i="1"/>
  <c r="D142" i="6"/>
  <c r="D138" s="1"/>
  <c r="H12"/>
  <c r="K19" i="1"/>
  <c r="K110" s="1"/>
  <c r="J28"/>
  <c r="K18"/>
  <c r="C14"/>
  <c r="C76" s="1"/>
  <c r="N8" i="8"/>
  <c r="N300" i="6"/>
  <c r="M300"/>
  <c r="L110" i="1"/>
  <c r="N9" i="2"/>
  <c r="N8" s="1"/>
  <c r="D270" i="6"/>
  <c r="M84" i="1" s="1"/>
  <c r="G293" i="6"/>
  <c r="G304" s="1"/>
  <c r="N19"/>
  <c r="N18" s="1"/>
  <c r="N12" s="1"/>
  <c r="D115" i="1"/>
  <c r="D161" s="1"/>
  <c r="D53"/>
  <c r="D52" s="1"/>
  <c r="D71" s="1"/>
  <c r="N18" i="2"/>
  <c r="N11" s="1"/>
  <c r="G24" i="1"/>
  <c r="J19"/>
  <c r="M29" s="1"/>
  <c r="D110"/>
  <c r="D156" s="1"/>
  <c r="N19"/>
  <c r="N23"/>
  <c r="J23"/>
  <c r="B63"/>
  <c r="B62" s="1"/>
  <c r="B72" s="1"/>
  <c r="J67"/>
  <c r="J122" s="1"/>
  <c r="J168" s="1"/>
  <c r="J34"/>
  <c r="B121"/>
  <c r="B167" s="1"/>
  <c r="F271" i="6"/>
  <c r="F272" s="1"/>
  <c r="F273" s="1"/>
  <c r="P374" i="2"/>
  <c r="D370"/>
  <c r="G172" i="1"/>
  <c r="I75"/>
  <c r="L9" i="6"/>
  <c r="F278" i="9"/>
  <c r="C63" i="1"/>
  <c r="C62" s="1"/>
  <c r="C72" s="1"/>
  <c r="C121"/>
  <c r="C167" s="1"/>
  <c r="M66"/>
  <c r="D7" i="9"/>
  <c r="D63" i="1"/>
  <c r="D62" s="1"/>
  <c r="D72" s="1"/>
  <c r="D86" s="1"/>
  <c r="D121"/>
  <c r="D167" s="1"/>
  <c r="D27" i="2"/>
  <c r="D23" s="1"/>
  <c r="D44"/>
  <c r="E124" i="1"/>
  <c r="E170" s="1"/>
  <c r="E33"/>
  <c r="E27" s="1"/>
  <c r="E38" s="1"/>
  <c r="E77" s="1"/>
  <c r="F9" i="2"/>
  <c r="F8" s="1"/>
  <c r="D528"/>
  <c r="J50" i="1" s="1"/>
  <c r="O50" s="1"/>
  <c r="B48"/>
  <c r="N48" s="1"/>
  <c r="I18" i="6"/>
  <c r="I12" s="1"/>
  <c r="J26" i="1"/>
  <c r="I138" i="6"/>
  <c r="H9" i="13"/>
  <c r="F8"/>
  <c r="E110" i="1"/>
  <c r="E156" s="1"/>
  <c r="F11" i="2"/>
  <c r="D289" i="6"/>
  <c r="G24"/>
  <c r="G20" s="1"/>
  <c r="D40" i="1"/>
  <c r="J40" s="1"/>
  <c r="G147" i="6"/>
  <c r="B13" i="1"/>
  <c r="I115"/>
  <c r="I24"/>
  <c r="I16" s="1"/>
  <c r="I37" s="1"/>
  <c r="E115"/>
  <c r="E161" s="1"/>
  <c r="E24"/>
  <c r="P25" i="6"/>
  <c r="H125" i="1"/>
  <c r="H41"/>
  <c r="H33"/>
  <c r="C125"/>
  <c r="C33"/>
  <c r="C27" s="1"/>
  <c r="C41"/>
  <c r="F41"/>
  <c r="F125"/>
  <c r="F33"/>
  <c r="F27" s="1"/>
  <c r="F38" s="1"/>
  <c r="F77" s="1"/>
  <c r="H272" i="6"/>
  <c r="H273" s="1"/>
  <c r="E285" i="3"/>
  <c r="E286" s="1"/>
  <c r="B84" i="1"/>
  <c r="D285" i="3"/>
  <c r="I285"/>
  <c r="I286" s="1"/>
  <c r="G285"/>
  <c r="G286" s="1"/>
  <c r="N292" i="6"/>
  <c r="D150"/>
  <c r="D147" s="1"/>
  <c r="P20" s="1"/>
  <c r="D24"/>
  <c r="D20" s="1"/>
  <c r="I27" i="1"/>
  <c r="E271" i="6"/>
  <c r="I171" i="1"/>
  <c r="I172" s="1"/>
  <c r="I126"/>
  <c r="D21" i="3"/>
  <c r="D18" s="1"/>
  <c r="J9" i="6"/>
  <c r="D95"/>
  <c r="D94" s="1"/>
  <c r="D285"/>
  <c r="D13"/>
  <c r="G126" i="1"/>
  <c r="D530" i="2"/>
  <c r="D529" s="1"/>
  <c r="O20" i="1"/>
  <c r="B122"/>
  <c r="B168" s="1"/>
  <c r="E465" i="2"/>
  <c r="P38"/>
  <c r="P25"/>
  <c r="D36"/>
  <c r="O22" i="1"/>
  <c r="J114"/>
  <c r="J160" s="1"/>
  <c r="M32"/>
  <c r="E167"/>
  <c r="B120"/>
  <c r="B166" s="1"/>
  <c r="B28"/>
  <c r="D29" i="2"/>
  <c r="D41"/>
  <c r="D364"/>
  <c r="P29"/>
  <c r="B18" i="1"/>
  <c r="B108" s="1"/>
  <c r="B41"/>
  <c r="B125"/>
  <c r="B33"/>
  <c r="J121"/>
  <c r="J167" s="1"/>
  <c r="G27"/>
  <c r="J112"/>
  <c r="J158" s="1"/>
  <c r="O21"/>
  <c r="J119"/>
  <c r="N89"/>
  <c r="B87"/>
  <c r="D51" i="4"/>
  <c r="O58" i="1"/>
  <c r="J111"/>
  <c r="O57"/>
  <c r="J109"/>
  <c r="J155" s="1"/>
  <c r="H75"/>
  <c r="B115"/>
  <c r="B24"/>
  <c r="D18" i="6"/>
  <c r="D281"/>
  <c r="D283" s="1"/>
  <c r="C17" i="1"/>
  <c r="D17"/>
  <c r="G8" i="2"/>
  <c r="E17" i="1"/>
  <c r="L14" l="1"/>
  <c r="J84"/>
  <c r="J78" s="1"/>
  <c r="L108"/>
  <c r="I107"/>
  <c r="I153" s="1"/>
  <c r="M35"/>
  <c r="H12"/>
  <c r="H93" s="1"/>
  <c r="H76"/>
  <c r="H74" s="1"/>
  <c r="H680" i="2"/>
  <c r="H681" s="1"/>
  <c r="E85" i="1"/>
  <c r="J680" i="2"/>
  <c r="J681" s="1"/>
  <c r="G85" i="1"/>
  <c r="D8" i="2"/>
  <c r="J14" i="1"/>
  <c r="J102" s="1"/>
  <c r="G680" i="2"/>
  <c r="G681" s="1"/>
  <c r="E13" i="1"/>
  <c r="C24"/>
  <c r="C16" s="1"/>
  <c r="I76"/>
  <c r="I74" s="1"/>
  <c r="G154"/>
  <c r="G162" s="1"/>
  <c r="D238" i="6"/>
  <c r="J49" i="1"/>
  <c r="J48" s="1"/>
  <c r="O48" s="1"/>
  <c r="D102"/>
  <c r="D98"/>
  <c r="D286" i="3"/>
  <c r="N25" i="1"/>
  <c r="C113"/>
  <c r="C159" s="1"/>
  <c r="J25"/>
  <c r="M34" s="1"/>
  <c r="P147" i="6"/>
  <c r="J157" i="1"/>
  <c r="D92"/>
  <c r="N303" i="6"/>
  <c r="G9"/>
  <c r="P10"/>
  <c r="N88" i="1"/>
  <c r="N87" s="1"/>
  <c r="D10" i="6"/>
  <c r="J13" i="1" s="1"/>
  <c r="B85"/>
  <c r="D16"/>
  <c r="D37" s="1"/>
  <c r="M12" i="6"/>
  <c r="P9" s="1"/>
  <c r="L26" i="1"/>
  <c r="L115" s="1"/>
  <c r="N9" i="13"/>
  <c r="N8" s="1"/>
  <c r="P18" i="6"/>
  <c r="G271"/>
  <c r="D85" i="1" s="1"/>
  <c r="H107"/>
  <c r="H153" s="1"/>
  <c r="N289" i="6"/>
  <c r="M289"/>
  <c r="J63" i="1"/>
  <c r="J62" s="1"/>
  <c r="C98"/>
  <c r="C102"/>
  <c r="K14"/>
  <c r="K26"/>
  <c r="K115" s="1"/>
  <c r="M9" i="13"/>
  <c r="M8" s="1"/>
  <c r="C13" i="1"/>
  <c r="M9" i="2"/>
  <c r="M8" s="1"/>
  <c r="J124" i="1"/>
  <c r="J170" s="1"/>
  <c r="K113"/>
  <c r="K17"/>
  <c r="B86"/>
  <c r="J72"/>
  <c r="L71"/>
  <c r="M71" s="1"/>
  <c r="G16"/>
  <c r="G37" s="1"/>
  <c r="G107" s="1"/>
  <c r="D287" i="6"/>
  <c r="E172" i="1"/>
  <c r="N7" i="9"/>
  <c r="D43" i="2"/>
  <c r="I12" i="1"/>
  <c r="E680" i="2"/>
  <c r="E681" s="1"/>
  <c r="C86" i="1"/>
  <c r="N18"/>
  <c r="J18"/>
  <c r="B53"/>
  <c r="B52" s="1"/>
  <c r="N26"/>
  <c r="O26" s="1"/>
  <c r="D12" i="2"/>
  <c r="D22"/>
  <c r="E126" i="1"/>
  <c r="B78"/>
  <c r="D271" i="6"/>
  <c r="D272" s="1"/>
  <c r="D273" s="1"/>
  <c r="C38" i="1"/>
  <c r="C77" s="1"/>
  <c r="F277" i="9"/>
  <c r="B14" i="1"/>
  <c r="D526" i="2"/>
  <c r="P27"/>
  <c r="F118" i="1"/>
  <c r="F174" s="1"/>
  <c r="F115"/>
  <c r="F24"/>
  <c r="F16" s="1"/>
  <c r="F37" s="1"/>
  <c r="J110"/>
  <c r="J156" s="1"/>
  <c r="O19"/>
  <c r="H8" i="13"/>
  <c r="D125" i="1"/>
  <c r="D33"/>
  <c r="D27" s="1"/>
  <c r="D38" s="1"/>
  <c r="D41"/>
  <c r="D35" i="2"/>
  <c r="I85" i="1"/>
  <c r="L272" i="6"/>
  <c r="L273" s="1"/>
  <c r="I161" i="1"/>
  <c r="I116"/>
  <c r="D12" i="6"/>
  <c r="H27" i="1"/>
  <c r="H38" s="1"/>
  <c r="H171"/>
  <c r="H172" s="1"/>
  <c r="H126"/>
  <c r="F171"/>
  <c r="F172" s="1"/>
  <c r="F126"/>
  <c r="F127" s="1"/>
  <c r="I272" i="6"/>
  <c r="I273" s="1"/>
  <c r="F79" i="1"/>
  <c r="K272" i="6"/>
  <c r="K273" s="1"/>
  <c r="H85" i="1"/>
  <c r="C171"/>
  <c r="C172" s="1"/>
  <c r="C126"/>
  <c r="J87"/>
  <c r="F680" i="2"/>
  <c r="F681" s="1"/>
  <c r="C85" i="1"/>
  <c r="J272" i="6"/>
  <c r="J273" s="1"/>
  <c r="D78" i="1"/>
  <c r="F78"/>
  <c r="I38"/>
  <c r="P31" i="2"/>
  <c r="D18"/>
  <c r="G76" i="1"/>
  <c r="G74" s="1"/>
  <c r="G12"/>
  <c r="F75"/>
  <c r="F74" s="1"/>
  <c r="F12"/>
  <c r="B27"/>
  <c r="B38" s="1"/>
  <c r="E118"/>
  <c r="J120"/>
  <c r="J166" s="1"/>
  <c r="E8" i="2"/>
  <c r="B17" i="1"/>
  <c r="B16" s="1"/>
  <c r="B37" s="1"/>
  <c r="B154"/>
  <c r="D363" i="2"/>
  <c r="L113" i="1"/>
  <c r="G38"/>
  <c r="J33"/>
  <c r="J27" s="1"/>
  <c r="J38" s="1"/>
  <c r="J125"/>
  <c r="J171" s="1"/>
  <c r="B171"/>
  <c r="B172" s="1"/>
  <c r="B126"/>
  <c r="O23"/>
  <c r="J165"/>
  <c r="D293" i="6"/>
  <c r="J115" i="1"/>
  <c r="J161" s="1"/>
  <c r="B161"/>
  <c r="E16"/>
  <c r="L17"/>
  <c r="E154"/>
  <c r="E162" s="1"/>
  <c r="E116"/>
  <c r="D154"/>
  <c r="D116"/>
  <c r="I163" l="1"/>
  <c r="H117"/>
  <c r="G117"/>
  <c r="E79"/>
  <c r="E80" s="1"/>
  <c r="E83"/>
  <c r="E82" s="1"/>
  <c r="J17"/>
  <c r="B71"/>
  <c r="B92" s="1"/>
  <c r="J85"/>
  <c r="J79" s="1"/>
  <c r="J24"/>
  <c r="L83"/>
  <c r="M77"/>
  <c r="O49"/>
  <c r="O25"/>
  <c r="J113"/>
  <c r="J159" s="1"/>
  <c r="I93"/>
  <c r="D101"/>
  <c r="D100" s="1"/>
  <c r="D75"/>
  <c r="D74" s="1"/>
  <c r="D97"/>
  <c r="D679" i="2"/>
  <c r="D12" i="1"/>
  <c r="I117"/>
  <c r="L13"/>
  <c r="L75" s="1"/>
  <c r="P18" i="3"/>
  <c r="N84" i="1"/>
  <c r="J76"/>
  <c r="J164"/>
  <c r="B77"/>
  <c r="B127" s="1"/>
  <c r="B118"/>
  <c r="B164" s="1"/>
  <c r="F80"/>
  <c r="D162"/>
  <c r="D107"/>
  <c r="D163" s="1"/>
  <c r="D103"/>
  <c r="C75"/>
  <c r="C74" s="1"/>
  <c r="K13"/>
  <c r="M13" s="1"/>
  <c r="H163"/>
  <c r="K24"/>
  <c r="K16" s="1"/>
  <c r="C12"/>
  <c r="M14"/>
  <c r="K76"/>
  <c r="B79"/>
  <c r="J118"/>
  <c r="C101"/>
  <c r="C100" s="1"/>
  <c r="C97"/>
  <c r="N293" i="6"/>
  <c r="M293"/>
  <c r="N13" i="1"/>
  <c r="I162"/>
  <c r="K161"/>
  <c r="J86"/>
  <c r="C105"/>
  <c r="O18"/>
  <c r="C127"/>
  <c r="C118"/>
  <c r="C164" s="1"/>
  <c r="B107"/>
  <c r="N17"/>
  <c r="C37"/>
  <c r="N16"/>
  <c r="N14"/>
  <c r="O14" s="1"/>
  <c r="N24"/>
  <c r="F107"/>
  <c r="F163" s="1"/>
  <c r="F175"/>
  <c r="F164"/>
  <c r="L24"/>
  <c r="L16" s="1"/>
  <c r="F83"/>
  <c r="F82" s="1"/>
  <c r="F161"/>
  <c r="F162" s="1"/>
  <c r="F116"/>
  <c r="F117" s="1"/>
  <c r="E12"/>
  <c r="E75"/>
  <c r="E74" s="1"/>
  <c r="D105"/>
  <c r="D118"/>
  <c r="D77"/>
  <c r="G272" i="6"/>
  <c r="G273" s="1"/>
  <c r="D171" i="1"/>
  <c r="D126"/>
  <c r="J126"/>
  <c r="I83"/>
  <c r="I82" s="1"/>
  <c r="I79"/>
  <c r="H118"/>
  <c r="H77"/>
  <c r="H127" s="1"/>
  <c r="H83"/>
  <c r="H79"/>
  <c r="C79"/>
  <c r="C80" s="1"/>
  <c r="C83"/>
  <c r="E272" i="6"/>
  <c r="E273" s="1"/>
  <c r="G83" i="1"/>
  <c r="G82" s="1"/>
  <c r="G79"/>
  <c r="I118"/>
  <c r="I77"/>
  <c r="B162"/>
  <c r="G93"/>
  <c r="L76"/>
  <c r="F93"/>
  <c r="B116"/>
  <c r="E174"/>
  <c r="E175" s="1"/>
  <c r="E164"/>
  <c r="E127"/>
  <c r="B76"/>
  <c r="G118"/>
  <c r="G77"/>
  <c r="J172"/>
  <c r="B75"/>
  <c r="B12"/>
  <c r="D304" i="6"/>
  <c r="L161" i="1"/>
  <c r="Q161"/>
  <c r="D9" i="6"/>
  <c r="G163" i="1"/>
  <c r="G153"/>
  <c r="E37"/>
  <c r="O17" l="1"/>
  <c r="J16"/>
  <c r="J37" s="1"/>
  <c r="O24"/>
  <c r="L37"/>
  <c r="D680" i="2"/>
  <c r="D681" s="1"/>
  <c r="M85" i="1"/>
  <c r="M83" s="1"/>
  <c r="N82" s="1"/>
  <c r="D117"/>
  <c r="E90"/>
  <c r="D93"/>
  <c r="D104"/>
  <c r="M37"/>
  <c r="J83"/>
  <c r="M79" s="1"/>
  <c r="J174"/>
  <c r="J175" s="1"/>
  <c r="D127"/>
  <c r="H80"/>
  <c r="B80"/>
  <c r="D172"/>
  <c r="D153"/>
  <c r="E117"/>
  <c r="C93"/>
  <c r="J105"/>
  <c r="J77"/>
  <c r="M78" s="1"/>
  <c r="K12"/>
  <c r="K75"/>
  <c r="K74" s="1"/>
  <c r="K37"/>
  <c r="N304" i="6"/>
  <c r="M304"/>
  <c r="L12" i="1"/>
  <c r="F153"/>
  <c r="C174"/>
  <c r="C175" s="1"/>
  <c r="N12"/>
  <c r="B93"/>
  <c r="F90"/>
  <c r="E93"/>
  <c r="D79"/>
  <c r="D80" s="1"/>
  <c r="D83"/>
  <c r="D164"/>
  <c r="D174"/>
  <c r="L74"/>
  <c r="H82"/>
  <c r="H90"/>
  <c r="H164"/>
  <c r="H174"/>
  <c r="H175" s="1"/>
  <c r="C82"/>
  <c r="C90"/>
  <c r="B83"/>
  <c r="B82" s="1"/>
  <c r="I174"/>
  <c r="I175" s="1"/>
  <c r="I164"/>
  <c r="I90"/>
  <c r="I127"/>
  <c r="I80"/>
  <c r="B74"/>
  <c r="B117" s="1"/>
  <c r="B174"/>
  <c r="B175" s="1"/>
  <c r="G90"/>
  <c r="G80"/>
  <c r="G127"/>
  <c r="G164"/>
  <c r="G174"/>
  <c r="G175" s="1"/>
  <c r="J101"/>
  <c r="J100" s="1"/>
  <c r="J75"/>
  <c r="J74" s="1"/>
  <c r="J12"/>
  <c r="J93" s="1"/>
  <c r="O13"/>
  <c r="B163"/>
  <c r="B153"/>
  <c r="E107"/>
  <c r="O16" l="1"/>
  <c r="N37"/>
  <c r="J80"/>
  <c r="J90"/>
  <c r="J82"/>
  <c r="D175"/>
  <c r="J127"/>
  <c r="D82"/>
  <c r="D90"/>
  <c r="N85"/>
  <c r="N83" s="1"/>
  <c r="B90"/>
  <c r="O12"/>
  <c r="M39"/>
  <c r="N39" s="1"/>
  <c r="E163"/>
  <c r="E153"/>
  <c r="D55" i="4"/>
  <c r="D54" s="1"/>
  <c r="F122" i="13" l="1"/>
  <c r="M103" l="1"/>
  <c r="M102" s="1"/>
  <c r="M101" s="1"/>
  <c r="C54" i="1"/>
  <c r="C108" s="1"/>
  <c r="L82"/>
  <c r="P21" i="13"/>
  <c r="F102"/>
  <c r="F101" s="1"/>
  <c r="N102"/>
  <c r="N101" s="1"/>
  <c r="D102"/>
  <c r="D101" s="1"/>
  <c r="K54" i="1" l="1"/>
  <c r="J54"/>
  <c r="J108" s="1"/>
  <c r="N54"/>
  <c r="C53"/>
  <c r="N53" s="1"/>
  <c r="K108" l="1"/>
  <c r="K116" s="1"/>
  <c r="K53"/>
  <c r="K52" s="1"/>
  <c r="K71" s="1"/>
  <c r="O54"/>
  <c r="J53"/>
  <c r="C52"/>
  <c r="C154"/>
  <c r="C162" s="1"/>
  <c r="C116"/>
  <c r="C117" s="1"/>
  <c r="L53"/>
  <c r="L52" s="1"/>
  <c r="M48" s="1"/>
  <c r="L116"/>
  <c r="N52" l="1"/>
  <c r="C71"/>
  <c r="J52"/>
  <c r="J71" s="1"/>
  <c r="O53"/>
  <c r="J116"/>
  <c r="J117" s="1"/>
  <c r="J154"/>
  <c r="J162" l="1"/>
  <c r="K107"/>
  <c r="C92"/>
  <c r="O52"/>
  <c r="C103"/>
  <c r="C104" s="1"/>
  <c r="L107"/>
  <c r="C107"/>
  <c r="J92" l="1"/>
  <c r="N71"/>
  <c r="J107"/>
  <c r="J153" s="1"/>
  <c r="J103"/>
  <c r="J104" s="1"/>
  <c r="C163"/>
  <c r="C153"/>
  <c r="J163" l="1"/>
  <c r="M8" i="8"/>
  <c r="M44" i="6"/>
  <c r="D44"/>
  <c r="N44"/>
</calcChain>
</file>

<file path=xl/comments1.xml><?xml version="1.0" encoding="utf-8"?>
<comments xmlns="http://schemas.openxmlformats.org/spreadsheetml/2006/main">
  <authors>
    <author>Magdalena Zielińska</author>
  </authors>
  <commentList>
    <comment ref="F661" authorId="0">
      <text>
        <r>
          <rPr>
            <b/>
            <sz val="9"/>
            <color indexed="81"/>
            <rFont val="Tahoma"/>
            <family val="2"/>
            <charset val="238"/>
          </rPr>
          <t>Magdalena Zielińska:</t>
        </r>
        <r>
          <rPr>
            <sz val="9"/>
            <color indexed="81"/>
            <rFont val="Tahoma"/>
            <family val="2"/>
            <charset val="238"/>
          </rPr>
          <t xml:space="preserve">
PF wprowadzone do budżetu uchwałami Zarządu WZ</t>
        </r>
      </text>
    </comment>
  </commentList>
</comments>
</file>

<file path=xl/sharedStrings.xml><?xml version="1.0" encoding="utf-8"?>
<sst xmlns="http://schemas.openxmlformats.org/spreadsheetml/2006/main" count="3890" uniqueCount="575">
  <si>
    <t>ZESTAWIENIE DOCHODÓW I WYDATKÓW  PLANOWANYCH  NA  PRZEDSIĘWZIĘCIA FINANSOWANE
 ZE ŚRODKÓW WŁASNYCH ORAZ PRZY WSPÓŁUDZIALE ŚRODKÓW, O KTÓRYCH MOWA W ART. 5 UST. 1 PKT 2 I 3 UFP, WG  ŹRÓDEŁ FINANSOWANIA</t>
  </si>
  <si>
    <t>1. ZBIORCZE ZESTAWIENIE DOCHODÓW I WYDATKÓW PRZEDSIĘWZIĘĆ FINANSOWANYCH  PRZY WSPÓŁUDZIALE ŚRODKÓW, O KTÓRYCH MOWA W ART. 5 UST. 1 PKT 2 I 3 UFP  WG ŹRÓDEŁ FINANSOWANIA</t>
  </si>
  <si>
    <t>Zrealizowane nakłady/uzyskane dochody</t>
  </si>
  <si>
    <t>Razem 
w latach planu</t>
  </si>
  <si>
    <t>Wyszczególnienie</t>
  </si>
  <si>
    <t>2017 r.</t>
  </si>
  <si>
    <t>2018 r.</t>
  </si>
  <si>
    <t>Wydatki budżetu ogółem, z tego:</t>
  </si>
  <si>
    <t xml:space="preserve"> - wydatki  bieżące </t>
  </si>
  <si>
    <t xml:space="preserve"> - wydatki majątkowe</t>
  </si>
  <si>
    <t>Wydatki ogółem, z tego:</t>
  </si>
  <si>
    <t>środki z budżetu krajowego, z tego:</t>
  </si>
  <si>
    <t>środki z budżetu województwa</t>
  </si>
  <si>
    <t>dotacje celowe z budżetu państwa</t>
  </si>
  <si>
    <t xml:space="preserve">dotacje z budżetu państwa na zadania zlecone </t>
  </si>
  <si>
    <t>dotacje celowe od innych jst</t>
  </si>
  <si>
    <t xml:space="preserve">środki z funduszy </t>
  </si>
  <si>
    <t>dotacje z budżetu państwa - kontrakt wojewódzki</t>
  </si>
  <si>
    <t>środki z budżetu UE, z tego:</t>
  </si>
  <si>
    <t>środki z Unii Europejskiej</t>
  </si>
  <si>
    <t>dotacje celowe / płatności z UE</t>
  </si>
  <si>
    <t>Dochody ogółem, z tego:</t>
  </si>
  <si>
    <t>X</t>
  </si>
  <si>
    <t xml:space="preserve">środki z budżetu krajowego, z tego: </t>
  </si>
  <si>
    <t xml:space="preserve">środki na wkład własny krajowy </t>
  </si>
  <si>
    <t>środki na dofinansowanie własnych inwestycji pozyskane z innych źródeł</t>
  </si>
  <si>
    <t>Wydatki z budżetu województwa ogółem</t>
  </si>
  <si>
    <t>Dochody budżetu województwa ogółem</t>
  </si>
  <si>
    <t>2. ZBIORCZE  ZESTAWIENIE DOCHODÓW I WYDATKÓW  POZOSTAŁYCH  PRZEDSIĘWZIĘĆ  WG  ŹRÓDEŁ FINANSOWANIA</t>
  </si>
  <si>
    <t xml:space="preserve"> - wydatki majątkowe </t>
  </si>
  <si>
    <t>środki z budżetu województwa *</t>
  </si>
  <si>
    <t>środki własne jos (poza budżetem)</t>
  </si>
  <si>
    <t>dotacja z budżetu województwa (m.in. dla jos)</t>
  </si>
  <si>
    <t>dotacje celowe z budżetu państwa (poza budżetem)</t>
  </si>
  <si>
    <t>dotacje celowe / płatności z UE (poza budżetem)</t>
  </si>
  <si>
    <t>RAZEM WYDATKI BUDŻETU WOJEWÓDZTWA</t>
  </si>
  <si>
    <t xml:space="preserve"> - WYDATKI BIEŻĄCE </t>
  </si>
  <si>
    <t xml:space="preserve"> - WYDATKI MAJĄTKOWE</t>
  </si>
  <si>
    <t>RAZEM DOCHODY BUDŻETU WOJEWÓDZTWA</t>
  </si>
  <si>
    <t xml:space="preserve"> - DOCHODY BIEŻĄCE</t>
  </si>
  <si>
    <t xml:space="preserve"> - DOCHODY MAJĄTKOWE</t>
  </si>
  <si>
    <t>sprawdzenie</t>
  </si>
  <si>
    <t>Część I - UE</t>
  </si>
  <si>
    <t>DOCHODY BUDŻETU WOJEWÓDZTWA -RAZEM</t>
  </si>
  <si>
    <t>Część II - POZOSTAŁE</t>
  </si>
  <si>
    <t>Razem</t>
  </si>
  <si>
    <t>sprawdzenie   wydatki</t>
  </si>
  <si>
    <t>sprawdzenie    DOCHODY</t>
  </si>
  <si>
    <t xml:space="preserve">środki z budżetu województwa </t>
  </si>
  <si>
    <t>dotacje celowe dla jos</t>
  </si>
  <si>
    <t>środki z funduszy celowych</t>
  </si>
  <si>
    <t xml:space="preserve">ZMIANY WYDATKI </t>
  </si>
  <si>
    <t xml:space="preserve">ZMIANY DOCHODY </t>
  </si>
  <si>
    <t>x</t>
  </si>
  <si>
    <t>środki z funduszy</t>
  </si>
  <si>
    <t>1.</t>
  </si>
  <si>
    <t>2.</t>
  </si>
  <si>
    <t>3.</t>
  </si>
  <si>
    <t>4.</t>
  </si>
  <si>
    <t>5.</t>
  </si>
  <si>
    <t xml:space="preserve"> </t>
  </si>
  <si>
    <t>Koncepcja obejścia m Gryfice w ciągu drogi woj. Nr 105 (zachodnie obejscie Gryfic  
w powiązaniu  z drogą  nr 110, drogami gminnymi i powiatowymi)</t>
  </si>
  <si>
    <r>
      <t xml:space="preserve">Tabela Nr 6A  </t>
    </r>
    <r>
      <rPr>
        <i/>
        <sz val="12"/>
        <rFont val="Arial CE"/>
        <charset val="238"/>
      </rPr>
      <t>do Załącznika Nr 3</t>
    </r>
  </si>
  <si>
    <t>Klasyfikacja budżetowa</t>
  </si>
  <si>
    <t>Planowana wartość kosztorysowa zadania / planowane dochody uzyskane na realizację zadania</t>
  </si>
  <si>
    <t xml:space="preserve">Jednostka organizacyjna odpowiedzialna
za realizację </t>
  </si>
  <si>
    <t>Lp</t>
  </si>
  <si>
    <t>Nazwa zadania 
(Lokalizacja)</t>
  </si>
  <si>
    <t>Wydatki z budżetu ogółem, z tego:</t>
  </si>
  <si>
    <t xml:space="preserve"> - wydatki bieżące</t>
  </si>
  <si>
    <t xml:space="preserve">dotacje celowe z budżetu państwa </t>
  </si>
  <si>
    <t>środki z innych źródeł</t>
  </si>
  <si>
    <t>środki na dofinansowanie inwestycji pozyskane z innych źródeł</t>
  </si>
  <si>
    <t>majątkowe</t>
  </si>
  <si>
    <t>KONTRAKT</t>
  </si>
  <si>
    <t xml:space="preserve">ZZDW w Koszalinie
</t>
  </si>
  <si>
    <t>rozdz. 60013</t>
  </si>
  <si>
    <t>rozdz. 75861</t>
  </si>
  <si>
    <t>ZZDW w Koszalinie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</si>
  <si>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</si>
  <si>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</si>
  <si>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</si>
  <si>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</si>
  <si>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</si>
  <si>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</si>
  <si>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</si>
  <si>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</si>
  <si>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</si>
  <si>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</si>
  <si>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</si>
  <si>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rozdz. 60001</t>
  </si>
  <si>
    <t>18.</t>
  </si>
  <si>
    <t>środki z budżetu UE, w tego:</t>
  </si>
  <si>
    <t>WIiT</t>
  </si>
  <si>
    <t>PROJEKTY  REALIZOWANE  W  RAMACH PO INFRASTRUKTURA I ŚRODOWISKO</t>
  </si>
  <si>
    <t>20.</t>
  </si>
  <si>
    <t xml:space="preserve">WIiT </t>
  </si>
  <si>
    <t>środki z funduszy celowych - Fundusz Kolejowy</t>
  </si>
  <si>
    <t xml:space="preserve">dotacje celowe z budzetu państwa </t>
  </si>
  <si>
    <t>pozostałe środki</t>
  </si>
  <si>
    <t>bieżące</t>
  </si>
  <si>
    <t>WWT</t>
  </si>
  <si>
    <t>rozdz. 60095</t>
  </si>
  <si>
    <t>rodz. 60095</t>
  </si>
  <si>
    <t>II. POZOSTAŁE  PRZEDSIĘWZIĘCIA W ZAKRESIE TRANSPORTU I ŁĄCZNOŚCI</t>
  </si>
  <si>
    <t>dotacja celowa od innych jst</t>
  </si>
  <si>
    <t>6.</t>
  </si>
  <si>
    <t>I. PRZEDSIĘWZIĘCIA FINANSOWANE PRZY WSPÓŁUDZIALE ŚRODKÓW, O KTÓRYCH MOWA W ART. 5 UST. 1 PKT 2 I 3 UFP  W ZAKRESIE POLITYKI  SPOŁECZNEJ  I  ROZWOJU  PRZEDSIĘBIORCZOŚCI</t>
  </si>
  <si>
    <t>Planowana wartość kosztorysowa zadania / dochody uzyskane na realizację zadania</t>
  </si>
  <si>
    <t>3</t>
  </si>
  <si>
    <t>4</t>
  </si>
  <si>
    <t>rozdz. 
85332</t>
  </si>
  <si>
    <t>dotacja z budżetu województwa dla jos</t>
  </si>
  <si>
    <t>dotacje celowe od innych jst (pomoc finansowa i porozumienia)</t>
  </si>
  <si>
    <t>rozdz. 85111</t>
  </si>
  <si>
    <t>środki własne jos</t>
  </si>
  <si>
    <t>dotacja z budżetu wojewodztwa dla jos</t>
  </si>
  <si>
    <t>rozdz. 75704</t>
  </si>
  <si>
    <t>środki  z budżetu województwa</t>
  </si>
  <si>
    <r>
      <t xml:space="preserve">Tabela Nr 6D </t>
    </r>
    <r>
      <rPr>
        <i/>
        <sz val="12"/>
        <rFont val="Arial CE"/>
        <charset val="238"/>
      </rPr>
      <t xml:space="preserve"> do Załącznika Nr 3</t>
    </r>
  </si>
  <si>
    <t>I. PRZEDSIĘWZIĘCIA  FINANSOWANE PRZY WSPÓŁUDZIALE ŚRODKÓW, O KTÓRYCH MOWA W ART. 5 UST. 1 PKT 2 I 3 UFP W ZAKRESIE OŚWIATY I EDUKACYJNEJ OPIEKI WYCHOWAWCZEJ</t>
  </si>
  <si>
    <t>Planowana wartość kosztorysowa zadania /  dochody uzyskane na realizację zadania</t>
  </si>
  <si>
    <t xml:space="preserve">
Sekretariat ds.Młodzieży Województwa Zachodnio - pomorskiego 
pod nadzorem WWT</t>
  </si>
  <si>
    <t>rozdz. 80195</t>
  </si>
  <si>
    <t>Centrum Edukacji Nauczycieli w Koszalinie - nadzór WEiS</t>
  </si>
  <si>
    <t>rozdz. 80146</t>
  </si>
  <si>
    <t>II. POZOSTAŁE PRZEDSIĘWZIĘCIA  INWESTYCYJNE W ZAKRESIE OŚWIATY I EDUKACYJNEJ OPIEKI WYCHOWAWCZEJ</t>
  </si>
  <si>
    <t>dotacja z budżetu państwa (poza budżetem)</t>
  </si>
  <si>
    <t xml:space="preserve">dotacja z budżetu województwa </t>
  </si>
  <si>
    <t>środki budżetu województwa  (np.zwrot podatku VAT)</t>
  </si>
  <si>
    <t>Modernizacja Policealnej Szkoły Medycznej w Szczecinie - Wojewódzkiego Zespołu Szkół Policealnych w Szczecinie (2009-2016) Etap I i II</t>
  </si>
  <si>
    <t>Policealna Szkoła Medyczna 
w Szczecinie / Wojewódzki Zespół Szkół Policealnych w Szczecinie - nadzór WEiS</t>
  </si>
  <si>
    <t>rozdz. 
80130
85410</t>
  </si>
  <si>
    <t>Opracowanie projektu i modernizacja obiektu 
przy ul. J. Sowińskiego 68 w Szczecinie w zakresie montażu klimatyzacji (2011-2012)</t>
  </si>
  <si>
    <t>Zachodniopomorskie Centrum Doskonalenia Nauczycieli - nadzór WEiS</t>
  </si>
  <si>
    <t>rozdz.       80146</t>
  </si>
  <si>
    <t>rozdz.
80395</t>
  </si>
  <si>
    <t>środki budżetu województwa  (zwrot podatku VAT)</t>
  </si>
  <si>
    <t xml:space="preserve">I. PRZEDSIĘWZIĘCIA FINANSOWANE PRZY WSPÓŁUDZIALE ŚRODKÓW, O KTÓRYCH MOWA W ART. 5 UST. 1 PKT 2 I 3 UFP W ZAKRESIE ADMINISTRACJI I  TELEKOMUNIKACJI </t>
  </si>
  <si>
    <t>rozdz. 75018</t>
  </si>
  <si>
    <t>z tego:</t>
  </si>
  <si>
    <t xml:space="preserve"> - WZS</t>
  </si>
  <si>
    <t xml:space="preserve"> - WW RPO</t>
  </si>
  <si>
    <t xml:space="preserve"> - WOiRZL</t>
  </si>
  <si>
    <t xml:space="preserve"> - GM</t>
  </si>
  <si>
    <t xml:space="preserve">II. POZOSTAŁE  PRZEDSIĘWZIĘCIA  W ZAKRESIE ADMINISTRACJI I  TELEKOMUNIKACJI </t>
  </si>
  <si>
    <t>rozdz. 70005</t>
  </si>
  <si>
    <t xml:space="preserve">II. POZOSTAŁE PRZEDSIĘWZIĘCIA INWESTYCYJNE W ZAKRESIE KULTURY I OCHRONY DZIEDZICTWA NARODOWEGO </t>
  </si>
  <si>
    <t xml:space="preserve">dotacje z budżetu województwa dla jos </t>
  </si>
  <si>
    <t>Muzeum Narodowe w Szczecinie - nadzór WKNiDN</t>
  </si>
  <si>
    <t>rozdz. 92118</t>
  </si>
  <si>
    <t>Opera na Zamku 
w Szczecinie - nadzór WKNiDN</t>
  </si>
  <si>
    <t>rozdz. 92106</t>
  </si>
  <si>
    <t>Zamek Książąt Pomorskich 
w Szczecinie - nadzór WKNiDN</t>
  </si>
  <si>
    <t>rozdz.
92109</t>
  </si>
  <si>
    <t>Zachodniopomorski Zarząd Melioracji i Urządzeń Wodnych pod nadzorem Wydziału Rolnictwa i Rybactwa</t>
  </si>
  <si>
    <t>rozdz. 01008</t>
  </si>
  <si>
    <t>rozdz. 01041</t>
  </si>
  <si>
    <t xml:space="preserve">II. POZOSTAŁE  PRZEDSIĘWZIĘCIA W ZAKRESIE ROLNICTWA I OCHRONY ŚRODOWISKA </t>
  </si>
  <si>
    <t>I. PRZEDSIĘWZIĘCIA FINANSOWANE PRZY WSPÓŁUDZIALE ŚRODKÓW, O KTÓRYCH MOWA W ART. 5 UST. 1 PKT 2 I 3 UFP W ZAKRESIE KULTURY FIZYCZNEJ  I TURYSTYKI</t>
  </si>
  <si>
    <t>rozdz. 63003</t>
  </si>
  <si>
    <t xml:space="preserve">bieżące </t>
  </si>
  <si>
    <t xml:space="preserve">II. POZOSTAŁE  PRZEDSIĘWZIĘCIA  W ZAKRESIE KULTURY FIZYCZNEJ I TURYSTYKI </t>
  </si>
  <si>
    <t>WEiS</t>
  </si>
  <si>
    <t>rozdz. 92605      92695</t>
  </si>
  <si>
    <t>dotacja z budżetu województwa</t>
  </si>
  <si>
    <t>Akademia Sztuki             w Szczecinie pod nadzorem Wydziału Edukacji  i Sportu</t>
  </si>
  <si>
    <t>I. PRZEDSIĘWZIĘCIA FINANSOWANE PRZY WSPÓŁUDZIALE ŚRODKÓW, O KTÓRYCH MOWA W ART. 5 UST. 1 PKT 2 I 3 UFP W ZAKRESIE ROZWOJU REGIONALNEGO I PLANOWANIA PRZESTRZENNEGO</t>
  </si>
  <si>
    <t>Modernizacja budynku internatu przy pl. Orła Białego 2 
w Szczecinie Akademii Sztuki w Szczecinie  (2013-2015)</t>
  </si>
  <si>
    <t>rozdz. 75095</t>
  </si>
  <si>
    <t>2019 r.</t>
  </si>
  <si>
    <t xml:space="preserve">2020 r. </t>
  </si>
  <si>
    <t>2020 r.</t>
  </si>
  <si>
    <t>Akademia Sztuki   
w Szczecinie 
pod nadzorem Wydziału Edukacji  
i Sportu</t>
  </si>
  <si>
    <t xml:space="preserve">Dofinansowanie kolejowych przewozów pasażerskich (2013-2020) </t>
  </si>
  <si>
    <t>Objęcie nowych udziałów w Spółce Port Lotniczy Szczecin-Goleniów (2008-2020)</t>
  </si>
  <si>
    <t>środki  budżetu województwa (w tym zwrot podatku VAT)</t>
  </si>
  <si>
    <t>środki budżetu województwa</t>
  </si>
  <si>
    <t>środki własne budżetu województwa</t>
  </si>
  <si>
    <t>rozdz. 92502</t>
  </si>
  <si>
    <t>Parki Krajobrazowe Województwa Zachodniopomorskiego nadzór WTiG</t>
  </si>
  <si>
    <t>Środki z budżetu krajowego, z tego:</t>
  </si>
  <si>
    <t>rozdz. 75863</t>
  </si>
  <si>
    <t>22.</t>
  </si>
  <si>
    <t>23.</t>
  </si>
  <si>
    <t>WTiG</t>
  </si>
  <si>
    <t>A</t>
  </si>
  <si>
    <t>B</t>
  </si>
  <si>
    <t xml:space="preserve">II. POZOSTAŁE PRZEDSIĘWZIĘCIA W ZAKRESIE OCHRONY ZDROWIA </t>
  </si>
  <si>
    <t>I. PRZEDSIĘWZIĘCIA FINANSOWANE PRZY WSPÓŁUDZIALE ŚRODKÓW, O KTÓRYCH MOWA W ART. 5 UST. 1 PKT 2 I 3 UFP W ZAKRESIE TRANSPORTU I ŁĄCZNOŚCI</t>
  </si>
  <si>
    <t xml:space="preserve">I. PRZEDSIĘWZIĘCIA INWESTYCYJNE FINANSOWANE PRZY WSPÓŁUDZIALE ŚRODKÓW, O KTÓRYCH MOWA W ART. 5 UST. 1 PKT 2 I 3 UFP W ZAKRESIE ROLNICTWA I OCHRONY ŚRODOWISKA </t>
  </si>
  <si>
    <t>WZS/ WIiT</t>
  </si>
  <si>
    <t>rodz.  75863</t>
  </si>
  <si>
    <t xml:space="preserve">PROJEKTY REALIZOWANE W RAMACH POZOSTAŁYCH FUNDUSZY UE </t>
  </si>
  <si>
    <t>Lider Zachodniopomorski w ramach Programu "Młodzież w działaniu", Akcja 5.1. - Spotkania młodzieży i osób odpowiedzialnych za politykę młodzieżową (2013-2014)</t>
  </si>
  <si>
    <r>
      <t>Akademia Zmienia Szczecin - Modernizacja Pałacu pod Globusem</t>
    </r>
    <r>
      <rPr>
        <sz val="9"/>
        <rFont val="Arial CE"/>
        <charset val="238"/>
      </rPr>
      <t xml:space="preserve"> w ramach RPO WZ, Osi VI: Rozwój Funkcji Metropolitarnych</t>
    </r>
    <r>
      <rPr>
        <b/>
        <sz val="9"/>
        <rFont val="Arial CE"/>
        <family val="2"/>
        <charset val="238"/>
      </rPr>
      <t xml:space="preserve"> (2013-2014)</t>
    </r>
  </si>
  <si>
    <t xml:space="preserve">dotacje celowe  z budżetu państwa </t>
  </si>
  <si>
    <t>środki z Unii Europejskiej (refundacja)</t>
  </si>
  <si>
    <t>spr źródeł</t>
  </si>
  <si>
    <t>spr doch suma dziedzin</t>
  </si>
  <si>
    <t>poręczenia dla ZOZ-ów</t>
  </si>
  <si>
    <t>czekam na pismo do uzunięcia</t>
  </si>
  <si>
    <t>PROJEKTY  REALIZOWANE  W  RAMACH RPO WZ 2007-2013 oraz RPO WZ 2014 - 2020</t>
  </si>
  <si>
    <t>rozdz. 75864</t>
  </si>
  <si>
    <t xml:space="preserve"> - Gmina i Miasto Koszalin</t>
  </si>
  <si>
    <t xml:space="preserve"> - WFOŚiGW</t>
  </si>
  <si>
    <t>spr</t>
  </si>
  <si>
    <r>
      <t>Dochody PT 2014-2020 w latach 2021-2023 (</t>
    </r>
    <r>
      <rPr>
        <b/>
        <sz val="10"/>
        <rFont val="Arial"/>
        <family val="2"/>
        <charset val="238"/>
      </rPr>
      <t>płatności)</t>
    </r>
  </si>
  <si>
    <t>Razem wydatki w latach 2014-2020</t>
  </si>
  <si>
    <t>Wydatki (WW) PT 2014-2020 - lata 2021-2023</t>
  </si>
  <si>
    <t>wydatki w latach 2021-23 PT RPO</t>
  </si>
  <si>
    <t>2023 r.</t>
  </si>
  <si>
    <t>2021 r.</t>
  </si>
  <si>
    <t>2022 r.</t>
  </si>
  <si>
    <t xml:space="preserve">2021 r. </t>
  </si>
  <si>
    <t xml:space="preserve">2022 r. </t>
  </si>
  <si>
    <t xml:space="preserve">2023 r. </t>
  </si>
  <si>
    <t>Oś X, Pomoc techniczna RPO WZ 2014 - 2020 (2015-2023)</t>
  </si>
  <si>
    <t>Zakupy inwestycyjne w ramach Osi X - Pomoc techniczna RPO WZ 2014 - 2020 (2015-2023)</t>
  </si>
  <si>
    <t>Zachodniopomorskie Centrum Kształcenia Zawodowego i Ustawicznego w Szczecinie - nadzór WEiS</t>
  </si>
  <si>
    <t>rozdz. 80130</t>
  </si>
  <si>
    <t>Zrealizowane nakłady/
uzyskane dochody</t>
  </si>
  <si>
    <t xml:space="preserve">Zrealizowane nakłady/
uzyskane dochody </t>
  </si>
  <si>
    <t xml:space="preserve"> - Gmina i Miasto Koszalin/ AZR</t>
  </si>
  <si>
    <t xml:space="preserve"> - WFOŚiGW/AZR</t>
  </si>
  <si>
    <t>Sieć Punktów Informacyjnych Funduszy Europejskich (PIFE) w Województwie Zachodniopomorskim w ramach PO Pomoc Techniczna (2015-2020)</t>
  </si>
  <si>
    <t>II. POZOSTAŁE  PRZEDSIĘWZIĘCIA  W ZAKRESIE ROZWOJU REGIONALNEGO I PLANOWANIA PRZESTRZENNEGO</t>
  </si>
  <si>
    <t>rozdz. 71003</t>
  </si>
  <si>
    <t>C.</t>
  </si>
  <si>
    <t>D.</t>
  </si>
  <si>
    <t>dotacje celowe / płatności z UE (w ramach działania 10.1 RPO WZ 2014-2020)</t>
  </si>
  <si>
    <t>dotacje celowe / płatności z UE (w ramach działania 2.13 RPO WZ 2014-2020)</t>
  </si>
  <si>
    <t>dotacje celowe / płatności z UE ( w ramach działania 2.1 RPO WZ 2014-2020)</t>
  </si>
  <si>
    <t>DOCHODY OGÓŁEM, z tego:</t>
  </si>
  <si>
    <t>Konsolidacja siedziby Urzędu Marszałkowskiego - etap A</t>
  </si>
  <si>
    <t>dotacje celowe / płatności z UE (w ramach działanie 10.1 RPO WZ 2014-2020)</t>
  </si>
  <si>
    <t>dotacje celowe / płatności z UE (w ramach działania 10.1  RPO WZ 2014-2020)</t>
  </si>
  <si>
    <t>dotacje celowe / płatności z UE (w ramach działania 2.13  RPO WZ 2014-2020)</t>
  </si>
  <si>
    <t>Konsolidacja siedziby Urzędu Marszałkowskiego - etap B</t>
  </si>
  <si>
    <t>dotacje celowe / płatności z UE ( w ramach działania 10.1 RPO WZ 2014-2020)</t>
  </si>
  <si>
    <t>dotacje celowe / płatności z UE (w ramach działania 2.1 RPO WZ 2014-2020)</t>
  </si>
  <si>
    <t>rozdział 75018</t>
  </si>
  <si>
    <t>środki poza budżetem</t>
  </si>
  <si>
    <t>24.</t>
  </si>
  <si>
    <t>m</t>
  </si>
  <si>
    <t>b</t>
  </si>
  <si>
    <t>Konsolidacja UM dochody</t>
  </si>
  <si>
    <t>rozdz. 75863
75864</t>
  </si>
  <si>
    <t>19.</t>
  </si>
  <si>
    <t>21.</t>
  </si>
  <si>
    <t>WOiRZL</t>
  </si>
  <si>
    <t xml:space="preserve">Wsparcie gmin w opracowaniu albo aktualizacji programów rewitalizacji w ramach PO Pomoc Techniczna (2016 - 2018) </t>
  </si>
  <si>
    <t>9b</t>
  </si>
  <si>
    <t>9c</t>
  </si>
  <si>
    <r>
      <t xml:space="preserve">Znaczenie nowoczesnych technologii w motywowaniu dorosłych z terenów defaworyzowanych do uczenia się </t>
    </r>
    <r>
      <rPr>
        <sz val="9"/>
        <rFont val="Arial CE"/>
        <charset val="238"/>
      </rPr>
      <t>w ramach Programu LLP „Uczenie się przez całe życie” – GRUNDTVIG</t>
    </r>
    <r>
      <rPr>
        <b/>
        <sz val="9"/>
        <rFont val="Arial CE"/>
        <charset val="238"/>
      </rPr>
      <t xml:space="preserve"> (2013-2015)</t>
    </r>
  </si>
  <si>
    <t>środki z budżetu województwa (subwencja)</t>
  </si>
  <si>
    <t>Oś X, Pomoc techniczna RPO WZ 2014-2020 (2015-2023)</t>
  </si>
  <si>
    <t>Konsolidacja siedziby Urzędu Marszałkowskiego Województwa Zachodniopomorskiego - razem etap A i B  (2016-2020)</t>
  </si>
  <si>
    <t>rozdz. 
60001
75863</t>
  </si>
  <si>
    <t>Brak decyzji</t>
  </si>
  <si>
    <t>Wspieranie innowacyjnych ekosystemów przedsiębiorczości w regionach na rzecz młodych przedsiębiorców (iEER) w ramach Interreg VC (2016-2020)</t>
  </si>
  <si>
    <t>rozdz. 
15011</t>
  </si>
  <si>
    <t>WWT/WOiRZL</t>
  </si>
  <si>
    <t>Sieć Punktów Informacyjnych Funduszy Europejskich (PIFE) w Województwie Zachodniopomorskim w ramach PO Pomoc Techniczna - zakupy inwestycyjne  (2015-2020)</t>
  </si>
  <si>
    <t xml:space="preserve">2. </t>
  </si>
  <si>
    <t>ROPS</t>
  </si>
  <si>
    <t>rozdz.
75864</t>
  </si>
  <si>
    <t xml:space="preserve">rozdz. 
75018
85395
</t>
  </si>
  <si>
    <t>WRiR</t>
  </si>
  <si>
    <t>WWT/
WOiRZL</t>
  </si>
  <si>
    <t>ROPS/
WOiRZL</t>
  </si>
  <si>
    <t>Regionalny Szpital 
w Kołobrzegu 
pod nadzorem WZ</t>
  </si>
  <si>
    <t>WZS</t>
  </si>
  <si>
    <t>WIiN, WZS</t>
  </si>
  <si>
    <t>WIiN</t>
  </si>
  <si>
    <t>WA, WSIiI</t>
  </si>
  <si>
    <t>Wspieranie realizacji zadań publicznych Województwa Zachodniopomorskiego w zakresie upowszechniania kultury fizycznej (2014-2019)</t>
  </si>
  <si>
    <t xml:space="preserve">WPROW 
</t>
  </si>
  <si>
    <t>RBGP WZ w Szczecinie pod nadzorem WZS</t>
  </si>
  <si>
    <t>Bieżące utrzymanie dróg i mostów (2017-2020)</t>
  </si>
  <si>
    <t>Przebudowa dróg i mostów (2017-2020)</t>
  </si>
  <si>
    <t>Sprawdzenie wydatki z budżetu (UM +WUP + IP)</t>
  </si>
  <si>
    <t>Sprawdzenie dochody z budżetu (UM + WUP+IZ)</t>
  </si>
  <si>
    <t>Wydatki bieżące PT Oś X (UM + IP)</t>
  </si>
  <si>
    <t>Wydatki majątkowe PT Oś X (UM + IP)</t>
  </si>
  <si>
    <t>Konsolidacja UM wydatki</t>
  </si>
  <si>
    <t>PT oś X dochody ogółem w budżecie</t>
  </si>
  <si>
    <t>PT oś X wydatki ogółem w budżecie</t>
  </si>
  <si>
    <t>Dokumentacje techniczne na zadania drogowe (2011-2020)</t>
  </si>
  <si>
    <t>Oś X, Pomoc techniczna RPO WZ 2014-2020 - wydatki majątkowe (2015-2023)</t>
  </si>
  <si>
    <t>dotacje celowe/płatności z UE</t>
  </si>
  <si>
    <t>rozdz. 92109</t>
  </si>
  <si>
    <t>Zamek Książąt Pomorskich w Szczecinie - nadzór WKNiDN</t>
  </si>
  <si>
    <t>rozdz. 71012</t>
  </si>
  <si>
    <t xml:space="preserve">
WWT/
WOiRZL</t>
  </si>
  <si>
    <t xml:space="preserve">Zakupy inwestycyjne w ramach wsparcia gmin w opracowaniu albo aktualizacji programów rewitalizacji w ramach PO Pomoc Techniczna (2016 - 2018) </t>
  </si>
  <si>
    <t>majątkowe/
bieżące*</t>
  </si>
  <si>
    <t>rozdz. 
15011
75018</t>
  </si>
  <si>
    <t xml:space="preserve"> - Gmina i Miasto Koszalin/AZR</t>
  </si>
  <si>
    <r>
      <t xml:space="preserve">Projekt pn. "Europejskie Standardy w Opiece nad Osobami Starszymi" </t>
    </r>
    <r>
      <rPr>
        <sz val="9"/>
        <rFont val="Arial CE"/>
        <charset val="238"/>
      </rPr>
      <t>w ramach Programu Erasmus+</t>
    </r>
    <r>
      <rPr>
        <b/>
        <sz val="9"/>
        <rFont val="Arial CE"/>
        <charset val="238"/>
      </rPr>
      <t xml:space="preserve"> (2015-2016)</t>
    </r>
  </si>
  <si>
    <t>BW</t>
  </si>
  <si>
    <t>rozdz. 01078</t>
  </si>
  <si>
    <t>Utrzymanie szlaków rowerowych na wybranych odcinkach wałów przeciwpowodziowych w Województwie Zachodniopomorskim</t>
  </si>
  <si>
    <t>Utrzymanie szlaków rowerowych na wybranych odcinkach wałów przeciwpowodziowych w Województwie Zachodniopomorskim (2019 - 2023)</t>
  </si>
  <si>
    <t>Zespół Parków Krajobrazowych WZ pod nadzorem WTG</t>
  </si>
  <si>
    <r>
      <t xml:space="preserve">Tabela Nr 6  </t>
    </r>
    <r>
      <rPr>
        <i/>
        <sz val="12"/>
        <rFont val="Arial CE"/>
        <charset val="238"/>
      </rPr>
      <t xml:space="preserve">do załącznika Nr 3 </t>
    </r>
  </si>
  <si>
    <r>
      <t xml:space="preserve"> - wydatki bieżące</t>
    </r>
    <r>
      <rPr>
        <b/>
        <sz val="12"/>
        <rFont val="Arial CE"/>
        <charset val="238"/>
      </rPr>
      <t xml:space="preserve"> </t>
    </r>
  </si>
  <si>
    <t>rozdz. 63003,    75018</t>
  </si>
  <si>
    <t>rozdz. 92116</t>
  </si>
  <si>
    <t>Książnica Pomorska w Szczecinie - nadzór WKNiDN</t>
  </si>
  <si>
    <t xml:space="preserve"> - WWŚRPO</t>
  </si>
  <si>
    <t>WWŚRPO</t>
  </si>
  <si>
    <t>WTiG / WOiRZL</t>
  </si>
  <si>
    <t>- środki z budżetu województwa WTiG</t>
  </si>
  <si>
    <t>- środki z budżetu województwa WOiRZL</t>
  </si>
  <si>
    <t>- dotacje celowe / płatności z UE WOiRZL</t>
  </si>
  <si>
    <t>- dotacje celowe / płatności z UE WTiG</t>
  </si>
  <si>
    <t>rozdz. 75018
75095
90011*</t>
  </si>
  <si>
    <t xml:space="preserve"> * dotyczy wykonania wydatków WFOŚiGW</t>
  </si>
  <si>
    <t>WZS, WWRPO, WOiRZL, GM, WWŚRPO</t>
  </si>
  <si>
    <t>Samodzielny Publiczny Wojewódzki
Szpital
 Zespolony w Szczecinie pod nadzorem WZ</t>
  </si>
  <si>
    <t>Limit` 17</t>
  </si>
  <si>
    <t>Wykonanie wg sprawozdania</t>
  </si>
  <si>
    <t xml:space="preserve">Różnica
</t>
  </si>
  <si>
    <t>WZS, WWRPO, GM, WWŚRPO</t>
  </si>
  <si>
    <t>Budowa wiaduktu w m. Rzeczyca w ciągu drogi nr 206 (2017-2018)</t>
  </si>
  <si>
    <t>Zintegrowane wsparcie dla rodzin i pieczy zastępczej na terenie województwa zachodniopomorskiego w ramach działania 7.6 RPO WZ (2017-2018)</t>
  </si>
  <si>
    <t>rozdz. 
75864</t>
  </si>
  <si>
    <t>rozdz. 
75863</t>
  </si>
  <si>
    <t>GM</t>
  </si>
  <si>
    <t>COiE</t>
  </si>
  <si>
    <t>rozdz. 
75018
75075</t>
  </si>
  <si>
    <t>rozdz. 
75075</t>
  </si>
  <si>
    <t>w tym:</t>
  </si>
  <si>
    <t>rozdz. 71095</t>
  </si>
  <si>
    <t xml:space="preserve">w 2016 r. przesunięcie między źródłami fin o kwotę 747 zł </t>
  </si>
  <si>
    <t>2016 r. uwzględniono dokumentację</t>
  </si>
  <si>
    <t xml:space="preserve"> - dziedziny</t>
  </si>
  <si>
    <t>CZĘŚĆ I</t>
  </si>
  <si>
    <t>DOCHODY BIEŻĄCE</t>
  </si>
  <si>
    <t>DOCHODY MAJĄTKOWE</t>
  </si>
  <si>
    <t>suma</t>
  </si>
  <si>
    <t>◄ kwota poręczeń w latach 2021-2032</t>
  </si>
  <si>
    <t>brak umowy</t>
  </si>
  <si>
    <r>
      <t xml:space="preserve">Zakup kolejowego taboru pasażerskiego o napędzie spalinowym </t>
    </r>
    <r>
      <rPr>
        <sz val="9"/>
        <rFont val="Arial CE"/>
        <family val="2"/>
        <charset val="238"/>
      </rPr>
      <t>w ramach Osi V RPO</t>
    </r>
    <r>
      <rPr>
        <b/>
        <sz val="9"/>
        <rFont val="Arial CE"/>
        <family val="2"/>
        <charset val="238"/>
      </rPr>
      <t xml:space="preserve"> (2016-2017)</t>
    </r>
  </si>
  <si>
    <t xml:space="preserve">► różnica </t>
  </si>
  <si>
    <t>Decyzja jest - do uzupełnienia - po 5 czerwca</t>
  </si>
  <si>
    <t>rozdz.
60095</t>
  </si>
  <si>
    <t>rozdz. 60095
75018</t>
  </si>
  <si>
    <t>Regionalny Punkt Kontaktowy - Pomoc Techniczna w ramach Programu Współpracy INTERREG VA - wydatki bieżące (2016-2020)</t>
  </si>
  <si>
    <t>Przebudowa odcinków szlakowych dróg wojewódzkich (2017-2019)</t>
  </si>
  <si>
    <t>rozdz. 63003/75018</t>
  </si>
  <si>
    <t>WTIG</t>
  </si>
  <si>
    <t>Modernizacja sieci komputerowej logicznej i elektrycznej w Książnicy Pomorskiej (2017-2018)</t>
  </si>
  <si>
    <t>Decyzja podpisana - po 5 czerwca</t>
  </si>
  <si>
    <t>rozdz. 
60013</t>
  </si>
  <si>
    <t>umowa</t>
  </si>
  <si>
    <t>kontynuowane</t>
  </si>
  <si>
    <t>Bałtyckie trasy dziedzictwa w ramach Programu Interreg Południowy Bałtyk (2017-2020)</t>
  </si>
  <si>
    <t>Regionalny Punkt Kontaktowy - Pomoc Techniczna w ramach Programu Współpracy INTERREG VA - wydatki majątkowe  (2016-2020)</t>
  </si>
  <si>
    <r>
      <t>dotacje celowe od innych jst</t>
    </r>
    <r>
      <rPr>
        <sz val="8"/>
        <rFont val="Arial CE"/>
        <charset val="238"/>
      </rPr>
      <t xml:space="preserve"> (pomoc finansowa i porozumienia)</t>
    </r>
  </si>
  <si>
    <t>Poręczenie pożyczki dla Regionalnego Szpitala w Kołobrzegu na dofinansowanie realizacji zadania inwestycyjnego pn. Poprawa efektywności energetycznej budynków Szpitala Regionalnego w Kołobrzegu (2016 - 2028)*</t>
  </si>
  <si>
    <r>
      <t xml:space="preserve">* w latach 2024- 2028 kwota poręczenia dla Regionalnego Szpitala w Kołobrzegu wynosi </t>
    </r>
    <r>
      <rPr>
        <b/>
        <i/>
        <sz val="8"/>
        <rFont val="Arial CE"/>
        <charset val="238"/>
      </rPr>
      <t>1.050.002 zł.</t>
    </r>
  </si>
  <si>
    <t>Poręczenie kredytu konsolidacyjnego dla Samodzielnego Publicznego Wojewódzkiego Szpitala Zespolonego  w Szczecinie (2017-2032)**</t>
  </si>
  <si>
    <t>dotacje celowe / płatności z UE**</t>
  </si>
  <si>
    <t>Wsparcie techniczne Interreg VA Południowy Bałtyk - wydatki bieżące (2015-2020)</t>
  </si>
  <si>
    <t>Poręczenie kredytu dla Szpitala w Szczecinie Zdunowie - następca prawny SPWSZ w Szczecinie  (2014-2022)</t>
  </si>
  <si>
    <t>do 2016 r.</t>
  </si>
  <si>
    <t>do 2016</t>
  </si>
  <si>
    <t>8a</t>
  </si>
  <si>
    <t>8b</t>
  </si>
  <si>
    <t>Wymiana i rozbudowa parku maszyn i urządzeń ZZDW w Koszalinie (2016-2018)</t>
  </si>
  <si>
    <t>decyzja z 25.09.17</t>
  </si>
  <si>
    <t xml:space="preserve">* kwota wykonania 2016 r. (250 844 zł) jednak nie jest zgodna ze sprawozdaniem RB, wynika z faktycznie poniesionych przez jednostkę wydatków </t>
  </si>
  <si>
    <t>Prognozowane nakłady inwestycyjne /dochody 
w latach 2018 - 2023</t>
  </si>
  <si>
    <r>
      <t>Limit zobowiązań na lata 2018-20</t>
    </r>
    <r>
      <rPr>
        <b/>
        <sz val="10"/>
        <rFont val="Arial CE"/>
        <charset val="238"/>
      </rPr>
      <t>23</t>
    </r>
    <r>
      <rPr>
        <b/>
        <sz val="10"/>
        <rFont val="Arial CE"/>
        <family val="2"/>
        <charset val="238"/>
      </rPr>
      <t xml:space="preserve"> 
i lata następne</t>
    </r>
  </si>
  <si>
    <t>Prognozowane nakłady inwestycyjne / dochody z tytułu realizacji projektów  w latach 2018-2023</t>
  </si>
  <si>
    <t>Limity zobowiązań 2018-2023 i lata następne</t>
  </si>
  <si>
    <t>GM/COIiE/WWT, WTiG/WOiRZL</t>
  </si>
  <si>
    <t>Zrealizowane nakłady/ 
uzyskane dochody do 2016 r.</t>
  </si>
  <si>
    <t>Zrealizowane nakłady/
uzyskane dochody w 2016 r.</t>
  </si>
  <si>
    <t>Limity zobowiązań 2018-2023  i lata następne</t>
  </si>
  <si>
    <r>
      <t xml:space="preserve">Tabela Nr 6F </t>
    </r>
    <r>
      <rPr>
        <i/>
        <sz val="12"/>
        <rFont val="Arial CE"/>
        <charset val="238"/>
      </rPr>
      <t xml:space="preserve"> do Załącznika Nr 3</t>
    </r>
  </si>
  <si>
    <t>WUP 
w Szczecinie 
pod nadzorem COIiE</t>
  </si>
  <si>
    <t>WUP
 w Szczecinie 
pod nadzorem COIiE</t>
  </si>
  <si>
    <t>Specjalistyczny Szpital im. A. Sokołowskiego 
w Szczecinie - Zdunowo - następca prawny SPWSZ 
w Szczecinie   
pod nadzorem WZ</t>
  </si>
  <si>
    <t>ZZMiUW w Szczecinie
w likwidacji 
pod nadzorem WRiR</t>
  </si>
  <si>
    <r>
      <t xml:space="preserve">Tabela Nr 6G </t>
    </r>
    <r>
      <rPr>
        <i/>
        <sz val="12"/>
        <rFont val="Arial CE"/>
        <charset val="238"/>
      </rPr>
      <t xml:space="preserve"> do Załącznika Nr 3</t>
    </r>
  </si>
  <si>
    <r>
      <t xml:space="preserve">Tabela Nr 6H </t>
    </r>
    <r>
      <rPr>
        <i/>
        <sz val="12"/>
        <rFont val="Arial CE"/>
        <charset val="238"/>
      </rPr>
      <t>do Załącznika Nr 3</t>
    </r>
  </si>
  <si>
    <r>
      <t xml:space="preserve">Tabela Nr 6I  </t>
    </r>
    <r>
      <rPr>
        <i/>
        <sz val="12"/>
        <rFont val="Arial CE"/>
        <charset val="238"/>
      </rPr>
      <t>do Załącznika Nr 3</t>
    </r>
  </si>
  <si>
    <t>Limity zobowiązań 2017-2023 i lata następne</t>
  </si>
  <si>
    <r>
      <t>Limit zobowiązań na lata 2017-20</t>
    </r>
    <r>
      <rPr>
        <b/>
        <sz val="10"/>
        <rFont val="Arial CE"/>
        <charset val="238"/>
      </rPr>
      <t>23</t>
    </r>
    <r>
      <rPr>
        <b/>
        <sz val="10"/>
        <rFont val="Arial CE"/>
        <family val="2"/>
        <charset val="238"/>
      </rPr>
      <t xml:space="preserve"> 
i lata następne</t>
    </r>
  </si>
  <si>
    <t>Limity zobowiązań 2017-2023  i lata następne</t>
  </si>
  <si>
    <t>Wzmocnienie pozycji regionalnej gospodarki, Pomorze Zachodnie - Ster na innowacje w ramach osi I RPO WZ - wydatki bieżące (2017-2020)</t>
  </si>
  <si>
    <t>Wzmocnienie pozycji regionalnej gospodarki, Pomorze Zachodnie - Ster na innowacje w ramach osi I RPO WZ - wydatki majątkowe (2017-2020)</t>
  </si>
  <si>
    <t>Budowa Morskiego Centrum Nauki w Szczecinie w ramach osi IX RPO WZ 2014-2020 (2011-2022)</t>
  </si>
  <si>
    <t>Morskie Centrum Nauki w Szczecinie i Muzeum Narodowe w Szczecinie - nadzór WKNiDN</t>
  </si>
  <si>
    <t>dotacje celowe z budżetu państwa (poza budzetem)</t>
  </si>
  <si>
    <r>
      <t xml:space="preserve">Uwaga!  </t>
    </r>
    <r>
      <rPr>
        <i/>
        <sz val="8"/>
        <rFont val="Arial CE"/>
        <charset val="238"/>
      </rPr>
      <t>Dotacje celowe/płatności z budżetu UE dla ww. projektów podaje się informacyjnie; nie stanowią one wpływu na rachunek budżetu województwa i nie są ujmowane w planie dochodów budżetu województwa</t>
    </r>
  </si>
  <si>
    <t>środki z budżetu krajowego</t>
  </si>
  <si>
    <t xml:space="preserve"> Muzeum Narodowe w Szczecinie - nadzór WKNiDN</t>
  </si>
  <si>
    <t>Wypłata odszkodowań za nieruchomości pod planowane inwestycje drogowe  (2012-2018)</t>
  </si>
  <si>
    <t>decyzja z listopada 2017</t>
  </si>
  <si>
    <t>CZĘŚĆ II</t>
  </si>
  <si>
    <t>dotacje celowe / płatności z UE ***</t>
  </si>
  <si>
    <t xml:space="preserve">rozdz. 
75018
85295
</t>
  </si>
  <si>
    <t>Dobre Wsparcie - system lokalnych usług społecznych w ramach działania 7.6 RPO WZ - wydatki bieżące (2018-2019)</t>
  </si>
  <si>
    <t>Dobre Wsparcie - system lokalnych usług społecznych w ramach działania 7.6 RPO WZ - wydatki majątkowe (2018-2019)</t>
  </si>
  <si>
    <t xml:space="preserve">rozdz. 
85295
</t>
  </si>
  <si>
    <t>Limit` 18</t>
  </si>
  <si>
    <t>Ekonomia społeczna kluczem do sukcesu - II w ramach działania 7.5 RPO WZ (2018-2019)</t>
  </si>
  <si>
    <t>Wsparcie techniczne Interreg VA Południowy Bałtyk - wydatki majątkowe (2015-2020)</t>
  </si>
  <si>
    <t>Umowa leasingu samochodu osobowego (2016-2019)</t>
  </si>
  <si>
    <r>
      <t xml:space="preserve">Przebudowa drogi woj. nr 109 na odcinku Mrzeżyno - Trzebiatów </t>
    </r>
    <r>
      <rPr>
        <sz val="9"/>
        <rFont val="Arial CE"/>
        <family val="2"/>
        <charset val="238"/>
      </rPr>
      <t xml:space="preserve">w ramach Osi II RPO </t>
    </r>
    <r>
      <rPr>
        <b/>
        <sz val="9"/>
        <rFont val="Arial CE"/>
        <family val="2"/>
        <charset val="238"/>
      </rPr>
      <t>(2008-2017)</t>
    </r>
  </si>
  <si>
    <r>
      <t xml:space="preserve">Przebudowa drogi woj. nr 203 na odcinku Iwięcino - Darłowo, etap I Iwięcino - Dąbki </t>
    </r>
    <r>
      <rPr>
        <sz val="9"/>
        <rFont val="Arial CE"/>
        <family val="2"/>
        <charset val="238"/>
      </rPr>
      <t xml:space="preserve">w ramach Osi II RPO </t>
    </r>
    <r>
      <rPr>
        <b/>
        <sz val="9"/>
        <rFont val="Arial CE"/>
        <family val="2"/>
        <charset val="238"/>
      </rPr>
      <t>(2007-2017)</t>
    </r>
  </si>
  <si>
    <r>
      <t xml:space="preserve">Przebudowa drogi woj. nr 167 na odcinku Koszalin - droga nr 168 </t>
    </r>
    <r>
      <rPr>
        <sz val="9"/>
        <rFont val="Arial CE"/>
        <family val="2"/>
        <charset val="238"/>
      </rPr>
      <t>w ramach Osi II RPO</t>
    </r>
    <r>
      <rPr>
        <b/>
        <sz val="9"/>
        <rFont val="Arial CE"/>
        <family val="2"/>
        <charset val="238"/>
      </rPr>
      <t xml:space="preserve"> (2008-2017)</t>
    </r>
  </si>
  <si>
    <r>
      <t xml:space="preserve">Przebudowa drogi woj. nr 163 na odcinku Czaplinek - Wałcz  (etap II i III) </t>
    </r>
    <r>
      <rPr>
        <sz val="9"/>
        <rFont val="Arial CE"/>
        <family val="2"/>
        <charset val="238"/>
      </rPr>
      <t>w ramach Osi II RPO</t>
    </r>
    <r>
      <rPr>
        <b/>
        <sz val="9"/>
        <rFont val="Arial CE"/>
        <family val="2"/>
        <charset val="238"/>
      </rPr>
      <t xml:space="preserve"> (2008-2017)</t>
    </r>
  </si>
  <si>
    <r>
      <t xml:space="preserve">Przebudowa drogi wojewódzkiej nr 205 na odcinku Sławno - Polanów, etap przebudowy i rozbudowy przejścia przez m. Sławno </t>
    </r>
    <r>
      <rPr>
        <sz val="9"/>
        <rFont val="Arial CE"/>
        <family val="2"/>
        <charset val="238"/>
      </rPr>
      <t>w ramach Osi V RPO</t>
    </r>
    <r>
      <rPr>
        <b/>
        <sz val="9"/>
        <rFont val="Arial CE"/>
        <family val="2"/>
        <charset val="238"/>
      </rPr>
      <t xml:space="preserve"> (2011-2017)</t>
    </r>
  </si>
  <si>
    <r>
      <t>Przebudowa drogi wojewódzkiej nr 109 na odcinku Trzebusz - Trzebiatów w</t>
    </r>
    <r>
      <rPr>
        <sz val="9"/>
        <rFont val="Arial CE"/>
        <family val="2"/>
        <charset val="238"/>
      </rPr>
      <t xml:space="preserve"> ramach Osi V RPO</t>
    </r>
    <r>
      <rPr>
        <b/>
        <sz val="9"/>
        <rFont val="Arial CE"/>
        <family val="2"/>
        <charset val="238"/>
      </rPr>
      <t xml:space="preserve"> (2016-2017)</t>
    </r>
  </si>
  <si>
    <r>
      <t xml:space="preserve">Organizacja Regionalnych spotkań informacyjnych i konsultacji indywidualnych podnoszących wiedzę nt. realizacji projektów </t>
    </r>
    <r>
      <rPr>
        <sz val="9"/>
        <rFont val="Arial CE"/>
        <charset val="238"/>
      </rPr>
      <t>w programie Erasmus+ Edukacja szkolna na lata 2014-2020</t>
    </r>
    <r>
      <rPr>
        <b/>
        <sz val="9"/>
        <rFont val="Arial CE"/>
        <charset val="238"/>
      </rPr>
      <t xml:space="preserve"> (2015-2017)</t>
    </r>
  </si>
  <si>
    <t>Wykonanie 
2017 r.</t>
  </si>
  <si>
    <t>Wykonanie
2017 r.</t>
  </si>
  <si>
    <t>ROPS
WZS</t>
  </si>
  <si>
    <t xml:space="preserve">rozdz. 
75018
85595
</t>
  </si>
  <si>
    <t>rozdz. 
85395</t>
  </si>
  <si>
    <t>Rozbudowa Teatru Polskiego w Szczecinie w ramach RPO WZ (2018-2021)</t>
  </si>
  <si>
    <t xml:space="preserve">ROPS
</t>
  </si>
  <si>
    <t xml:space="preserve">rozdz. 
85595
</t>
  </si>
  <si>
    <t xml:space="preserve">Kompleksowe zagospodarowanie tarasów Zamku Książąt Pomorskich w Szczecinie (2015-2020) </t>
  </si>
  <si>
    <t>Oś Priorytetowa VI, Pomoc Techniczna w ramach  PO WER 2014 - 2020 (2015-2023)</t>
  </si>
  <si>
    <t>Azymut-Samodzielność w ramach, Osi II, działania 2.8 PO WER (2018-2022)</t>
  </si>
  <si>
    <t>Kurs na Rodzinę w ramach działania 7.6 RPO WZ (2018-2020)</t>
  </si>
  <si>
    <t>Akademia Rodzica Zastępczego w ramach działania 7.6 RPO WZ (2018-2019)</t>
  </si>
  <si>
    <t>Limity zobowiązań 2018-2032 i lata następne</t>
  </si>
  <si>
    <r>
      <t xml:space="preserve">Zakup kolejowego taboru pasażerskiego o napędzie elektrycznym </t>
    </r>
    <r>
      <rPr>
        <sz val="9"/>
        <rFont val="Arial CE"/>
        <family val="2"/>
        <charset val="238"/>
      </rPr>
      <t>w ramach Osi V RPO</t>
    </r>
    <r>
      <rPr>
        <b/>
        <sz val="9"/>
        <rFont val="Arial CE"/>
        <family val="2"/>
        <charset val="238"/>
      </rPr>
      <t xml:space="preserve"> (2017-2018)</t>
    </r>
  </si>
  <si>
    <r>
      <t>rozdz. 92118/</t>
    </r>
    <r>
      <rPr>
        <sz val="8"/>
        <rFont val="Arial CE"/>
        <charset val="238"/>
      </rPr>
      <t xml:space="preserve"> od 2018 roku </t>
    </r>
    <r>
      <rPr>
        <b/>
        <sz val="8"/>
        <rFont val="Arial CE"/>
        <charset val="238"/>
      </rPr>
      <t>- 92114</t>
    </r>
  </si>
  <si>
    <r>
      <t xml:space="preserve">rozdz. 92118/ </t>
    </r>
    <r>
      <rPr>
        <sz val="8"/>
        <rFont val="Arial CE"/>
        <charset val="238"/>
      </rPr>
      <t>od 2018 roku</t>
    </r>
    <r>
      <rPr>
        <b/>
        <sz val="8"/>
        <rFont val="Arial CE"/>
        <charset val="238"/>
      </rPr>
      <t xml:space="preserve"> - 92114</t>
    </r>
  </si>
  <si>
    <t>Przebudowa i rozbudowa przejścia drogi woj. nr 114 przez m. Brzózki w ramach IW INTERREG V A (2016-2017)</t>
  </si>
  <si>
    <t>ROPS/
WZS</t>
  </si>
  <si>
    <t>Gospodarowanie nieruchomościami należącymi do zasobu Województwa Zachodniopomorskiego (2010-2018)</t>
  </si>
  <si>
    <t>Konserwatorskie Niebo - zakup wyposażenia do Pracowni Działu Konserwacji Muzeum Narodowego w Szczecinie w ramach PO IiŚ 2014 - 2020 (2017-2019)</t>
  </si>
  <si>
    <t>rozdz. 60013, 75863</t>
  </si>
  <si>
    <t>rodz.  60013, 75863</t>
  </si>
  <si>
    <t>rozdz. 05011</t>
  </si>
  <si>
    <t>Pomoc Techniczna Programu Operacyjnego „Rybactwo i Morze 2014-2020” (2016-2023)</t>
  </si>
  <si>
    <t>Rozbudowa drogi wojewódzkiej nr 151 na odcinku Płotno-Pełczyce w ramach Osi V RPO WZ (2018-2019)</t>
  </si>
  <si>
    <t xml:space="preserve">Edukacja przyrodnicza w parkach krajobrazowych województwa zachodniopomorskiego w ramach działania 4.5 RPO WZ (2018-2020) </t>
  </si>
  <si>
    <t>Opracowanie projektów planów ochrony 5 parków krajobrazowych oraz aktualizacja planów ochrony 2 parków krajobrazowych w ramach działania 4.8 RPO WZ (2019-2023)</t>
  </si>
  <si>
    <t>Sieć współpracy Skuteczna edukacja w ramach PO WER 2014-2020 (2018-2019)</t>
  </si>
  <si>
    <t>Oś Priorytetowa VI, Pomoc Techniczna w ramach  PO WER 2014-2020 - wydatki majątkowe (2015-2023)</t>
  </si>
  <si>
    <t>Rozbudowa drogi wojewódzkiej nr 114 na szlakowym odcinku Brzózki - Trzebież oraz przebudowa przejścia przez miejscowości Warnołęka i Brzózki w ramach Osi V RPO WZ (2016-2020)</t>
  </si>
  <si>
    <t>WIiT / WZS</t>
  </si>
  <si>
    <t>WUP
 w Szczecinie
pod nadzorem COIiE</t>
  </si>
  <si>
    <t>COIiE</t>
  </si>
  <si>
    <r>
      <t xml:space="preserve">Prowadzenie Punktu Informacji Europejskiej Europe Direct - Szczecin </t>
    </r>
    <r>
      <rPr>
        <sz val="9"/>
        <rFont val="Arial CE"/>
        <charset val="238"/>
      </rPr>
      <t xml:space="preserve">w ramach środków Komisji Europejskiej </t>
    </r>
    <r>
      <rPr>
        <b/>
        <sz val="9"/>
        <rFont val="Arial CE"/>
        <charset val="238"/>
      </rPr>
      <t>(2013-2020)</t>
    </r>
  </si>
  <si>
    <r>
      <t>Bałtyckie Obszary Energii - Perspektywa Planistyczna BEA-APP</t>
    </r>
    <r>
      <rPr>
        <sz val="9"/>
        <rFont val="Arial CE"/>
        <family val="2"/>
        <charset val="238"/>
      </rPr>
      <t xml:space="preserve"> w ramach programu EWT Region Morza Bałtyckiego (2016-2019)</t>
    </r>
  </si>
  <si>
    <r>
      <t xml:space="preserve">Zrównoważona mobilność na obszarze ostatniej mili w regionach turystycznych (LAST MILE) </t>
    </r>
    <r>
      <rPr>
        <sz val="9"/>
        <rFont val="Arial CE"/>
        <family val="2"/>
        <charset val="238"/>
      </rPr>
      <t>w ramach programu EWT Region Morza Bałtyckiego (2016-2020)</t>
    </r>
  </si>
  <si>
    <t>Kooperacja - efektywna i skuteczna w ramach działania 2.5. PO WER (2018-2021)</t>
  </si>
  <si>
    <t>Nawigator Samodzielności w ramach działania 7.6 RPO WZ (2018-2020)</t>
  </si>
  <si>
    <t>Nawigator Samodzielności w ramach działania 7.6 RPO WZ - wydatki majątkowe (2018 - 2020)</t>
  </si>
  <si>
    <t>"Zachodniopomorskie Małe Skarby" w ramach działania 6.6 RPO WZ 2014-2020 (2018-2020)</t>
  </si>
  <si>
    <t>wkład własny (poza budżetem)</t>
  </si>
  <si>
    <t>Remont instalacji elektrycznej skrzydła Menniczego budynku Zamku Książąt Pomorskich w Szczecinie (2018-2019)</t>
  </si>
  <si>
    <t>do końca 2016 r.</t>
  </si>
  <si>
    <t>Zakup instrumentów muzycznych na potrzeby działalności kulturalnej Opery na Zamku w Szczecinie (2018-2019)</t>
  </si>
  <si>
    <t>Opera na Zamku w Szczecinie - nadzór WKNiDN</t>
  </si>
  <si>
    <t xml:space="preserve">
WWT</t>
  </si>
  <si>
    <t>Wyposażenie w nowoczesny sprzęt Zachodniopomorskiej Książnicy Cyfrowej w Szczecinie w ramach Osi VIII PO IiŚ (2016-2018)</t>
  </si>
  <si>
    <t>PROJEKTY  REALIZOWANE  W  RAMACH  PW  INTERREG</t>
  </si>
  <si>
    <t>Przebudowa i rozbudowa przejścia drogi wojewódzkiej nr 120 przez m. Wełtyń w ramach PW INTERREG V A (2016-2018)</t>
  </si>
  <si>
    <t>Przebudowa i rozbudowa przejścia drogowego przez m. Tanowo na drodze woj. Nr 115 w ramach PW INTERREG V A (2010-2019)</t>
  </si>
  <si>
    <t>Przebudowa i rozbudowa przejścia drogi woj. nr 122 przez m. Krzywin (etap II) w ramach PW INTERREG V A (2019-2020)</t>
  </si>
  <si>
    <t>Przebudowa i rozbudowa przejścia drogi woj. nr 125 przez m. Moryń i m. Bielin w ramach PW INTERREG V A (2019-2020)</t>
  </si>
  <si>
    <t>TENTacle – wykorzystanie korytarzy sieci bazowej TEN-T w ramach PW INTERREG VB (2016-2019)</t>
  </si>
  <si>
    <t>TalkNET - Sieć zainteresowanych podmiotów z sektora transportu i logistyki w ramach PW INTERREG VB (2017-2020)</t>
  </si>
  <si>
    <r>
      <t xml:space="preserve">Tabela Nr 6C </t>
    </r>
    <r>
      <rPr>
        <sz val="10"/>
        <rFont val="Arial"/>
        <family val="2"/>
        <charset val="238"/>
      </rPr>
      <t xml:space="preserve"> do Załącznika Nr 3</t>
    </r>
  </si>
  <si>
    <t>PW INTERREG VA 2014 - 2020</t>
  </si>
  <si>
    <t>RPO WZ  2014-2020</t>
  </si>
  <si>
    <t>RPO WZ 2007-2013</t>
  </si>
  <si>
    <t>Przystosowanie mostu europejskiego Siekierki-Neurudnitz do ruchu turystycznego w ramach PW INTERREG VA - wydatki majątkowe (2016-2020)</t>
  </si>
  <si>
    <t>Przystosowanie mostu europejskiego Siekierki-Neurudnitz do ruchu turystycznego w ramach PW INTERREG VA (2016-2020)</t>
  </si>
  <si>
    <t>Zrównoważona turystyka wodna w unikalnej Dolinie Dolnej Odry w ramach PW INTERREG VA - wydatki majątkowe (2016-2020)</t>
  </si>
  <si>
    <t>Zrównoważona turystyka wodna w unikalnej Dolinie Dolnej Odry w ramach PW INTERREG VA (2016-2020)</t>
  </si>
  <si>
    <t>Bałtyckie trasy dziedzictwa w ramach PW INTERREG Południowy Bałtyk (2017-2020)</t>
  </si>
  <si>
    <t>BALTIC STORIES - Rozwój turystyki poprzez profesjonalizację wydarzeń w regionie południowego bałtyku w ramach PW INTERREG Południowy Bałtyk (2017-2020)</t>
  </si>
  <si>
    <t>Fish Markets - dziedzictwo rybołówstwa przybrzeżnego jako potencjał rozwoju turystyki w ramach PW INTERREG Południowy Bałtyk 2014-2020 (2017-2019)</t>
  </si>
  <si>
    <t>Biking South Baltic! Promocja i rozwój Trasy Rowerowej Morza Bałtyckiego (EuroVelo 10) w Danii, Niemczech, Litwie, Polsce i Szwecji w ramach PW INTERREG Południowy Bałtyk (2017-2019) - zakupy inwestycyjne</t>
  </si>
  <si>
    <t>Biking South Baltic! Promocja i rozwój Trasy Rowerowej Morza Bałtyckiego (EuroVelo 10) w Danii, Niemczech, Litwie, Polsce i Szwecji w ramach PW INTERREG Południowy Bałtyk (2017-2019)</t>
  </si>
  <si>
    <r>
      <t xml:space="preserve">Budowa infrastruktury turystycznej w Parkach Krajobrazowych województwa zachodniopomorskiego w celu zmniejszenia antropopresji - II etap </t>
    </r>
    <r>
      <rPr>
        <b/>
        <sz val="9"/>
        <rFont val="Arial CE"/>
        <charset val="238"/>
      </rPr>
      <t>w ramach Osi IV RPO WZ</t>
    </r>
    <r>
      <rPr>
        <sz val="9"/>
        <rFont val="Arial CE"/>
        <family val="2"/>
        <charset val="238"/>
      </rPr>
      <t xml:space="preserve"> </t>
    </r>
    <r>
      <rPr>
        <b/>
        <sz val="9"/>
        <rFont val="Arial CE"/>
        <family val="2"/>
        <charset val="238"/>
      </rPr>
      <t>(2016-2018)</t>
    </r>
  </si>
  <si>
    <t>Pomoc Techniczna  w ramach PROW 2014-2020 (2015-2023)</t>
  </si>
  <si>
    <t>Wzmacnianie ochrony bociana białego i nietoperzy oraz realizacja zadań czynnej ochrony w rezerwatach przyrody na obszarach parków krajobrazowych województwa zachodniopomorskiego - majątkowe w ramach Osi IV RPO WZ (2016-2020)</t>
  </si>
  <si>
    <t xml:space="preserve">Wzmacnianie ochrony bociana białego i nietoperzy oraz realizacja zadań czynnej ochrony w rezerwatach przyrody na obszarach parków krajobrazowych województwa zachodniopomorskiego- bieżące" w ramach Osi IV RPO WZ (2016-2020) </t>
  </si>
  <si>
    <t>Wspólne dziedzictwo wspólna przyszłość w ramach PW INTERREG VA (2014-2020)</t>
  </si>
  <si>
    <t>Wspólne dziedzictwo wspólna przyszłość w ramach PW INTERREG VA - wydatki majątkowe (2014-2020)</t>
  </si>
  <si>
    <t>DOCHODY ŁĄCZNIE - 
stan na 26 WRZEŚNIA 2018 r.</t>
  </si>
  <si>
    <t>podać nr umowy do arkusza dane do wpf</t>
  </si>
  <si>
    <t>umowa do uzupełnienia w arkuszu dane do wpf</t>
  </si>
  <si>
    <t>II. POZOSTAŁE  PRZEDSIĘWZIĘCIA  W ZAKRESIE OŚWIATY I EDUKACYJNEJ OPIEKI WYCHOWAWCZEJ</t>
  </si>
  <si>
    <t>rozdz. 80395</t>
  </si>
  <si>
    <t xml:space="preserve">Stypendia dla młodzieży rozpoczynającej naukę na uczelniach wyższych na obszarze województwa zachodniopomorskiego (2018-2023) </t>
  </si>
  <si>
    <t>Rozbudowa drogi wojewódzkiej nr 111 na odcinku Recław - Stepnica w ramach Osi V RPO WZ (2018-2021)</t>
  </si>
  <si>
    <t>ZZMiUW w Szczecinie
w likwidacji   
pod nadzorem WRiR/
WTiG</t>
  </si>
  <si>
    <t>ZZMiUW</t>
  </si>
  <si>
    <t>Modernizacja i remont dziedzińców Zamku Książąt Pomorskich w Szczecinie (2017-2020)</t>
  </si>
  <si>
    <t>rozdz. 85141</t>
  </si>
  <si>
    <t>Wojewódzka Stacja Pogotowia Ratunkowego w Szczecinie
pod nadzorem WZ</t>
  </si>
  <si>
    <t>Wsparcie budowy nowych siedzib Wojewódzkiej Stacji Pogotowia Ratunkowego w Szczecinie (2019-2021)</t>
  </si>
  <si>
    <t>rozdz. 85195</t>
  </si>
  <si>
    <t>dotacje celowe z budżetu państwa (kontrakt wojewódzki)</t>
  </si>
  <si>
    <t>Wydział 
Zdrowia</t>
  </si>
  <si>
    <t xml:space="preserve">dotacje celowe / płatności z UE </t>
  </si>
  <si>
    <t xml:space="preserve">I. PRZEDSIĘWZIĘCIA FINANSOWANE PRZY WSPÓŁUDZIALE ŚRODKÓW, O KTÓRYCH MOWA W ART. 5 UST. 1 PKT 2 I 3 UFP  W ZAKRESIE OCHRONY ZDROWIA </t>
  </si>
  <si>
    <t>Wydział 
Zdrowia, Wydział Zarządzania Strategicznego</t>
  </si>
  <si>
    <t xml:space="preserve">Wydział Organizacji i Rozwoju Zasobów Ludzkich </t>
  </si>
  <si>
    <r>
      <t xml:space="preserve">** w latach 2024- 2032 kwota poręczenia dla Samodzielnego Publicznego Wojewódzkiego Szpitala Zespolonego  w Szczecinie  wynosi </t>
    </r>
    <r>
      <rPr>
        <b/>
        <i/>
        <sz val="8"/>
        <rFont val="Arial CE"/>
        <charset val="238"/>
      </rPr>
      <t>32.586.323 zł</t>
    </r>
    <r>
      <rPr>
        <i/>
        <sz val="8"/>
        <rFont val="Arial CE"/>
        <charset val="238"/>
      </rPr>
      <t>.</t>
    </r>
  </si>
  <si>
    <t>Wspólny Sekretariat - Pomoc Techniczna w ramach  Programu Współpracy INTERREG VA (2016-2022)</t>
  </si>
  <si>
    <r>
      <t xml:space="preserve">Zachodniopomorskie e-zdrowie (2018-2021) w ramach Osi IX RPO WZ - </t>
    </r>
    <r>
      <rPr>
        <sz val="9"/>
        <rFont val="Arial CE"/>
        <charset val="238"/>
      </rPr>
      <t>wydatki majątkowe</t>
    </r>
  </si>
  <si>
    <r>
      <t xml:space="preserve">Zachodniopomorskie e-zdrowie (2018-2021) w ramach Osi IX RPO WZ - </t>
    </r>
    <r>
      <rPr>
        <sz val="9"/>
        <rFont val="Arial CE"/>
        <charset val="238"/>
      </rPr>
      <t>wydatki bieżące</t>
    </r>
  </si>
  <si>
    <r>
      <t xml:space="preserve">Przebudowa drogi wojewódzkiej nr 102 na odcinku Międzywodzie -Dziwnów </t>
    </r>
    <r>
      <rPr>
        <sz val="9"/>
        <rFont val="Arial CE"/>
        <family val="2"/>
        <charset val="238"/>
      </rPr>
      <t>w ramach Osi V RPO</t>
    </r>
    <r>
      <rPr>
        <b/>
        <sz val="9"/>
        <rFont val="Arial CE"/>
        <family val="2"/>
        <charset val="238"/>
      </rPr>
      <t xml:space="preserve"> (2016-2018)</t>
    </r>
  </si>
  <si>
    <r>
      <t xml:space="preserve">Przebudowa drogi wojewódzkiej nr 109 na odcinku Trzebiatów - Płoty </t>
    </r>
    <r>
      <rPr>
        <sz val="9"/>
        <rFont val="Arial CE"/>
        <family val="2"/>
        <charset val="238"/>
      </rPr>
      <t>w ramach Osi V RPO</t>
    </r>
    <r>
      <rPr>
        <b/>
        <sz val="9"/>
        <rFont val="Arial CE"/>
        <family val="2"/>
        <charset val="238"/>
      </rPr>
      <t xml:space="preserve"> (2017-2020)</t>
    </r>
  </si>
  <si>
    <r>
      <t xml:space="preserve">Budowa infrastruktury turystycznej w Parkach Krajobrazowych województwa zachodniopomorskiego w celu zmniejszenia antropopresji - II etap </t>
    </r>
    <r>
      <rPr>
        <b/>
        <sz val="9"/>
        <rFont val="Arial CE"/>
        <charset val="238"/>
      </rPr>
      <t>w ramach Osi IV RPO WZ</t>
    </r>
    <r>
      <rPr>
        <b/>
        <sz val="9"/>
        <rFont val="Arial CE"/>
        <family val="2"/>
        <charset val="238"/>
      </rPr>
      <t xml:space="preserve"> (2016-2018)</t>
    </r>
    <r>
      <rPr>
        <b/>
        <sz val="9"/>
        <rFont val="Arial CE"/>
        <charset val="238"/>
      </rPr>
      <t>*</t>
    </r>
  </si>
  <si>
    <t>Budowa Regionalnej Infrastruktury Informacji Przestrzennej Województwa Zachodniopomorskiego w ramach działania 9.10 RPO WZ - wydatki bieżące (2019 - 2021)</t>
  </si>
  <si>
    <t>rodz. 75863</t>
  </si>
  <si>
    <t xml:space="preserve">rozdz. </t>
  </si>
  <si>
    <t>BP</t>
  </si>
  <si>
    <t>BG</t>
  </si>
  <si>
    <t>BG
WZS</t>
  </si>
  <si>
    <t>rodz. 
75863</t>
  </si>
  <si>
    <t>Budowa Regionalnej Infrastruktury Informacji Przestrzennej Województwa Zachodniopomorskiego w ramach działania 9.10 RPO WZ (2019 - 2021)</t>
  </si>
  <si>
    <t>Zaprojektowanie i wykonanie szlaku rowerowego na wale przeciwpowodziowym nad rzeką Iną, wale Skoszewo i Skoszewo - Czarnocin w ramach Osi IV RPO WZ (2017-2019)</t>
  </si>
  <si>
    <t>Zaprojektowanie i wykonanie szlaku rowerowego na wale przeciwpowodziowym wzdłuż rzeki Chełszcząca i jeziora Dąbie w ramach Osi IV RPO WZ (2017-2019)</t>
  </si>
  <si>
    <t>Teatr Polski 
w Szczecinie - nadzór WKNiDN</t>
  </si>
  <si>
    <t>Strategia Rozwoju Województwa Zachodniopomorskiego do roku 2030 - badania, analizy i oceny eksperckie (2017-2019)</t>
  </si>
  <si>
    <t>*** W kolumnie 4 uwzględniono dochody w kwocie 50.000 zł, których wpływ zaplanowano na 2024 r.</t>
  </si>
  <si>
    <t>** W kolumnie 4 uwzględniono dochody w kwocie 13.416.714 zł, których wpływ zaplanowano na 2024 r.</t>
  </si>
  <si>
    <t>WYDATKI ŁĄCZNIE - 
stan na GRUDZIEŃ  2018 r.</t>
  </si>
  <si>
    <t>DOCHODY ŁĄCZNIE - 
stan na GRUDZIEŃ 2018 r.</t>
  </si>
  <si>
    <t>WYDATKI ŁĄCZNIE - 
stan na 26 WRZEŚNIA  2018 r.</t>
  </si>
  <si>
    <t>Utrzymanie i naprawy pojazdów szynowych Województwa (2015 -2022)</t>
  </si>
  <si>
    <t>Ubezpieczenie taboru kolejowego Województwa (2011-2022)</t>
  </si>
  <si>
    <t xml:space="preserve">Usługi telekomunikacyjne dla pojazdów szynowych Województwa (2015-2022) </t>
  </si>
  <si>
    <t>Bieżąca obsługa projektów dla tras rowerowych na wałach przeciwpowodziowych w ramach RPO WZ (2018-2019)</t>
  </si>
  <si>
    <t>WSiI</t>
  </si>
  <si>
    <t>WA</t>
  </si>
  <si>
    <t>- zwrot podatku VAT</t>
  </si>
  <si>
    <t>- odszkodowanie z tyt. katastrofy budowlanej</t>
  </si>
  <si>
    <t>środki budżetu województwa, w tym:</t>
  </si>
  <si>
    <t>Likwidacja skutków katastrofy budowlanej w skrzydle północnym Zamku Książąt Pomorskich w Szczecinie (2017-2019)</t>
  </si>
  <si>
    <t>Budowa sieci tras rowerowych Pomorza Zachodniego - Trasa Nadmorska odc. Pleśna - Mielno w ramach Osi IV RPO WZ (2018-2019)</t>
  </si>
  <si>
    <t>Wieloletnie umowy zapewniające ciągłość działania Urzędu (2012 - 2023)</t>
  </si>
  <si>
    <t>Polsko - niemiecka sieć teatralna (theater-po.net) w ramach programu INTERREG VA (2017-2021)</t>
  </si>
  <si>
    <t>Polsko - niemiecka sieć teatralna (theater-po.net) w ramach programu INTERREG VA - wydatki majątkowe (2017-2021)</t>
  </si>
  <si>
    <r>
      <t xml:space="preserve">Budowa sieci tras rowerowych Pomorza Zachodniego - Trasa Pojezierna </t>
    </r>
    <r>
      <rPr>
        <b/>
        <sz val="9"/>
        <rFont val="Arial CE"/>
        <charset val="238"/>
      </rPr>
      <t>w ramach Osi IV RPO WZ</t>
    </r>
    <r>
      <rPr>
        <sz val="9"/>
        <rFont val="Arial CE"/>
        <family val="2"/>
        <charset val="238"/>
      </rPr>
      <t xml:space="preserve"> </t>
    </r>
    <r>
      <rPr>
        <b/>
        <sz val="9"/>
        <rFont val="Arial CE"/>
        <family val="2"/>
        <charset val="238"/>
      </rPr>
      <t>(2016-2018)</t>
    </r>
  </si>
  <si>
    <r>
      <t xml:space="preserve">Budowa sieci tras rowerowych Pomorza Zachodniego - Trasa Nadmorska </t>
    </r>
    <r>
      <rPr>
        <b/>
        <sz val="9"/>
        <rFont val="Arial CE"/>
        <charset val="238"/>
      </rPr>
      <t>w ramach Osi IV RPO</t>
    </r>
    <r>
      <rPr>
        <b/>
        <sz val="9"/>
        <rFont val="Arial CE"/>
        <family val="2"/>
        <charset val="238"/>
      </rPr>
      <t xml:space="preserve"> WZ (2016-2018)</t>
    </r>
  </si>
  <si>
    <r>
      <t xml:space="preserve">Budowa sieci tras rowerowych Pomorza Zachodniego - Trasa Zielonego Pogranicza odc. Gryfino - Trzcińsko Zdrój </t>
    </r>
    <r>
      <rPr>
        <b/>
        <sz val="9"/>
        <rFont val="Arial CE"/>
        <charset val="238"/>
      </rPr>
      <t>w ramach Osi IV RPO WZ (</t>
    </r>
    <r>
      <rPr>
        <b/>
        <sz val="9"/>
        <rFont val="Arial CE"/>
        <family val="2"/>
        <charset val="238"/>
      </rPr>
      <t>2017-2018)</t>
    </r>
  </si>
  <si>
    <r>
      <t xml:space="preserve">Tabela Nr 6E  </t>
    </r>
    <r>
      <rPr>
        <sz val="10"/>
        <rFont val="Arial"/>
        <family val="2"/>
        <charset val="238"/>
      </rPr>
      <t>do Załącznika Nr 3</t>
    </r>
  </si>
  <si>
    <r>
      <t xml:space="preserve">Różnica w wykonaniu wydatków UE w kwocie in minus </t>
    </r>
    <r>
      <rPr>
        <i/>
        <sz val="10"/>
        <rFont val="Arial"/>
        <family val="2"/>
        <charset val="238"/>
      </rPr>
      <t>1.669.413 zł</t>
    </r>
    <r>
      <rPr>
        <sz val="10"/>
        <rFont val="Arial"/>
        <family val="2"/>
        <charset val="238"/>
      </rPr>
      <t xml:space="preserve"> wynika z:
- przeniesienia części refundacji wydatków poniesionych w 2016 r. na 2017 r. w kwocie </t>
    </r>
    <r>
      <rPr>
        <i/>
        <sz val="10"/>
        <rFont val="Arial"/>
        <family val="2"/>
        <charset val="238"/>
      </rPr>
      <t>213.660 zł,</t>
    </r>
    <r>
      <rPr>
        <sz val="10"/>
        <rFont val="Arial"/>
        <family val="2"/>
        <charset val="238"/>
      </rPr>
      <t xml:space="preserve">
- ostatecznego rozliczenia wynagrodzeń pracowników realizujących projekt, w wyniku którego wydatki w kwocie </t>
    </r>
    <r>
      <rPr>
        <i/>
        <sz val="10"/>
        <rFont val="Arial"/>
        <family val="2"/>
        <charset val="238"/>
      </rPr>
      <t xml:space="preserve">1.455.753 zł </t>
    </r>
    <r>
      <rPr>
        <sz val="10"/>
        <rFont val="Arial"/>
        <family val="2"/>
        <charset val="238"/>
      </rPr>
      <t xml:space="preserve">zostały wykazane w poz. wkład własny z budżetu województwa.
Do czasu zakończenia procesu refundacji wydatki dotyczące wynagrodzeń, będące w dyspozycji WOiRZL kalsyfkowane są w źródle WW z czwartą cyfrą "0". </t>
    </r>
  </si>
  <si>
    <r>
      <t xml:space="preserve">Wydatki </t>
    </r>
    <r>
      <rPr>
        <b/>
        <sz val="10"/>
        <rFont val="Arial"/>
        <family val="2"/>
        <charset val="238"/>
      </rPr>
      <t xml:space="preserve">płatności </t>
    </r>
    <r>
      <rPr>
        <sz val="10"/>
        <rFont val="Arial"/>
        <family val="2"/>
        <charset val="238"/>
      </rPr>
      <t>PT 2014-2020 - lata 2021-2023</t>
    </r>
  </si>
  <si>
    <r>
      <t xml:space="preserve">Wolontariat europejski EVS, wymiana międzynarodowa </t>
    </r>
    <r>
      <rPr>
        <sz val="9"/>
        <rFont val="Arial CE"/>
        <charset val="238"/>
      </rPr>
      <t xml:space="preserve">w ramach Programu Erasmus+ </t>
    </r>
    <r>
      <rPr>
        <b/>
        <sz val="9"/>
        <rFont val="Arial CE"/>
        <charset val="238"/>
      </rPr>
      <t xml:space="preserve"> (2016-2019)</t>
    </r>
  </si>
  <si>
    <r>
      <t xml:space="preserve">Tabela Nr 6B  </t>
    </r>
    <r>
      <rPr>
        <sz val="10"/>
        <rFont val="Arial"/>
        <family val="2"/>
        <charset val="238"/>
      </rPr>
      <t>do Załącznika Nr 3</t>
    </r>
  </si>
  <si>
    <r>
      <t xml:space="preserve">PYTAĆ O KOSZTY </t>
    </r>
    <r>
      <rPr>
        <sz val="10"/>
        <rFont val="Arial Black"/>
        <family val="2"/>
        <charset val="238"/>
      </rPr>
      <t xml:space="preserve">POŚREDNIE </t>
    </r>
    <r>
      <rPr>
        <sz val="10"/>
        <rFont val="Arial"/>
        <family val="2"/>
        <charset val="238"/>
      </rPr>
      <t>DO WPROWADZNYCH PROJEKTÓW</t>
    </r>
  </si>
  <si>
    <r>
      <t xml:space="preserve">Budowa obejścia m. Szczecinek w ciągu drogi nr 172 </t>
    </r>
    <r>
      <rPr>
        <sz val="9"/>
        <rFont val="Arial CE"/>
        <charset val="238"/>
      </rPr>
      <t>w ramach Osi II RPO</t>
    </r>
    <r>
      <rPr>
        <b/>
        <sz val="9"/>
        <rFont val="Arial CE"/>
        <charset val="238"/>
      </rPr>
      <t xml:space="preserve"> (2009-2018)</t>
    </r>
  </si>
  <si>
    <r>
      <t xml:space="preserve">Przebudowa drogi wojewódzkiej nr 203 na odcinku Dąbki - Darłowo </t>
    </r>
    <r>
      <rPr>
        <sz val="9"/>
        <rFont val="Arial CE"/>
        <family val="2"/>
        <charset val="238"/>
      </rPr>
      <t>w ramach Osi V RPO</t>
    </r>
    <r>
      <rPr>
        <b/>
        <sz val="9"/>
        <rFont val="Arial CE"/>
        <family val="2"/>
        <charset val="238"/>
      </rPr>
      <t xml:space="preserve"> (2007-2019)</t>
    </r>
  </si>
  <si>
    <r>
      <t>Przebudowa drogi wojewódzkiej nr 142 na odcinku Szczecin - Krzywnica</t>
    </r>
    <r>
      <rPr>
        <sz val="9"/>
        <rFont val="Arial CE"/>
        <family val="2"/>
        <charset val="238"/>
      </rPr>
      <t xml:space="preserve"> w ramach Osi V RPO</t>
    </r>
    <r>
      <rPr>
        <b/>
        <sz val="9"/>
        <rFont val="Arial CE"/>
        <family val="2"/>
        <charset val="238"/>
      </rPr>
      <t xml:space="preserve"> (2016-2018)</t>
    </r>
  </si>
  <si>
    <r>
      <t>Przebudowa drogi wojewódzkiej nr 102 na odcinku Łukęcin - Lędzin w</t>
    </r>
    <r>
      <rPr>
        <sz val="9"/>
        <rFont val="Arial CE"/>
        <family val="2"/>
        <charset val="238"/>
      </rPr>
      <t xml:space="preserve"> ramach Osi V RPO</t>
    </r>
    <r>
      <rPr>
        <b/>
        <sz val="9"/>
        <rFont val="Arial CE"/>
        <family val="2"/>
        <charset val="238"/>
      </rPr>
      <t xml:space="preserve"> (2017-2019)</t>
    </r>
  </si>
  <si>
    <r>
      <t xml:space="preserve">Budowa obejścia m. Barlinek w ciągu drogi nr 151 </t>
    </r>
    <r>
      <rPr>
        <sz val="9"/>
        <rFont val="Arial CE"/>
        <family val="2"/>
        <charset val="238"/>
      </rPr>
      <t>w ramach Osi V RPO</t>
    </r>
    <r>
      <rPr>
        <b/>
        <sz val="9"/>
        <rFont val="Arial CE"/>
        <family val="2"/>
        <charset val="238"/>
      </rPr>
      <t xml:space="preserve"> (2010-2019)</t>
    </r>
  </si>
  <si>
    <r>
      <t xml:space="preserve">Przebudowa ul. Jagiełły w ciągu drogi wojewódzkiej nr 160 i ul. Drawieńskiej w ciągu drogi wojewódzkiej nr 175 w m. Choszczno </t>
    </r>
    <r>
      <rPr>
        <sz val="9"/>
        <rFont val="Arial CE"/>
        <family val="2"/>
        <charset val="238"/>
      </rPr>
      <t>w ramach Osi V RPO</t>
    </r>
    <r>
      <rPr>
        <b/>
        <sz val="9"/>
        <rFont val="Arial CE"/>
        <family val="2"/>
        <charset val="238"/>
      </rPr>
      <t xml:space="preserve"> (2016-2019)</t>
    </r>
  </si>
  <si>
    <r>
      <t xml:space="preserve">Rozbudowa drogi wojewódzkiej nr 203 na odcinku Darłowo - granica województwa etap I przebudowa ul. Tynieckiego w m. Darłowo </t>
    </r>
    <r>
      <rPr>
        <sz val="9"/>
        <rFont val="Arial CE"/>
        <family val="2"/>
        <charset val="238"/>
      </rPr>
      <t>w ramach Osi V RPO</t>
    </r>
    <r>
      <rPr>
        <b/>
        <sz val="9"/>
        <rFont val="Arial CE"/>
        <family val="2"/>
        <charset val="238"/>
      </rPr>
      <t xml:space="preserve"> (2017-2018)</t>
    </r>
  </si>
  <si>
    <r>
      <t xml:space="preserve">Przebudowa drogi wojewódzkiej nr 151 na odcinku Ińsko - Recz etap I odc. Ińsko - Ciemnik </t>
    </r>
    <r>
      <rPr>
        <sz val="9"/>
        <rFont val="Arial CE"/>
        <family val="2"/>
        <charset val="238"/>
      </rPr>
      <t>w ramach Osi V RPO</t>
    </r>
    <r>
      <rPr>
        <b/>
        <sz val="9"/>
        <rFont val="Arial CE"/>
        <family val="2"/>
        <charset val="238"/>
      </rPr>
      <t xml:space="preserve"> (2017-2018)</t>
    </r>
  </si>
  <si>
    <r>
      <t xml:space="preserve">Dokumentacje techniczne na drogowe zadania inwestycyjne </t>
    </r>
    <r>
      <rPr>
        <sz val="9"/>
        <rFont val="Arial CE"/>
        <charset val="238"/>
      </rPr>
      <t>w ramach Osi V RPO</t>
    </r>
    <r>
      <rPr>
        <b/>
        <sz val="9"/>
        <rFont val="Arial CE"/>
        <charset val="238"/>
      </rPr>
      <t xml:space="preserve"> (2017-2020)</t>
    </r>
  </si>
  <si>
    <r>
      <t xml:space="preserve">Zakup kolejowego taboru pasażerskiego o napędzie elektrycznym  - prawo opcji </t>
    </r>
    <r>
      <rPr>
        <sz val="9"/>
        <rFont val="Arial CE"/>
        <family val="2"/>
        <charset val="238"/>
      </rPr>
      <t>w ramach Osi V RPO</t>
    </r>
    <r>
      <rPr>
        <b/>
        <sz val="9"/>
        <rFont val="Arial CE"/>
        <family val="2"/>
        <charset val="238"/>
      </rPr>
      <t xml:space="preserve"> (2017-2018)</t>
    </r>
  </si>
  <si>
    <r>
      <t>Dokumentacje techniczne na budowę sieci tras rowerowych Pomorza Zachodniego</t>
    </r>
    <r>
      <rPr>
        <b/>
        <sz val="9"/>
        <rFont val="Arial CE"/>
        <charset val="238"/>
      </rPr>
      <t xml:space="preserve"> w ramach Osi IV RPO WZ </t>
    </r>
    <r>
      <rPr>
        <b/>
        <sz val="9"/>
        <rFont val="Arial CE"/>
        <family val="2"/>
        <charset val="238"/>
      </rPr>
      <t xml:space="preserve"> (2018-2020)</t>
    </r>
  </si>
  <si>
    <t>rozdział 75863,
75864</t>
  </si>
  <si>
    <t>Budowa obejścia Gryfic - połączenie dróg woj. nr 110 (ul. Niechorska) i nr 105 (ul. Piastów) w ramach Osi V RPO WZ (2019-2021)</t>
  </si>
  <si>
    <t>Budowa obejścia m. Trzebiatów - połączenie drogi woj. nr 103 i nr 102 w ramach Osi V RPO WZ (2019-2020)</t>
  </si>
</sst>
</file>

<file path=xl/styles.xml><?xml version="1.0" encoding="utf-8"?>
<styleSheet xmlns="http://schemas.openxmlformats.org/spreadsheetml/2006/main">
  <numFmts count="5">
    <numFmt numFmtId="41" formatCode="_-* #,##0\ _z_ł_-;\-* #,##0\ _z_ł_-;_-* &quot;-&quot;\ _z_ł_-;_-@_-"/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6" formatCode="#,##0_ ;\-#,##0\ "/>
    <numFmt numFmtId="167" formatCode="0.0%"/>
  </numFmts>
  <fonts count="84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 CE"/>
      <charset val="238"/>
    </font>
    <font>
      <sz val="9"/>
      <name val="Arial CE"/>
      <family val="2"/>
      <charset val="238"/>
    </font>
    <font>
      <sz val="10"/>
      <name val="Arial CE"/>
      <family val="2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b/>
      <i/>
      <sz val="12"/>
      <name val="Arial CE"/>
      <charset val="238"/>
    </font>
    <font>
      <i/>
      <sz val="12"/>
      <name val="Arial CE"/>
      <charset val="238"/>
    </font>
    <font>
      <i/>
      <sz val="8"/>
      <name val="Arial CE"/>
      <charset val="238"/>
    </font>
    <font>
      <b/>
      <i/>
      <sz val="14"/>
      <name val="Arial"/>
      <family val="2"/>
      <charset val="238"/>
    </font>
    <font>
      <b/>
      <i/>
      <sz val="14"/>
      <name val="Arial CE"/>
      <charset val="238"/>
    </font>
    <font>
      <b/>
      <sz val="14"/>
      <name val="Arial CE"/>
      <family val="2"/>
      <charset val="238"/>
    </font>
    <font>
      <b/>
      <sz val="8"/>
      <name val="Arial CE"/>
      <family val="2"/>
      <charset val="238"/>
    </font>
    <font>
      <sz val="8"/>
      <name val="Arial CE"/>
      <family val="2"/>
      <charset val="238"/>
    </font>
    <font>
      <b/>
      <sz val="10"/>
      <name val="Arial CE"/>
      <family val="2"/>
      <charset val="238"/>
    </font>
    <font>
      <b/>
      <sz val="8"/>
      <name val="Arial CE"/>
      <charset val="238"/>
    </font>
    <font>
      <sz val="8"/>
      <name val="Arial CE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b/>
      <sz val="9"/>
      <name val="Arial CE"/>
      <family val="2"/>
      <charset val="238"/>
    </font>
    <font>
      <b/>
      <sz val="9"/>
      <name val="Arial CE"/>
      <charset val="238"/>
    </font>
    <font>
      <b/>
      <sz val="8"/>
      <name val="Arial"/>
      <family val="2"/>
      <charset val="238"/>
    </font>
    <font>
      <b/>
      <i/>
      <sz val="9"/>
      <name val="Arial CE"/>
      <charset val="238"/>
    </font>
    <font>
      <i/>
      <sz val="9"/>
      <name val="Arial CE"/>
      <charset val="238"/>
    </font>
    <font>
      <b/>
      <i/>
      <sz val="9"/>
      <name val="Arial CE"/>
      <family val="2"/>
      <charset val="238"/>
    </font>
    <font>
      <b/>
      <i/>
      <sz val="8"/>
      <name val="Arial CE"/>
      <family val="2"/>
      <charset val="238"/>
    </font>
    <font>
      <sz val="9"/>
      <name val="Arial CE"/>
      <charset val="238"/>
    </font>
    <font>
      <sz val="9"/>
      <name val="Arial"/>
      <family val="2"/>
      <charset val="238"/>
    </font>
    <font>
      <b/>
      <i/>
      <sz val="9"/>
      <name val="Arial"/>
      <family val="2"/>
      <charset val="238"/>
    </font>
    <font>
      <sz val="12"/>
      <name val="Arial CE"/>
      <family val="2"/>
      <charset val="238"/>
    </font>
    <font>
      <b/>
      <i/>
      <sz val="8"/>
      <name val="Arial CE"/>
      <charset val="238"/>
    </font>
    <font>
      <b/>
      <sz val="10"/>
      <name val="Arial CE"/>
      <charset val="238"/>
    </font>
    <font>
      <b/>
      <sz val="10"/>
      <name val="Arial"/>
      <family val="2"/>
      <charset val="238"/>
    </font>
    <font>
      <i/>
      <sz val="9"/>
      <name val="Arial CE"/>
      <family val="2"/>
      <charset val="238"/>
    </font>
    <font>
      <i/>
      <sz val="10"/>
      <name val="Arial"/>
      <family val="2"/>
      <charset val="238"/>
    </font>
    <font>
      <b/>
      <sz val="14"/>
      <name val="Arial CE"/>
      <charset val="238"/>
    </font>
    <font>
      <u/>
      <sz val="10"/>
      <color theme="10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indexed="8"/>
      <name val="Calibri"/>
      <family val="2"/>
      <charset val="238"/>
    </font>
    <font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16"/>
      <color rgb="FF000000"/>
      <name val="Arial"/>
      <family val="2"/>
      <charset val="238"/>
    </font>
    <font>
      <sz val="1"/>
      <color rgb="FF000000"/>
      <name val="Arial"/>
      <family val="2"/>
      <charset val="238"/>
    </font>
    <font>
      <sz val="12"/>
      <color rgb="FF000000"/>
      <name val="Arial"/>
      <family val="2"/>
      <charset val="238"/>
    </font>
    <font>
      <b/>
      <sz val="8"/>
      <color rgb="FF000000"/>
      <name val="Arial"/>
      <family val="2"/>
      <charset val="238"/>
    </font>
    <font>
      <b/>
      <sz val="9"/>
      <color rgb="FF000000"/>
      <name val="Arial"/>
      <family val="2"/>
      <charset val="238"/>
    </font>
    <font>
      <sz val="10"/>
      <color indexed="8"/>
      <name val="Arial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  <charset val="238"/>
    </font>
    <font>
      <b/>
      <sz val="16"/>
      <color indexed="23"/>
      <name val="Arial"/>
      <family val="2"/>
      <charset val="238"/>
    </font>
    <font>
      <sz val="10"/>
      <color indexed="10"/>
      <name val="Arial"/>
      <family val="2"/>
    </font>
    <font>
      <i/>
      <sz val="8"/>
      <name val="Arial CE"/>
      <family val="2"/>
      <charset val="238"/>
    </font>
    <font>
      <sz val="10"/>
      <name val="Arial"/>
      <family val="2"/>
      <charset val="238"/>
    </font>
    <font>
      <sz val="12"/>
      <name val="Arial CE"/>
      <charset val="238"/>
    </font>
    <font>
      <b/>
      <i/>
      <sz val="10"/>
      <name val="Arial"/>
      <family val="2"/>
      <charset val="238"/>
    </font>
    <font>
      <b/>
      <i/>
      <sz val="12"/>
      <name val="Arial Black"/>
      <family val="2"/>
      <charset val="238"/>
    </font>
    <font>
      <b/>
      <sz val="11"/>
      <name val="Arial CE"/>
      <charset val="238"/>
    </font>
    <font>
      <i/>
      <sz val="9"/>
      <name val="Arial"/>
      <family val="2"/>
      <charset val="238"/>
    </font>
    <font>
      <b/>
      <i/>
      <sz val="10"/>
      <name val="Arial CE"/>
      <family val="2"/>
      <charset val="238"/>
    </font>
    <font>
      <b/>
      <i/>
      <sz val="10"/>
      <name val="Arial CE"/>
      <charset val="238"/>
    </font>
    <font>
      <b/>
      <sz val="11"/>
      <name val="Arial CE"/>
      <family val="2"/>
      <charset val="238"/>
    </font>
    <font>
      <b/>
      <sz val="12"/>
      <name val="Arial CE"/>
      <charset val="238"/>
    </font>
    <font>
      <b/>
      <sz val="11"/>
      <name val="Arial"/>
      <family val="2"/>
      <charset val="238"/>
    </font>
    <font>
      <b/>
      <sz val="16"/>
      <name val="Arial Black"/>
      <family val="2"/>
      <charset val="238"/>
    </font>
    <font>
      <b/>
      <sz val="18"/>
      <name val="Arial CE"/>
      <charset val="238"/>
    </font>
    <font>
      <b/>
      <sz val="16"/>
      <name val="Arial CE"/>
      <charset val="238"/>
    </font>
    <font>
      <sz val="11"/>
      <name val="Arial CE"/>
      <family val="2"/>
      <charset val="238"/>
    </font>
    <font>
      <b/>
      <i/>
      <sz val="11"/>
      <name val="Arial CE"/>
      <charset val="238"/>
    </font>
    <font>
      <sz val="11"/>
      <name val="Arial CE"/>
      <charset val="238"/>
    </font>
    <font>
      <i/>
      <sz val="11"/>
      <name val="Arial CE"/>
      <charset val="238"/>
    </font>
    <font>
      <i/>
      <sz val="10"/>
      <name val="Arial CE"/>
      <charset val="238"/>
    </font>
    <font>
      <i/>
      <sz val="10"/>
      <name val="Arial CE"/>
      <family val="2"/>
      <charset val="238"/>
    </font>
    <font>
      <sz val="10"/>
      <color rgb="FF0000FF"/>
      <name val="Arial"/>
      <family val="2"/>
      <charset val="238"/>
    </font>
    <font>
      <sz val="10"/>
      <name val="Arial Black"/>
      <family val="2"/>
      <charset val="238"/>
    </font>
    <font>
      <b/>
      <u/>
      <sz val="9"/>
      <name val="Arial CE"/>
      <charset val="238"/>
    </font>
    <font>
      <sz val="7.5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8"/>
      <color rgb="FF0000FF"/>
      <name val="Arial CE"/>
      <family val="2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mediumGray">
        <fgColor indexed="42"/>
      </patternFill>
    </fill>
    <fill>
      <patternFill patternType="solid">
        <fgColor indexed="27"/>
        <bgColor indexed="64"/>
      </patternFill>
    </fill>
    <fill>
      <patternFill patternType="mediumGray">
        <fgColor indexed="42"/>
        <bgColor indexed="27"/>
      </patternFill>
    </fill>
    <fill>
      <patternFill patternType="solid">
        <fgColor indexed="47"/>
        <bgColor indexed="64"/>
      </patternFill>
    </fill>
    <fill>
      <patternFill patternType="mediumGray">
        <fgColor indexed="42"/>
        <bgColor indexed="47"/>
      </patternFill>
    </fill>
    <fill>
      <patternFill patternType="solid">
        <fgColor indexed="42"/>
        <bgColor indexed="64"/>
      </patternFill>
    </fill>
    <fill>
      <patternFill patternType="mediumGray">
        <fgColor indexed="42"/>
        <bgColor indexed="42"/>
      </patternFill>
    </fill>
    <fill>
      <patternFill patternType="mediumGray">
        <fgColor indexed="42"/>
        <bgColor indexed="9"/>
      </patternFill>
    </fill>
    <fill>
      <patternFill patternType="solid">
        <fgColor indexed="3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11"/>
        <bgColor indexed="46"/>
      </patternFill>
    </fill>
    <fill>
      <patternFill patternType="mediumGray">
        <fgColor indexed="11"/>
        <bgColor indexed="47"/>
      </patternFill>
    </fill>
    <fill>
      <patternFill patternType="mediumGray">
        <fgColor indexed="11"/>
        <bgColor indexed="42"/>
      </patternFill>
    </fill>
    <fill>
      <patternFill patternType="mediumGray">
        <fgColor indexed="11"/>
        <bgColor indexed="43"/>
      </patternFill>
    </fill>
    <fill>
      <patternFill patternType="mediumGray">
        <fgColor indexed="11"/>
      </patternFill>
    </fill>
    <fill>
      <patternFill patternType="mediumGray">
        <fgColor indexed="11"/>
        <bgColor indexed="9"/>
      </patternFill>
    </fill>
    <fill>
      <patternFill patternType="solid">
        <fgColor indexed="43"/>
        <bgColor indexed="9"/>
      </patternFill>
    </fill>
    <fill>
      <patternFill patternType="solid">
        <fgColor indexed="42"/>
        <bgColor indexed="9"/>
      </patternFill>
    </fill>
    <fill>
      <patternFill patternType="solid">
        <fgColor indexed="47"/>
        <bgColor indexed="9"/>
      </patternFill>
    </fill>
    <fill>
      <patternFill patternType="solid">
        <fgColor indexed="5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gray125">
        <fgColor indexed="11"/>
        <bgColor indexed="50"/>
      </patternFill>
    </fill>
    <fill>
      <patternFill patternType="solid">
        <fgColor indexed="45"/>
        <bgColor indexed="64"/>
      </patternFill>
    </fill>
    <fill>
      <patternFill patternType="gray125">
        <fgColor indexed="11"/>
        <bgColor indexed="9"/>
      </patternFill>
    </fill>
    <fill>
      <patternFill patternType="solid">
        <fgColor rgb="FFFFFFFF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6A6A6A"/>
        <bgColor indexed="64"/>
      </patternFill>
    </fill>
    <fill>
      <patternFill patternType="solid">
        <fgColor rgb="FFFFFFE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2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mediumGray">
        <fgColor indexed="11"/>
        <bgColor theme="8" tint="0.5999938962981048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20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auto="1"/>
      </top>
      <bottom style="double">
        <color indexed="64"/>
      </bottom>
      <diagonal/>
    </border>
  </borders>
  <cellStyleXfs count="847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6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4" fillId="0" borderId="0"/>
    <xf numFmtId="0" fontId="4" fillId="0" borderId="0"/>
    <xf numFmtId="0" fontId="6" fillId="0" borderId="0"/>
    <xf numFmtId="0" fontId="6" fillId="0" borderId="0"/>
    <xf numFmtId="0" fontId="3" fillId="0" borderId="0"/>
    <xf numFmtId="0" fontId="4" fillId="0" borderId="0"/>
    <xf numFmtId="0" fontId="4" fillId="0" borderId="0"/>
    <xf numFmtId="0" fontId="42" fillId="0" borderId="0"/>
    <xf numFmtId="0" fontId="43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4" fillId="37" borderId="0">
      <alignment horizontal="left" vertical="top"/>
    </xf>
    <xf numFmtId="0" fontId="45" fillId="37" borderId="0">
      <alignment horizontal="center" vertical="top"/>
    </xf>
    <xf numFmtId="0" fontId="44" fillId="37" borderId="0">
      <alignment horizontal="left" vertical="top"/>
    </xf>
    <xf numFmtId="0" fontId="44" fillId="37" borderId="0">
      <alignment horizontal="left" vertical="top"/>
    </xf>
    <xf numFmtId="0" fontId="44" fillId="37" borderId="0">
      <alignment horizontal="right" vertical="top"/>
    </xf>
    <xf numFmtId="0" fontId="45" fillId="38" borderId="0">
      <alignment horizontal="left" vertical="top"/>
    </xf>
    <xf numFmtId="0" fontId="45" fillId="38" borderId="0">
      <alignment horizontal="right" vertical="top"/>
    </xf>
    <xf numFmtId="0" fontId="45" fillId="38" borderId="0">
      <alignment horizontal="right" vertical="top"/>
    </xf>
    <xf numFmtId="0" fontId="45" fillId="38" borderId="0">
      <alignment horizontal="right" vertical="top"/>
    </xf>
    <xf numFmtId="0" fontId="45" fillId="39" borderId="0">
      <alignment horizontal="left" vertical="top"/>
    </xf>
    <xf numFmtId="0" fontId="45" fillId="39" borderId="0">
      <alignment horizontal="right" vertical="top"/>
    </xf>
    <xf numFmtId="0" fontId="45" fillId="39" borderId="0">
      <alignment horizontal="right" vertical="top"/>
    </xf>
    <xf numFmtId="0" fontId="46" fillId="37" borderId="0">
      <alignment horizontal="center" vertical="top"/>
    </xf>
    <xf numFmtId="0" fontId="45" fillId="39" borderId="0">
      <alignment horizontal="right" vertical="top"/>
    </xf>
    <xf numFmtId="0" fontId="44" fillId="40" borderId="0">
      <alignment horizontal="left" vertical="top"/>
    </xf>
    <xf numFmtId="0" fontId="44" fillId="40" borderId="0">
      <alignment horizontal="right" vertical="top"/>
    </xf>
    <xf numFmtId="0" fontId="44" fillId="40" borderId="0">
      <alignment horizontal="right" vertical="top"/>
    </xf>
    <xf numFmtId="0" fontId="44" fillId="40" borderId="0">
      <alignment horizontal="right" vertical="top"/>
    </xf>
    <xf numFmtId="0" fontId="44" fillId="37" borderId="0">
      <alignment horizontal="left" vertical="top"/>
    </xf>
    <xf numFmtId="0" fontId="44" fillId="37" borderId="0">
      <alignment horizontal="right" vertical="top"/>
    </xf>
    <xf numFmtId="0" fontId="44" fillId="37" borderId="0">
      <alignment horizontal="right" vertical="top"/>
    </xf>
    <xf numFmtId="0" fontId="44" fillId="37" borderId="0">
      <alignment horizontal="right" vertical="top"/>
    </xf>
    <xf numFmtId="0" fontId="47" fillId="41" borderId="0">
      <alignment horizontal="left" vertical="top"/>
    </xf>
    <xf numFmtId="0" fontId="48" fillId="37" borderId="0">
      <alignment horizontal="left" vertical="top"/>
    </xf>
    <xf numFmtId="0" fontId="49" fillId="37" borderId="0">
      <alignment horizontal="left" vertical="top"/>
    </xf>
    <xf numFmtId="0" fontId="45" fillId="37" borderId="0">
      <alignment horizontal="right" vertical="top"/>
    </xf>
    <xf numFmtId="0" fontId="45" fillId="37" borderId="0">
      <alignment horizontal="right" vertical="top"/>
    </xf>
    <xf numFmtId="0" fontId="49" fillId="42" borderId="0">
      <alignment horizontal="left"/>
    </xf>
    <xf numFmtId="0" fontId="49" fillId="42" borderId="0">
      <alignment horizontal="left"/>
    </xf>
    <xf numFmtId="0" fontId="49" fillId="42" borderId="0">
      <alignment horizontal="right"/>
    </xf>
    <xf numFmtId="0" fontId="50" fillId="42" borderId="0">
      <alignment horizontal="right"/>
    </xf>
    <xf numFmtId="0" fontId="49" fillId="41" borderId="0">
      <alignment horizontal="left" vertical="top"/>
    </xf>
    <xf numFmtId="0" fontId="45" fillId="41" borderId="0">
      <alignment horizontal="right" vertical="top"/>
    </xf>
    <xf numFmtId="0" fontId="45" fillId="41" borderId="0">
      <alignment horizontal="right" vertical="top"/>
    </xf>
    <xf numFmtId="0" fontId="44" fillId="37" borderId="0">
      <alignment horizontal="left" vertical="center"/>
    </xf>
    <xf numFmtId="0" fontId="47" fillId="42" borderId="0">
      <alignment horizontal="left" vertical="top"/>
    </xf>
    <xf numFmtId="0" fontId="47" fillId="42" borderId="0">
      <alignment horizontal="left" vertical="top"/>
    </xf>
    <xf numFmtId="0" fontId="47" fillId="41" borderId="0">
      <alignment horizontal="left" vertical="top"/>
    </xf>
    <xf numFmtId="0" fontId="47" fillId="41" borderId="0">
      <alignment horizontal="left" vertical="top"/>
    </xf>
    <xf numFmtId="0" fontId="47" fillId="41" borderId="0">
      <alignment horizontal="left" vertical="top"/>
    </xf>
    <xf numFmtId="0" fontId="47" fillId="42" borderId="0">
      <alignment horizontal="left" vertical="top"/>
    </xf>
    <xf numFmtId="0" fontId="49" fillId="37" borderId="0">
      <alignment horizontal="left"/>
    </xf>
    <xf numFmtId="0" fontId="49" fillId="37" borderId="0">
      <alignment horizontal="left"/>
    </xf>
    <xf numFmtId="0" fontId="49" fillId="37" borderId="0">
      <alignment horizontal="right"/>
    </xf>
    <xf numFmtId="0" fontId="50" fillId="37" borderId="0">
      <alignment horizontal="right"/>
    </xf>
    <xf numFmtId="4" fontId="51" fillId="13" borderId="85" applyNumberFormat="0" applyProtection="0">
      <alignment vertical="center"/>
    </xf>
    <xf numFmtId="4" fontId="52" fillId="13" borderId="85" applyNumberFormat="0" applyProtection="0">
      <alignment vertical="center"/>
    </xf>
    <xf numFmtId="4" fontId="51" fillId="13" borderId="85" applyNumberFormat="0" applyProtection="0">
      <alignment horizontal="left" vertical="center" indent="1"/>
    </xf>
    <xf numFmtId="4" fontId="51" fillId="13" borderId="85" applyNumberFormat="0" applyProtection="0">
      <alignment horizontal="left" vertical="center" indent="1"/>
    </xf>
    <xf numFmtId="0" fontId="4" fillId="11" borderId="85" applyNumberFormat="0" applyProtection="0">
      <alignment horizontal="left" vertical="center" indent="1"/>
    </xf>
    <xf numFmtId="4" fontId="51" fillId="35" borderId="85" applyNumberFormat="0" applyProtection="0">
      <alignment horizontal="right" vertical="center"/>
    </xf>
    <xf numFmtId="4" fontId="51" fillId="43" borderId="85" applyNumberFormat="0" applyProtection="0">
      <alignment horizontal="right" vertical="center"/>
    </xf>
    <xf numFmtId="4" fontId="51" fillId="44" borderId="85" applyNumberFormat="0" applyProtection="0">
      <alignment horizontal="right" vertical="center"/>
    </xf>
    <xf numFmtId="4" fontId="51" fillId="12" borderId="85" applyNumberFormat="0" applyProtection="0">
      <alignment horizontal="right" vertical="center"/>
    </xf>
    <xf numFmtId="4" fontId="51" fillId="45" borderId="85" applyNumberFormat="0" applyProtection="0">
      <alignment horizontal="right" vertical="center"/>
    </xf>
    <xf numFmtId="4" fontId="51" fillId="15" borderId="85" applyNumberFormat="0" applyProtection="0">
      <alignment horizontal="right" vertical="center"/>
    </xf>
    <xf numFmtId="4" fontId="51" fillId="17" borderId="85" applyNumberFormat="0" applyProtection="0">
      <alignment horizontal="right" vertical="center"/>
    </xf>
    <xf numFmtId="4" fontId="51" fillId="16" borderId="85" applyNumberFormat="0" applyProtection="0">
      <alignment horizontal="right" vertical="center"/>
    </xf>
    <xf numFmtId="4" fontId="51" fillId="19" borderId="85" applyNumberFormat="0" applyProtection="0">
      <alignment horizontal="right" vertical="center"/>
    </xf>
    <xf numFmtId="4" fontId="53" fillId="46" borderId="85" applyNumberFormat="0" applyProtection="0">
      <alignment horizontal="left" vertical="center" indent="1"/>
    </xf>
    <xf numFmtId="4" fontId="51" fillId="47" borderId="86" applyNumberFormat="0" applyProtection="0">
      <alignment horizontal="left" vertical="center" indent="1"/>
    </xf>
    <xf numFmtId="4" fontId="54" fillId="48" borderId="0" applyNumberFormat="0" applyProtection="0">
      <alignment horizontal="left" vertical="center" indent="1"/>
    </xf>
    <xf numFmtId="0" fontId="4" fillId="11" borderId="85" applyNumberFormat="0" applyProtection="0">
      <alignment horizontal="left" vertical="center" indent="1"/>
    </xf>
    <xf numFmtId="4" fontId="5" fillId="47" borderId="85" applyNumberFormat="0" applyProtection="0">
      <alignment horizontal="left" vertical="center" indent="1"/>
    </xf>
    <xf numFmtId="4" fontId="5" fillId="49" borderId="85" applyNumberFormat="0" applyProtection="0">
      <alignment horizontal="left" vertical="center" indent="1"/>
    </xf>
    <xf numFmtId="0" fontId="4" fillId="49" borderId="85" applyNumberFormat="0" applyProtection="0">
      <alignment horizontal="left" vertical="center" indent="1"/>
    </xf>
    <xf numFmtId="0" fontId="4" fillId="49" borderId="85" applyNumberFormat="0" applyProtection="0">
      <alignment horizontal="left" vertical="center" indent="1"/>
    </xf>
    <xf numFmtId="0" fontId="4" fillId="30" borderId="85" applyNumberFormat="0" applyProtection="0">
      <alignment horizontal="left" vertical="center" indent="1"/>
    </xf>
    <xf numFmtId="0" fontId="4" fillId="30" borderId="85" applyNumberFormat="0" applyProtection="0">
      <alignment horizontal="left" vertical="center" indent="1"/>
    </xf>
    <xf numFmtId="0" fontId="4" fillId="33" borderId="85" applyNumberFormat="0" applyProtection="0">
      <alignment horizontal="left" vertical="center" indent="1"/>
    </xf>
    <xf numFmtId="0" fontId="4" fillId="33" borderId="85" applyNumberFormat="0" applyProtection="0">
      <alignment horizontal="left" vertical="center" indent="1"/>
    </xf>
    <xf numFmtId="0" fontId="4" fillId="11" borderId="85" applyNumberFormat="0" applyProtection="0">
      <alignment horizontal="left" vertical="center" indent="1"/>
    </xf>
    <xf numFmtId="0" fontId="4" fillId="11" borderId="85" applyNumberFormat="0" applyProtection="0">
      <alignment horizontal="left" vertical="center" indent="1"/>
    </xf>
    <xf numFmtId="4" fontId="51" fillId="20" borderId="85" applyNumberFormat="0" applyProtection="0">
      <alignment vertical="center"/>
    </xf>
    <xf numFmtId="4" fontId="52" fillId="20" borderId="85" applyNumberFormat="0" applyProtection="0">
      <alignment vertical="center"/>
    </xf>
    <xf numFmtId="4" fontId="51" fillId="20" borderId="85" applyNumberFormat="0" applyProtection="0">
      <alignment horizontal="left" vertical="center" indent="1"/>
    </xf>
    <xf numFmtId="4" fontId="51" fillId="20" borderId="85" applyNumberFormat="0" applyProtection="0">
      <alignment horizontal="left" vertical="center" indent="1"/>
    </xf>
    <xf numFmtId="4" fontId="51" fillId="47" borderId="85" applyNumberFormat="0" applyProtection="0">
      <alignment horizontal="right" vertical="center"/>
    </xf>
    <xf numFmtId="4" fontId="52" fillId="47" borderId="85" applyNumberFormat="0" applyProtection="0">
      <alignment horizontal="right" vertical="center"/>
    </xf>
    <xf numFmtId="0" fontId="4" fillId="11" borderId="85" applyNumberFormat="0" applyProtection="0">
      <alignment horizontal="left" vertical="center" indent="1"/>
    </xf>
    <xf numFmtId="0" fontId="4" fillId="11" borderId="85" applyNumberFormat="0" applyProtection="0">
      <alignment horizontal="left" vertical="center" indent="1"/>
    </xf>
    <xf numFmtId="0" fontId="55" fillId="0" borderId="0"/>
    <xf numFmtId="4" fontId="56" fillId="47" borderId="85" applyNumberFormat="0" applyProtection="0">
      <alignment horizontal="right" vertical="center"/>
    </xf>
    <xf numFmtId="44" fontId="43" fillId="0" borderId="0" applyFont="0" applyFill="0" applyBorder="0" applyAlignment="0" applyProtection="0"/>
    <xf numFmtId="0" fontId="58" fillId="0" borderId="0"/>
    <xf numFmtId="0" fontId="58" fillId="0" borderId="0"/>
    <xf numFmtId="0" fontId="58" fillId="0" borderId="0"/>
    <xf numFmtId="0" fontId="6" fillId="0" borderId="0"/>
    <xf numFmtId="4" fontId="51" fillId="13" borderId="94" applyNumberFormat="0" applyProtection="0">
      <alignment vertical="center"/>
    </xf>
    <xf numFmtId="4" fontId="52" fillId="13" borderId="94" applyNumberFormat="0" applyProtection="0">
      <alignment vertical="center"/>
    </xf>
    <xf numFmtId="4" fontId="51" fillId="13" borderId="94" applyNumberFormat="0" applyProtection="0">
      <alignment horizontal="left" vertical="center" indent="1"/>
    </xf>
    <xf numFmtId="4" fontId="51" fillId="13" borderId="94" applyNumberFormat="0" applyProtection="0">
      <alignment horizontal="left" vertical="center" indent="1"/>
    </xf>
    <xf numFmtId="0" fontId="4" fillId="11" borderId="94" applyNumberFormat="0" applyProtection="0">
      <alignment horizontal="left" vertical="center" indent="1"/>
    </xf>
    <xf numFmtId="4" fontId="51" fillId="35" borderId="94" applyNumberFormat="0" applyProtection="0">
      <alignment horizontal="right" vertical="center"/>
    </xf>
    <xf numFmtId="4" fontId="51" fillId="43" borderId="94" applyNumberFormat="0" applyProtection="0">
      <alignment horizontal="right" vertical="center"/>
    </xf>
    <xf numFmtId="4" fontId="51" fillId="44" borderId="94" applyNumberFormat="0" applyProtection="0">
      <alignment horizontal="right" vertical="center"/>
    </xf>
    <xf numFmtId="4" fontId="51" fillId="12" borderId="94" applyNumberFormat="0" applyProtection="0">
      <alignment horizontal="right" vertical="center"/>
    </xf>
    <xf numFmtId="4" fontId="51" fillId="45" borderId="94" applyNumberFormat="0" applyProtection="0">
      <alignment horizontal="right" vertical="center"/>
    </xf>
    <xf numFmtId="4" fontId="51" fillId="15" borderId="94" applyNumberFormat="0" applyProtection="0">
      <alignment horizontal="right" vertical="center"/>
    </xf>
    <xf numFmtId="4" fontId="51" fillId="17" borderId="94" applyNumberFormat="0" applyProtection="0">
      <alignment horizontal="right" vertical="center"/>
    </xf>
    <xf numFmtId="4" fontId="51" fillId="16" borderId="94" applyNumberFormat="0" applyProtection="0">
      <alignment horizontal="right" vertical="center"/>
    </xf>
    <xf numFmtId="4" fontId="51" fillId="19" borderId="94" applyNumberFormat="0" applyProtection="0">
      <alignment horizontal="right" vertical="center"/>
    </xf>
    <xf numFmtId="4" fontId="53" fillId="46" borderId="94" applyNumberFormat="0" applyProtection="0">
      <alignment horizontal="left" vertical="center" indent="1"/>
    </xf>
    <xf numFmtId="4" fontId="51" fillId="47" borderId="95" applyNumberFormat="0" applyProtection="0">
      <alignment horizontal="left" vertical="center" indent="1"/>
    </xf>
    <xf numFmtId="0" fontId="4" fillId="11" borderId="94" applyNumberFormat="0" applyProtection="0">
      <alignment horizontal="left" vertical="center" indent="1"/>
    </xf>
    <xf numFmtId="4" fontId="5" fillId="47" borderId="94" applyNumberFormat="0" applyProtection="0">
      <alignment horizontal="left" vertical="center" indent="1"/>
    </xf>
    <xf numFmtId="4" fontId="5" fillId="49" borderId="94" applyNumberFormat="0" applyProtection="0">
      <alignment horizontal="left" vertical="center" indent="1"/>
    </xf>
    <xf numFmtId="0" fontId="4" fillId="49" borderId="94" applyNumberFormat="0" applyProtection="0">
      <alignment horizontal="left" vertical="center" indent="1"/>
    </xf>
    <xf numFmtId="0" fontId="4" fillId="49" borderId="94" applyNumberFormat="0" applyProtection="0">
      <alignment horizontal="left" vertical="center" indent="1"/>
    </xf>
    <xf numFmtId="0" fontId="4" fillId="30" borderId="94" applyNumberFormat="0" applyProtection="0">
      <alignment horizontal="left" vertical="center" indent="1"/>
    </xf>
    <xf numFmtId="0" fontId="4" fillId="30" borderId="94" applyNumberFormat="0" applyProtection="0">
      <alignment horizontal="left" vertical="center" indent="1"/>
    </xf>
    <xf numFmtId="0" fontId="4" fillId="33" borderId="94" applyNumberFormat="0" applyProtection="0">
      <alignment horizontal="left" vertical="center" indent="1"/>
    </xf>
    <xf numFmtId="0" fontId="4" fillId="33" borderId="94" applyNumberFormat="0" applyProtection="0">
      <alignment horizontal="left" vertical="center" indent="1"/>
    </xf>
    <xf numFmtId="0" fontId="4" fillId="11" borderId="94" applyNumberFormat="0" applyProtection="0">
      <alignment horizontal="left" vertical="center" indent="1"/>
    </xf>
    <xf numFmtId="0" fontId="4" fillId="11" borderId="94" applyNumberFormat="0" applyProtection="0">
      <alignment horizontal="left" vertical="center" indent="1"/>
    </xf>
    <xf numFmtId="4" fontId="51" fillId="20" borderId="94" applyNumberFormat="0" applyProtection="0">
      <alignment vertical="center"/>
    </xf>
    <xf numFmtId="4" fontId="52" fillId="20" borderId="94" applyNumberFormat="0" applyProtection="0">
      <alignment vertical="center"/>
    </xf>
    <xf numFmtId="4" fontId="51" fillId="20" borderId="94" applyNumberFormat="0" applyProtection="0">
      <alignment horizontal="left" vertical="center" indent="1"/>
    </xf>
    <xf numFmtId="4" fontId="51" fillId="20" borderId="94" applyNumberFormat="0" applyProtection="0">
      <alignment horizontal="left" vertical="center" indent="1"/>
    </xf>
    <xf numFmtId="4" fontId="51" fillId="47" borderId="94" applyNumberFormat="0" applyProtection="0">
      <alignment horizontal="right" vertical="center"/>
    </xf>
    <xf numFmtId="4" fontId="52" fillId="47" borderId="94" applyNumberFormat="0" applyProtection="0">
      <alignment horizontal="right" vertical="center"/>
    </xf>
    <xf numFmtId="0" fontId="4" fillId="11" borderId="94" applyNumberFormat="0" applyProtection="0">
      <alignment horizontal="left" vertical="center" indent="1"/>
    </xf>
    <xf numFmtId="0" fontId="4" fillId="11" borderId="94" applyNumberFormat="0" applyProtection="0">
      <alignment horizontal="left" vertical="center" indent="1"/>
    </xf>
    <xf numFmtId="4" fontId="56" fillId="47" borderId="94" applyNumberFormat="0" applyProtection="0">
      <alignment horizontal="right" vertical="center"/>
    </xf>
    <xf numFmtId="0" fontId="4" fillId="0" borderId="0"/>
    <xf numFmtId="4" fontId="51" fillId="13" borderId="138" applyNumberFormat="0" applyProtection="0">
      <alignment horizontal="left" vertical="center" indent="1"/>
    </xf>
    <xf numFmtId="4" fontId="51" fillId="12" borderId="147" applyNumberFormat="0" applyProtection="0">
      <alignment horizontal="right" vertical="center"/>
    </xf>
    <xf numFmtId="4" fontId="51" fillId="13" borderId="138" applyNumberFormat="0" applyProtection="0">
      <alignment horizontal="left" vertical="center" indent="1"/>
    </xf>
    <xf numFmtId="4" fontId="52" fillId="13" borderId="138" applyNumberFormat="0" applyProtection="0">
      <alignment vertical="center"/>
    </xf>
    <xf numFmtId="4" fontId="51" fillId="13" borderId="138" applyNumberFormat="0" applyProtection="0">
      <alignment vertical="center"/>
    </xf>
    <xf numFmtId="4" fontId="51" fillId="17" borderId="147" applyNumberFormat="0" applyProtection="0">
      <alignment horizontal="right" vertical="center"/>
    </xf>
    <xf numFmtId="4" fontId="53" fillId="46" borderId="147" applyNumberFormat="0" applyProtection="0">
      <alignment horizontal="left" vertical="center" indent="1"/>
    </xf>
    <xf numFmtId="0" fontId="2" fillId="0" borderId="0"/>
    <xf numFmtId="4" fontId="51" fillId="13" borderId="146" applyNumberFormat="0" applyProtection="0">
      <alignment vertical="center"/>
    </xf>
    <xf numFmtId="4" fontId="52" fillId="13" borderId="146" applyNumberFormat="0" applyProtection="0">
      <alignment vertical="center"/>
    </xf>
    <xf numFmtId="4" fontId="51" fillId="13" borderId="146" applyNumberFormat="0" applyProtection="0">
      <alignment horizontal="left" vertical="center" indent="1"/>
    </xf>
    <xf numFmtId="4" fontId="51" fillId="13" borderId="146" applyNumberFormat="0" applyProtection="0">
      <alignment horizontal="left" vertical="center" indent="1"/>
    </xf>
    <xf numFmtId="0" fontId="4" fillId="11" borderId="146" applyNumberFormat="0" applyProtection="0">
      <alignment horizontal="left" vertical="center" indent="1"/>
    </xf>
    <xf numFmtId="4" fontId="51" fillId="35" borderId="146" applyNumberFormat="0" applyProtection="0">
      <alignment horizontal="right" vertical="center"/>
    </xf>
    <xf numFmtId="4" fontId="51" fillId="43" borderId="146" applyNumberFormat="0" applyProtection="0">
      <alignment horizontal="right" vertical="center"/>
    </xf>
    <xf numFmtId="4" fontId="51" fillId="44" borderId="146" applyNumberFormat="0" applyProtection="0">
      <alignment horizontal="right" vertical="center"/>
    </xf>
    <xf numFmtId="4" fontId="51" fillId="12" borderId="146" applyNumberFormat="0" applyProtection="0">
      <alignment horizontal="right" vertical="center"/>
    </xf>
    <xf numFmtId="4" fontId="51" fillId="45" borderId="146" applyNumberFormat="0" applyProtection="0">
      <alignment horizontal="right" vertical="center"/>
    </xf>
    <xf numFmtId="4" fontId="51" fillId="15" borderId="146" applyNumberFormat="0" applyProtection="0">
      <alignment horizontal="right" vertical="center"/>
    </xf>
    <xf numFmtId="4" fontId="51" fillId="17" borderId="146" applyNumberFormat="0" applyProtection="0">
      <alignment horizontal="right" vertical="center"/>
    </xf>
    <xf numFmtId="4" fontId="51" fillId="16" borderId="146" applyNumberFormat="0" applyProtection="0">
      <alignment horizontal="right" vertical="center"/>
    </xf>
    <xf numFmtId="4" fontId="51" fillId="19" borderId="146" applyNumberFormat="0" applyProtection="0">
      <alignment horizontal="right" vertical="center"/>
    </xf>
    <xf numFmtId="4" fontId="53" fillId="46" borderId="146" applyNumberFormat="0" applyProtection="0">
      <alignment horizontal="left" vertical="center" indent="1"/>
    </xf>
    <xf numFmtId="0" fontId="4" fillId="30" borderId="146" applyNumberFormat="0" applyProtection="0">
      <alignment horizontal="left" vertical="center" indent="1"/>
    </xf>
    <xf numFmtId="0" fontId="4" fillId="33" borderId="146" applyNumberFormat="0" applyProtection="0">
      <alignment horizontal="left" vertical="center" indent="1"/>
    </xf>
    <xf numFmtId="0" fontId="4" fillId="33" borderId="146" applyNumberFormat="0" applyProtection="0">
      <alignment horizontal="left" vertical="center" indent="1"/>
    </xf>
    <xf numFmtId="0" fontId="4" fillId="11" borderId="146" applyNumberFormat="0" applyProtection="0">
      <alignment horizontal="left" vertical="center" indent="1"/>
    </xf>
    <xf numFmtId="4" fontId="51" fillId="20" borderId="146" applyNumberFormat="0" applyProtection="0">
      <alignment vertical="center"/>
    </xf>
    <xf numFmtId="4" fontId="52" fillId="20" borderId="146" applyNumberFormat="0" applyProtection="0">
      <alignment vertical="center"/>
    </xf>
    <xf numFmtId="4" fontId="51" fillId="20" borderId="146" applyNumberFormat="0" applyProtection="0">
      <alignment horizontal="left" vertical="center" indent="1"/>
    </xf>
    <xf numFmtId="4" fontId="51" fillId="20" borderId="146" applyNumberFormat="0" applyProtection="0">
      <alignment horizontal="left" vertical="center" indent="1"/>
    </xf>
    <xf numFmtId="4" fontId="51" fillId="47" borderId="146" applyNumberFormat="0" applyProtection="0">
      <alignment horizontal="right" vertical="center"/>
    </xf>
    <xf numFmtId="4" fontId="52" fillId="47" borderId="146" applyNumberFormat="0" applyProtection="0">
      <alignment horizontal="right" vertical="center"/>
    </xf>
    <xf numFmtId="4" fontId="51" fillId="13" borderId="152" applyNumberFormat="0" applyProtection="0">
      <alignment vertical="center"/>
    </xf>
    <xf numFmtId="4" fontId="56" fillId="47" borderId="146" applyNumberFormat="0" applyProtection="0">
      <alignment horizontal="right" vertical="center"/>
    </xf>
    <xf numFmtId="0" fontId="4" fillId="11" borderId="146" applyNumberFormat="0" applyProtection="0">
      <alignment horizontal="left" vertical="center" indent="1"/>
    </xf>
    <xf numFmtId="0" fontId="4" fillId="11" borderId="146" applyNumberFormat="0" applyProtection="0">
      <alignment horizontal="left" vertical="center" indent="1"/>
    </xf>
    <xf numFmtId="4" fontId="5" fillId="47" borderId="146" applyNumberFormat="0" applyProtection="0">
      <alignment horizontal="left" vertical="center" indent="1"/>
    </xf>
    <xf numFmtId="0" fontId="4" fillId="49" borderId="146" applyNumberFormat="0" applyProtection="0">
      <alignment horizontal="left" vertical="center" indent="1"/>
    </xf>
    <xf numFmtId="4" fontId="51" fillId="13" borderId="134" applyNumberFormat="0" applyProtection="0">
      <alignment vertical="center"/>
    </xf>
    <xf numFmtId="4" fontId="52" fillId="13" borderId="134" applyNumberFormat="0" applyProtection="0">
      <alignment vertical="center"/>
    </xf>
    <xf numFmtId="4" fontId="51" fillId="13" borderId="134" applyNumberFormat="0" applyProtection="0">
      <alignment horizontal="left" vertical="center" indent="1"/>
    </xf>
    <xf numFmtId="4" fontId="51" fillId="13" borderId="134" applyNumberFormat="0" applyProtection="0">
      <alignment horizontal="left" vertical="center" indent="1"/>
    </xf>
    <xf numFmtId="0" fontId="4" fillId="11" borderId="134" applyNumberFormat="0" applyProtection="0">
      <alignment horizontal="left" vertical="center" indent="1"/>
    </xf>
    <xf numFmtId="4" fontId="51" fillId="35" borderId="134" applyNumberFormat="0" applyProtection="0">
      <alignment horizontal="right" vertical="center"/>
    </xf>
    <xf numFmtId="4" fontId="51" fillId="43" borderId="134" applyNumberFormat="0" applyProtection="0">
      <alignment horizontal="right" vertical="center"/>
    </xf>
    <xf numFmtId="4" fontId="51" fillId="44" borderId="134" applyNumberFormat="0" applyProtection="0">
      <alignment horizontal="right" vertical="center"/>
    </xf>
    <xf numFmtId="4" fontId="51" fillId="12" borderId="134" applyNumberFormat="0" applyProtection="0">
      <alignment horizontal="right" vertical="center"/>
    </xf>
    <xf numFmtId="4" fontId="51" fillId="45" borderId="134" applyNumberFormat="0" applyProtection="0">
      <alignment horizontal="right" vertical="center"/>
    </xf>
    <xf numFmtId="4" fontId="51" fillId="15" borderId="134" applyNumberFormat="0" applyProtection="0">
      <alignment horizontal="right" vertical="center"/>
    </xf>
    <xf numFmtId="4" fontId="51" fillId="17" borderId="134" applyNumberFormat="0" applyProtection="0">
      <alignment horizontal="right" vertical="center"/>
    </xf>
    <xf numFmtId="4" fontId="51" fillId="16" borderId="134" applyNumberFormat="0" applyProtection="0">
      <alignment horizontal="right" vertical="center"/>
    </xf>
    <xf numFmtId="4" fontId="51" fillId="19" borderId="134" applyNumberFormat="0" applyProtection="0">
      <alignment horizontal="right" vertical="center"/>
    </xf>
    <xf numFmtId="4" fontId="53" fillId="46" borderId="134" applyNumberFormat="0" applyProtection="0">
      <alignment horizontal="left" vertical="center" indent="1"/>
    </xf>
    <xf numFmtId="4" fontId="51" fillId="47" borderId="135" applyNumberFormat="0" applyProtection="0">
      <alignment horizontal="left" vertical="center" indent="1"/>
    </xf>
    <xf numFmtId="0" fontId="4" fillId="11" borderId="134" applyNumberFormat="0" applyProtection="0">
      <alignment horizontal="left" vertical="center" indent="1"/>
    </xf>
    <xf numFmtId="4" fontId="5" fillId="47" borderId="134" applyNumberFormat="0" applyProtection="0">
      <alignment horizontal="left" vertical="center" indent="1"/>
    </xf>
    <xf numFmtId="4" fontId="5" fillId="49" borderId="134" applyNumberFormat="0" applyProtection="0">
      <alignment horizontal="left" vertical="center" indent="1"/>
    </xf>
    <xf numFmtId="0" fontId="4" fillId="49" borderId="134" applyNumberFormat="0" applyProtection="0">
      <alignment horizontal="left" vertical="center" indent="1"/>
    </xf>
    <xf numFmtId="0" fontId="4" fillId="49" borderId="134" applyNumberFormat="0" applyProtection="0">
      <alignment horizontal="left" vertical="center" indent="1"/>
    </xf>
    <xf numFmtId="0" fontId="4" fillId="30" borderId="134" applyNumberFormat="0" applyProtection="0">
      <alignment horizontal="left" vertical="center" indent="1"/>
    </xf>
    <xf numFmtId="0" fontId="4" fillId="30" borderId="134" applyNumberFormat="0" applyProtection="0">
      <alignment horizontal="left" vertical="center" indent="1"/>
    </xf>
    <xf numFmtId="0" fontId="4" fillId="33" borderId="134" applyNumberFormat="0" applyProtection="0">
      <alignment horizontal="left" vertical="center" indent="1"/>
    </xf>
    <xf numFmtId="0" fontId="4" fillId="33" borderId="134" applyNumberFormat="0" applyProtection="0">
      <alignment horizontal="left" vertical="center" indent="1"/>
    </xf>
    <xf numFmtId="0" fontId="4" fillId="11" borderId="134" applyNumberFormat="0" applyProtection="0">
      <alignment horizontal="left" vertical="center" indent="1"/>
    </xf>
    <xf numFmtId="0" fontId="4" fillId="11" borderId="134" applyNumberFormat="0" applyProtection="0">
      <alignment horizontal="left" vertical="center" indent="1"/>
    </xf>
    <xf numFmtId="4" fontId="51" fillId="20" borderId="134" applyNumberFormat="0" applyProtection="0">
      <alignment vertical="center"/>
    </xf>
    <xf numFmtId="4" fontId="52" fillId="20" borderId="134" applyNumberFormat="0" applyProtection="0">
      <alignment vertical="center"/>
    </xf>
    <xf numFmtId="4" fontId="51" fillId="20" borderId="134" applyNumberFormat="0" applyProtection="0">
      <alignment horizontal="left" vertical="center" indent="1"/>
    </xf>
    <xf numFmtId="4" fontId="51" fillId="20" borderId="134" applyNumberFormat="0" applyProtection="0">
      <alignment horizontal="left" vertical="center" indent="1"/>
    </xf>
    <xf numFmtId="4" fontId="51" fillId="47" borderId="134" applyNumberFormat="0" applyProtection="0">
      <alignment horizontal="right" vertical="center"/>
    </xf>
    <xf numFmtId="4" fontId="52" fillId="47" borderId="134" applyNumberFormat="0" applyProtection="0">
      <alignment horizontal="right" vertical="center"/>
    </xf>
    <xf numFmtId="0" fontId="4" fillId="11" borderId="134" applyNumberFormat="0" applyProtection="0">
      <alignment horizontal="left" vertical="center" indent="1"/>
    </xf>
    <xf numFmtId="0" fontId="4" fillId="11" borderId="134" applyNumberFormat="0" applyProtection="0">
      <alignment horizontal="left" vertical="center" indent="1"/>
    </xf>
    <xf numFmtId="4" fontId="56" fillId="47" borderId="134" applyNumberFormat="0" applyProtection="0">
      <alignment horizontal="right" vertical="center"/>
    </xf>
    <xf numFmtId="0" fontId="4" fillId="11" borderId="146" applyNumberFormat="0" applyProtection="0">
      <alignment horizontal="left" vertical="center" indent="1"/>
    </xf>
    <xf numFmtId="0" fontId="4" fillId="0" borderId="0"/>
    <xf numFmtId="4" fontId="51" fillId="13" borderId="136" applyNumberFormat="0" applyProtection="0">
      <alignment vertical="center"/>
    </xf>
    <xf numFmtId="4" fontId="52" fillId="13" borderId="136" applyNumberFormat="0" applyProtection="0">
      <alignment vertical="center"/>
    </xf>
    <xf numFmtId="4" fontId="51" fillId="13" borderId="136" applyNumberFormat="0" applyProtection="0">
      <alignment horizontal="left" vertical="center" indent="1"/>
    </xf>
    <xf numFmtId="4" fontId="51" fillId="13" borderId="136" applyNumberFormat="0" applyProtection="0">
      <alignment horizontal="left" vertical="center" indent="1"/>
    </xf>
    <xf numFmtId="0" fontId="4" fillId="11" borderId="136" applyNumberFormat="0" applyProtection="0">
      <alignment horizontal="left" vertical="center" indent="1"/>
    </xf>
    <xf numFmtId="4" fontId="51" fillId="35" borderId="136" applyNumberFormat="0" applyProtection="0">
      <alignment horizontal="right" vertical="center"/>
    </xf>
    <xf numFmtId="4" fontId="51" fillId="43" borderId="136" applyNumberFormat="0" applyProtection="0">
      <alignment horizontal="right" vertical="center"/>
    </xf>
    <xf numFmtId="4" fontId="51" fillId="44" borderId="136" applyNumberFormat="0" applyProtection="0">
      <alignment horizontal="right" vertical="center"/>
    </xf>
    <xf numFmtId="4" fontId="51" fillId="12" borderId="136" applyNumberFormat="0" applyProtection="0">
      <alignment horizontal="right" vertical="center"/>
    </xf>
    <xf numFmtId="4" fontId="51" fillId="45" borderId="136" applyNumberFormat="0" applyProtection="0">
      <alignment horizontal="right" vertical="center"/>
    </xf>
    <xf numFmtId="4" fontId="51" fillId="15" borderId="136" applyNumberFormat="0" applyProtection="0">
      <alignment horizontal="right" vertical="center"/>
    </xf>
    <xf numFmtId="4" fontId="51" fillId="17" borderId="136" applyNumberFormat="0" applyProtection="0">
      <alignment horizontal="right" vertical="center"/>
    </xf>
    <xf numFmtId="4" fontId="51" fillId="16" borderId="136" applyNumberFormat="0" applyProtection="0">
      <alignment horizontal="right" vertical="center"/>
    </xf>
    <xf numFmtId="4" fontId="51" fillId="19" borderId="136" applyNumberFormat="0" applyProtection="0">
      <alignment horizontal="right" vertical="center"/>
    </xf>
    <xf numFmtId="4" fontId="53" fillId="46" borderId="136" applyNumberFormat="0" applyProtection="0">
      <alignment horizontal="left" vertical="center" indent="1"/>
    </xf>
    <xf numFmtId="4" fontId="51" fillId="47" borderId="137" applyNumberFormat="0" applyProtection="0">
      <alignment horizontal="left" vertical="center" indent="1"/>
    </xf>
    <xf numFmtId="0" fontId="4" fillId="11" borderId="136" applyNumberFormat="0" applyProtection="0">
      <alignment horizontal="left" vertical="center" indent="1"/>
    </xf>
    <xf numFmtId="4" fontId="5" fillId="47" borderId="136" applyNumberFormat="0" applyProtection="0">
      <alignment horizontal="left" vertical="center" indent="1"/>
    </xf>
    <xf numFmtId="4" fontId="5" fillId="49" borderId="136" applyNumberFormat="0" applyProtection="0">
      <alignment horizontal="left" vertical="center" indent="1"/>
    </xf>
    <xf numFmtId="0" fontId="4" fillId="49" borderId="136" applyNumberFormat="0" applyProtection="0">
      <alignment horizontal="left" vertical="center" indent="1"/>
    </xf>
    <xf numFmtId="0" fontId="4" fillId="49" borderId="136" applyNumberFormat="0" applyProtection="0">
      <alignment horizontal="left" vertical="center" indent="1"/>
    </xf>
    <xf numFmtId="0" fontId="4" fillId="30" borderId="136" applyNumberFormat="0" applyProtection="0">
      <alignment horizontal="left" vertical="center" indent="1"/>
    </xf>
    <xf numFmtId="0" fontId="4" fillId="30" borderId="136" applyNumberFormat="0" applyProtection="0">
      <alignment horizontal="left" vertical="center" indent="1"/>
    </xf>
    <xf numFmtId="0" fontId="4" fillId="33" borderId="136" applyNumberFormat="0" applyProtection="0">
      <alignment horizontal="left" vertical="center" indent="1"/>
    </xf>
    <xf numFmtId="0" fontId="4" fillId="33" borderId="136" applyNumberFormat="0" applyProtection="0">
      <alignment horizontal="left" vertical="center" indent="1"/>
    </xf>
    <xf numFmtId="0" fontId="4" fillId="11" borderId="136" applyNumberFormat="0" applyProtection="0">
      <alignment horizontal="left" vertical="center" indent="1"/>
    </xf>
    <xf numFmtId="0" fontId="4" fillId="11" borderId="136" applyNumberFormat="0" applyProtection="0">
      <alignment horizontal="left" vertical="center" indent="1"/>
    </xf>
    <xf numFmtId="4" fontId="51" fillId="20" borderId="136" applyNumberFormat="0" applyProtection="0">
      <alignment vertical="center"/>
    </xf>
    <xf numFmtId="4" fontId="52" fillId="20" borderId="136" applyNumberFormat="0" applyProtection="0">
      <alignment vertical="center"/>
    </xf>
    <xf numFmtId="4" fontId="51" fillId="20" borderId="136" applyNumberFormat="0" applyProtection="0">
      <alignment horizontal="left" vertical="center" indent="1"/>
    </xf>
    <xf numFmtId="4" fontId="51" fillId="20" borderId="136" applyNumberFormat="0" applyProtection="0">
      <alignment horizontal="left" vertical="center" indent="1"/>
    </xf>
    <xf numFmtId="4" fontId="51" fillId="47" borderId="136" applyNumberFormat="0" applyProtection="0">
      <alignment horizontal="right" vertical="center"/>
    </xf>
    <xf numFmtId="4" fontId="52" fillId="47" borderId="136" applyNumberFormat="0" applyProtection="0">
      <alignment horizontal="right" vertical="center"/>
    </xf>
    <xf numFmtId="0" fontId="4" fillId="11" borderId="136" applyNumberFormat="0" applyProtection="0">
      <alignment horizontal="left" vertical="center" indent="1"/>
    </xf>
    <xf numFmtId="0" fontId="4" fillId="11" borderId="136" applyNumberFormat="0" applyProtection="0">
      <alignment horizontal="left" vertical="center" indent="1"/>
    </xf>
    <xf numFmtId="4" fontId="56" fillId="47" borderId="136" applyNumberFormat="0" applyProtection="0">
      <alignment horizontal="right" vertical="center"/>
    </xf>
    <xf numFmtId="0" fontId="4" fillId="11" borderId="138" applyNumberFormat="0" applyProtection="0">
      <alignment horizontal="left" vertical="center" indent="1"/>
    </xf>
    <xf numFmtId="4" fontId="51" fillId="35" borderId="138" applyNumberFormat="0" applyProtection="0">
      <alignment horizontal="right" vertical="center"/>
    </xf>
    <xf numFmtId="4" fontId="51" fillId="43" borderId="138" applyNumberFormat="0" applyProtection="0">
      <alignment horizontal="right" vertical="center"/>
    </xf>
    <xf numFmtId="4" fontId="51" fillId="44" borderId="138" applyNumberFormat="0" applyProtection="0">
      <alignment horizontal="right" vertical="center"/>
    </xf>
    <xf numFmtId="4" fontId="51" fillId="12" borderId="138" applyNumberFormat="0" applyProtection="0">
      <alignment horizontal="right" vertical="center"/>
    </xf>
    <xf numFmtId="4" fontId="51" fillId="45" borderId="138" applyNumberFormat="0" applyProtection="0">
      <alignment horizontal="right" vertical="center"/>
    </xf>
    <xf numFmtId="4" fontId="51" fillId="15" borderId="138" applyNumberFormat="0" applyProtection="0">
      <alignment horizontal="right" vertical="center"/>
    </xf>
    <xf numFmtId="4" fontId="51" fillId="17" borderId="138" applyNumberFormat="0" applyProtection="0">
      <alignment horizontal="right" vertical="center"/>
    </xf>
    <xf numFmtId="4" fontId="51" fillId="16" borderId="138" applyNumberFormat="0" applyProtection="0">
      <alignment horizontal="right" vertical="center"/>
    </xf>
    <xf numFmtId="4" fontId="51" fillId="19" borderId="138" applyNumberFormat="0" applyProtection="0">
      <alignment horizontal="right" vertical="center"/>
    </xf>
    <xf numFmtId="4" fontId="53" fillId="46" borderId="138" applyNumberFormat="0" applyProtection="0">
      <alignment horizontal="left" vertical="center" indent="1"/>
    </xf>
    <xf numFmtId="4" fontId="51" fillId="47" borderId="139" applyNumberFormat="0" applyProtection="0">
      <alignment horizontal="left" vertical="center" indent="1"/>
    </xf>
    <xf numFmtId="4" fontId="51" fillId="47" borderId="144" applyNumberFormat="0" applyProtection="0">
      <alignment horizontal="left" vertical="center" indent="1"/>
    </xf>
    <xf numFmtId="0" fontId="4" fillId="11" borderId="138" applyNumberFormat="0" applyProtection="0">
      <alignment horizontal="left" vertical="center" indent="1"/>
    </xf>
    <xf numFmtId="4" fontId="5" fillId="47" borderId="138" applyNumberFormat="0" applyProtection="0">
      <alignment horizontal="left" vertical="center" indent="1"/>
    </xf>
    <xf numFmtId="4" fontId="5" fillId="49" borderId="138" applyNumberFormat="0" applyProtection="0">
      <alignment horizontal="left" vertical="center" indent="1"/>
    </xf>
    <xf numFmtId="0" fontId="4" fillId="49" borderId="138" applyNumberFormat="0" applyProtection="0">
      <alignment horizontal="left" vertical="center" indent="1"/>
    </xf>
    <xf numFmtId="0" fontId="4" fillId="49" borderId="138" applyNumberFormat="0" applyProtection="0">
      <alignment horizontal="left" vertical="center" indent="1"/>
    </xf>
    <xf numFmtId="0" fontId="4" fillId="30" borderId="138" applyNumberFormat="0" applyProtection="0">
      <alignment horizontal="left" vertical="center" indent="1"/>
    </xf>
    <xf numFmtId="0" fontId="4" fillId="30" borderId="138" applyNumberFormat="0" applyProtection="0">
      <alignment horizontal="left" vertical="center" indent="1"/>
    </xf>
    <xf numFmtId="0" fontId="4" fillId="33" borderId="138" applyNumberFormat="0" applyProtection="0">
      <alignment horizontal="left" vertical="center" indent="1"/>
    </xf>
    <xf numFmtId="0" fontId="4" fillId="33" borderId="138" applyNumberFormat="0" applyProtection="0">
      <alignment horizontal="left" vertical="center" indent="1"/>
    </xf>
    <xf numFmtId="0" fontId="4" fillId="11" borderId="138" applyNumberFormat="0" applyProtection="0">
      <alignment horizontal="left" vertical="center" indent="1"/>
    </xf>
    <xf numFmtId="0" fontId="4" fillId="11" borderId="138" applyNumberFormat="0" applyProtection="0">
      <alignment horizontal="left" vertical="center" indent="1"/>
    </xf>
    <xf numFmtId="4" fontId="51" fillId="20" borderId="138" applyNumberFormat="0" applyProtection="0">
      <alignment vertical="center"/>
    </xf>
    <xf numFmtId="4" fontId="52" fillId="20" borderId="138" applyNumberFormat="0" applyProtection="0">
      <alignment vertical="center"/>
    </xf>
    <xf numFmtId="4" fontId="51" fillId="20" borderId="138" applyNumberFormat="0" applyProtection="0">
      <alignment horizontal="left" vertical="center" indent="1"/>
    </xf>
    <xf numFmtId="4" fontId="51" fillId="20" borderId="138" applyNumberFormat="0" applyProtection="0">
      <alignment horizontal="left" vertical="center" indent="1"/>
    </xf>
    <xf numFmtId="4" fontId="51" fillId="47" borderId="138" applyNumberFormat="0" applyProtection="0">
      <alignment horizontal="right" vertical="center"/>
    </xf>
    <xf numFmtId="4" fontId="52" fillId="47" borderId="138" applyNumberFormat="0" applyProtection="0">
      <alignment horizontal="right" vertical="center"/>
    </xf>
    <xf numFmtId="0" fontId="4" fillId="11" borderId="138" applyNumberFormat="0" applyProtection="0">
      <alignment horizontal="left" vertical="center" indent="1"/>
    </xf>
    <xf numFmtId="0" fontId="4" fillId="11" borderId="138" applyNumberFormat="0" applyProtection="0">
      <alignment horizontal="left" vertical="center" indent="1"/>
    </xf>
    <xf numFmtId="4" fontId="5" fillId="49" borderId="147" applyNumberFormat="0" applyProtection="0">
      <alignment horizontal="left" vertical="center" indent="1"/>
    </xf>
    <xf numFmtId="4" fontId="56" fillId="47" borderId="138" applyNumberFormat="0" applyProtection="0">
      <alignment horizontal="right" vertical="center"/>
    </xf>
    <xf numFmtId="0" fontId="4" fillId="30" borderId="146" applyNumberFormat="0" applyProtection="0">
      <alignment horizontal="left" vertical="center" indent="1"/>
    </xf>
    <xf numFmtId="4" fontId="5" fillId="49" borderId="146" applyNumberFormat="0" applyProtection="0">
      <alignment horizontal="left" vertical="center" indent="1"/>
    </xf>
    <xf numFmtId="0" fontId="4" fillId="11" borderId="146" applyNumberFormat="0" applyProtection="0">
      <alignment horizontal="left" vertical="center" indent="1"/>
    </xf>
    <xf numFmtId="4" fontId="51" fillId="13" borderId="138" applyNumberFormat="0" applyProtection="0">
      <alignment vertical="center"/>
    </xf>
    <xf numFmtId="4" fontId="52" fillId="13" borderId="138" applyNumberFormat="0" applyProtection="0">
      <alignment vertical="center"/>
    </xf>
    <xf numFmtId="4" fontId="51" fillId="13" borderId="138" applyNumberFormat="0" applyProtection="0">
      <alignment horizontal="left" vertical="center" indent="1"/>
    </xf>
    <xf numFmtId="4" fontId="51" fillId="13" borderId="138" applyNumberFormat="0" applyProtection="0">
      <alignment horizontal="left" vertical="center" indent="1"/>
    </xf>
    <xf numFmtId="0" fontId="4" fillId="11" borderId="138" applyNumberFormat="0" applyProtection="0">
      <alignment horizontal="left" vertical="center" indent="1"/>
    </xf>
    <xf numFmtId="4" fontId="51" fillId="35" borderId="138" applyNumberFormat="0" applyProtection="0">
      <alignment horizontal="right" vertical="center"/>
    </xf>
    <xf numFmtId="4" fontId="51" fillId="43" borderId="138" applyNumberFormat="0" applyProtection="0">
      <alignment horizontal="right" vertical="center"/>
    </xf>
    <xf numFmtId="4" fontId="51" fillId="44" borderId="138" applyNumberFormat="0" applyProtection="0">
      <alignment horizontal="right" vertical="center"/>
    </xf>
    <xf numFmtId="4" fontId="51" fillId="12" borderId="138" applyNumberFormat="0" applyProtection="0">
      <alignment horizontal="right" vertical="center"/>
    </xf>
    <xf numFmtId="4" fontId="51" fillId="45" borderId="138" applyNumberFormat="0" applyProtection="0">
      <alignment horizontal="right" vertical="center"/>
    </xf>
    <xf numFmtId="4" fontId="51" fillId="15" borderId="138" applyNumberFormat="0" applyProtection="0">
      <alignment horizontal="right" vertical="center"/>
    </xf>
    <xf numFmtId="4" fontId="51" fillId="17" borderId="138" applyNumberFormat="0" applyProtection="0">
      <alignment horizontal="right" vertical="center"/>
    </xf>
    <xf numFmtId="4" fontId="51" fillId="16" borderId="138" applyNumberFormat="0" applyProtection="0">
      <alignment horizontal="right" vertical="center"/>
    </xf>
    <xf numFmtId="4" fontId="51" fillId="19" borderId="138" applyNumberFormat="0" applyProtection="0">
      <alignment horizontal="right" vertical="center"/>
    </xf>
    <xf numFmtId="4" fontId="53" fillId="46" borderId="138" applyNumberFormat="0" applyProtection="0">
      <alignment horizontal="left" vertical="center" indent="1"/>
    </xf>
    <xf numFmtId="4" fontId="51" fillId="47" borderId="140" applyNumberFormat="0" applyProtection="0">
      <alignment horizontal="left" vertical="center" indent="1"/>
    </xf>
    <xf numFmtId="0" fontId="4" fillId="11" borderId="138" applyNumberFormat="0" applyProtection="0">
      <alignment horizontal="left" vertical="center" indent="1"/>
    </xf>
    <xf numFmtId="4" fontId="5" fillId="47" borderId="138" applyNumberFormat="0" applyProtection="0">
      <alignment horizontal="left" vertical="center" indent="1"/>
    </xf>
    <xf numFmtId="4" fontId="5" fillId="49" borderId="138" applyNumberFormat="0" applyProtection="0">
      <alignment horizontal="left" vertical="center" indent="1"/>
    </xf>
    <xf numFmtId="0" fontId="4" fillId="49" borderId="138" applyNumberFormat="0" applyProtection="0">
      <alignment horizontal="left" vertical="center" indent="1"/>
    </xf>
    <xf numFmtId="0" fontId="4" fillId="49" borderId="138" applyNumberFormat="0" applyProtection="0">
      <alignment horizontal="left" vertical="center" indent="1"/>
    </xf>
    <xf numFmtId="0" fontId="4" fillId="30" borderId="138" applyNumberFormat="0" applyProtection="0">
      <alignment horizontal="left" vertical="center" indent="1"/>
    </xf>
    <xf numFmtId="0" fontId="4" fillId="30" borderId="138" applyNumberFormat="0" applyProtection="0">
      <alignment horizontal="left" vertical="center" indent="1"/>
    </xf>
    <xf numFmtId="0" fontId="4" fillId="33" borderId="138" applyNumberFormat="0" applyProtection="0">
      <alignment horizontal="left" vertical="center" indent="1"/>
    </xf>
    <xf numFmtId="0" fontId="4" fillId="33" borderId="138" applyNumberFormat="0" applyProtection="0">
      <alignment horizontal="left" vertical="center" indent="1"/>
    </xf>
    <xf numFmtId="0" fontId="4" fillId="11" borderId="138" applyNumberFormat="0" applyProtection="0">
      <alignment horizontal="left" vertical="center" indent="1"/>
    </xf>
    <xf numFmtId="0" fontId="4" fillId="11" borderId="138" applyNumberFormat="0" applyProtection="0">
      <alignment horizontal="left" vertical="center" indent="1"/>
    </xf>
    <xf numFmtId="4" fontId="51" fillId="20" borderId="138" applyNumberFormat="0" applyProtection="0">
      <alignment vertical="center"/>
    </xf>
    <xf numFmtId="4" fontId="52" fillId="20" borderId="138" applyNumberFormat="0" applyProtection="0">
      <alignment vertical="center"/>
    </xf>
    <xf numFmtId="4" fontId="51" fillId="20" borderId="138" applyNumberFormat="0" applyProtection="0">
      <alignment horizontal="left" vertical="center" indent="1"/>
    </xf>
    <xf numFmtId="4" fontId="51" fillId="20" borderId="138" applyNumberFormat="0" applyProtection="0">
      <alignment horizontal="left" vertical="center" indent="1"/>
    </xf>
    <xf numFmtId="4" fontId="51" fillId="47" borderId="138" applyNumberFormat="0" applyProtection="0">
      <alignment horizontal="right" vertical="center"/>
    </xf>
    <xf numFmtId="4" fontId="52" fillId="47" borderId="138" applyNumberFormat="0" applyProtection="0">
      <alignment horizontal="right" vertical="center"/>
    </xf>
    <xf numFmtId="0" fontId="4" fillId="11" borderId="138" applyNumberFormat="0" applyProtection="0">
      <alignment horizontal="left" vertical="center" indent="1"/>
    </xf>
    <xf numFmtId="0" fontId="4" fillId="11" borderId="138" applyNumberFormat="0" applyProtection="0">
      <alignment horizontal="left" vertical="center" indent="1"/>
    </xf>
    <xf numFmtId="4" fontId="56" fillId="47" borderId="138" applyNumberFormat="0" applyProtection="0">
      <alignment horizontal="right" vertical="center"/>
    </xf>
    <xf numFmtId="0" fontId="4" fillId="49" borderId="146" applyNumberFormat="0" applyProtection="0">
      <alignment horizontal="left" vertical="center" indent="1"/>
    </xf>
    <xf numFmtId="4" fontId="51" fillId="13" borderId="147" applyNumberFormat="0" applyProtection="0">
      <alignment vertical="center"/>
    </xf>
    <xf numFmtId="4" fontId="52" fillId="13" borderId="147" applyNumberFormat="0" applyProtection="0">
      <alignment vertical="center"/>
    </xf>
    <xf numFmtId="4" fontId="51" fillId="13" borderId="147" applyNumberFormat="0" applyProtection="0">
      <alignment horizontal="left" vertical="center" indent="1"/>
    </xf>
    <xf numFmtId="4" fontId="51" fillId="13" borderId="147" applyNumberFormat="0" applyProtection="0">
      <alignment horizontal="left" vertical="center" indent="1"/>
    </xf>
    <xf numFmtId="0" fontId="4" fillId="11" borderId="147" applyNumberFormat="0" applyProtection="0">
      <alignment horizontal="left" vertical="center" indent="1"/>
    </xf>
    <xf numFmtId="4" fontId="51" fillId="35" borderId="147" applyNumberFormat="0" applyProtection="0">
      <alignment horizontal="right" vertical="center"/>
    </xf>
    <xf numFmtId="4" fontId="51" fillId="43" borderId="147" applyNumberFormat="0" applyProtection="0">
      <alignment horizontal="right" vertical="center"/>
    </xf>
    <xf numFmtId="4" fontId="51" fillId="47" borderId="141" applyNumberFormat="0" applyProtection="0">
      <alignment horizontal="left" vertical="center" indent="1"/>
    </xf>
    <xf numFmtId="4" fontId="51" fillId="47" borderId="148" applyNumberFormat="0" applyProtection="0">
      <alignment horizontal="left" vertical="center" indent="1"/>
    </xf>
    <xf numFmtId="0" fontId="4" fillId="11" borderId="147" applyNumberFormat="0" applyProtection="0">
      <alignment horizontal="left" vertical="center" indent="1"/>
    </xf>
    <xf numFmtId="4" fontId="5" fillId="47" borderId="147" applyNumberFormat="0" applyProtection="0">
      <alignment horizontal="left" vertical="center" indent="1"/>
    </xf>
    <xf numFmtId="0" fontId="4" fillId="49" borderId="147" applyNumberFormat="0" applyProtection="0">
      <alignment horizontal="left" vertical="center" indent="1"/>
    </xf>
    <xf numFmtId="0" fontId="4" fillId="49" borderId="147" applyNumberFormat="0" applyProtection="0">
      <alignment horizontal="left" vertical="center" indent="1"/>
    </xf>
    <xf numFmtId="0" fontId="4" fillId="30" borderId="147" applyNumberFormat="0" applyProtection="0">
      <alignment horizontal="left" vertical="center" indent="1"/>
    </xf>
    <xf numFmtId="0" fontId="4" fillId="30" borderId="147" applyNumberFormat="0" applyProtection="0">
      <alignment horizontal="left" vertical="center" indent="1"/>
    </xf>
    <xf numFmtId="0" fontId="4" fillId="33" borderId="147" applyNumberFormat="0" applyProtection="0">
      <alignment horizontal="left" vertical="center" indent="1"/>
    </xf>
    <xf numFmtId="0" fontId="4" fillId="33" borderId="147" applyNumberFormat="0" applyProtection="0">
      <alignment horizontal="left" vertical="center" indent="1"/>
    </xf>
    <xf numFmtId="0" fontId="4" fillId="11" borderId="147" applyNumberFormat="0" applyProtection="0">
      <alignment horizontal="left" vertical="center" indent="1"/>
    </xf>
    <xf numFmtId="4" fontId="52" fillId="20" borderId="147" applyNumberFormat="0" applyProtection="0">
      <alignment vertical="center"/>
    </xf>
    <xf numFmtId="4" fontId="51" fillId="20" borderId="147" applyNumberFormat="0" applyProtection="0">
      <alignment horizontal="left" vertical="center" indent="1"/>
    </xf>
    <xf numFmtId="4" fontId="51" fillId="20" borderId="147" applyNumberFormat="0" applyProtection="0">
      <alignment horizontal="left" vertical="center" indent="1"/>
    </xf>
    <xf numFmtId="4" fontId="51" fillId="47" borderId="147" applyNumberFormat="0" applyProtection="0">
      <alignment horizontal="right" vertical="center"/>
    </xf>
    <xf numFmtId="4" fontId="52" fillId="47" borderId="147" applyNumberFormat="0" applyProtection="0">
      <alignment horizontal="right" vertical="center"/>
    </xf>
    <xf numFmtId="0" fontId="4" fillId="11" borderId="147" applyNumberFormat="0" applyProtection="0">
      <alignment horizontal="left" vertical="center" indent="1"/>
    </xf>
    <xf numFmtId="4" fontId="51" fillId="45" borderId="147" applyNumberFormat="0" applyProtection="0">
      <alignment horizontal="right" vertical="center"/>
    </xf>
    <xf numFmtId="0" fontId="4" fillId="11" borderId="147" applyNumberFormat="0" applyProtection="0">
      <alignment horizontal="left" vertical="center" indent="1"/>
    </xf>
    <xf numFmtId="4" fontId="51" fillId="15" borderId="147" applyNumberFormat="0" applyProtection="0">
      <alignment horizontal="right" vertical="center"/>
    </xf>
    <xf numFmtId="4" fontId="51" fillId="16" borderId="147" applyNumberFormat="0" applyProtection="0">
      <alignment horizontal="right" vertical="center"/>
    </xf>
    <xf numFmtId="4" fontId="51" fillId="44" borderId="147" applyNumberFormat="0" applyProtection="0">
      <alignment horizontal="right" vertical="center"/>
    </xf>
    <xf numFmtId="0" fontId="4" fillId="11" borderId="147" applyNumberFormat="0" applyProtection="0">
      <alignment horizontal="left" vertical="center" indent="1"/>
    </xf>
    <xf numFmtId="4" fontId="51" fillId="20" borderId="147" applyNumberFormat="0" applyProtection="0">
      <alignment vertical="center"/>
    </xf>
    <xf numFmtId="4" fontId="51" fillId="13" borderId="142" applyNumberFormat="0" applyProtection="0">
      <alignment vertical="center"/>
    </xf>
    <xf numFmtId="4" fontId="52" fillId="13" borderId="142" applyNumberFormat="0" applyProtection="0">
      <alignment vertical="center"/>
    </xf>
    <xf numFmtId="4" fontId="51" fillId="13" borderId="142" applyNumberFormat="0" applyProtection="0">
      <alignment horizontal="left" vertical="center" indent="1"/>
    </xf>
    <xf numFmtId="4" fontId="51" fillId="13" borderId="142" applyNumberFormat="0" applyProtection="0">
      <alignment horizontal="left" vertical="center" indent="1"/>
    </xf>
    <xf numFmtId="0" fontId="4" fillId="11" borderId="142" applyNumberFormat="0" applyProtection="0">
      <alignment horizontal="left" vertical="center" indent="1"/>
    </xf>
    <xf numFmtId="4" fontId="51" fillId="35" borderId="142" applyNumberFormat="0" applyProtection="0">
      <alignment horizontal="right" vertical="center"/>
    </xf>
    <xf numFmtId="4" fontId="51" fillId="43" borderId="142" applyNumberFormat="0" applyProtection="0">
      <alignment horizontal="right" vertical="center"/>
    </xf>
    <xf numFmtId="4" fontId="51" fillId="44" borderId="142" applyNumberFormat="0" applyProtection="0">
      <alignment horizontal="right" vertical="center"/>
    </xf>
    <xf numFmtId="4" fontId="51" fillId="12" borderId="142" applyNumberFormat="0" applyProtection="0">
      <alignment horizontal="right" vertical="center"/>
    </xf>
    <xf numFmtId="4" fontId="51" fillId="45" borderId="142" applyNumberFormat="0" applyProtection="0">
      <alignment horizontal="right" vertical="center"/>
    </xf>
    <xf numFmtId="4" fontId="51" fillId="15" borderId="142" applyNumberFormat="0" applyProtection="0">
      <alignment horizontal="right" vertical="center"/>
    </xf>
    <xf numFmtId="4" fontId="51" fillId="17" borderId="142" applyNumberFormat="0" applyProtection="0">
      <alignment horizontal="right" vertical="center"/>
    </xf>
    <xf numFmtId="4" fontId="51" fillId="16" borderId="142" applyNumberFormat="0" applyProtection="0">
      <alignment horizontal="right" vertical="center"/>
    </xf>
    <xf numFmtId="4" fontId="51" fillId="19" borderId="142" applyNumberFormat="0" applyProtection="0">
      <alignment horizontal="right" vertical="center"/>
    </xf>
    <xf numFmtId="4" fontId="53" fillId="46" borderId="142" applyNumberFormat="0" applyProtection="0">
      <alignment horizontal="left" vertical="center" indent="1"/>
    </xf>
    <xf numFmtId="4" fontId="51" fillId="47" borderId="143" applyNumberFormat="0" applyProtection="0">
      <alignment horizontal="left" vertical="center" indent="1"/>
    </xf>
    <xf numFmtId="0" fontId="4" fillId="11" borderId="142" applyNumberFormat="0" applyProtection="0">
      <alignment horizontal="left" vertical="center" indent="1"/>
    </xf>
    <xf numFmtId="4" fontId="5" fillId="47" borderId="142" applyNumberFormat="0" applyProtection="0">
      <alignment horizontal="left" vertical="center" indent="1"/>
    </xf>
    <xf numFmtId="4" fontId="5" fillId="49" borderId="142" applyNumberFormat="0" applyProtection="0">
      <alignment horizontal="left" vertical="center" indent="1"/>
    </xf>
    <xf numFmtId="0" fontId="4" fillId="49" borderId="142" applyNumberFormat="0" applyProtection="0">
      <alignment horizontal="left" vertical="center" indent="1"/>
    </xf>
    <xf numFmtId="0" fontId="4" fillId="49" borderId="142" applyNumberFormat="0" applyProtection="0">
      <alignment horizontal="left" vertical="center" indent="1"/>
    </xf>
    <xf numFmtId="0" fontId="4" fillId="30" borderId="142" applyNumberFormat="0" applyProtection="0">
      <alignment horizontal="left" vertical="center" indent="1"/>
    </xf>
    <xf numFmtId="0" fontId="4" fillId="30" borderId="142" applyNumberFormat="0" applyProtection="0">
      <alignment horizontal="left" vertical="center" indent="1"/>
    </xf>
    <xf numFmtId="0" fontId="4" fillId="33" borderId="142" applyNumberFormat="0" applyProtection="0">
      <alignment horizontal="left" vertical="center" indent="1"/>
    </xf>
    <xf numFmtId="0" fontId="4" fillId="33" borderId="142" applyNumberFormat="0" applyProtection="0">
      <alignment horizontal="left" vertical="center" indent="1"/>
    </xf>
    <xf numFmtId="0" fontId="4" fillId="11" borderId="142" applyNumberFormat="0" applyProtection="0">
      <alignment horizontal="left" vertical="center" indent="1"/>
    </xf>
    <xf numFmtId="0" fontId="4" fillId="11" borderId="142" applyNumberFormat="0" applyProtection="0">
      <alignment horizontal="left" vertical="center" indent="1"/>
    </xf>
    <xf numFmtId="4" fontId="51" fillId="20" borderId="142" applyNumberFormat="0" applyProtection="0">
      <alignment vertical="center"/>
    </xf>
    <xf numFmtId="4" fontId="52" fillId="20" borderId="142" applyNumberFormat="0" applyProtection="0">
      <alignment vertical="center"/>
    </xf>
    <xf numFmtId="4" fontId="51" fillId="20" borderId="142" applyNumberFormat="0" applyProtection="0">
      <alignment horizontal="left" vertical="center" indent="1"/>
    </xf>
    <xf numFmtId="4" fontId="51" fillId="20" borderId="142" applyNumberFormat="0" applyProtection="0">
      <alignment horizontal="left" vertical="center" indent="1"/>
    </xf>
    <xf numFmtId="4" fontId="51" fillId="47" borderId="142" applyNumberFormat="0" applyProtection="0">
      <alignment horizontal="right" vertical="center"/>
    </xf>
    <xf numFmtId="4" fontId="52" fillId="47" borderId="142" applyNumberFormat="0" applyProtection="0">
      <alignment horizontal="right" vertical="center"/>
    </xf>
    <xf numFmtId="0" fontId="4" fillId="11" borderId="142" applyNumberFormat="0" applyProtection="0">
      <alignment horizontal="left" vertical="center" indent="1"/>
    </xf>
    <xf numFmtId="0" fontId="4" fillId="11" borderId="142" applyNumberFormat="0" applyProtection="0">
      <alignment horizontal="left" vertical="center" indent="1"/>
    </xf>
    <xf numFmtId="4" fontId="56" fillId="47" borderId="142" applyNumberFormat="0" applyProtection="0">
      <alignment horizontal="right" vertical="center"/>
    </xf>
    <xf numFmtId="4" fontId="51" fillId="47" borderId="151" applyNumberFormat="0" applyProtection="0">
      <alignment horizontal="left" vertical="center" indent="1"/>
    </xf>
    <xf numFmtId="4" fontId="51" fillId="47" borderId="145" applyNumberFormat="0" applyProtection="0">
      <alignment horizontal="left" vertical="center" indent="1"/>
    </xf>
    <xf numFmtId="4" fontId="51" fillId="19" borderId="147" applyNumberFormat="0" applyProtection="0">
      <alignment horizontal="right" vertical="center"/>
    </xf>
    <xf numFmtId="4" fontId="56" fillId="47" borderId="147" applyNumberFormat="0" applyProtection="0">
      <alignment horizontal="right" vertical="center"/>
    </xf>
    <xf numFmtId="4" fontId="51" fillId="13" borderId="149" applyNumberFormat="0" applyProtection="0">
      <alignment vertical="center"/>
    </xf>
    <xf numFmtId="4" fontId="52" fillId="13" borderId="149" applyNumberFormat="0" applyProtection="0">
      <alignment vertical="center"/>
    </xf>
    <xf numFmtId="4" fontId="51" fillId="13" borderId="149" applyNumberFormat="0" applyProtection="0">
      <alignment horizontal="left" vertical="center" indent="1"/>
    </xf>
    <xf numFmtId="4" fontId="51" fillId="13" borderId="149" applyNumberFormat="0" applyProtection="0">
      <alignment horizontal="left" vertical="center" indent="1"/>
    </xf>
    <xf numFmtId="0" fontId="4" fillId="11" borderId="149" applyNumberFormat="0" applyProtection="0">
      <alignment horizontal="left" vertical="center" indent="1"/>
    </xf>
    <xf numFmtId="4" fontId="51" fillId="35" borderId="149" applyNumberFormat="0" applyProtection="0">
      <alignment horizontal="right" vertical="center"/>
    </xf>
    <xf numFmtId="4" fontId="51" fillId="43" borderId="149" applyNumberFormat="0" applyProtection="0">
      <alignment horizontal="right" vertical="center"/>
    </xf>
    <xf numFmtId="4" fontId="51" fillId="44" borderId="149" applyNumberFormat="0" applyProtection="0">
      <alignment horizontal="right" vertical="center"/>
    </xf>
    <xf numFmtId="4" fontId="51" fillId="12" borderId="149" applyNumberFormat="0" applyProtection="0">
      <alignment horizontal="right" vertical="center"/>
    </xf>
    <xf numFmtId="4" fontId="51" fillId="45" borderId="149" applyNumberFormat="0" applyProtection="0">
      <alignment horizontal="right" vertical="center"/>
    </xf>
    <xf numFmtId="4" fontId="51" fillId="15" borderId="149" applyNumberFormat="0" applyProtection="0">
      <alignment horizontal="right" vertical="center"/>
    </xf>
    <xf numFmtId="4" fontId="51" fillId="17" borderId="149" applyNumberFormat="0" applyProtection="0">
      <alignment horizontal="right" vertical="center"/>
    </xf>
    <xf numFmtId="4" fontId="51" fillId="16" borderId="149" applyNumberFormat="0" applyProtection="0">
      <alignment horizontal="right" vertical="center"/>
    </xf>
    <xf numFmtId="4" fontId="51" fillId="19" borderId="149" applyNumberFormat="0" applyProtection="0">
      <alignment horizontal="right" vertical="center"/>
    </xf>
    <xf numFmtId="4" fontId="53" fillId="46" borderId="149" applyNumberFormat="0" applyProtection="0">
      <alignment horizontal="left" vertical="center" indent="1"/>
    </xf>
    <xf numFmtId="4" fontId="51" fillId="47" borderId="150" applyNumberFormat="0" applyProtection="0">
      <alignment horizontal="left" vertical="center" indent="1"/>
    </xf>
    <xf numFmtId="0" fontId="4" fillId="11" borderId="149" applyNumberFormat="0" applyProtection="0">
      <alignment horizontal="left" vertical="center" indent="1"/>
    </xf>
    <xf numFmtId="4" fontId="5" fillId="47" borderId="149" applyNumberFormat="0" applyProtection="0">
      <alignment horizontal="left" vertical="center" indent="1"/>
    </xf>
    <xf numFmtId="4" fontId="5" fillId="49" borderId="149" applyNumberFormat="0" applyProtection="0">
      <alignment horizontal="left" vertical="center" indent="1"/>
    </xf>
    <xf numFmtId="0" fontId="4" fillId="49" borderId="149" applyNumberFormat="0" applyProtection="0">
      <alignment horizontal="left" vertical="center" indent="1"/>
    </xf>
    <xf numFmtId="0" fontId="4" fillId="49" borderId="149" applyNumberFormat="0" applyProtection="0">
      <alignment horizontal="left" vertical="center" indent="1"/>
    </xf>
    <xf numFmtId="0" fontId="4" fillId="30" borderId="149" applyNumberFormat="0" applyProtection="0">
      <alignment horizontal="left" vertical="center" indent="1"/>
    </xf>
    <xf numFmtId="0" fontId="4" fillId="30" borderId="149" applyNumberFormat="0" applyProtection="0">
      <alignment horizontal="left" vertical="center" indent="1"/>
    </xf>
    <xf numFmtId="0" fontId="4" fillId="33" borderId="149" applyNumberFormat="0" applyProtection="0">
      <alignment horizontal="left" vertical="center" indent="1"/>
    </xf>
    <xf numFmtId="0" fontId="4" fillId="33" borderId="149" applyNumberFormat="0" applyProtection="0">
      <alignment horizontal="left" vertical="center" indent="1"/>
    </xf>
    <xf numFmtId="0" fontId="4" fillId="11" borderId="149" applyNumberFormat="0" applyProtection="0">
      <alignment horizontal="left" vertical="center" indent="1"/>
    </xf>
    <xf numFmtId="0" fontId="4" fillId="11" borderId="149" applyNumberFormat="0" applyProtection="0">
      <alignment horizontal="left" vertical="center" indent="1"/>
    </xf>
    <xf numFmtId="4" fontId="51" fillId="20" borderId="149" applyNumberFormat="0" applyProtection="0">
      <alignment vertical="center"/>
    </xf>
    <xf numFmtId="4" fontId="52" fillId="20" borderId="149" applyNumberFormat="0" applyProtection="0">
      <alignment vertical="center"/>
    </xf>
    <xf numFmtId="4" fontId="51" fillId="20" borderId="149" applyNumberFormat="0" applyProtection="0">
      <alignment horizontal="left" vertical="center" indent="1"/>
    </xf>
    <xf numFmtId="4" fontId="51" fillId="20" borderId="149" applyNumberFormat="0" applyProtection="0">
      <alignment horizontal="left" vertical="center" indent="1"/>
    </xf>
    <xf numFmtId="4" fontId="51" fillId="47" borderId="149" applyNumberFormat="0" applyProtection="0">
      <alignment horizontal="right" vertical="center"/>
    </xf>
    <xf numFmtId="4" fontId="52" fillId="47" borderId="149" applyNumberFormat="0" applyProtection="0">
      <alignment horizontal="right" vertical="center"/>
    </xf>
    <xf numFmtId="0" fontId="4" fillId="11" borderId="149" applyNumberFormat="0" applyProtection="0">
      <alignment horizontal="left" vertical="center" indent="1"/>
    </xf>
    <xf numFmtId="0" fontId="4" fillId="11" borderId="149" applyNumberFormat="0" applyProtection="0">
      <alignment horizontal="left" vertical="center" indent="1"/>
    </xf>
    <xf numFmtId="4" fontId="56" fillId="47" borderId="149" applyNumberFormat="0" applyProtection="0">
      <alignment horizontal="right" vertical="center"/>
    </xf>
    <xf numFmtId="4" fontId="52" fillId="13" borderId="152" applyNumberFormat="0" applyProtection="0">
      <alignment vertical="center"/>
    </xf>
    <xf numFmtId="4" fontId="51" fillId="13" borderId="152" applyNumberFormat="0" applyProtection="0">
      <alignment horizontal="left" vertical="center" indent="1"/>
    </xf>
    <xf numFmtId="4" fontId="51" fillId="13" borderId="152" applyNumberFormat="0" applyProtection="0">
      <alignment horizontal="left" vertical="center" indent="1"/>
    </xf>
    <xf numFmtId="0" fontId="4" fillId="11" borderId="152" applyNumberFormat="0" applyProtection="0">
      <alignment horizontal="left" vertical="center" indent="1"/>
    </xf>
    <xf numFmtId="4" fontId="51" fillId="35" borderId="152" applyNumberFormat="0" applyProtection="0">
      <alignment horizontal="right" vertical="center"/>
    </xf>
    <xf numFmtId="4" fontId="51" fillId="43" borderId="152" applyNumberFormat="0" applyProtection="0">
      <alignment horizontal="right" vertical="center"/>
    </xf>
    <xf numFmtId="4" fontId="51" fillId="44" borderId="152" applyNumberFormat="0" applyProtection="0">
      <alignment horizontal="right" vertical="center"/>
    </xf>
    <xf numFmtId="4" fontId="51" fillId="12" borderId="152" applyNumberFormat="0" applyProtection="0">
      <alignment horizontal="right" vertical="center"/>
    </xf>
    <xf numFmtId="4" fontId="51" fillId="45" borderId="152" applyNumberFormat="0" applyProtection="0">
      <alignment horizontal="right" vertical="center"/>
    </xf>
    <xf numFmtId="4" fontId="51" fillId="15" borderId="152" applyNumberFormat="0" applyProtection="0">
      <alignment horizontal="right" vertical="center"/>
    </xf>
    <xf numFmtId="4" fontId="51" fillId="17" borderId="152" applyNumberFormat="0" applyProtection="0">
      <alignment horizontal="right" vertical="center"/>
    </xf>
    <xf numFmtId="4" fontId="51" fillId="16" borderId="152" applyNumberFormat="0" applyProtection="0">
      <alignment horizontal="right" vertical="center"/>
    </xf>
    <xf numFmtId="4" fontId="51" fillId="19" borderId="152" applyNumberFormat="0" applyProtection="0">
      <alignment horizontal="right" vertical="center"/>
    </xf>
    <xf numFmtId="4" fontId="53" fillId="46" borderId="152" applyNumberFormat="0" applyProtection="0">
      <alignment horizontal="left" vertical="center" indent="1"/>
    </xf>
    <xf numFmtId="4" fontId="51" fillId="47" borderId="153" applyNumberFormat="0" applyProtection="0">
      <alignment horizontal="left" vertical="center" indent="1"/>
    </xf>
    <xf numFmtId="0" fontId="4" fillId="11" borderId="152" applyNumberFormat="0" applyProtection="0">
      <alignment horizontal="left" vertical="center" indent="1"/>
    </xf>
    <xf numFmtId="4" fontId="5" fillId="47" borderId="152" applyNumberFormat="0" applyProtection="0">
      <alignment horizontal="left" vertical="center" indent="1"/>
    </xf>
    <xf numFmtId="4" fontId="5" fillId="49" borderId="152" applyNumberFormat="0" applyProtection="0">
      <alignment horizontal="left" vertical="center" indent="1"/>
    </xf>
    <xf numFmtId="0" fontId="4" fillId="49" borderId="152" applyNumberFormat="0" applyProtection="0">
      <alignment horizontal="left" vertical="center" indent="1"/>
    </xf>
    <xf numFmtId="0" fontId="4" fillId="49" borderId="152" applyNumberFormat="0" applyProtection="0">
      <alignment horizontal="left" vertical="center" indent="1"/>
    </xf>
    <xf numFmtId="0" fontId="4" fillId="30" borderId="152" applyNumberFormat="0" applyProtection="0">
      <alignment horizontal="left" vertical="center" indent="1"/>
    </xf>
    <xf numFmtId="0" fontId="4" fillId="30" borderId="152" applyNumberFormat="0" applyProtection="0">
      <alignment horizontal="left" vertical="center" indent="1"/>
    </xf>
    <xf numFmtId="0" fontId="4" fillId="33" borderId="152" applyNumberFormat="0" applyProtection="0">
      <alignment horizontal="left" vertical="center" indent="1"/>
    </xf>
    <xf numFmtId="0" fontId="4" fillId="33" borderId="152" applyNumberFormat="0" applyProtection="0">
      <alignment horizontal="left" vertical="center" indent="1"/>
    </xf>
    <xf numFmtId="0" fontId="4" fillId="11" borderId="152" applyNumberFormat="0" applyProtection="0">
      <alignment horizontal="left" vertical="center" indent="1"/>
    </xf>
    <xf numFmtId="0" fontId="4" fillId="11" borderId="152" applyNumberFormat="0" applyProtection="0">
      <alignment horizontal="left" vertical="center" indent="1"/>
    </xf>
    <xf numFmtId="4" fontId="51" fillId="20" borderId="152" applyNumberFormat="0" applyProtection="0">
      <alignment vertical="center"/>
    </xf>
    <xf numFmtId="4" fontId="52" fillId="20" borderId="152" applyNumberFormat="0" applyProtection="0">
      <alignment vertical="center"/>
    </xf>
    <xf numFmtId="4" fontId="51" fillId="20" borderId="152" applyNumberFormat="0" applyProtection="0">
      <alignment horizontal="left" vertical="center" indent="1"/>
    </xf>
    <xf numFmtId="4" fontId="51" fillId="20" borderId="152" applyNumberFormat="0" applyProtection="0">
      <alignment horizontal="left" vertical="center" indent="1"/>
    </xf>
    <xf numFmtId="4" fontId="51" fillId="47" borderId="152" applyNumberFormat="0" applyProtection="0">
      <alignment horizontal="right" vertical="center"/>
    </xf>
    <xf numFmtId="4" fontId="52" fillId="47" borderId="152" applyNumberFormat="0" applyProtection="0">
      <alignment horizontal="right" vertical="center"/>
    </xf>
    <xf numFmtId="0" fontId="4" fillId="11" borderId="152" applyNumberFormat="0" applyProtection="0">
      <alignment horizontal="left" vertical="center" indent="1"/>
    </xf>
    <xf numFmtId="0" fontId="4" fillId="11" borderId="152" applyNumberFormat="0" applyProtection="0">
      <alignment horizontal="left" vertical="center" indent="1"/>
    </xf>
    <xf numFmtId="4" fontId="56" fillId="47" borderId="152" applyNumberFormat="0" applyProtection="0">
      <alignment horizontal="right" vertical="center"/>
    </xf>
    <xf numFmtId="0" fontId="1" fillId="0" borderId="0"/>
    <xf numFmtId="4" fontId="51" fillId="13" borderId="166" applyNumberFormat="0" applyProtection="0">
      <alignment vertical="center"/>
    </xf>
    <xf numFmtId="4" fontId="52" fillId="13" borderId="166" applyNumberFormat="0" applyProtection="0">
      <alignment vertical="center"/>
    </xf>
    <xf numFmtId="4" fontId="51" fillId="13" borderId="166" applyNumberFormat="0" applyProtection="0">
      <alignment horizontal="left" vertical="center" indent="1"/>
    </xf>
    <xf numFmtId="4" fontId="51" fillId="13" borderId="166" applyNumberFormat="0" applyProtection="0">
      <alignment horizontal="left" vertical="center" indent="1"/>
    </xf>
    <xf numFmtId="0" fontId="4" fillId="11" borderId="166" applyNumberFormat="0" applyProtection="0">
      <alignment horizontal="left" vertical="center" indent="1"/>
    </xf>
    <xf numFmtId="4" fontId="51" fillId="35" borderId="166" applyNumberFormat="0" applyProtection="0">
      <alignment horizontal="right" vertical="center"/>
    </xf>
    <xf numFmtId="4" fontId="51" fillId="43" borderId="166" applyNumberFormat="0" applyProtection="0">
      <alignment horizontal="right" vertical="center"/>
    </xf>
    <xf numFmtId="4" fontId="51" fillId="44" borderId="166" applyNumberFormat="0" applyProtection="0">
      <alignment horizontal="right" vertical="center"/>
    </xf>
    <xf numFmtId="4" fontId="51" fillId="12" borderId="166" applyNumberFormat="0" applyProtection="0">
      <alignment horizontal="right" vertical="center"/>
    </xf>
    <xf numFmtId="4" fontId="51" fillId="45" borderId="166" applyNumberFormat="0" applyProtection="0">
      <alignment horizontal="right" vertical="center"/>
    </xf>
    <xf numFmtId="4" fontId="51" fillId="15" borderId="166" applyNumberFormat="0" applyProtection="0">
      <alignment horizontal="right" vertical="center"/>
    </xf>
    <xf numFmtId="4" fontId="51" fillId="17" borderId="166" applyNumberFormat="0" applyProtection="0">
      <alignment horizontal="right" vertical="center"/>
    </xf>
    <xf numFmtId="4" fontId="51" fillId="16" borderId="166" applyNumberFormat="0" applyProtection="0">
      <alignment horizontal="right" vertical="center"/>
    </xf>
    <xf numFmtId="4" fontId="51" fillId="19" borderId="166" applyNumberFormat="0" applyProtection="0">
      <alignment horizontal="right" vertical="center"/>
    </xf>
    <xf numFmtId="4" fontId="53" fillId="46" borderId="166" applyNumberFormat="0" applyProtection="0">
      <alignment horizontal="left" vertical="center" indent="1"/>
    </xf>
    <xf numFmtId="4" fontId="51" fillId="47" borderId="167" applyNumberFormat="0" applyProtection="0">
      <alignment horizontal="left" vertical="center" indent="1"/>
    </xf>
    <xf numFmtId="0" fontId="4" fillId="11" borderId="166" applyNumberFormat="0" applyProtection="0">
      <alignment horizontal="left" vertical="center" indent="1"/>
    </xf>
    <xf numFmtId="4" fontId="5" fillId="47" borderId="166" applyNumberFormat="0" applyProtection="0">
      <alignment horizontal="left" vertical="center" indent="1"/>
    </xf>
    <xf numFmtId="4" fontId="5" fillId="49" borderId="166" applyNumberFormat="0" applyProtection="0">
      <alignment horizontal="left" vertical="center" indent="1"/>
    </xf>
    <xf numFmtId="0" fontId="4" fillId="49" borderId="166" applyNumberFormat="0" applyProtection="0">
      <alignment horizontal="left" vertical="center" indent="1"/>
    </xf>
    <xf numFmtId="0" fontId="4" fillId="49" borderId="166" applyNumberFormat="0" applyProtection="0">
      <alignment horizontal="left" vertical="center" indent="1"/>
    </xf>
    <xf numFmtId="0" fontId="4" fillId="30" borderId="166" applyNumberFormat="0" applyProtection="0">
      <alignment horizontal="left" vertical="center" indent="1"/>
    </xf>
    <xf numFmtId="0" fontId="4" fillId="30" borderId="166" applyNumberFormat="0" applyProtection="0">
      <alignment horizontal="left" vertical="center" indent="1"/>
    </xf>
    <xf numFmtId="0" fontId="4" fillId="33" borderId="166" applyNumberFormat="0" applyProtection="0">
      <alignment horizontal="left" vertical="center" indent="1"/>
    </xf>
    <xf numFmtId="0" fontId="4" fillId="33" borderId="166" applyNumberFormat="0" applyProtection="0">
      <alignment horizontal="left" vertical="center" indent="1"/>
    </xf>
    <xf numFmtId="0" fontId="4" fillId="11" borderId="166" applyNumberFormat="0" applyProtection="0">
      <alignment horizontal="left" vertical="center" indent="1"/>
    </xf>
    <xf numFmtId="0" fontId="4" fillId="11" borderId="166" applyNumberFormat="0" applyProtection="0">
      <alignment horizontal="left" vertical="center" indent="1"/>
    </xf>
    <xf numFmtId="4" fontId="51" fillId="20" borderId="166" applyNumberFormat="0" applyProtection="0">
      <alignment vertical="center"/>
    </xf>
    <xf numFmtId="4" fontId="52" fillId="20" borderId="166" applyNumberFormat="0" applyProtection="0">
      <alignment vertical="center"/>
    </xf>
    <xf numFmtId="4" fontId="51" fillId="20" borderId="166" applyNumberFormat="0" applyProtection="0">
      <alignment horizontal="left" vertical="center" indent="1"/>
    </xf>
    <xf numFmtId="4" fontId="51" fillId="20" borderId="166" applyNumberFormat="0" applyProtection="0">
      <alignment horizontal="left" vertical="center" indent="1"/>
    </xf>
    <xf numFmtId="4" fontId="51" fillId="47" borderId="166" applyNumberFormat="0" applyProtection="0">
      <alignment horizontal="right" vertical="center"/>
    </xf>
    <xf numFmtId="4" fontId="52" fillId="47" borderId="166" applyNumberFormat="0" applyProtection="0">
      <alignment horizontal="right" vertical="center"/>
    </xf>
    <xf numFmtId="0" fontId="4" fillId="11" borderId="166" applyNumberFormat="0" applyProtection="0">
      <alignment horizontal="left" vertical="center" indent="1"/>
    </xf>
    <xf numFmtId="0" fontId="4" fillId="11" borderId="166" applyNumberFormat="0" applyProtection="0">
      <alignment horizontal="left" vertical="center" indent="1"/>
    </xf>
    <xf numFmtId="4" fontId="56" fillId="47" borderId="166" applyNumberFormat="0" applyProtection="0">
      <alignment horizontal="right" vertical="center"/>
    </xf>
    <xf numFmtId="4" fontId="51" fillId="13" borderId="168" applyNumberFormat="0" applyProtection="0">
      <alignment horizontal="left" vertical="center" indent="1"/>
    </xf>
    <xf numFmtId="4" fontId="51" fillId="12" borderId="168" applyNumberFormat="0" applyProtection="0">
      <alignment horizontal="right" vertical="center"/>
    </xf>
    <xf numFmtId="4" fontId="51" fillId="13" borderId="168" applyNumberFormat="0" applyProtection="0">
      <alignment horizontal="left" vertical="center" indent="1"/>
    </xf>
    <xf numFmtId="4" fontId="52" fillId="13" borderId="168" applyNumberFormat="0" applyProtection="0">
      <alignment vertical="center"/>
    </xf>
    <xf numFmtId="4" fontId="51" fillId="13" borderId="168" applyNumberFormat="0" applyProtection="0">
      <alignment vertical="center"/>
    </xf>
    <xf numFmtId="4" fontId="51" fillId="17" borderId="168" applyNumberFormat="0" applyProtection="0">
      <alignment horizontal="right" vertical="center"/>
    </xf>
    <xf numFmtId="4" fontId="53" fillId="46" borderId="168" applyNumberFormat="0" applyProtection="0">
      <alignment horizontal="left" vertical="center" indent="1"/>
    </xf>
    <xf numFmtId="0" fontId="1" fillId="0" borderId="0"/>
    <xf numFmtId="4" fontId="51" fillId="13" borderId="168" applyNumberFormat="0" applyProtection="0">
      <alignment vertical="center"/>
    </xf>
    <xf numFmtId="4" fontId="52" fillId="13" borderId="168" applyNumberFormat="0" applyProtection="0">
      <alignment vertical="center"/>
    </xf>
    <xf numFmtId="4" fontId="51" fillId="13" borderId="168" applyNumberFormat="0" applyProtection="0">
      <alignment horizontal="left" vertical="center" indent="1"/>
    </xf>
    <xf numFmtId="4" fontId="51" fillId="13" borderId="168" applyNumberFormat="0" applyProtection="0">
      <alignment horizontal="left" vertical="center" indent="1"/>
    </xf>
    <xf numFmtId="0" fontId="4" fillId="11" borderId="168" applyNumberFormat="0" applyProtection="0">
      <alignment horizontal="left" vertical="center" indent="1"/>
    </xf>
    <xf numFmtId="4" fontId="51" fillId="35" borderId="168" applyNumberFormat="0" applyProtection="0">
      <alignment horizontal="right" vertical="center"/>
    </xf>
    <xf numFmtId="4" fontId="51" fillId="43" borderId="168" applyNumberFormat="0" applyProtection="0">
      <alignment horizontal="right" vertical="center"/>
    </xf>
    <xf numFmtId="4" fontId="51" fillId="44" borderId="168" applyNumberFormat="0" applyProtection="0">
      <alignment horizontal="right" vertical="center"/>
    </xf>
    <xf numFmtId="4" fontId="51" fillId="12" borderId="168" applyNumberFormat="0" applyProtection="0">
      <alignment horizontal="right" vertical="center"/>
    </xf>
    <xf numFmtId="4" fontId="51" fillId="45" borderId="168" applyNumberFormat="0" applyProtection="0">
      <alignment horizontal="right" vertical="center"/>
    </xf>
    <xf numFmtId="4" fontId="51" fillId="15" borderId="168" applyNumberFormat="0" applyProtection="0">
      <alignment horizontal="right" vertical="center"/>
    </xf>
    <xf numFmtId="4" fontId="51" fillId="17" borderId="168" applyNumberFormat="0" applyProtection="0">
      <alignment horizontal="right" vertical="center"/>
    </xf>
    <xf numFmtId="4" fontId="51" fillId="16" borderId="168" applyNumberFormat="0" applyProtection="0">
      <alignment horizontal="right" vertical="center"/>
    </xf>
    <xf numFmtId="4" fontId="51" fillId="19" borderId="168" applyNumberFormat="0" applyProtection="0">
      <alignment horizontal="right" vertical="center"/>
    </xf>
    <xf numFmtId="4" fontId="53" fillId="46" borderId="168" applyNumberFormat="0" applyProtection="0">
      <alignment horizontal="left" vertical="center" indent="1"/>
    </xf>
    <xf numFmtId="0" fontId="4" fillId="30" borderId="168" applyNumberFormat="0" applyProtection="0">
      <alignment horizontal="left" vertical="center" indent="1"/>
    </xf>
    <xf numFmtId="0" fontId="4" fillId="33" borderId="168" applyNumberFormat="0" applyProtection="0">
      <alignment horizontal="left" vertical="center" indent="1"/>
    </xf>
    <xf numFmtId="0" fontId="4" fillId="33" borderId="168" applyNumberFormat="0" applyProtection="0">
      <alignment horizontal="left" vertical="center" indent="1"/>
    </xf>
    <xf numFmtId="0" fontId="4" fillId="11" borderId="168" applyNumberFormat="0" applyProtection="0">
      <alignment horizontal="left" vertical="center" indent="1"/>
    </xf>
    <xf numFmtId="4" fontId="51" fillId="20" borderId="168" applyNumberFormat="0" applyProtection="0">
      <alignment vertical="center"/>
    </xf>
    <xf numFmtId="4" fontId="52" fillId="20" borderId="168" applyNumberFormat="0" applyProtection="0">
      <alignment vertical="center"/>
    </xf>
    <xf numFmtId="4" fontId="51" fillId="20" borderId="168" applyNumberFormat="0" applyProtection="0">
      <alignment horizontal="left" vertical="center" indent="1"/>
    </xf>
    <xf numFmtId="4" fontId="51" fillId="20" borderId="168" applyNumberFormat="0" applyProtection="0">
      <alignment horizontal="left" vertical="center" indent="1"/>
    </xf>
    <xf numFmtId="4" fontId="51" fillId="47" borderId="168" applyNumberFormat="0" applyProtection="0">
      <alignment horizontal="right" vertical="center"/>
    </xf>
    <xf numFmtId="4" fontId="52" fillId="47" borderId="168" applyNumberFormat="0" applyProtection="0">
      <alignment horizontal="right" vertical="center"/>
    </xf>
    <xf numFmtId="4" fontId="51" fillId="13" borderId="168" applyNumberFormat="0" applyProtection="0">
      <alignment vertical="center"/>
    </xf>
    <xf numFmtId="4" fontId="56" fillId="47" borderId="168" applyNumberFormat="0" applyProtection="0">
      <alignment horizontal="right" vertical="center"/>
    </xf>
    <xf numFmtId="0" fontId="4" fillId="11" borderId="168" applyNumberFormat="0" applyProtection="0">
      <alignment horizontal="left" vertical="center" indent="1"/>
    </xf>
    <xf numFmtId="0" fontId="4" fillId="11" borderId="168" applyNumberFormat="0" applyProtection="0">
      <alignment horizontal="left" vertical="center" indent="1"/>
    </xf>
    <xf numFmtId="4" fontId="5" fillId="47" borderId="168" applyNumberFormat="0" applyProtection="0">
      <alignment horizontal="left" vertical="center" indent="1"/>
    </xf>
    <xf numFmtId="0" fontId="4" fillId="49" borderId="168" applyNumberFormat="0" applyProtection="0">
      <alignment horizontal="left" vertical="center" indent="1"/>
    </xf>
    <xf numFmtId="4" fontId="51" fillId="13" borderId="168" applyNumberFormat="0" applyProtection="0">
      <alignment vertical="center"/>
    </xf>
    <xf numFmtId="4" fontId="52" fillId="13" borderId="168" applyNumberFormat="0" applyProtection="0">
      <alignment vertical="center"/>
    </xf>
    <xf numFmtId="4" fontId="51" fillId="13" borderId="168" applyNumberFormat="0" applyProtection="0">
      <alignment horizontal="left" vertical="center" indent="1"/>
    </xf>
    <xf numFmtId="4" fontId="51" fillId="13" borderId="168" applyNumberFormat="0" applyProtection="0">
      <alignment horizontal="left" vertical="center" indent="1"/>
    </xf>
    <xf numFmtId="0" fontId="4" fillId="11" borderId="168" applyNumberFormat="0" applyProtection="0">
      <alignment horizontal="left" vertical="center" indent="1"/>
    </xf>
    <xf numFmtId="4" fontId="51" fillId="35" borderId="168" applyNumberFormat="0" applyProtection="0">
      <alignment horizontal="right" vertical="center"/>
    </xf>
    <xf numFmtId="4" fontId="51" fillId="43" borderId="168" applyNumberFormat="0" applyProtection="0">
      <alignment horizontal="right" vertical="center"/>
    </xf>
    <xf numFmtId="4" fontId="51" fillId="44" borderId="168" applyNumberFormat="0" applyProtection="0">
      <alignment horizontal="right" vertical="center"/>
    </xf>
    <xf numFmtId="4" fontId="51" fillId="12" borderId="168" applyNumberFormat="0" applyProtection="0">
      <alignment horizontal="right" vertical="center"/>
    </xf>
    <xf numFmtId="4" fontId="51" fillId="45" borderId="168" applyNumberFormat="0" applyProtection="0">
      <alignment horizontal="right" vertical="center"/>
    </xf>
    <xf numFmtId="4" fontId="51" fillId="15" borderId="168" applyNumberFormat="0" applyProtection="0">
      <alignment horizontal="right" vertical="center"/>
    </xf>
    <xf numFmtId="4" fontId="51" fillId="17" borderId="168" applyNumberFormat="0" applyProtection="0">
      <alignment horizontal="right" vertical="center"/>
    </xf>
    <xf numFmtId="4" fontId="51" fillId="16" borderId="168" applyNumberFormat="0" applyProtection="0">
      <alignment horizontal="right" vertical="center"/>
    </xf>
    <xf numFmtId="4" fontId="51" fillId="19" borderId="168" applyNumberFormat="0" applyProtection="0">
      <alignment horizontal="right" vertical="center"/>
    </xf>
    <xf numFmtId="4" fontId="53" fillId="46" borderId="168" applyNumberFormat="0" applyProtection="0">
      <alignment horizontal="left" vertical="center" indent="1"/>
    </xf>
    <xf numFmtId="4" fontId="51" fillId="47" borderId="169" applyNumberFormat="0" applyProtection="0">
      <alignment horizontal="left" vertical="center" indent="1"/>
    </xf>
    <xf numFmtId="0" fontId="4" fillId="11" borderId="168" applyNumberFormat="0" applyProtection="0">
      <alignment horizontal="left" vertical="center" indent="1"/>
    </xf>
    <xf numFmtId="4" fontId="5" fillId="47" borderId="168" applyNumberFormat="0" applyProtection="0">
      <alignment horizontal="left" vertical="center" indent="1"/>
    </xf>
    <xf numFmtId="4" fontId="5" fillId="49" borderId="168" applyNumberFormat="0" applyProtection="0">
      <alignment horizontal="left" vertical="center" indent="1"/>
    </xf>
    <xf numFmtId="0" fontId="4" fillId="49" borderId="168" applyNumberFormat="0" applyProtection="0">
      <alignment horizontal="left" vertical="center" indent="1"/>
    </xf>
    <xf numFmtId="0" fontId="4" fillId="49" borderId="168" applyNumberFormat="0" applyProtection="0">
      <alignment horizontal="left" vertical="center" indent="1"/>
    </xf>
    <xf numFmtId="0" fontId="4" fillId="30" borderId="168" applyNumberFormat="0" applyProtection="0">
      <alignment horizontal="left" vertical="center" indent="1"/>
    </xf>
    <xf numFmtId="0" fontId="4" fillId="30" borderId="168" applyNumberFormat="0" applyProtection="0">
      <alignment horizontal="left" vertical="center" indent="1"/>
    </xf>
    <xf numFmtId="0" fontId="4" fillId="33" borderId="168" applyNumberFormat="0" applyProtection="0">
      <alignment horizontal="left" vertical="center" indent="1"/>
    </xf>
    <xf numFmtId="0" fontId="4" fillId="33" borderId="168" applyNumberFormat="0" applyProtection="0">
      <alignment horizontal="left" vertical="center" indent="1"/>
    </xf>
    <xf numFmtId="0" fontId="4" fillId="11" borderId="168" applyNumberFormat="0" applyProtection="0">
      <alignment horizontal="left" vertical="center" indent="1"/>
    </xf>
    <xf numFmtId="0" fontId="4" fillId="11" borderId="168" applyNumberFormat="0" applyProtection="0">
      <alignment horizontal="left" vertical="center" indent="1"/>
    </xf>
    <xf numFmtId="4" fontId="51" fillId="20" borderId="168" applyNumberFormat="0" applyProtection="0">
      <alignment vertical="center"/>
    </xf>
    <xf numFmtId="4" fontId="52" fillId="20" borderId="168" applyNumberFormat="0" applyProtection="0">
      <alignment vertical="center"/>
    </xf>
    <xf numFmtId="4" fontId="51" fillId="20" borderId="168" applyNumberFormat="0" applyProtection="0">
      <alignment horizontal="left" vertical="center" indent="1"/>
    </xf>
    <xf numFmtId="4" fontId="51" fillId="20" borderId="168" applyNumberFormat="0" applyProtection="0">
      <alignment horizontal="left" vertical="center" indent="1"/>
    </xf>
    <xf numFmtId="4" fontId="51" fillId="47" borderId="168" applyNumberFormat="0" applyProtection="0">
      <alignment horizontal="right" vertical="center"/>
    </xf>
    <xf numFmtId="4" fontId="52" fillId="47" borderId="168" applyNumberFormat="0" applyProtection="0">
      <alignment horizontal="right" vertical="center"/>
    </xf>
    <xf numFmtId="0" fontId="4" fillId="11" borderId="168" applyNumberFormat="0" applyProtection="0">
      <alignment horizontal="left" vertical="center" indent="1"/>
    </xf>
    <xf numFmtId="0" fontId="4" fillId="11" borderId="168" applyNumberFormat="0" applyProtection="0">
      <alignment horizontal="left" vertical="center" indent="1"/>
    </xf>
    <xf numFmtId="4" fontId="56" fillId="47" borderId="168" applyNumberFormat="0" applyProtection="0">
      <alignment horizontal="right" vertical="center"/>
    </xf>
    <xf numFmtId="0" fontId="4" fillId="11" borderId="168" applyNumberFormat="0" applyProtection="0">
      <alignment horizontal="left" vertical="center" indent="1"/>
    </xf>
    <xf numFmtId="4" fontId="51" fillId="13" borderId="168" applyNumberFormat="0" applyProtection="0">
      <alignment vertical="center"/>
    </xf>
    <xf numFmtId="4" fontId="52" fillId="13" borderId="168" applyNumberFormat="0" applyProtection="0">
      <alignment vertical="center"/>
    </xf>
    <xf numFmtId="4" fontId="51" fillId="13" borderId="168" applyNumberFormat="0" applyProtection="0">
      <alignment horizontal="left" vertical="center" indent="1"/>
    </xf>
    <xf numFmtId="4" fontId="51" fillId="13" borderId="168" applyNumberFormat="0" applyProtection="0">
      <alignment horizontal="left" vertical="center" indent="1"/>
    </xf>
    <xf numFmtId="0" fontId="4" fillId="11" borderId="168" applyNumberFormat="0" applyProtection="0">
      <alignment horizontal="left" vertical="center" indent="1"/>
    </xf>
    <xf numFmtId="4" fontId="51" fillId="35" borderId="168" applyNumberFormat="0" applyProtection="0">
      <alignment horizontal="right" vertical="center"/>
    </xf>
    <xf numFmtId="4" fontId="51" fillId="43" borderId="168" applyNumberFormat="0" applyProtection="0">
      <alignment horizontal="right" vertical="center"/>
    </xf>
    <xf numFmtId="4" fontId="51" fillId="44" borderId="168" applyNumberFormat="0" applyProtection="0">
      <alignment horizontal="right" vertical="center"/>
    </xf>
    <xf numFmtId="4" fontId="51" fillId="12" borderId="168" applyNumberFormat="0" applyProtection="0">
      <alignment horizontal="right" vertical="center"/>
    </xf>
    <xf numFmtId="4" fontId="51" fillId="45" borderId="168" applyNumberFormat="0" applyProtection="0">
      <alignment horizontal="right" vertical="center"/>
    </xf>
    <xf numFmtId="4" fontId="51" fillId="15" borderId="168" applyNumberFormat="0" applyProtection="0">
      <alignment horizontal="right" vertical="center"/>
    </xf>
    <xf numFmtId="4" fontId="51" fillId="17" borderId="168" applyNumberFormat="0" applyProtection="0">
      <alignment horizontal="right" vertical="center"/>
    </xf>
    <xf numFmtId="4" fontId="51" fillId="16" borderId="168" applyNumberFormat="0" applyProtection="0">
      <alignment horizontal="right" vertical="center"/>
    </xf>
    <xf numFmtId="4" fontId="51" fillId="19" borderId="168" applyNumberFormat="0" applyProtection="0">
      <alignment horizontal="right" vertical="center"/>
    </xf>
    <xf numFmtId="4" fontId="53" fillId="46" borderId="168" applyNumberFormat="0" applyProtection="0">
      <alignment horizontal="left" vertical="center" indent="1"/>
    </xf>
    <xf numFmtId="4" fontId="51" fillId="47" borderId="169" applyNumberFormat="0" applyProtection="0">
      <alignment horizontal="left" vertical="center" indent="1"/>
    </xf>
    <xf numFmtId="0" fontId="4" fillId="11" borderId="168" applyNumberFormat="0" applyProtection="0">
      <alignment horizontal="left" vertical="center" indent="1"/>
    </xf>
    <xf numFmtId="4" fontId="5" fillId="47" borderId="168" applyNumberFormat="0" applyProtection="0">
      <alignment horizontal="left" vertical="center" indent="1"/>
    </xf>
    <xf numFmtId="4" fontId="5" fillId="49" borderId="168" applyNumberFormat="0" applyProtection="0">
      <alignment horizontal="left" vertical="center" indent="1"/>
    </xf>
    <xf numFmtId="0" fontId="4" fillId="49" borderId="168" applyNumberFormat="0" applyProtection="0">
      <alignment horizontal="left" vertical="center" indent="1"/>
    </xf>
    <xf numFmtId="0" fontId="4" fillId="49" borderId="168" applyNumberFormat="0" applyProtection="0">
      <alignment horizontal="left" vertical="center" indent="1"/>
    </xf>
    <xf numFmtId="0" fontId="4" fillId="30" borderId="168" applyNumberFormat="0" applyProtection="0">
      <alignment horizontal="left" vertical="center" indent="1"/>
    </xf>
    <xf numFmtId="0" fontId="4" fillId="30" borderId="168" applyNumberFormat="0" applyProtection="0">
      <alignment horizontal="left" vertical="center" indent="1"/>
    </xf>
    <xf numFmtId="0" fontId="4" fillId="33" borderId="168" applyNumberFormat="0" applyProtection="0">
      <alignment horizontal="left" vertical="center" indent="1"/>
    </xf>
    <xf numFmtId="0" fontId="4" fillId="33" borderId="168" applyNumberFormat="0" applyProtection="0">
      <alignment horizontal="left" vertical="center" indent="1"/>
    </xf>
    <xf numFmtId="0" fontId="4" fillId="11" borderId="168" applyNumberFormat="0" applyProtection="0">
      <alignment horizontal="left" vertical="center" indent="1"/>
    </xf>
    <xf numFmtId="0" fontId="4" fillId="11" borderId="168" applyNumberFormat="0" applyProtection="0">
      <alignment horizontal="left" vertical="center" indent="1"/>
    </xf>
    <xf numFmtId="4" fontId="51" fillId="20" borderId="168" applyNumberFormat="0" applyProtection="0">
      <alignment vertical="center"/>
    </xf>
    <xf numFmtId="4" fontId="52" fillId="20" borderId="168" applyNumberFormat="0" applyProtection="0">
      <alignment vertical="center"/>
    </xf>
    <xf numFmtId="4" fontId="51" fillId="20" borderId="168" applyNumberFormat="0" applyProtection="0">
      <alignment horizontal="left" vertical="center" indent="1"/>
    </xf>
    <xf numFmtId="4" fontId="51" fillId="20" borderId="168" applyNumberFormat="0" applyProtection="0">
      <alignment horizontal="left" vertical="center" indent="1"/>
    </xf>
    <xf numFmtId="4" fontId="51" fillId="47" borderId="168" applyNumberFormat="0" applyProtection="0">
      <alignment horizontal="right" vertical="center"/>
    </xf>
    <xf numFmtId="4" fontId="52" fillId="47" borderId="168" applyNumberFormat="0" applyProtection="0">
      <alignment horizontal="right" vertical="center"/>
    </xf>
    <xf numFmtId="0" fontId="4" fillId="11" borderId="168" applyNumberFormat="0" applyProtection="0">
      <alignment horizontal="left" vertical="center" indent="1"/>
    </xf>
    <xf numFmtId="0" fontId="4" fillId="11" borderId="168" applyNumberFormat="0" applyProtection="0">
      <alignment horizontal="left" vertical="center" indent="1"/>
    </xf>
    <xf numFmtId="4" fontId="56" fillId="47" borderId="168" applyNumberFormat="0" applyProtection="0">
      <alignment horizontal="right" vertical="center"/>
    </xf>
    <xf numFmtId="0" fontId="4" fillId="11" borderId="168" applyNumberFormat="0" applyProtection="0">
      <alignment horizontal="left" vertical="center" indent="1"/>
    </xf>
    <xf numFmtId="4" fontId="51" fillId="35" borderId="168" applyNumberFormat="0" applyProtection="0">
      <alignment horizontal="right" vertical="center"/>
    </xf>
    <xf numFmtId="4" fontId="51" fillId="43" borderId="168" applyNumberFormat="0" applyProtection="0">
      <alignment horizontal="right" vertical="center"/>
    </xf>
    <xf numFmtId="4" fontId="51" fillId="44" borderId="168" applyNumberFormat="0" applyProtection="0">
      <alignment horizontal="right" vertical="center"/>
    </xf>
    <xf numFmtId="4" fontId="51" fillId="12" borderId="168" applyNumberFormat="0" applyProtection="0">
      <alignment horizontal="right" vertical="center"/>
    </xf>
    <xf numFmtId="4" fontId="51" fillId="45" borderId="168" applyNumberFormat="0" applyProtection="0">
      <alignment horizontal="right" vertical="center"/>
    </xf>
    <xf numFmtId="4" fontId="51" fillId="15" borderId="168" applyNumberFormat="0" applyProtection="0">
      <alignment horizontal="right" vertical="center"/>
    </xf>
    <xf numFmtId="4" fontId="51" fillId="17" borderId="168" applyNumberFormat="0" applyProtection="0">
      <alignment horizontal="right" vertical="center"/>
    </xf>
    <xf numFmtId="4" fontId="51" fillId="16" borderId="168" applyNumberFormat="0" applyProtection="0">
      <alignment horizontal="right" vertical="center"/>
    </xf>
    <xf numFmtId="4" fontId="51" fillId="19" borderId="168" applyNumberFormat="0" applyProtection="0">
      <alignment horizontal="right" vertical="center"/>
    </xf>
    <xf numFmtId="4" fontId="53" fillId="46" borderId="168" applyNumberFormat="0" applyProtection="0">
      <alignment horizontal="left" vertical="center" indent="1"/>
    </xf>
    <xf numFmtId="4" fontId="51" fillId="47" borderId="169" applyNumberFormat="0" applyProtection="0">
      <alignment horizontal="left" vertical="center" indent="1"/>
    </xf>
    <xf numFmtId="4" fontId="51" fillId="47" borderId="169" applyNumberFormat="0" applyProtection="0">
      <alignment horizontal="left" vertical="center" indent="1"/>
    </xf>
    <xf numFmtId="0" fontId="4" fillId="11" borderId="168" applyNumberFormat="0" applyProtection="0">
      <alignment horizontal="left" vertical="center" indent="1"/>
    </xf>
    <xf numFmtId="4" fontId="5" fillId="47" borderId="168" applyNumberFormat="0" applyProtection="0">
      <alignment horizontal="left" vertical="center" indent="1"/>
    </xf>
    <xf numFmtId="4" fontId="5" fillId="49" borderId="168" applyNumberFormat="0" applyProtection="0">
      <alignment horizontal="left" vertical="center" indent="1"/>
    </xf>
    <xf numFmtId="0" fontId="4" fillId="49" borderId="168" applyNumberFormat="0" applyProtection="0">
      <alignment horizontal="left" vertical="center" indent="1"/>
    </xf>
    <xf numFmtId="0" fontId="4" fillId="49" borderId="168" applyNumberFormat="0" applyProtection="0">
      <alignment horizontal="left" vertical="center" indent="1"/>
    </xf>
    <xf numFmtId="0" fontId="4" fillId="30" borderId="168" applyNumberFormat="0" applyProtection="0">
      <alignment horizontal="left" vertical="center" indent="1"/>
    </xf>
    <xf numFmtId="0" fontId="4" fillId="30" borderId="168" applyNumberFormat="0" applyProtection="0">
      <alignment horizontal="left" vertical="center" indent="1"/>
    </xf>
    <xf numFmtId="0" fontId="4" fillId="33" borderId="168" applyNumberFormat="0" applyProtection="0">
      <alignment horizontal="left" vertical="center" indent="1"/>
    </xf>
    <xf numFmtId="0" fontId="4" fillId="33" borderId="168" applyNumberFormat="0" applyProtection="0">
      <alignment horizontal="left" vertical="center" indent="1"/>
    </xf>
    <xf numFmtId="0" fontId="4" fillId="11" borderId="168" applyNumberFormat="0" applyProtection="0">
      <alignment horizontal="left" vertical="center" indent="1"/>
    </xf>
    <xf numFmtId="0" fontId="4" fillId="11" borderId="168" applyNumberFormat="0" applyProtection="0">
      <alignment horizontal="left" vertical="center" indent="1"/>
    </xf>
    <xf numFmtId="4" fontId="51" fillId="20" borderId="168" applyNumberFormat="0" applyProtection="0">
      <alignment vertical="center"/>
    </xf>
    <xf numFmtId="4" fontId="52" fillId="20" borderId="168" applyNumberFormat="0" applyProtection="0">
      <alignment vertical="center"/>
    </xf>
    <xf numFmtId="4" fontId="51" fillId="20" borderId="168" applyNumberFormat="0" applyProtection="0">
      <alignment horizontal="left" vertical="center" indent="1"/>
    </xf>
    <xf numFmtId="4" fontId="51" fillId="20" borderId="168" applyNumberFormat="0" applyProtection="0">
      <alignment horizontal="left" vertical="center" indent="1"/>
    </xf>
    <xf numFmtId="4" fontId="51" fillId="47" borderId="168" applyNumberFormat="0" applyProtection="0">
      <alignment horizontal="right" vertical="center"/>
    </xf>
    <xf numFmtId="4" fontId="52" fillId="47" borderId="168" applyNumberFormat="0" applyProtection="0">
      <alignment horizontal="right" vertical="center"/>
    </xf>
    <xf numFmtId="0" fontId="4" fillId="11" borderId="168" applyNumberFormat="0" applyProtection="0">
      <alignment horizontal="left" vertical="center" indent="1"/>
    </xf>
    <xf numFmtId="0" fontId="4" fillId="11" borderId="168" applyNumberFormat="0" applyProtection="0">
      <alignment horizontal="left" vertical="center" indent="1"/>
    </xf>
    <xf numFmtId="4" fontId="5" fillId="49" borderId="168" applyNumberFormat="0" applyProtection="0">
      <alignment horizontal="left" vertical="center" indent="1"/>
    </xf>
    <xf numFmtId="4" fontId="56" fillId="47" borderId="168" applyNumberFormat="0" applyProtection="0">
      <alignment horizontal="right" vertical="center"/>
    </xf>
    <xf numFmtId="0" fontId="4" fillId="30" borderId="168" applyNumberFormat="0" applyProtection="0">
      <alignment horizontal="left" vertical="center" indent="1"/>
    </xf>
    <xf numFmtId="4" fontId="5" fillId="49" borderId="168" applyNumberFormat="0" applyProtection="0">
      <alignment horizontal="left" vertical="center" indent="1"/>
    </xf>
    <xf numFmtId="0" fontId="4" fillId="11" borderId="168" applyNumberFormat="0" applyProtection="0">
      <alignment horizontal="left" vertical="center" indent="1"/>
    </xf>
    <xf numFmtId="4" fontId="51" fillId="13" borderId="168" applyNumberFormat="0" applyProtection="0">
      <alignment vertical="center"/>
    </xf>
    <xf numFmtId="4" fontId="52" fillId="13" borderId="168" applyNumberFormat="0" applyProtection="0">
      <alignment vertical="center"/>
    </xf>
    <xf numFmtId="4" fontId="51" fillId="13" borderId="168" applyNumberFormat="0" applyProtection="0">
      <alignment horizontal="left" vertical="center" indent="1"/>
    </xf>
    <xf numFmtId="4" fontId="51" fillId="13" borderId="168" applyNumberFormat="0" applyProtection="0">
      <alignment horizontal="left" vertical="center" indent="1"/>
    </xf>
    <xf numFmtId="0" fontId="4" fillId="11" borderId="168" applyNumberFormat="0" applyProtection="0">
      <alignment horizontal="left" vertical="center" indent="1"/>
    </xf>
    <xf numFmtId="4" fontId="51" fillId="35" borderId="168" applyNumberFormat="0" applyProtection="0">
      <alignment horizontal="right" vertical="center"/>
    </xf>
    <xf numFmtId="4" fontId="51" fillId="43" borderId="168" applyNumberFormat="0" applyProtection="0">
      <alignment horizontal="right" vertical="center"/>
    </xf>
    <xf numFmtId="4" fontId="51" fillId="44" borderId="168" applyNumberFormat="0" applyProtection="0">
      <alignment horizontal="right" vertical="center"/>
    </xf>
    <xf numFmtId="4" fontId="51" fillId="12" borderId="168" applyNumberFormat="0" applyProtection="0">
      <alignment horizontal="right" vertical="center"/>
    </xf>
    <xf numFmtId="4" fontId="51" fillId="45" borderId="168" applyNumberFormat="0" applyProtection="0">
      <alignment horizontal="right" vertical="center"/>
    </xf>
    <xf numFmtId="4" fontId="51" fillId="15" borderId="168" applyNumberFormat="0" applyProtection="0">
      <alignment horizontal="right" vertical="center"/>
    </xf>
    <xf numFmtId="4" fontId="51" fillId="17" borderId="168" applyNumberFormat="0" applyProtection="0">
      <alignment horizontal="right" vertical="center"/>
    </xf>
    <xf numFmtId="4" fontId="51" fillId="16" borderId="168" applyNumberFormat="0" applyProtection="0">
      <alignment horizontal="right" vertical="center"/>
    </xf>
    <xf numFmtId="4" fontId="51" fillId="19" borderId="168" applyNumberFormat="0" applyProtection="0">
      <alignment horizontal="right" vertical="center"/>
    </xf>
    <xf numFmtId="4" fontId="53" fillId="46" borderId="168" applyNumberFormat="0" applyProtection="0">
      <alignment horizontal="left" vertical="center" indent="1"/>
    </xf>
    <xf numFmtId="4" fontId="51" fillId="47" borderId="169" applyNumberFormat="0" applyProtection="0">
      <alignment horizontal="left" vertical="center" indent="1"/>
    </xf>
    <xf numFmtId="0" fontId="4" fillId="11" borderId="168" applyNumberFormat="0" applyProtection="0">
      <alignment horizontal="left" vertical="center" indent="1"/>
    </xf>
    <xf numFmtId="4" fontId="5" fillId="47" borderId="168" applyNumberFormat="0" applyProtection="0">
      <alignment horizontal="left" vertical="center" indent="1"/>
    </xf>
    <xf numFmtId="4" fontId="5" fillId="49" borderId="168" applyNumberFormat="0" applyProtection="0">
      <alignment horizontal="left" vertical="center" indent="1"/>
    </xf>
    <xf numFmtId="0" fontId="4" fillId="49" borderId="168" applyNumberFormat="0" applyProtection="0">
      <alignment horizontal="left" vertical="center" indent="1"/>
    </xf>
    <xf numFmtId="0" fontId="4" fillId="49" borderId="168" applyNumberFormat="0" applyProtection="0">
      <alignment horizontal="left" vertical="center" indent="1"/>
    </xf>
    <xf numFmtId="0" fontId="4" fillId="30" borderId="168" applyNumberFormat="0" applyProtection="0">
      <alignment horizontal="left" vertical="center" indent="1"/>
    </xf>
    <xf numFmtId="0" fontId="4" fillId="30" borderId="168" applyNumberFormat="0" applyProtection="0">
      <alignment horizontal="left" vertical="center" indent="1"/>
    </xf>
    <xf numFmtId="0" fontId="4" fillId="33" borderId="168" applyNumberFormat="0" applyProtection="0">
      <alignment horizontal="left" vertical="center" indent="1"/>
    </xf>
    <xf numFmtId="0" fontId="4" fillId="33" borderId="168" applyNumberFormat="0" applyProtection="0">
      <alignment horizontal="left" vertical="center" indent="1"/>
    </xf>
    <xf numFmtId="0" fontId="4" fillId="11" borderId="168" applyNumberFormat="0" applyProtection="0">
      <alignment horizontal="left" vertical="center" indent="1"/>
    </xf>
    <xf numFmtId="0" fontId="4" fillId="11" borderId="168" applyNumberFormat="0" applyProtection="0">
      <alignment horizontal="left" vertical="center" indent="1"/>
    </xf>
    <xf numFmtId="4" fontId="51" fillId="20" borderId="168" applyNumberFormat="0" applyProtection="0">
      <alignment vertical="center"/>
    </xf>
    <xf numFmtId="4" fontId="52" fillId="20" borderId="168" applyNumberFormat="0" applyProtection="0">
      <alignment vertical="center"/>
    </xf>
    <xf numFmtId="4" fontId="51" fillId="20" borderId="168" applyNumberFormat="0" applyProtection="0">
      <alignment horizontal="left" vertical="center" indent="1"/>
    </xf>
    <xf numFmtId="4" fontId="51" fillId="20" borderId="168" applyNumberFormat="0" applyProtection="0">
      <alignment horizontal="left" vertical="center" indent="1"/>
    </xf>
    <xf numFmtId="4" fontId="51" fillId="47" borderId="168" applyNumberFormat="0" applyProtection="0">
      <alignment horizontal="right" vertical="center"/>
    </xf>
    <xf numFmtId="4" fontId="52" fillId="47" borderId="168" applyNumberFormat="0" applyProtection="0">
      <alignment horizontal="right" vertical="center"/>
    </xf>
    <xf numFmtId="0" fontId="4" fillId="11" borderId="168" applyNumberFormat="0" applyProtection="0">
      <alignment horizontal="left" vertical="center" indent="1"/>
    </xf>
    <xf numFmtId="0" fontId="4" fillId="11" borderId="168" applyNumberFormat="0" applyProtection="0">
      <alignment horizontal="left" vertical="center" indent="1"/>
    </xf>
    <xf numFmtId="4" fontId="56" fillId="47" borderId="168" applyNumberFormat="0" applyProtection="0">
      <alignment horizontal="right" vertical="center"/>
    </xf>
    <xf numFmtId="0" fontId="4" fillId="49" borderId="168" applyNumberFormat="0" applyProtection="0">
      <alignment horizontal="left" vertical="center" indent="1"/>
    </xf>
    <xf numFmtId="4" fontId="51" fillId="13" borderId="168" applyNumberFormat="0" applyProtection="0">
      <alignment vertical="center"/>
    </xf>
    <xf numFmtId="4" fontId="52" fillId="13" borderId="168" applyNumberFormat="0" applyProtection="0">
      <alignment vertical="center"/>
    </xf>
    <xf numFmtId="4" fontId="51" fillId="13" borderId="168" applyNumberFormat="0" applyProtection="0">
      <alignment horizontal="left" vertical="center" indent="1"/>
    </xf>
    <xf numFmtId="4" fontId="51" fillId="13" borderId="168" applyNumberFormat="0" applyProtection="0">
      <alignment horizontal="left" vertical="center" indent="1"/>
    </xf>
    <xf numFmtId="0" fontId="4" fillId="11" borderId="168" applyNumberFormat="0" applyProtection="0">
      <alignment horizontal="left" vertical="center" indent="1"/>
    </xf>
    <xf numFmtId="4" fontId="51" fillId="35" borderId="168" applyNumberFormat="0" applyProtection="0">
      <alignment horizontal="right" vertical="center"/>
    </xf>
    <xf numFmtId="4" fontId="51" fillId="43" borderId="168" applyNumberFormat="0" applyProtection="0">
      <alignment horizontal="right" vertical="center"/>
    </xf>
    <xf numFmtId="4" fontId="51" fillId="47" borderId="169" applyNumberFormat="0" applyProtection="0">
      <alignment horizontal="left" vertical="center" indent="1"/>
    </xf>
    <xf numFmtId="4" fontId="51" fillId="47" borderId="169" applyNumberFormat="0" applyProtection="0">
      <alignment horizontal="left" vertical="center" indent="1"/>
    </xf>
    <xf numFmtId="0" fontId="4" fillId="11" borderId="168" applyNumberFormat="0" applyProtection="0">
      <alignment horizontal="left" vertical="center" indent="1"/>
    </xf>
    <xf numFmtId="4" fontId="5" fillId="47" borderId="168" applyNumberFormat="0" applyProtection="0">
      <alignment horizontal="left" vertical="center" indent="1"/>
    </xf>
    <xf numFmtId="0" fontId="4" fillId="49" borderId="168" applyNumberFormat="0" applyProtection="0">
      <alignment horizontal="left" vertical="center" indent="1"/>
    </xf>
    <xf numFmtId="0" fontId="4" fillId="49" borderId="168" applyNumberFormat="0" applyProtection="0">
      <alignment horizontal="left" vertical="center" indent="1"/>
    </xf>
    <xf numFmtId="0" fontId="4" fillId="30" borderId="168" applyNumberFormat="0" applyProtection="0">
      <alignment horizontal="left" vertical="center" indent="1"/>
    </xf>
    <xf numFmtId="0" fontId="4" fillId="30" borderId="168" applyNumberFormat="0" applyProtection="0">
      <alignment horizontal="left" vertical="center" indent="1"/>
    </xf>
    <xf numFmtId="0" fontId="4" fillId="33" borderId="168" applyNumberFormat="0" applyProtection="0">
      <alignment horizontal="left" vertical="center" indent="1"/>
    </xf>
    <xf numFmtId="0" fontId="4" fillId="33" borderId="168" applyNumberFormat="0" applyProtection="0">
      <alignment horizontal="left" vertical="center" indent="1"/>
    </xf>
    <xf numFmtId="0" fontId="4" fillId="11" borderId="168" applyNumberFormat="0" applyProtection="0">
      <alignment horizontal="left" vertical="center" indent="1"/>
    </xf>
    <xf numFmtId="4" fontId="52" fillId="20" borderId="168" applyNumberFormat="0" applyProtection="0">
      <alignment vertical="center"/>
    </xf>
    <xf numFmtId="4" fontId="51" fillId="20" borderId="168" applyNumberFormat="0" applyProtection="0">
      <alignment horizontal="left" vertical="center" indent="1"/>
    </xf>
    <xf numFmtId="4" fontId="51" fillId="20" borderId="168" applyNumberFormat="0" applyProtection="0">
      <alignment horizontal="left" vertical="center" indent="1"/>
    </xf>
    <xf numFmtId="4" fontId="51" fillId="47" borderId="168" applyNumberFormat="0" applyProtection="0">
      <alignment horizontal="right" vertical="center"/>
    </xf>
    <xf numFmtId="4" fontId="52" fillId="47" borderId="168" applyNumberFormat="0" applyProtection="0">
      <alignment horizontal="right" vertical="center"/>
    </xf>
    <xf numFmtId="0" fontId="4" fillId="11" borderId="168" applyNumberFormat="0" applyProtection="0">
      <alignment horizontal="left" vertical="center" indent="1"/>
    </xf>
    <xf numFmtId="4" fontId="51" fillId="45" borderId="168" applyNumberFormat="0" applyProtection="0">
      <alignment horizontal="right" vertical="center"/>
    </xf>
    <xf numFmtId="0" fontId="4" fillId="11" borderId="168" applyNumberFormat="0" applyProtection="0">
      <alignment horizontal="left" vertical="center" indent="1"/>
    </xf>
    <xf numFmtId="4" fontId="51" fillId="15" borderId="168" applyNumberFormat="0" applyProtection="0">
      <alignment horizontal="right" vertical="center"/>
    </xf>
    <xf numFmtId="4" fontId="51" fillId="16" borderId="168" applyNumberFormat="0" applyProtection="0">
      <alignment horizontal="right" vertical="center"/>
    </xf>
    <xf numFmtId="4" fontId="51" fillId="44" borderId="168" applyNumberFormat="0" applyProtection="0">
      <alignment horizontal="right" vertical="center"/>
    </xf>
    <xf numFmtId="0" fontId="4" fillId="11" borderId="168" applyNumberFormat="0" applyProtection="0">
      <alignment horizontal="left" vertical="center" indent="1"/>
    </xf>
    <xf numFmtId="4" fontId="51" fillId="20" borderId="168" applyNumberFormat="0" applyProtection="0">
      <alignment vertical="center"/>
    </xf>
    <xf numFmtId="4" fontId="51" fillId="13" borderId="168" applyNumberFormat="0" applyProtection="0">
      <alignment vertical="center"/>
    </xf>
    <xf numFmtId="4" fontId="52" fillId="13" borderId="168" applyNumberFormat="0" applyProtection="0">
      <alignment vertical="center"/>
    </xf>
    <xf numFmtId="4" fontId="51" fillId="13" borderId="168" applyNumberFormat="0" applyProtection="0">
      <alignment horizontal="left" vertical="center" indent="1"/>
    </xf>
    <xf numFmtId="4" fontId="51" fillId="13" borderId="168" applyNumberFormat="0" applyProtection="0">
      <alignment horizontal="left" vertical="center" indent="1"/>
    </xf>
    <xf numFmtId="0" fontId="4" fillId="11" borderId="168" applyNumberFormat="0" applyProtection="0">
      <alignment horizontal="left" vertical="center" indent="1"/>
    </xf>
    <xf numFmtId="4" fontId="51" fillId="35" borderId="168" applyNumberFormat="0" applyProtection="0">
      <alignment horizontal="right" vertical="center"/>
    </xf>
    <xf numFmtId="4" fontId="51" fillId="43" borderId="168" applyNumberFormat="0" applyProtection="0">
      <alignment horizontal="right" vertical="center"/>
    </xf>
    <xf numFmtId="4" fontId="51" fillId="44" borderId="168" applyNumberFormat="0" applyProtection="0">
      <alignment horizontal="right" vertical="center"/>
    </xf>
    <xf numFmtId="4" fontId="51" fillId="12" borderId="168" applyNumberFormat="0" applyProtection="0">
      <alignment horizontal="right" vertical="center"/>
    </xf>
    <xf numFmtId="4" fontId="51" fillId="45" borderId="168" applyNumberFormat="0" applyProtection="0">
      <alignment horizontal="right" vertical="center"/>
    </xf>
    <xf numFmtId="4" fontId="51" fillId="15" borderId="168" applyNumberFormat="0" applyProtection="0">
      <alignment horizontal="right" vertical="center"/>
    </xf>
    <xf numFmtId="4" fontId="51" fillId="17" borderId="168" applyNumberFormat="0" applyProtection="0">
      <alignment horizontal="right" vertical="center"/>
    </xf>
    <xf numFmtId="4" fontId="51" fillId="16" borderId="168" applyNumberFormat="0" applyProtection="0">
      <alignment horizontal="right" vertical="center"/>
    </xf>
    <xf numFmtId="4" fontId="51" fillId="19" borderId="168" applyNumberFormat="0" applyProtection="0">
      <alignment horizontal="right" vertical="center"/>
    </xf>
    <xf numFmtId="4" fontId="53" fillId="46" borderId="168" applyNumberFormat="0" applyProtection="0">
      <alignment horizontal="left" vertical="center" indent="1"/>
    </xf>
    <xf numFmtId="4" fontId="51" fillId="47" borderId="169" applyNumberFormat="0" applyProtection="0">
      <alignment horizontal="left" vertical="center" indent="1"/>
    </xf>
    <xf numFmtId="0" fontId="4" fillId="11" borderId="168" applyNumberFormat="0" applyProtection="0">
      <alignment horizontal="left" vertical="center" indent="1"/>
    </xf>
    <xf numFmtId="4" fontId="5" fillId="47" borderId="168" applyNumberFormat="0" applyProtection="0">
      <alignment horizontal="left" vertical="center" indent="1"/>
    </xf>
    <xf numFmtId="4" fontId="5" fillId="49" borderId="168" applyNumberFormat="0" applyProtection="0">
      <alignment horizontal="left" vertical="center" indent="1"/>
    </xf>
    <xf numFmtId="0" fontId="4" fillId="49" borderId="168" applyNumberFormat="0" applyProtection="0">
      <alignment horizontal="left" vertical="center" indent="1"/>
    </xf>
    <xf numFmtId="0" fontId="4" fillId="49" borderId="168" applyNumberFormat="0" applyProtection="0">
      <alignment horizontal="left" vertical="center" indent="1"/>
    </xf>
    <xf numFmtId="0" fontId="4" fillId="30" borderId="168" applyNumberFormat="0" applyProtection="0">
      <alignment horizontal="left" vertical="center" indent="1"/>
    </xf>
    <xf numFmtId="0" fontId="4" fillId="30" borderId="168" applyNumberFormat="0" applyProtection="0">
      <alignment horizontal="left" vertical="center" indent="1"/>
    </xf>
    <xf numFmtId="0" fontId="4" fillId="33" borderId="168" applyNumberFormat="0" applyProtection="0">
      <alignment horizontal="left" vertical="center" indent="1"/>
    </xf>
    <xf numFmtId="0" fontId="4" fillId="33" borderId="168" applyNumberFormat="0" applyProtection="0">
      <alignment horizontal="left" vertical="center" indent="1"/>
    </xf>
    <xf numFmtId="0" fontId="4" fillId="11" borderId="168" applyNumberFormat="0" applyProtection="0">
      <alignment horizontal="left" vertical="center" indent="1"/>
    </xf>
    <xf numFmtId="0" fontId="4" fillId="11" borderId="168" applyNumberFormat="0" applyProtection="0">
      <alignment horizontal="left" vertical="center" indent="1"/>
    </xf>
    <xf numFmtId="4" fontId="51" fillId="20" borderId="168" applyNumberFormat="0" applyProtection="0">
      <alignment vertical="center"/>
    </xf>
    <xf numFmtId="4" fontId="52" fillId="20" borderId="168" applyNumberFormat="0" applyProtection="0">
      <alignment vertical="center"/>
    </xf>
    <xf numFmtId="4" fontId="51" fillId="20" borderId="168" applyNumberFormat="0" applyProtection="0">
      <alignment horizontal="left" vertical="center" indent="1"/>
    </xf>
    <xf numFmtId="4" fontId="51" fillId="20" borderId="168" applyNumberFormat="0" applyProtection="0">
      <alignment horizontal="left" vertical="center" indent="1"/>
    </xf>
    <xf numFmtId="4" fontId="51" fillId="47" borderId="168" applyNumberFormat="0" applyProtection="0">
      <alignment horizontal="right" vertical="center"/>
    </xf>
    <xf numFmtId="4" fontId="52" fillId="47" borderId="168" applyNumberFormat="0" applyProtection="0">
      <alignment horizontal="right" vertical="center"/>
    </xf>
    <xf numFmtId="0" fontId="4" fillId="11" borderId="168" applyNumberFormat="0" applyProtection="0">
      <alignment horizontal="left" vertical="center" indent="1"/>
    </xf>
    <xf numFmtId="0" fontId="4" fillId="11" borderId="168" applyNumberFormat="0" applyProtection="0">
      <alignment horizontal="left" vertical="center" indent="1"/>
    </xf>
    <xf numFmtId="4" fontId="56" fillId="47" borderId="168" applyNumberFormat="0" applyProtection="0">
      <alignment horizontal="right" vertical="center"/>
    </xf>
    <xf numFmtId="4" fontId="51" fillId="47" borderId="169" applyNumberFormat="0" applyProtection="0">
      <alignment horizontal="left" vertical="center" indent="1"/>
    </xf>
    <xf numFmtId="4" fontId="51" fillId="47" borderId="169" applyNumberFormat="0" applyProtection="0">
      <alignment horizontal="left" vertical="center" indent="1"/>
    </xf>
    <xf numFmtId="4" fontId="51" fillId="19" borderId="168" applyNumberFormat="0" applyProtection="0">
      <alignment horizontal="right" vertical="center"/>
    </xf>
    <xf numFmtId="4" fontId="56" fillId="47" borderId="168" applyNumberFormat="0" applyProtection="0">
      <alignment horizontal="right" vertical="center"/>
    </xf>
    <xf numFmtId="4" fontId="51" fillId="13" borderId="168" applyNumberFormat="0" applyProtection="0">
      <alignment vertical="center"/>
    </xf>
    <xf numFmtId="4" fontId="52" fillId="13" borderId="168" applyNumberFormat="0" applyProtection="0">
      <alignment vertical="center"/>
    </xf>
    <xf numFmtId="4" fontId="51" fillId="13" borderId="168" applyNumberFormat="0" applyProtection="0">
      <alignment horizontal="left" vertical="center" indent="1"/>
    </xf>
    <xf numFmtId="4" fontId="51" fillId="13" borderId="168" applyNumberFormat="0" applyProtection="0">
      <alignment horizontal="left" vertical="center" indent="1"/>
    </xf>
    <xf numFmtId="0" fontId="4" fillId="11" borderId="168" applyNumberFormat="0" applyProtection="0">
      <alignment horizontal="left" vertical="center" indent="1"/>
    </xf>
    <xf numFmtId="4" fontId="51" fillId="35" borderId="168" applyNumberFormat="0" applyProtection="0">
      <alignment horizontal="right" vertical="center"/>
    </xf>
    <xf numFmtId="4" fontId="51" fillId="43" borderId="168" applyNumberFormat="0" applyProtection="0">
      <alignment horizontal="right" vertical="center"/>
    </xf>
    <xf numFmtId="4" fontId="51" fillId="44" borderId="168" applyNumberFormat="0" applyProtection="0">
      <alignment horizontal="right" vertical="center"/>
    </xf>
    <xf numFmtId="4" fontId="51" fillId="12" borderId="168" applyNumberFormat="0" applyProtection="0">
      <alignment horizontal="right" vertical="center"/>
    </xf>
    <xf numFmtId="4" fontId="51" fillId="45" borderId="168" applyNumberFormat="0" applyProtection="0">
      <alignment horizontal="right" vertical="center"/>
    </xf>
    <xf numFmtId="4" fontId="51" fillId="15" borderId="168" applyNumberFormat="0" applyProtection="0">
      <alignment horizontal="right" vertical="center"/>
    </xf>
    <xf numFmtId="4" fontId="51" fillId="17" borderId="168" applyNumberFormat="0" applyProtection="0">
      <alignment horizontal="right" vertical="center"/>
    </xf>
    <xf numFmtId="4" fontId="51" fillId="16" borderId="168" applyNumberFormat="0" applyProtection="0">
      <alignment horizontal="right" vertical="center"/>
    </xf>
    <xf numFmtId="4" fontId="51" fillId="19" borderId="168" applyNumberFormat="0" applyProtection="0">
      <alignment horizontal="right" vertical="center"/>
    </xf>
    <xf numFmtId="4" fontId="53" fillId="46" borderId="168" applyNumberFormat="0" applyProtection="0">
      <alignment horizontal="left" vertical="center" indent="1"/>
    </xf>
    <xf numFmtId="4" fontId="51" fillId="47" borderId="169" applyNumberFormat="0" applyProtection="0">
      <alignment horizontal="left" vertical="center" indent="1"/>
    </xf>
    <xf numFmtId="0" fontId="4" fillId="11" borderId="168" applyNumberFormat="0" applyProtection="0">
      <alignment horizontal="left" vertical="center" indent="1"/>
    </xf>
    <xf numFmtId="4" fontId="5" fillId="47" borderId="168" applyNumberFormat="0" applyProtection="0">
      <alignment horizontal="left" vertical="center" indent="1"/>
    </xf>
    <xf numFmtId="4" fontId="5" fillId="49" borderId="168" applyNumberFormat="0" applyProtection="0">
      <alignment horizontal="left" vertical="center" indent="1"/>
    </xf>
    <xf numFmtId="0" fontId="4" fillId="49" borderId="168" applyNumberFormat="0" applyProtection="0">
      <alignment horizontal="left" vertical="center" indent="1"/>
    </xf>
    <xf numFmtId="0" fontId="4" fillId="49" borderId="168" applyNumberFormat="0" applyProtection="0">
      <alignment horizontal="left" vertical="center" indent="1"/>
    </xf>
    <xf numFmtId="0" fontId="4" fillId="30" borderId="168" applyNumberFormat="0" applyProtection="0">
      <alignment horizontal="left" vertical="center" indent="1"/>
    </xf>
    <xf numFmtId="0" fontId="4" fillId="30" borderId="168" applyNumberFormat="0" applyProtection="0">
      <alignment horizontal="left" vertical="center" indent="1"/>
    </xf>
    <xf numFmtId="0" fontId="4" fillId="33" borderId="168" applyNumberFormat="0" applyProtection="0">
      <alignment horizontal="left" vertical="center" indent="1"/>
    </xf>
    <xf numFmtId="0" fontId="4" fillId="33" borderId="168" applyNumberFormat="0" applyProtection="0">
      <alignment horizontal="left" vertical="center" indent="1"/>
    </xf>
    <xf numFmtId="0" fontId="4" fillId="11" borderId="168" applyNumberFormat="0" applyProtection="0">
      <alignment horizontal="left" vertical="center" indent="1"/>
    </xf>
    <xf numFmtId="0" fontId="4" fillId="11" borderId="168" applyNumberFormat="0" applyProtection="0">
      <alignment horizontal="left" vertical="center" indent="1"/>
    </xf>
    <xf numFmtId="4" fontId="51" fillId="20" borderId="168" applyNumberFormat="0" applyProtection="0">
      <alignment vertical="center"/>
    </xf>
    <xf numFmtId="4" fontId="52" fillId="20" borderId="168" applyNumberFormat="0" applyProtection="0">
      <alignment vertical="center"/>
    </xf>
    <xf numFmtId="4" fontId="51" fillId="20" borderId="168" applyNumberFormat="0" applyProtection="0">
      <alignment horizontal="left" vertical="center" indent="1"/>
    </xf>
    <xf numFmtId="4" fontId="51" fillId="20" borderId="168" applyNumberFormat="0" applyProtection="0">
      <alignment horizontal="left" vertical="center" indent="1"/>
    </xf>
    <xf numFmtId="4" fontId="51" fillId="47" borderId="168" applyNumberFormat="0" applyProtection="0">
      <alignment horizontal="right" vertical="center"/>
    </xf>
    <xf numFmtId="4" fontId="52" fillId="47" borderId="168" applyNumberFormat="0" applyProtection="0">
      <alignment horizontal="right" vertical="center"/>
    </xf>
    <xf numFmtId="0" fontId="4" fillId="11" borderId="168" applyNumberFormat="0" applyProtection="0">
      <alignment horizontal="left" vertical="center" indent="1"/>
    </xf>
    <xf numFmtId="0" fontId="4" fillId="11" borderId="168" applyNumberFormat="0" applyProtection="0">
      <alignment horizontal="left" vertical="center" indent="1"/>
    </xf>
    <xf numFmtId="4" fontId="56" fillId="47" borderId="168" applyNumberFormat="0" applyProtection="0">
      <alignment horizontal="right" vertical="center"/>
    </xf>
    <xf numFmtId="4" fontId="52" fillId="13" borderId="168" applyNumberFormat="0" applyProtection="0">
      <alignment vertical="center"/>
    </xf>
    <xf numFmtId="4" fontId="51" fillId="13" borderId="168" applyNumberFormat="0" applyProtection="0">
      <alignment horizontal="left" vertical="center" indent="1"/>
    </xf>
    <xf numFmtId="4" fontId="51" fillId="13" borderId="168" applyNumberFormat="0" applyProtection="0">
      <alignment horizontal="left" vertical="center" indent="1"/>
    </xf>
    <xf numFmtId="0" fontId="4" fillId="11" borderId="168" applyNumberFormat="0" applyProtection="0">
      <alignment horizontal="left" vertical="center" indent="1"/>
    </xf>
    <xf numFmtId="4" fontId="51" fillId="35" borderId="168" applyNumberFormat="0" applyProtection="0">
      <alignment horizontal="right" vertical="center"/>
    </xf>
    <xf numFmtId="4" fontId="51" fillId="43" borderId="168" applyNumberFormat="0" applyProtection="0">
      <alignment horizontal="right" vertical="center"/>
    </xf>
    <xf numFmtId="4" fontId="51" fillId="44" borderId="168" applyNumberFormat="0" applyProtection="0">
      <alignment horizontal="right" vertical="center"/>
    </xf>
    <xf numFmtId="4" fontId="51" fillId="12" borderId="168" applyNumberFormat="0" applyProtection="0">
      <alignment horizontal="right" vertical="center"/>
    </xf>
    <xf numFmtId="4" fontId="51" fillId="45" borderId="168" applyNumberFormat="0" applyProtection="0">
      <alignment horizontal="right" vertical="center"/>
    </xf>
    <xf numFmtId="4" fontId="51" fillId="15" borderId="168" applyNumberFormat="0" applyProtection="0">
      <alignment horizontal="right" vertical="center"/>
    </xf>
    <xf numFmtId="4" fontId="51" fillId="17" borderId="168" applyNumberFormat="0" applyProtection="0">
      <alignment horizontal="right" vertical="center"/>
    </xf>
    <xf numFmtId="4" fontId="51" fillId="16" borderId="168" applyNumberFormat="0" applyProtection="0">
      <alignment horizontal="right" vertical="center"/>
    </xf>
    <xf numFmtId="4" fontId="51" fillId="19" borderId="168" applyNumberFormat="0" applyProtection="0">
      <alignment horizontal="right" vertical="center"/>
    </xf>
    <xf numFmtId="4" fontId="53" fillId="46" borderId="168" applyNumberFormat="0" applyProtection="0">
      <alignment horizontal="left" vertical="center" indent="1"/>
    </xf>
    <xf numFmtId="4" fontId="51" fillId="47" borderId="169" applyNumberFormat="0" applyProtection="0">
      <alignment horizontal="left" vertical="center" indent="1"/>
    </xf>
    <xf numFmtId="0" fontId="4" fillId="11" borderId="168" applyNumberFormat="0" applyProtection="0">
      <alignment horizontal="left" vertical="center" indent="1"/>
    </xf>
    <xf numFmtId="4" fontId="5" fillId="47" borderId="168" applyNumberFormat="0" applyProtection="0">
      <alignment horizontal="left" vertical="center" indent="1"/>
    </xf>
    <xf numFmtId="4" fontId="5" fillId="49" borderId="168" applyNumberFormat="0" applyProtection="0">
      <alignment horizontal="left" vertical="center" indent="1"/>
    </xf>
    <xf numFmtId="0" fontId="4" fillId="49" borderId="168" applyNumberFormat="0" applyProtection="0">
      <alignment horizontal="left" vertical="center" indent="1"/>
    </xf>
    <xf numFmtId="0" fontId="4" fillId="49" borderId="168" applyNumberFormat="0" applyProtection="0">
      <alignment horizontal="left" vertical="center" indent="1"/>
    </xf>
    <xf numFmtId="0" fontId="4" fillId="30" borderId="168" applyNumberFormat="0" applyProtection="0">
      <alignment horizontal="left" vertical="center" indent="1"/>
    </xf>
    <xf numFmtId="0" fontId="4" fillId="30" borderId="168" applyNumberFormat="0" applyProtection="0">
      <alignment horizontal="left" vertical="center" indent="1"/>
    </xf>
    <xf numFmtId="0" fontId="4" fillId="33" borderId="168" applyNumberFormat="0" applyProtection="0">
      <alignment horizontal="left" vertical="center" indent="1"/>
    </xf>
    <xf numFmtId="0" fontId="4" fillId="33" borderId="168" applyNumberFormat="0" applyProtection="0">
      <alignment horizontal="left" vertical="center" indent="1"/>
    </xf>
    <xf numFmtId="0" fontId="4" fillId="11" borderId="168" applyNumberFormat="0" applyProtection="0">
      <alignment horizontal="left" vertical="center" indent="1"/>
    </xf>
    <xf numFmtId="0" fontId="4" fillId="11" borderId="168" applyNumberFormat="0" applyProtection="0">
      <alignment horizontal="left" vertical="center" indent="1"/>
    </xf>
    <xf numFmtId="4" fontId="51" fillId="20" borderId="168" applyNumberFormat="0" applyProtection="0">
      <alignment vertical="center"/>
    </xf>
    <xf numFmtId="4" fontId="52" fillId="20" borderId="168" applyNumberFormat="0" applyProtection="0">
      <alignment vertical="center"/>
    </xf>
    <xf numFmtId="4" fontId="51" fillId="20" borderId="168" applyNumberFormat="0" applyProtection="0">
      <alignment horizontal="left" vertical="center" indent="1"/>
    </xf>
    <xf numFmtId="4" fontId="51" fillId="20" borderId="168" applyNumberFormat="0" applyProtection="0">
      <alignment horizontal="left" vertical="center" indent="1"/>
    </xf>
    <xf numFmtId="4" fontId="51" fillId="47" borderId="168" applyNumberFormat="0" applyProtection="0">
      <alignment horizontal="right" vertical="center"/>
    </xf>
    <xf numFmtId="4" fontId="52" fillId="47" borderId="168" applyNumberFormat="0" applyProtection="0">
      <alignment horizontal="right" vertical="center"/>
    </xf>
    <xf numFmtId="0" fontId="4" fillId="11" borderId="168" applyNumberFormat="0" applyProtection="0">
      <alignment horizontal="left" vertical="center" indent="1"/>
    </xf>
    <xf numFmtId="0" fontId="4" fillId="11" borderId="168" applyNumberFormat="0" applyProtection="0">
      <alignment horizontal="left" vertical="center" indent="1"/>
    </xf>
    <xf numFmtId="4" fontId="56" fillId="47" borderId="168" applyNumberFormat="0" applyProtection="0">
      <alignment horizontal="right" vertical="center"/>
    </xf>
  </cellStyleXfs>
  <cellXfs count="4329">
    <xf numFmtId="0" fontId="0" fillId="0" borderId="0" xfId="0"/>
    <xf numFmtId="0" fontId="7" fillId="6" borderId="20" xfId="0" applyFont="1" applyFill="1" applyBorder="1" applyAlignment="1">
      <alignment vertical="center" wrapText="1"/>
    </xf>
    <xf numFmtId="3" fontId="8" fillId="6" borderId="68" xfId="0" applyNumberFormat="1" applyFont="1" applyFill="1" applyBorder="1"/>
    <xf numFmtId="3" fontId="8" fillId="6" borderId="30" xfId="0" applyNumberFormat="1" applyFont="1" applyFill="1" applyBorder="1"/>
    <xf numFmtId="3" fontId="8" fillId="6" borderId="29" xfId="0" applyNumberFormat="1" applyFont="1" applyFill="1" applyBorder="1"/>
    <xf numFmtId="3" fontId="6" fillId="6" borderId="47" xfId="0" applyNumberFormat="1" applyFont="1" applyFill="1" applyBorder="1"/>
    <xf numFmtId="0" fontId="14" fillId="2" borderId="0" xfId="3" applyFont="1" applyFill="1" applyBorder="1" applyAlignment="1">
      <alignment horizontal="right" vertical="center"/>
    </xf>
    <xf numFmtId="0" fontId="15" fillId="2" borderId="0" xfId="0" applyFont="1" applyFill="1" applyBorder="1" applyAlignment="1">
      <alignment horizontal="right" vertical="center"/>
    </xf>
    <xf numFmtId="0" fontId="18" fillId="0" borderId="52" xfId="4" applyFont="1" applyBorder="1" applyAlignment="1">
      <alignment horizontal="center" vertical="center"/>
    </xf>
    <xf numFmtId="0" fontId="18" fillId="0" borderId="77" xfId="4" applyFont="1" applyBorder="1" applyAlignment="1">
      <alignment horizontal="center" vertical="center"/>
    </xf>
    <xf numFmtId="0" fontId="22" fillId="0" borderId="38" xfId="0" applyFont="1" applyBorder="1" applyAlignment="1">
      <alignment horizontal="center" vertical="center" wrapText="1"/>
    </xf>
    <xf numFmtId="0" fontId="22" fillId="0" borderId="51" xfId="6" applyFont="1" applyBorder="1" applyAlignment="1">
      <alignment horizontal="center" vertical="center" wrapText="1"/>
    </xf>
    <xf numFmtId="0" fontId="22" fillId="0" borderId="50" xfId="6" applyFont="1" applyBorder="1" applyAlignment="1">
      <alignment horizontal="center" vertical="center"/>
    </xf>
    <xf numFmtId="0" fontId="22" fillId="0" borderId="39" xfId="6" applyFont="1" applyBorder="1" applyAlignment="1">
      <alignment horizontal="center" vertical="center"/>
    </xf>
    <xf numFmtId="0" fontId="22" fillId="19" borderId="39" xfId="0" applyFont="1" applyFill="1" applyBorder="1" applyAlignment="1">
      <alignment horizontal="center" vertical="center" wrapText="1"/>
    </xf>
    <xf numFmtId="0" fontId="21" fillId="0" borderId="77" xfId="4" applyFont="1" applyBorder="1" applyAlignment="1">
      <alignment horizontal="center" vertical="center" wrapText="1"/>
    </xf>
    <xf numFmtId="3" fontId="27" fillId="21" borderId="68" xfId="4" applyNumberFormat="1" applyFont="1" applyFill="1" applyBorder="1" applyAlignment="1">
      <alignment horizontal="right" vertical="center"/>
    </xf>
    <xf numFmtId="3" fontId="18" fillId="8" borderId="43" xfId="4" applyNumberFormat="1" applyFont="1" applyFill="1" applyBorder="1" applyAlignment="1">
      <alignment vertical="top" wrapText="1"/>
    </xf>
    <xf numFmtId="3" fontId="27" fillId="21" borderId="13" xfId="4" applyNumberFormat="1" applyFont="1" applyFill="1" applyBorder="1" applyAlignment="1">
      <alignment horizontal="right" vertical="center"/>
    </xf>
    <xf numFmtId="0" fontId="25" fillId="6" borderId="45" xfId="4" applyFont="1" applyFill="1" applyBorder="1" applyAlignment="1">
      <alignment horizontal="left" vertical="center"/>
    </xf>
    <xf numFmtId="0" fontId="25" fillId="6" borderId="18" xfId="4" applyFont="1" applyFill="1" applyBorder="1" applyAlignment="1">
      <alignment horizontal="left" vertical="center"/>
    </xf>
    <xf numFmtId="0" fontId="25" fillId="6" borderId="32" xfId="4" applyFont="1" applyFill="1" applyBorder="1" applyAlignment="1">
      <alignment horizontal="left" vertical="center"/>
    </xf>
    <xf numFmtId="0" fontId="25" fillId="6" borderId="28" xfId="4" applyFont="1" applyFill="1" applyBorder="1" applyAlignment="1">
      <alignment horizontal="left" vertical="center"/>
    </xf>
    <xf numFmtId="0" fontId="7" fillId="8" borderId="21" xfId="4" applyFont="1" applyFill="1" applyBorder="1" applyAlignment="1">
      <alignment horizontal="left" vertical="center"/>
    </xf>
    <xf numFmtId="0" fontId="7" fillId="8" borderId="20" xfId="4" applyFont="1" applyFill="1" applyBorder="1" applyAlignment="1">
      <alignment horizontal="left" vertical="center"/>
    </xf>
    <xf numFmtId="3" fontId="7" fillId="8" borderId="20" xfId="4" applyNumberFormat="1" applyFont="1" applyFill="1" applyBorder="1" applyAlignment="1">
      <alignment horizontal="left" vertical="center"/>
    </xf>
    <xf numFmtId="0" fontId="7" fillId="8" borderId="74" xfId="4" applyFont="1" applyFill="1" applyBorder="1" applyAlignment="1">
      <alignment vertical="center"/>
    </xf>
    <xf numFmtId="0" fontId="7" fillId="8" borderId="22" xfId="4" applyFont="1" applyFill="1" applyBorder="1" applyAlignment="1">
      <alignment vertical="center"/>
    </xf>
    <xf numFmtId="0" fontId="25" fillId="6" borderId="34" xfId="4" applyFont="1" applyFill="1" applyBorder="1" applyAlignment="1">
      <alignment horizontal="left" vertical="center"/>
    </xf>
    <xf numFmtId="3" fontId="24" fillId="6" borderId="29" xfId="4" applyNumberFormat="1" applyFont="1" applyFill="1" applyBorder="1" applyAlignment="1">
      <alignment horizontal="right" vertical="center"/>
    </xf>
    <xf numFmtId="3" fontId="24" fillId="22" borderId="30" xfId="4" applyNumberFormat="1" applyFont="1" applyFill="1" applyBorder="1" applyAlignment="1">
      <alignment horizontal="right" vertical="center"/>
    </xf>
    <xf numFmtId="3" fontId="29" fillId="13" borderId="29" xfId="4" applyNumberFormat="1" applyFont="1" applyFill="1" applyBorder="1" applyAlignment="1">
      <alignment horizontal="right" vertical="center"/>
    </xf>
    <xf numFmtId="3" fontId="29" fillId="24" borderId="29" xfId="4" applyNumberFormat="1" applyFont="1" applyFill="1" applyBorder="1" applyAlignment="1">
      <alignment horizontal="right" vertical="center"/>
    </xf>
    <xf numFmtId="3" fontId="7" fillId="13" borderId="29" xfId="4" applyNumberFormat="1" applyFont="1" applyFill="1" applyBorder="1" applyAlignment="1">
      <alignment horizontal="right" vertical="center"/>
    </xf>
    <xf numFmtId="3" fontId="31" fillId="25" borderId="29" xfId="4" applyNumberFormat="1" applyFont="1" applyFill="1" applyBorder="1" applyAlignment="1">
      <alignment horizontal="right" vertical="center"/>
    </xf>
    <xf numFmtId="3" fontId="33" fillId="13" borderId="9" xfId="6" applyNumberFormat="1" applyFont="1" applyFill="1" applyBorder="1" applyAlignment="1">
      <alignment vertical="center"/>
    </xf>
    <xf numFmtId="0" fontId="7" fillId="13" borderId="36" xfId="4" applyFont="1" applyFill="1" applyBorder="1" applyAlignment="1">
      <alignment horizontal="left" vertical="center"/>
    </xf>
    <xf numFmtId="0" fontId="7" fillId="13" borderId="20" xfId="4" applyFont="1" applyFill="1" applyBorder="1" applyAlignment="1">
      <alignment horizontal="left" vertical="center"/>
    </xf>
    <xf numFmtId="0" fontId="7" fillId="13" borderId="74" xfId="4" applyFont="1" applyFill="1" applyBorder="1" applyAlignment="1">
      <alignment vertical="center"/>
    </xf>
    <xf numFmtId="0" fontId="7" fillId="13" borderId="37" xfId="4" applyFont="1" applyFill="1" applyBorder="1" applyAlignment="1">
      <alignment vertical="center"/>
    </xf>
    <xf numFmtId="3" fontId="24" fillId="8" borderId="68" xfId="4" applyNumberFormat="1" applyFont="1" applyFill="1" applyBorder="1" applyAlignment="1">
      <alignment horizontal="right" vertical="center"/>
    </xf>
    <xf numFmtId="3" fontId="24" fillId="8" borderId="17" xfId="4" applyNumberFormat="1" applyFont="1" applyFill="1" applyBorder="1" applyAlignment="1">
      <alignment horizontal="right" vertical="center"/>
    </xf>
    <xf numFmtId="3" fontId="24" fillId="8" borderId="2" xfId="4" applyNumberFormat="1" applyFont="1" applyFill="1" applyBorder="1" applyAlignment="1">
      <alignment horizontal="right" vertical="center"/>
    </xf>
    <xf numFmtId="3" fontId="24" fillId="23" borderId="2" xfId="4" applyNumberFormat="1" applyFont="1" applyFill="1" applyBorder="1" applyAlignment="1">
      <alignment horizontal="right" vertical="center"/>
    </xf>
    <xf numFmtId="0" fontId="20" fillId="0" borderId="42" xfId="4" applyFont="1" applyFill="1" applyBorder="1" applyAlignment="1">
      <alignment horizontal="center" vertical="center" wrapText="1"/>
    </xf>
    <xf numFmtId="3" fontId="7" fillId="0" borderId="30" xfId="4" applyNumberFormat="1" applyFont="1" applyFill="1" applyBorder="1" applyAlignment="1">
      <alignment horizontal="right" vertical="center"/>
    </xf>
    <xf numFmtId="3" fontId="7" fillId="0" borderId="29" xfId="4" applyNumberFormat="1" applyFont="1" applyFill="1" applyBorder="1" applyAlignment="1">
      <alignment horizontal="right" vertical="center"/>
    </xf>
    <xf numFmtId="3" fontId="33" fillId="0" borderId="29" xfId="6" applyNumberFormat="1" applyFont="1" applyFill="1" applyBorder="1" applyAlignment="1">
      <alignment vertical="center"/>
    </xf>
    <xf numFmtId="3" fontId="33" fillId="0" borderId="30" xfId="6" applyNumberFormat="1" applyFont="1" applyFill="1" applyBorder="1" applyAlignment="1">
      <alignment vertical="center"/>
    </xf>
    <xf numFmtId="3" fontId="7" fillId="0" borderId="63" xfId="4" applyNumberFormat="1" applyFont="1" applyFill="1" applyBorder="1" applyAlignment="1">
      <alignment horizontal="right" vertical="center"/>
    </xf>
    <xf numFmtId="3" fontId="33" fillId="0" borderId="9" xfId="6" applyNumberFormat="1" applyFont="1" applyFill="1" applyBorder="1" applyAlignment="1">
      <alignment vertical="center"/>
    </xf>
    <xf numFmtId="3" fontId="32" fillId="0" borderId="29" xfId="6" applyNumberFormat="1" applyFont="1" applyFill="1" applyBorder="1" applyAlignment="1">
      <alignment vertical="center"/>
    </xf>
    <xf numFmtId="3" fontId="32" fillId="0" borderId="30" xfId="6" applyNumberFormat="1" applyFont="1" applyFill="1" applyBorder="1" applyAlignment="1">
      <alignment vertical="center"/>
    </xf>
    <xf numFmtId="0" fontId="31" fillId="0" borderId="80" xfId="4" applyFont="1" applyFill="1" applyBorder="1" applyAlignment="1">
      <alignment vertical="center"/>
    </xf>
    <xf numFmtId="3" fontId="7" fillId="0" borderId="12" xfId="4" applyNumberFormat="1" applyFont="1" applyFill="1" applyBorder="1" applyAlignment="1">
      <alignment horizontal="right" vertical="center"/>
    </xf>
    <xf numFmtId="3" fontId="7" fillId="0" borderId="72" xfId="4" applyNumberFormat="1" applyFont="1" applyFill="1" applyBorder="1" applyAlignment="1">
      <alignment horizontal="right" vertical="center"/>
    </xf>
    <xf numFmtId="0" fontId="24" fillId="8" borderId="14" xfId="4" applyFont="1" applyFill="1" applyBorder="1" applyAlignment="1">
      <alignment horizontal="center" vertical="center" wrapText="1"/>
    </xf>
    <xf numFmtId="3" fontId="7" fillId="8" borderId="4" xfId="4" applyNumberFormat="1" applyFont="1" applyFill="1" applyBorder="1" applyAlignment="1">
      <alignment horizontal="right" vertical="center"/>
    </xf>
    <xf numFmtId="3" fontId="7" fillId="8" borderId="17" xfId="4" applyNumberFormat="1" applyFont="1" applyFill="1" applyBorder="1" applyAlignment="1">
      <alignment horizontal="right" vertical="center"/>
    </xf>
    <xf numFmtId="3" fontId="7" fillId="8" borderId="68" xfId="4" applyNumberFormat="1" applyFont="1" applyFill="1" applyBorder="1" applyAlignment="1">
      <alignment horizontal="right" vertical="center"/>
    </xf>
    <xf numFmtId="3" fontId="24" fillId="23" borderId="3" xfId="4" applyNumberFormat="1" applyFont="1" applyFill="1" applyBorder="1" applyAlignment="1">
      <alignment horizontal="right" vertical="center"/>
    </xf>
    <xf numFmtId="3" fontId="25" fillId="6" borderId="29" xfId="4" applyNumberFormat="1" applyFont="1" applyFill="1" applyBorder="1" applyAlignment="1">
      <alignment horizontal="right" vertical="center"/>
    </xf>
    <xf numFmtId="3" fontId="25" fillId="6" borderId="30" xfId="4" applyNumberFormat="1" applyFont="1" applyFill="1" applyBorder="1" applyAlignment="1">
      <alignment horizontal="right" vertical="center"/>
    </xf>
    <xf numFmtId="3" fontId="25" fillId="22" borderId="30" xfId="4" applyNumberFormat="1" applyFont="1" applyFill="1" applyBorder="1" applyAlignment="1">
      <alignment horizontal="right" vertical="center"/>
    </xf>
    <xf numFmtId="3" fontId="27" fillId="0" borderId="29" xfId="4" applyNumberFormat="1" applyFont="1" applyFill="1" applyBorder="1" applyAlignment="1">
      <alignment horizontal="right" vertical="center"/>
    </xf>
    <xf numFmtId="3" fontId="27" fillId="25" borderId="30" xfId="4" applyNumberFormat="1" applyFont="1" applyFill="1" applyBorder="1" applyAlignment="1">
      <alignment horizontal="right" vertical="center"/>
    </xf>
    <xf numFmtId="3" fontId="27" fillId="25" borderId="0" xfId="4" applyNumberFormat="1" applyFont="1" applyFill="1" applyBorder="1" applyAlignment="1">
      <alignment horizontal="right" vertical="center"/>
    </xf>
    <xf numFmtId="3" fontId="31" fillId="25" borderId="0" xfId="4" applyNumberFormat="1" applyFont="1" applyFill="1" applyBorder="1" applyAlignment="1">
      <alignment horizontal="right" vertical="center"/>
    </xf>
    <xf numFmtId="3" fontId="31" fillId="0" borderId="61" xfId="4" applyNumberFormat="1" applyFont="1" applyFill="1" applyBorder="1" applyAlignment="1">
      <alignment horizontal="right" vertical="center"/>
    </xf>
    <xf numFmtId="0" fontId="7" fillId="0" borderId="80" xfId="4" applyFont="1" applyFill="1" applyBorder="1" applyAlignment="1">
      <alignment vertical="center"/>
    </xf>
    <xf numFmtId="3" fontId="7" fillId="0" borderId="47" xfId="4" applyNumberFormat="1" applyFont="1" applyFill="1" applyBorder="1" applyAlignment="1">
      <alignment horizontal="right" vertical="center"/>
    </xf>
    <xf numFmtId="3" fontId="7" fillId="0" borderId="70" xfId="4" applyNumberFormat="1" applyFont="1" applyFill="1" applyBorder="1" applyAlignment="1">
      <alignment horizontal="right" vertical="center"/>
    </xf>
    <xf numFmtId="0" fontId="24" fillId="8" borderId="45" xfId="4" applyFont="1" applyFill="1" applyBorder="1" applyAlignment="1">
      <alignment vertical="center" wrapText="1"/>
    </xf>
    <xf numFmtId="3" fontId="31" fillId="0" borderId="30" xfId="4" applyNumberFormat="1" applyFont="1" applyFill="1" applyBorder="1" applyAlignment="1">
      <alignment horizontal="right" vertical="center"/>
    </xf>
    <xf numFmtId="0" fontId="7" fillId="0" borderId="74" xfId="4" applyFont="1" applyFill="1" applyBorder="1" applyAlignment="1">
      <alignment vertical="center"/>
    </xf>
    <xf numFmtId="3" fontId="31" fillId="0" borderId="47" xfId="4" applyNumberFormat="1" applyFont="1" applyFill="1" applyBorder="1" applyAlignment="1">
      <alignment horizontal="right" vertical="center"/>
    </xf>
    <xf numFmtId="3" fontId="27" fillId="0" borderId="27" xfId="4" applyNumberFormat="1" applyFont="1" applyFill="1" applyBorder="1" applyAlignment="1">
      <alignment horizontal="right" vertical="center"/>
    </xf>
    <xf numFmtId="3" fontId="27" fillId="25" borderId="29" xfId="4" applyNumberFormat="1" applyFont="1" applyFill="1" applyBorder="1" applyAlignment="1">
      <alignment horizontal="right" vertical="center"/>
    </xf>
    <xf numFmtId="0" fontId="24" fillId="6" borderId="32" xfId="4" applyFont="1" applyFill="1" applyBorder="1" applyAlignment="1">
      <alignment horizontal="left" vertical="center"/>
    </xf>
    <xf numFmtId="0" fontId="7" fillId="0" borderId="74" xfId="4" applyFont="1" applyFill="1" applyBorder="1" applyAlignment="1">
      <alignment vertical="top"/>
    </xf>
    <xf numFmtId="0" fontId="25" fillId="6" borderId="21" xfId="4" applyFont="1" applyFill="1" applyBorder="1" applyAlignment="1">
      <alignment horizontal="left" vertical="center"/>
    </xf>
    <xf numFmtId="0" fontId="27" fillId="2" borderId="32" xfId="4" applyFont="1" applyFill="1" applyBorder="1" applyAlignment="1">
      <alignment vertical="top"/>
    </xf>
    <xf numFmtId="3" fontId="7" fillId="8" borderId="9" xfId="4" applyNumberFormat="1" applyFont="1" applyFill="1" applyBorder="1" applyAlignment="1">
      <alignment horizontal="right" vertical="center"/>
    </xf>
    <xf numFmtId="3" fontId="7" fillId="8" borderId="35" xfId="4" applyNumberFormat="1" applyFont="1" applyFill="1" applyBorder="1" applyAlignment="1">
      <alignment horizontal="right" vertical="center"/>
    </xf>
    <xf numFmtId="3" fontId="31" fillId="0" borderId="29" xfId="4" applyNumberFormat="1" applyFont="1" applyFill="1" applyBorder="1" applyAlignment="1">
      <alignment horizontal="right" vertical="center"/>
    </xf>
    <xf numFmtId="3" fontId="32" fillId="0" borderId="70" xfId="6" applyNumberFormat="1" applyFont="1" applyFill="1" applyBorder="1" applyAlignment="1">
      <alignment vertical="center"/>
    </xf>
    <xf numFmtId="3" fontId="32" fillId="0" borderId="47" xfId="6" applyNumberFormat="1" applyFont="1" applyFill="1" applyBorder="1" applyAlignment="1">
      <alignment vertical="center"/>
    </xf>
    <xf numFmtId="0" fontId="18" fillId="0" borderId="42" xfId="4" applyFont="1" applyFill="1" applyBorder="1" applyAlignment="1">
      <alignment vertical="center" wrapText="1"/>
    </xf>
    <xf numFmtId="0" fontId="25" fillId="6" borderId="20" xfId="4" applyFont="1" applyFill="1" applyBorder="1" applyAlignment="1">
      <alignment horizontal="left" vertical="center"/>
    </xf>
    <xf numFmtId="3" fontId="25" fillId="22" borderId="10" xfId="4" applyNumberFormat="1" applyFont="1" applyFill="1" applyBorder="1" applyAlignment="1">
      <alignment horizontal="right" vertical="center"/>
    </xf>
    <xf numFmtId="0" fontId="7" fillId="0" borderId="36" xfId="4" applyFont="1" applyFill="1" applyBorder="1" applyAlignment="1">
      <alignment horizontal="left" vertical="center"/>
    </xf>
    <xf numFmtId="0" fontId="25" fillId="6" borderId="36" xfId="4" applyFont="1" applyFill="1" applyBorder="1" applyAlignment="1">
      <alignment horizontal="left" vertical="center"/>
    </xf>
    <xf numFmtId="3" fontId="25" fillId="8" borderId="68" xfId="4" applyNumberFormat="1" applyFont="1" applyFill="1" applyBorder="1" applyAlignment="1">
      <alignment horizontal="right" vertical="center"/>
    </xf>
    <xf numFmtId="3" fontId="25" fillId="8" borderId="2" xfId="4" applyNumberFormat="1" applyFont="1" applyFill="1" applyBorder="1" applyAlignment="1">
      <alignment horizontal="right" vertical="center"/>
    </xf>
    <xf numFmtId="3" fontId="27" fillId="0" borderId="30" xfId="4" applyNumberFormat="1" applyFont="1" applyFill="1" applyBorder="1" applyAlignment="1">
      <alignment horizontal="right" vertical="center"/>
    </xf>
    <xf numFmtId="3" fontId="24" fillId="8" borderId="4" xfId="4" applyNumberFormat="1" applyFont="1" applyFill="1" applyBorder="1" applyAlignment="1">
      <alignment horizontal="right" vertical="center"/>
    </xf>
    <xf numFmtId="3" fontId="24" fillId="8" borderId="15" xfId="4" applyNumberFormat="1" applyFont="1" applyFill="1" applyBorder="1" applyAlignment="1">
      <alignment horizontal="right" vertical="center"/>
    </xf>
    <xf numFmtId="3" fontId="24" fillId="6" borderId="9" xfId="4" applyNumberFormat="1" applyFont="1" applyFill="1" applyBorder="1" applyAlignment="1">
      <alignment vertical="center"/>
    </xf>
    <xf numFmtId="3" fontId="24" fillId="8" borderId="4" xfId="0" applyNumberFormat="1" applyFont="1" applyFill="1" applyBorder="1" applyAlignment="1">
      <alignment vertical="center"/>
    </xf>
    <xf numFmtId="3" fontId="24" fillId="8" borderId="68" xfId="0" applyNumberFormat="1" applyFont="1" applyFill="1" applyBorder="1" applyAlignment="1">
      <alignment vertical="center"/>
    </xf>
    <xf numFmtId="3" fontId="24" fillId="8" borderId="15" xfId="0" applyNumberFormat="1" applyFont="1" applyFill="1" applyBorder="1" applyAlignment="1">
      <alignment vertical="center"/>
    </xf>
    <xf numFmtId="3" fontId="24" fillId="6" borderId="30" xfId="0" applyNumberFormat="1" applyFont="1" applyFill="1" applyBorder="1" applyAlignment="1">
      <alignment horizontal="right" vertical="center"/>
    </xf>
    <xf numFmtId="3" fontId="27" fillId="0" borderId="30" xfId="0" applyNumberFormat="1" applyFont="1" applyFill="1" applyBorder="1" applyAlignment="1">
      <alignment horizontal="right" vertical="center"/>
    </xf>
    <xf numFmtId="3" fontId="29" fillId="0" borderId="30" xfId="0" applyNumberFormat="1" applyFont="1" applyFill="1" applyBorder="1" applyAlignment="1">
      <alignment horizontal="right" vertical="center"/>
    </xf>
    <xf numFmtId="3" fontId="27" fillId="0" borderId="29" xfId="0" applyNumberFormat="1" applyFont="1" applyFill="1" applyBorder="1" applyAlignment="1">
      <alignment horizontal="right" vertical="center"/>
    </xf>
    <xf numFmtId="3" fontId="29" fillId="25" borderId="29" xfId="4" applyNumberFormat="1" applyFont="1" applyFill="1" applyBorder="1" applyAlignment="1">
      <alignment horizontal="right" vertical="center"/>
    </xf>
    <xf numFmtId="3" fontId="27" fillId="0" borderId="27" xfId="0" applyNumberFormat="1" applyFont="1" applyFill="1" applyBorder="1" applyAlignment="1">
      <alignment horizontal="right" vertical="center"/>
    </xf>
    <xf numFmtId="3" fontId="7" fillId="0" borderId="35" xfId="0" applyNumberFormat="1" applyFont="1" applyFill="1" applyBorder="1" applyAlignment="1">
      <alignment horizontal="right" vertical="center"/>
    </xf>
    <xf numFmtId="3" fontId="31" fillId="0" borderId="27" xfId="0" applyNumberFormat="1" applyFont="1" applyFill="1" applyBorder="1" applyAlignment="1">
      <alignment horizontal="right" vertical="center"/>
    </xf>
    <xf numFmtId="3" fontId="31" fillId="0" borderId="12" xfId="0" applyNumberFormat="1" applyFont="1" applyFill="1" applyBorder="1" applyAlignment="1">
      <alignment horizontal="right" vertical="center"/>
    </xf>
    <xf numFmtId="0" fontId="24" fillId="13" borderId="19" xfId="4" applyFont="1" applyFill="1" applyBorder="1" applyAlignment="1">
      <alignment vertical="center" wrapText="1"/>
    </xf>
    <xf numFmtId="0" fontId="7" fillId="13" borderId="17" xfId="4" applyFont="1" applyFill="1" applyBorder="1" applyAlignment="1">
      <alignment horizontal="right" vertical="center"/>
    </xf>
    <xf numFmtId="3" fontId="7" fillId="13" borderId="68" xfId="4" applyNumberFormat="1" applyFont="1" applyFill="1" applyBorder="1" applyAlignment="1">
      <alignment horizontal="right" vertical="center"/>
    </xf>
    <xf numFmtId="3" fontId="7" fillId="24" borderId="3" xfId="4" applyNumberFormat="1" applyFont="1" applyFill="1" applyBorder="1" applyAlignment="1">
      <alignment horizontal="right" vertical="center"/>
    </xf>
    <xf numFmtId="3" fontId="24" fillId="6" borderId="9" xfId="4" applyNumberFormat="1" applyFont="1" applyFill="1" applyBorder="1" applyAlignment="1">
      <alignment horizontal="right" vertical="center"/>
    </xf>
    <xf numFmtId="0" fontId="29" fillId="13" borderId="36" xfId="4" applyFont="1" applyFill="1" applyBorder="1" applyAlignment="1">
      <alignment horizontal="left" vertical="center"/>
    </xf>
    <xf numFmtId="0" fontId="29" fillId="13" borderId="20" xfId="4" applyFont="1" applyFill="1" applyBorder="1" applyAlignment="1">
      <alignment horizontal="left" vertical="center"/>
    </xf>
    <xf numFmtId="3" fontId="27" fillId="13" borderId="29" xfId="4" applyNumberFormat="1" applyFont="1" applyFill="1" applyBorder="1" applyAlignment="1">
      <alignment horizontal="right" vertical="center"/>
    </xf>
    <xf numFmtId="3" fontId="18" fillId="13" borderId="43" xfId="4" applyNumberFormat="1" applyFont="1" applyFill="1" applyBorder="1" applyAlignment="1">
      <alignment horizontal="center" vertical="center" wrapText="1"/>
    </xf>
    <xf numFmtId="3" fontId="7" fillId="13" borderId="23" xfId="4" applyNumberFormat="1" applyFont="1" applyFill="1" applyBorder="1" applyAlignment="1">
      <alignment horizontal="right" vertical="center"/>
    </xf>
    <xf numFmtId="0" fontId="18" fillId="13" borderId="41" xfId="4" applyFont="1" applyFill="1" applyBorder="1" applyAlignment="1">
      <alignment horizontal="center" vertical="center" wrapText="1"/>
    </xf>
    <xf numFmtId="3" fontId="23" fillId="6" borderId="29" xfId="6" applyNumberFormat="1" applyFont="1" applyFill="1" applyBorder="1" applyAlignment="1">
      <alignment horizontal="right" vertical="center"/>
    </xf>
    <xf numFmtId="3" fontId="33" fillId="0" borderId="29" xfId="6" applyNumberFormat="1" applyFont="1" applyFill="1" applyBorder="1" applyAlignment="1">
      <alignment horizontal="right" vertical="center"/>
    </xf>
    <xf numFmtId="3" fontId="33" fillId="8" borderId="3" xfId="6" applyNumberFormat="1" applyFont="1" applyFill="1" applyBorder="1" applyAlignment="1">
      <alignment horizontal="right" vertical="center"/>
    </xf>
    <xf numFmtId="0" fontId="24" fillId="27" borderId="45" xfId="4" applyFont="1" applyFill="1" applyBorder="1" applyAlignment="1">
      <alignment vertical="center" wrapText="1"/>
    </xf>
    <xf numFmtId="3" fontId="24" fillId="6" borderId="29" xfId="0" applyNumberFormat="1" applyFont="1" applyFill="1" applyBorder="1" applyAlignment="1">
      <alignment horizontal="right" vertical="center"/>
    </xf>
    <xf numFmtId="3" fontId="25" fillId="25" borderId="29" xfId="4" applyNumberFormat="1" applyFont="1" applyFill="1" applyBorder="1" applyAlignment="1">
      <alignment horizontal="right" vertical="center"/>
    </xf>
    <xf numFmtId="0" fontId="7" fillId="13" borderId="28" xfId="4" applyFont="1" applyFill="1" applyBorder="1" applyAlignment="1">
      <alignment horizontal="left" vertical="center"/>
    </xf>
    <xf numFmtId="3" fontId="29" fillId="13" borderId="9" xfId="4" applyNumberFormat="1" applyFont="1" applyFill="1" applyBorder="1" applyAlignment="1">
      <alignment horizontal="right" vertical="center"/>
    </xf>
    <xf numFmtId="0" fontId="7" fillId="0" borderId="21" xfId="0" applyFont="1" applyFill="1" applyBorder="1" applyAlignment="1">
      <alignment horizontal="left" vertical="center"/>
    </xf>
    <xf numFmtId="3" fontId="31" fillId="0" borderId="13" xfId="0" applyNumberFormat="1" applyFont="1" applyFill="1" applyBorder="1" applyAlignment="1">
      <alignment horizontal="right" vertical="center"/>
    </xf>
    <xf numFmtId="0" fontId="25" fillId="6" borderId="81" xfId="4" applyFont="1" applyFill="1" applyBorder="1" applyAlignment="1">
      <alignment horizontal="left" vertical="center"/>
    </xf>
    <xf numFmtId="3" fontId="24" fillId="6" borderId="28" xfId="0" applyNumberFormat="1" applyFont="1" applyFill="1" applyBorder="1" applyAlignment="1">
      <alignment horizontal="right" vertical="center"/>
    </xf>
    <xf numFmtId="3" fontId="27" fillId="13" borderId="28" xfId="4" applyNumberFormat="1" applyFont="1" applyFill="1" applyBorder="1" applyAlignment="1">
      <alignment horizontal="right" vertical="center"/>
    </xf>
    <xf numFmtId="3" fontId="7" fillId="13" borderId="28" xfId="4" applyNumberFormat="1" applyFont="1" applyFill="1" applyBorder="1" applyAlignment="1">
      <alignment horizontal="right" vertical="center"/>
    </xf>
    <xf numFmtId="3" fontId="29" fillId="13" borderId="28" xfId="4" applyNumberFormat="1" applyFont="1" applyFill="1" applyBorder="1" applyAlignment="1">
      <alignment horizontal="right" vertical="center"/>
    </xf>
    <xf numFmtId="0" fontId="16" fillId="2" borderId="25" xfId="4" applyFont="1" applyFill="1" applyBorder="1" applyAlignment="1">
      <alignment vertical="center"/>
    </xf>
    <xf numFmtId="0" fontId="34" fillId="2" borderId="66" xfId="4" applyFont="1" applyFill="1" applyBorder="1" applyAlignment="1">
      <alignment vertical="center"/>
    </xf>
    <xf numFmtId="0" fontId="34" fillId="2" borderId="24" xfId="4" applyFont="1" applyFill="1" applyBorder="1" applyAlignment="1">
      <alignment vertical="center"/>
    </xf>
    <xf numFmtId="3" fontId="34" fillId="2" borderId="24" xfId="4" applyNumberFormat="1" applyFont="1" applyFill="1" applyBorder="1" applyAlignment="1">
      <alignment vertical="center"/>
    </xf>
    <xf numFmtId="0" fontId="34" fillId="2" borderId="67" xfId="4" applyFont="1" applyFill="1" applyBorder="1" applyAlignment="1">
      <alignment horizontal="right" vertical="center" wrapText="1"/>
    </xf>
    <xf numFmtId="3" fontId="32" fillId="8" borderId="29" xfId="6" applyNumberFormat="1" applyFont="1" applyFill="1" applyBorder="1" applyAlignment="1">
      <alignment vertical="center"/>
    </xf>
    <xf numFmtId="0" fontId="20" fillId="2" borderId="5" xfId="0" applyFont="1" applyFill="1" applyBorder="1" applyAlignment="1">
      <alignment horizontal="center" vertical="top"/>
    </xf>
    <xf numFmtId="0" fontId="20" fillId="2" borderId="11" xfId="0" applyFont="1" applyFill="1" applyBorder="1" applyAlignment="1">
      <alignment horizontal="center" vertical="top"/>
    </xf>
    <xf numFmtId="0" fontId="17" fillId="8" borderId="11" xfId="0" applyFont="1" applyFill="1" applyBorder="1" applyAlignment="1">
      <alignment vertical="center"/>
    </xf>
    <xf numFmtId="3" fontId="27" fillId="21" borderId="35" xfId="4" applyNumberFormat="1" applyFont="1" applyFill="1" applyBorder="1" applyAlignment="1">
      <alignment horizontal="right" vertical="center"/>
    </xf>
    <xf numFmtId="3" fontId="7" fillId="28" borderId="65" xfId="0" applyNumberFormat="1" applyFont="1" applyFill="1" applyBorder="1" applyAlignment="1">
      <alignment horizontal="center" vertical="top" wrapText="1"/>
    </xf>
    <xf numFmtId="3" fontId="27" fillId="21" borderId="12" xfId="4" applyNumberFormat="1" applyFont="1" applyFill="1" applyBorder="1" applyAlignment="1">
      <alignment horizontal="right" vertical="center"/>
    </xf>
    <xf numFmtId="0" fontId="24" fillId="28" borderId="11" xfId="0" applyFont="1" applyFill="1" applyBorder="1" applyAlignment="1">
      <alignment vertical="top"/>
    </xf>
    <xf numFmtId="0" fontId="24" fillId="6" borderId="19" xfId="4" applyFont="1" applyFill="1" applyBorder="1" applyAlignment="1">
      <alignment horizontal="left" vertical="center"/>
    </xf>
    <xf numFmtId="0" fontId="24" fillId="6" borderId="16" xfId="4" applyFont="1" applyFill="1" applyBorder="1" applyAlignment="1">
      <alignment horizontal="left" vertical="center"/>
    </xf>
    <xf numFmtId="3" fontId="24" fillId="29" borderId="68" xfId="0" applyNumberFormat="1" applyFont="1" applyFill="1" applyBorder="1" applyAlignment="1">
      <alignment vertical="center"/>
    </xf>
    <xf numFmtId="0" fontId="29" fillId="8" borderId="36" xfId="4" applyFont="1" applyFill="1" applyBorder="1" applyAlignment="1">
      <alignment vertical="center"/>
    </xf>
    <xf numFmtId="0" fontId="7" fillId="8" borderId="28" xfId="0" applyFont="1" applyFill="1" applyBorder="1" applyAlignment="1">
      <alignment vertical="center" wrapText="1"/>
    </xf>
    <xf numFmtId="0" fontId="17" fillId="28" borderId="11" xfId="0" applyFont="1" applyFill="1" applyBorder="1" applyAlignment="1">
      <alignment vertical="top"/>
    </xf>
    <xf numFmtId="0" fontId="7" fillId="8" borderId="36" xfId="4" applyFont="1" applyFill="1" applyBorder="1" applyAlignment="1">
      <alignment vertical="center"/>
    </xf>
    <xf numFmtId="3" fontId="7" fillId="28" borderId="8" xfId="0" applyNumberFormat="1" applyFont="1" applyFill="1" applyBorder="1" applyAlignment="1">
      <alignment vertical="center" wrapText="1"/>
    </xf>
    <xf numFmtId="0" fontId="29" fillId="8" borderId="32" xfId="4" applyFont="1" applyFill="1" applyBorder="1" applyAlignment="1">
      <alignment vertical="center"/>
    </xf>
    <xf numFmtId="0" fontId="24" fillId="8" borderId="28" xfId="0" applyFont="1" applyFill="1" applyBorder="1" applyAlignment="1">
      <alignment vertical="center"/>
    </xf>
    <xf numFmtId="3" fontId="29" fillId="8" borderId="9" xfId="0" applyNumberFormat="1" applyFont="1" applyFill="1" applyBorder="1" applyAlignment="1">
      <alignment vertical="center"/>
    </xf>
    <xf numFmtId="0" fontId="17" fillId="8" borderId="11" xfId="0" applyFont="1" applyFill="1" applyBorder="1" applyAlignment="1">
      <alignment vertical="top"/>
    </xf>
    <xf numFmtId="0" fontId="17" fillId="8" borderId="25" xfId="0" applyFont="1" applyFill="1" applyBorder="1" applyAlignment="1">
      <alignment vertical="top"/>
    </xf>
    <xf numFmtId="0" fontId="7" fillId="8" borderId="37" xfId="0" applyFont="1" applyFill="1" applyBorder="1" applyAlignment="1">
      <alignment vertical="top" wrapText="1"/>
    </xf>
    <xf numFmtId="3" fontId="7" fillId="28" borderId="47" xfId="0" applyNumberFormat="1" applyFont="1" applyFill="1" applyBorder="1" applyAlignment="1">
      <alignment vertical="center"/>
    </xf>
    <xf numFmtId="0" fontId="25" fillId="8" borderId="5" xfId="0" applyFont="1" applyFill="1" applyBorder="1" applyAlignment="1">
      <alignment vertical="center" wrapText="1"/>
    </xf>
    <xf numFmtId="0" fontId="25" fillId="8" borderId="14" xfId="0" applyFont="1" applyFill="1" applyBorder="1" applyAlignment="1">
      <alignment horizontal="center" vertical="center" wrapText="1"/>
    </xf>
    <xf numFmtId="3" fontId="27" fillId="2" borderId="32" xfId="4" applyNumberFormat="1" applyFont="1" applyFill="1" applyBorder="1" applyAlignment="1">
      <alignment vertical="center" wrapText="1"/>
    </xf>
    <xf numFmtId="0" fontId="31" fillId="0" borderId="21" xfId="0" applyFont="1" applyFill="1" applyBorder="1" applyAlignment="1">
      <alignment vertical="top"/>
    </xf>
    <xf numFmtId="3" fontId="31" fillId="0" borderId="9" xfId="0" applyNumberFormat="1" applyFont="1" applyFill="1" applyBorder="1" applyAlignment="1">
      <alignment vertical="top"/>
    </xf>
    <xf numFmtId="0" fontId="7" fillId="6" borderId="28" xfId="0" applyFont="1" applyFill="1" applyBorder="1" applyAlignment="1">
      <alignment horizontal="left" vertical="center" wrapText="1"/>
    </xf>
    <xf numFmtId="3" fontId="27" fillId="2" borderId="81" xfId="4" applyNumberFormat="1" applyFont="1" applyFill="1" applyBorder="1" applyAlignment="1">
      <alignment vertical="center" wrapText="1"/>
    </xf>
    <xf numFmtId="0" fontId="31" fillId="0" borderId="82" xfId="0" applyFont="1" applyFill="1" applyBorder="1" applyAlignment="1">
      <alignment vertical="top"/>
    </xf>
    <xf numFmtId="3" fontId="31" fillId="0" borderId="47" xfId="0" applyNumberFormat="1" applyFont="1" applyFill="1" applyBorder="1" applyAlignment="1">
      <alignment horizontal="right" vertical="center"/>
    </xf>
    <xf numFmtId="0" fontId="7" fillId="6" borderId="20" xfId="0" applyFont="1" applyFill="1" applyBorder="1" applyAlignment="1">
      <alignment horizontal="left" vertical="center" wrapText="1"/>
    </xf>
    <xf numFmtId="3" fontId="21" fillId="0" borderId="0" xfId="0" applyNumberFormat="1" applyFont="1" applyFill="1" applyBorder="1" applyAlignment="1">
      <alignment vertical="top"/>
    </xf>
    <xf numFmtId="3" fontId="21" fillId="0" borderId="0" xfId="0" applyNumberFormat="1" applyFont="1" applyFill="1" applyBorder="1" applyAlignment="1">
      <alignment horizontal="right" vertical="center"/>
    </xf>
    <xf numFmtId="0" fontId="25" fillId="6" borderId="19" xfId="4" applyFont="1" applyFill="1" applyBorder="1" applyAlignment="1">
      <alignment horizontal="left" vertical="center"/>
    </xf>
    <xf numFmtId="0" fontId="25" fillId="6" borderId="16" xfId="4" applyFont="1" applyFill="1" applyBorder="1" applyAlignment="1">
      <alignment horizontal="left" vertical="center"/>
    </xf>
    <xf numFmtId="0" fontId="27" fillId="8" borderId="36" xfId="4" applyFont="1" applyFill="1" applyBorder="1" applyAlignment="1">
      <alignment vertical="center"/>
    </xf>
    <xf numFmtId="0" fontId="24" fillId="8" borderId="19" xfId="0" applyFont="1" applyFill="1" applyBorder="1" applyAlignment="1">
      <alignment vertical="center" wrapText="1"/>
    </xf>
    <xf numFmtId="0" fontId="7" fillId="8" borderId="18" xfId="0" applyFont="1" applyFill="1" applyBorder="1" applyAlignment="1">
      <alignment vertical="top"/>
    </xf>
    <xf numFmtId="3" fontId="7" fillId="8" borderId="76" xfId="0" applyNumberFormat="1" applyFont="1" applyFill="1" applyBorder="1" applyAlignment="1">
      <alignment vertical="top"/>
    </xf>
    <xf numFmtId="0" fontId="24" fillId="6" borderId="21" xfId="4" applyFont="1" applyFill="1" applyBorder="1" applyAlignment="1">
      <alignment horizontal="left" vertical="center"/>
    </xf>
    <xf numFmtId="0" fontId="25" fillId="6" borderId="9" xfId="4" applyFont="1" applyFill="1" applyBorder="1" applyAlignment="1">
      <alignment horizontal="left" vertical="center"/>
    </xf>
    <xf numFmtId="0" fontId="30" fillId="8" borderId="11" xfId="0" applyFont="1" applyFill="1" applyBorder="1" applyAlignment="1">
      <alignment vertical="top"/>
    </xf>
    <xf numFmtId="3" fontId="24" fillId="22" borderId="68" xfId="0" applyNumberFormat="1" applyFont="1" applyFill="1" applyBorder="1" applyAlignment="1">
      <alignment vertical="center"/>
    </xf>
    <xf numFmtId="0" fontId="16" fillId="2" borderId="84" xfId="0" applyFont="1" applyFill="1" applyBorder="1" applyAlignment="1">
      <alignment vertical="center"/>
    </xf>
    <xf numFmtId="0" fontId="34" fillId="2" borderId="51" xfId="0" applyFont="1" applyFill="1" applyBorder="1" applyAlignment="1">
      <alignment vertical="top"/>
    </xf>
    <xf numFmtId="0" fontId="34" fillId="0" borderId="77" xfId="0" applyFont="1" applyFill="1" applyBorder="1" applyAlignment="1">
      <alignment vertical="top"/>
    </xf>
    <xf numFmtId="3" fontId="24" fillId="29" borderId="35" xfId="0" applyNumberFormat="1" applyFont="1" applyFill="1" applyBorder="1" applyAlignment="1">
      <alignment vertical="center"/>
    </xf>
    <xf numFmtId="0" fontId="20" fillId="8" borderId="11" xfId="0" applyFont="1" applyFill="1" applyBorder="1" applyAlignment="1">
      <alignment vertical="center"/>
    </xf>
    <xf numFmtId="0" fontId="25" fillId="6" borderId="8" xfId="4" applyFont="1" applyFill="1" applyBorder="1" applyAlignment="1">
      <alignment horizontal="left" vertical="center"/>
    </xf>
    <xf numFmtId="3" fontId="24" fillId="6" borderId="29" xfId="4" applyNumberFormat="1" applyFont="1" applyFill="1" applyBorder="1" applyAlignment="1">
      <alignment vertical="center"/>
    </xf>
    <xf numFmtId="3" fontId="24" fillId="6" borderId="30" xfId="4" applyNumberFormat="1" applyFont="1" applyFill="1" applyBorder="1" applyAlignment="1">
      <alignment vertical="center"/>
    </xf>
    <xf numFmtId="0" fontId="18" fillId="0" borderId="0" xfId="0" applyFont="1" applyAlignment="1">
      <alignment vertical="center"/>
    </xf>
    <xf numFmtId="3" fontId="18" fillId="0" borderId="0" xfId="0" applyNumberFormat="1" applyFont="1" applyAlignment="1">
      <alignment vertical="center"/>
    </xf>
    <xf numFmtId="3" fontId="7" fillId="0" borderId="35" xfId="4" applyNumberFormat="1" applyFont="1" applyFill="1" applyBorder="1" applyAlignment="1">
      <alignment horizontal="right" vertical="center"/>
    </xf>
    <xf numFmtId="3" fontId="7" fillId="0" borderId="0" xfId="4" applyNumberFormat="1" applyFont="1" applyFill="1" applyBorder="1" applyAlignment="1">
      <alignment horizontal="right" vertical="center"/>
    </xf>
    <xf numFmtId="3" fontId="7" fillId="0" borderId="39" xfId="4" applyNumberFormat="1" applyFont="1" applyFill="1" applyBorder="1" applyAlignment="1">
      <alignment horizontal="right" vertical="center"/>
    </xf>
    <xf numFmtId="3" fontId="7" fillId="0" borderId="50" xfId="4" applyNumberFormat="1" applyFont="1" applyFill="1" applyBorder="1" applyAlignment="1">
      <alignment horizontal="right" vertical="center"/>
    </xf>
    <xf numFmtId="3" fontId="25" fillId="6" borderId="9" xfId="4" applyNumberFormat="1" applyFont="1" applyFill="1" applyBorder="1" applyAlignment="1">
      <alignment horizontal="right" vertical="center"/>
    </xf>
    <xf numFmtId="0" fontId="24" fillId="27" borderId="5" xfId="4" applyFont="1" applyFill="1" applyBorder="1" applyAlignment="1">
      <alignment vertical="center" wrapText="1"/>
    </xf>
    <xf numFmtId="0" fontId="27" fillId="50" borderId="45" xfId="4" applyFont="1" applyFill="1" applyBorder="1" applyAlignment="1">
      <alignment horizontal="left" vertical="center"/>
    </xf>
    <xf numFmtId="0" fontId="27" fillId="50" borderId="16" xfId="4" applyFont="1" applyFill="1" applyBorder="1" applyAlignment="1">
      <alignment horizontal="left" vertical="center"/>
    </xf>
    <xf numFmtId="3" fontId="27" fillId="50" borderId="17" xfId="4" applyNumberFormat="1" applyFont="1" applyFill="1" applyBorder="1" applyAlignment="1">
      <alignment horizontal="right" vertical="center"/>
    </xf>
    <xf numFmtId="0" fontId="27" fillId="50" borderId="65" xfId="4" applyFont="1" applyFill="1" applyBorder="1" applyAlignment="1">
      <alignment horizontal="left" vertical="center"/>
    </xf>
    <xf numFmtId="0" fontId="27" fillId="50" borderId="6" xfId="4" applyFont="1" applyFill="1" applyBorder="1" applyAlignment="1">
      <alignment horizontal="left" vertical="center"/>
    </xf>
    <xf numFmtId="3" fontId="27" fillId="50" borderId="27" xfId="4" applyNumberFormat="1" applyFont="1" applyFill="1" applyBorder="1" applyAlignment="1">
      <alignment horizontal="right" vertical="center"/>
    </xf>
    <xf numFmtId="0" fontId="27" fillId="50" borderId="65" xfId="0" applyFont="1" applyFill="1" applyBorder="1" applyAlignment="1">
      <alignment horizontal="left" vertical="top"/>
    </xf>
    <xf numFmtId="0" fontId="28" fillId="50" borderId="6" xfId="0" quotePrefix="1" applyFont="1" applyFill="1" applyBorder="1" applyAlignment="1">
      <alignment horizontal="center" vertical="top"/>
    </xf>
    <xf numFmtId="3" fontId="27" fillId="50" borderId="27" xfId="0" quotePrefix="1" applyNumberFormat="1" applyFont="1" applyFill="1" applyBorder="1" applyAlignment="1">
      <alignment horizontal="right" vertical="top"/>
    </xf>
    <xf numFmtId="0" fontId="27" fillId="50" borderId="34" xfId="4" applyFont="1" applyFill="1" applyBorder="1" applyAlignment="1">
      <alignment horizontal="left" vertical="center"/>
    </xf>
    <xf numFmtId="3" fontId="27" fillId="50" borderId="29" xfId="4" applyNumberFormat="1" applyFont="1" applyFill="1" applyBorder="1" applyAlignment="1">
      <alignment horizontal="right" vertical="center"/>
    </xf>
    <xf numFmtId="0" fontId="27" fillId="50" borderId="36" xfId="4" applyFont="1" applyFill="1" applyBorder="1" applyAlignment="1">
      <alignment horizontal="left" vertical="center"/>
    </xf>
    <xf numFmtId="0" fontId="27" fillId="50" borderId="20" xfId="4" applyFont="1" applyFill="1" applyBorder="1" applyAlignment="1">
      <alignment horizontal="left" vertical="center"/>
    </xf>
    <xf numFmtId="3" fontId="27" fillId="50" borderId="9" xfId="4" applyNumberFormat="1" applyFont="1" applyFill="1" applyBorder="1" applyAlignment="1">
      <alignment horizontal="right" vertical="center"/>
    </xf>
    <xf numFmtId="0" fontId="27" fillId="50" borderId="46" xfId="0" applyFont="1" applyFill="1" applyBorder="1" applyAlignment="1">
      <alignment horizontal="left" vertical="top"/>
    </xf>
    <xf numFmtId="3" fontId="27" fillId="50" borderId="23" xfId="0" quotePrefix="1" applyNumberFormat="1" applyFont="1" applyFill="1" applyBorder="1" applyAlignment="1">
      <alignment horizontal="right" vertical="top"/>
    </xf>
    <xf numFmtId="0" fontId="27" fillId="50" borderId="11" xfId="4" applyFont="1" applyFill="1" applyBorder="1" applyAlignment="1">
      <alignment horizontal="left" vertical="center"/>
    </xf>
    <xf numFmtId="0" fontId="27" fillId="50" borderId="25" xfId="0" applyFont="1" applyFill="1" applyBorder="1" applyAlignment="1">
      <alignment horizontal="left" vertical="top"/>
    </xf>
    <xf numFmtId="3" fontId="29" fillId="2" borderId="32" xfId="4" applyNumberFormat="1" applyFont="1" applyFill="1" applyBorder="1" applyAlignment="1">
      <alignment vertical="center" wrapText="1"/>
    </xf>
    <xf numFmtId="3" fontId="31" fillId="0" borderId="13" xfId="0" applyNumberFormat="1" applyFont="1" applyFill="1" applyBorder="1" applyAlignment="1">
      <alignment vertical="top"/>
    </xf>
    <xf numFmtId="3" fontId="33" fillId="8" borderId="29" xfId="6" applyNumberFormat="1" applyFont="1" applyFill="1" applyBorder="1" applyAlignment="1">
      <alignment vertical="center"/>
    </xf>
    <xf numFmtId="0" fontId="0" fillId="0" borderId="0" xfId="0" applyFont="1" applyAlignment="1">
      <alignment vertical="center"/>
    </xf>
    <xf numFmtId="3" fontId="24" fillId="6" borderId="35" xfId="4" applyNumberFormat="1" applyFont="1" applyFill="1" applyBorder="1" applyAlignment="1">
      <alignment vertical="center"/>
    </xf>
    <xf numFmtId="3" fontId="25" fillId="6" borderId="30" xfId="4" applyNumberFormat="1" applyFont="1" applyFill="1" applyBorder="1" applyAlignment="1">
      <alignment vertical="center"/>
    </xf>
    <xf numFmtId="0" fontId="27" fillId="50" borderId="19" xfId="4" applyFont="1" applyFill="1" applyBorder="1" applyAlignment="1">
      <alignment horizontal="left" vertical="center"/>
    </xf>
    <xf numFmtId="3" fontId="24" fillId="8" borderId="3" xfId="4" applyNumberFormat="1" applyFont="1" applyFill="1" applyBorder="1" applyAlignment="1">
      <alignment horizontal="right" vertical="center"/>
    </xf>
    <xf numFmtId="3" fontId="31" fillId="0" borderId="70" xfId="4" applyNumberFormat="1" applyFont="1" applyFill="1" applyBorder="1" applyAlignment="1">
      <alignment horizontal="right" vertical="center"/>
    </xf>
    <xf numFmtId="3" fontId="25" fillId="22" borderId="69" xfId="4" applyNumberFormat="1" applyFont="1" applyFill="1" applyBorder="1" applyAlignment="1">
      <alignment horizontal="right" vertical="center"/>
    </xf>
    <xf numFmtId="3" fontId="27" fillId="25" borderId="31" xfId="4" applyNumberFormat="1" applyFont="1" applyFill="1" applyBorder="1" applyAlignment="1">
      <alignment horizontal="right" vertical="center"/>
    </xf>
    <xf numFmtId="3" fontId="31" fillId="25" borderId="62" xfId="4" applyNumberFormat="1" applyFont="1" applyFill="1" applyBorder="1" applyAlignment="1">
      <alignment horizontal="right" vertical="center"/>
    </xf>
    <xf numFmtId="3" fontId="27" fillId="0" borderId="0" xfId="4" applyNumberFormat="1" applyFont="1" applyFill="1" applyBorder="1" applyAlignment="1">
      <alignment horizontal="right" vertical="center"/>
    </xf>
    <xf numFmtId="3" fontId="31" fillId="0" borderId="0" xfId="4" applyNumberFormat="1" applyFont="1" applyFill="1" applyBorder="1" applyAlignment="1">
      <alignment horizontal="right" vertical="center"/>
    </xf>
    <xf numFmtId="3" fontId="25" fillId="6" borderId="8" xfId="4" applyNumberFormat="1" applyFont="1" applyFill="1" applyBorder="1" applyAlignment="1">
      <alignment horizontal="right" vertical="center"/>
    </xf>
    <xf numFmtId="3" fontId="7" fillId="0" borderId="62" xfId="4" applyNumberFormat="1" applyFont="1" applyFill="1" applyBorder="1" applyAlignment="1">
      <alignment horizontal="right" vertical="center"/>
    </xf>
    <xf numFmtId="3" fontId="31" fillId="0" borderId="63" xfId="4" applyNumberFormat="1" applyFont="1" applyFill="1" applyBorder="1" applyAlignment="1">
      <alignment vertical="center"/>
    </xf>
    <xf numFmtId="3" fontId="8" fillId="0" borderId="29" xfId="0" applyNumberFormat="1" applyFont="1" applyFill="1" applyBorder="1" applyAlignment="1">
      <alignment vertical="center" wrapText="1"/>
    </xf>
    <xf numFmtId="3" fontId="8" fillId="2" borderId="9" xfId="0" applyNumberFormat="1" applyFont="1" applyFill="1" applyBorder="1" applyAlignment="1">
      <alignment vertical="center" wrapText="1"/>
    </xf>
    <xf numFmtId="3" fontId="7" fillId="13" borderId="47" xfId="4" applyNumberFormat="1" applyFont="1" applyFill="1" applyBorder="1" applyAlignment="1">
      <alignment horizontal="right" vertical="center"/>
    </xf>
    <xf numFmtId="3" fontId="7" fillId="13" borderId="70" xfId="4" applyNumberFormat="1" applyFont="1" applyFill="1" applyBorder="1" applyAlignment="1">
      <alignment horizontal="right" vertical="center"/>
    </xf>
    <xf numFmtId="0" fontId="11" fillId="0" borderId="0" xfId="0" applyFont="1" applyFill="1" applyAlignment="1">
      <alignment vertical="center"/>
    </xf>
    <xf numFmtId="3" fontId="24" fillId="8" borderId="7" xfId="4" applyNumberFormat="1" applyFont="1" applyFill="1" applyBorder="1" applyAlignment="1">
      <alignment horizontal="right" vertical="center"/>
    </xf>
    <xf numFmtId="3" fontId="24" fillId="23" borderId="7" xfId="4" applyNumberFormat="1" applyFont="1" applyFill="1" applyBorder="1" applyAlignment="1">
      <alignment horizontal="right" vertical="center"/>
    </xf>
    <xf numFmtId="3" fontId="22" fillId="0" borderId="0" xfId="0" applyNumberFormat="1" applyFont="1" applyAlignment="1">
      <alignment vertical="center"/>
    </xf>
    <xf numFmtId="0" fontId="22" fillId="0" borderId="0" xfId="0" applyFont="1" applyAlignment="1">
      <alignment vertical="center"/>
    </xf>
    <xf numFmtId="0" fontId="7" fillId="8" borderId="17" xfId="0" applyFont="1" applyFill="1" applyBorder="1" applyAlignment="1">
      <alignment vertical="top"/>
    </xf>
    <xf numFmtId="0" fontId="24" fillId="8" borderId="6" xfId="0" applyFont="1" applyFill="1" applyBorder="1" applyAlignment="1">
      <alignment horizontal="center" vertical="center" wrapText="1"/>
    </xf>
    <xf numFmtId="0" fontId="32" fillId="0" borderId="20" xfId="0" applyFont="1" applyBorder="1" applyAlignment="1">
      <alignment vertical="center" wrapText="1"/>
    </xf>
    <xf numFmtId="0" fontId="7" fillId="27" borderId="32" xfId="4" applyFont="1" applyFill="1" applyBorder="1" applyAlignment="1">
      <alignment vertical="center" wrapText="1"/>
    </xf>
    <xf numFmtId="0" fontId="7" fillId="13" borderId="21" xfId="4" applyFont="1" applyFill="1" applyBorder="1" applyAlignment="1">
      <alignment vertical="center"/>
    </xf>
    <xf numFmtId="43" fontId="33" fillId="0" borderId="9" xfId="1" applyFont="1" applyFill="1" applyBorder="1" applyAlignment="1">
      <alignment vertical="center"/>
    </xf>
    <xf numFmtId="0" fontId="24" fillId="8" borderId="82" xfId="0" applyFont="1" applyFill="1" applyBorder="1" applyAlignment="1">
      <alignment vertical="center" wrapText="1"/>
    </xf>
    <xf numFmtId="0" fontId="25" fillId="6" borderId="30" xfId="4" applyFont="1" applyFill="1" applyBorder="1" applyAlignment="1">
      <alignment vertical="center"/>
    </xf>
    <xf numFmtId="0" fontId="25" fillId="6" borderId="31" xfId="4" applyFont="1" applyFill="1" applyBorder="1" applyAlignment="1">
      <alignment vertical="center"/>
    </xf>
    <xf numFmtId="3" fontId="33" fillId="32" borderId="30" xfId="6" applyNumberFormat="1" applyFont="1" applyFill="1" applyBorder="1" applyAlignment="1">
      <alignment horizontal="right" vertical="center"/>
    </xf>
    <xf numFmtId="3" fontId="27" fillId="32" borderId="30" xfId="4" applyNumberFormat="1" applyFont="1" applyFill="1" applyBorder="1" applyAlignment="1">
      <alignment horizontal="right" vertical="center"/>
    </xf>
    <xf numFmtId="3" fontId="27" fillId="32" borderId="63" xfId="4" applyNumberFormat="1" applyFont="1" applyFill="1" applyBorder="1" applyAlignment="1">
      <alignment horizontal="right" vertical="center"/>
    </xf>
    <xf numFmtId="3" fontId="32" fillId="32" borderId="30" xfId="6" applyNumberFormat="1" applyFont="1" applyFill="1" applyBorder="1" applyAlignment="1">
      <alignment horizontal="right" vertical="center"/>
    </xf>
    <xf numFmtId="3" fontId="7" fillId="32" borderId="30" xfId="4" applyNumberFormat="1" applyFont="1" applyFill="1" applyBorder="1" applyAlignment="1">
      <alignment horizontal="right" vertical="center"/>
    </xf>
    <xf numFmtId="3" fontId="7" fillId="23" borderId="30" xfId="4" applyNumberFormat="1" applyFont="1" applyFill="1" applyBorder="1" applyAlignment="1">
      <alignment vertical="center"/>
    </xf>
    <xf numFmtId="0" fontId="25" fillId="6" borderId="82" xfId="4" applyFont="1" applyFill="1" applyBorder="1" applyAlignment="1">
      <alignment horizontal="left" vertical="center"/>
    </xf>
    <xf numFmtId="3" fontId="32" fillId="0" borderId="47" xfId="6" applyNumberFormat="1" applyFont="1" applyFill="1" applyBorder="1" applyAlignment="1">
      <alignment horizontal="right" vertical="center"/>
    </xf>
    <xf numFmtId="0" fontId="61" fillId="0" borderId="77" xfId="4" applyFont="1" applyFill="1" applyBorder="1" applyAlignment="1">
      <alignment horizontal="center" vertical="center"/>
    </xf>
    <xf numFmtId="0" fontId="25" fillId="8" borderId="19" xfId="4" applyFont="1" applyFill="1" applyBorder="1" applyAlignment="1">
      <alignment horizontal="left" vertical="center" wrapText="1"/>
    </xf>
    <xf numFmtId="43" fontId="31" fillId="0" borderId="29" xfId="1" applyFont="1" applyFill="1" applyBorder="1" applyAlignment="1">
      <alignment horizontal="right" vertical="center"/>
    </xf>
    <xf numFmtId="3" fontId="31" fillId="0" borderId="29" xfId="4" applyNumberFormat="1" applyFont="1" applyFill="1" applyBorder="1" applyAlignment="1">
      <alignment vertical="center"/>
    </xf>
    <xf numFmtId="43" fontId="27" fillId="0" borderId="30" xfId="1" applyFont="1" applyFill="1" applyBorder="1" applyAlignment="1">
      <alignment horizontal="right" vertical="center"/>
    </xf>
    <xf numFmtId="3" fontId="25" fillId="26" borderId="51" xfId="4" applyNumberFormat="1" applyFont="1" applyFill="1" applyBorder="1" applyAlignment="1">
      <alignment horizontal="center" vertical="center"/>
    </xf>
    <xf numFmtId="43" fontId="23" fillId="6" borderId="29" xfId="1" applyFont="1" applyFill="1" applyBorder="1" applyAlignment="1">
      <alignment horizontal="right" vertical="center"/>
    </xf>
    <xf numFmtId="43" fontId="33" fillId="0" borderId="29" xfId="1" applyFont="1" applyFill="1" applyBorder="1" applyAlignment="1">
      <alignment horizontal="right" vertical="center"/>
    </xf>
    <xf numFmtId="43" fontId="31" fillId="0" borderId="63" xfId="1" applyFont="1" applyFill="1" applyBorder="1" applyAlignment="1">
      <alignment horizontal="right" vertical="center"/>
    </xf>
    <xf numFmtId="43" fontId="31" fillId="0" borderId="30" xfId="1" applyFont="1" applyFill="1" applyBorder="1" applyAlignment="1">
      <alignment horizontal="right" vertical="center"/>
    </xf>
    <xf numFmtId="43" fontId="27" fillId="0" borderId="69" xfId="1" applyFont="1" applyFill="1" applyBorder="1" applyAlignment="1">
      <alignment horizontal="right" vertical="center"/>
    </xf>
    <xf numFmtId="43" fontId="31" fillId="0" borderId="47" xfId="1" applyFont="1" applyFill="1" applyBorder="1" applyAlignment="1">
      <alignment horizontal="right" vertical="center"/>
    </xf>
    <xf numFmtId="43" fontId="31" fillId="0" borderId="73" xfId="1" applyFont="1" applyFill="1" applyBorder="1" applyAlignment="1">
      <alignment horizontal="right" vertical="center"/>
    </xf>
    <xf numFmtId="0" fontId="7" fillId="0" borderId="25" xfId="0" applyFont="1" applyFill="1" applyBorder="1" applyAlignment="1">
      <alignment horizontal="left" vertical="center"/>
    </xf>
    <xf numFmtId="3" fontId="33" fillId="0" borderId="13" xfId="6" applyNumberFormat="1" applyFont="1" applyFill="1" applyBorder="1" applyAlignment="1">
      <alignment vertical="center"/>
    </xf>
    <xf numFmtId="3" fontId="33" fillId="0" borderId="0" xfId="6" applyNumberFormat="1" applyFont="1" applyFill="1" applyBorder="1" applyAlignment="1">
      <alignment horizontal="right" vertical="center"/>
    </xf>
    <xf numFmtId="3" fontId="23" fillId="6" borderId="0" xfId="6" applyNumberFormat="1" applyFont="1" applyFill="1" applyBorder="1" applyAlignment="1">
      <alignment horizontal="right" vertical="center"/>
    </xf>
    <xf numFmtId="3" fontId="7" fillId="13" borderId="76" xfId="4" applyNumberFormat="1" applyFont="1" applyFill="1" applyBorder="1" applyAlignment="1">
      <alignment horizontal="right" vertical="center"/>
    </xf>
    <xf numFmtId="3" fontId="7" fillId="13" borderId="18" xfId="4" applyNumberFormat="1" applyFont="1" applyFill="1" applyBorder="1" applyAlignment="1">
      <alignment horizontal="right" vertical="center"/>
    </xf>
    <xf numFmtId="3" fontId="24" fillId="23" borderId="68" xfId="4" applyNumberFormat="1" applyFont="1" applyFill="1" applyBorder="1" applyAlignment="1">
      <alignment horizontal="right" vertical="center"/>
    </xf>
    <xf numFmtId="43" fontId="31" fillId="0" borderId="70" xfId="1" applyFont="1" applyFill="1" applyBorder="1" applyAlignment="1">
      <alignment horizontal="right" vertical="center"/>
    </xf>
    <xf numFmtId="0" fontId="19" fillId="0" borderId="0" xfId="0" applyFont="1" applyBorder="1" applyAlignment="1">
      <alignment vertical="top"/>
    </xf>
    <xf numFmtId="0" fontId="0" fillId="0" borderId="0" xfId="0" applyFont="1" applyBorder="1" applyAlignment="1">
      <alignment vertical="top"/>
    </xf>
    <xf numFmtId="0" fontId="28" fillId="0" borderId="0" xfId="0" applyFont="1" applyFill="1" applyBorder="1" applyAlignment="1"/>
    <xf numFmtId="0" fontId="37" fillId="32" borderId="0" xfId="0" applyFont="1" applyFill="1" applyBorder="1" applyAlignment="1">
      <alignment vertical="top"/>
    </xf>
    <xf numFmtId="3" fontId="0" fillId="0" borderId="0" xfId="0" applyNumberFormat="1" applyFont="1" applyBorder="1" applyAlignment="1">
      <alignment vertical="top"/>
    </xf>
    <xf numFmtId="0" fontId="28" fillId="0" borderId="0" xfId="0" applyFont="1" applyFill="1" applyBorder="1" applyAlignment="1">
      <alignment horizontal="left"/>
    </xf>
    <xf numFmtId="0" fontId="11" fillId="0" borderId="0" xfId="0" applyFont="1" applyFill="1" applyBorder="1" applyAlignment="1"/>
    <xf numFmtId="0" fontId="13" fillId="0" borderId="0" xfId="0" applyFont="1" applyFill="1" applyBorder="1" applyAlignment="1">
      <alignment horizontal="left"/>
    </xf>
    <xf numFmtId="0" fontId="34" fillId="0" borderId="0" xfId="0" applyFont="1" applyFill="1" applyBorder="1" applyAlignment="1">
      <alignment vertical="top"/>
    </xf>
    <xf numFmtId="0" fontId="21" fillId="0" borderId="0" xfId="0" applyFont="1" applyFill="1" applyBorder="1" applyAlignment="1">
      <alignment vertical="top"/>
    </xf>
    <xf numFmtId="0" fontId="21" fillId="0" borderId="0" xfId="0" applyFont="1" applyBorder="1" applyAlignment="1">
      <alignment vertical="top"/>
    </xf>
    <xf numFmtId="0" fontId="25" fillId="0" borderId="23" xfId="4" applyFont="1" applyBorder="1" applyAlignment="1">
      <alignment horizontal="center" vertical="center" wrapText="1"/>
    </xf>
    <xf numFmtId="3" fontId="0" fillId="0" borderId="0" xfId="0" applyNumberFormat="1" applyFont="1" applyBorder="1"/>
    <xf numFmtId="3" fontId="57" fillId="0" borderId="0" xfId="0" applyNumberFormat="1" applyFont="1" applyBorder="1" applyAlignment="1">
      <alignment vertical="top"/>
    </xf>
    <xf numFmtId="3" fontId="17" fillId="0" borderId="0" xfId="0" applyNumberFormat="1" applyFont="1" applyBorder="1" applyAlignment="1">
      <alignment vertical="top"/>
    </xf>
    <xf numFmtId="0" fontId="17" fillId="0" borderId="0" xfId="0" applyFont="1" applyBorder="1" applyAlignment="1">
      <alignment vertical="top"/>
    </xf>
    <xf numFmtId="3" fontId="29" fillId="8" borderId="87" xfId="0" applyNumberFormat="1" applyFont="1" applyFill="1" applyBorder="1" applyAlignment="1">
      <alignment vertical="center"/>
    </xf>
    <xf numFmtId="3" fontId="29" fillId="23" borderId="87" xfId="0" applyNumberFormat="1" applyFont="1" applyFill="1" applyBorder="1" applyAlignment="1">
      <alignment vertical="center"/>
    </xf>
    <xf numFmtId="3" fontId="18" fillId="8" borderId="43" xfId="0" applyNumberFormat="1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vertical="center"/>
    </xf>
    <xf numFmtId="0" fontId="18" fillId="33" borderId="0" xfId="0" applyFont="1" applyFill="1" applyBorder="1" applyAlignment="1">
      <alignment vertical="center"/>
    </xf>
    <xf numFmtId="3" fontId="7" fillId="28" borderId="87" xfId="0" applyNumberFormat="1" applyFont="1" applyFill="1" applyBorder="1" applyAlignment="1">
      <alignment vertical="center"/>
    </xf>
    <xf numFmtId="3" fontId="7" fillId="23" borderId="87" xfId="0" applyNumberFormat="1" applyFont="1" applyFill="1" applyBorder="1" applyAlignment="1">
      <alignment vertical="center"/>
    </xf>
    <xf numFmtId="0" fontId="57" fillId="0" borderId="0" xfId="0" applyFont="1" applyBorder="1" applyAlignment="1">
      <alignment vertical="top"/>
    </xf>
    <xf numFmtId="0" fontId="7" fillId="8" borderId="36" xfId="4" applyFont="1" applyFill="1" applyBorder="1" applyAlignment="1">
      <alignment horizontal="left" vertical="center"/>
    </xf>
    <xf numFmtId="3" fontId="7" fillId="28" borderId="28" xfId="0" applyNumberFormat="1" applyFont="1" applyFill="1" applyBorder="1" applyAlignment="1">
      <alignment vertical="center" wrapText="1"/>
    </xf>
    <xf numFmtId="3" fontId="7" fillId="28" borderId="9" xfId="0" applyNumberFormat="1" applyFont="1" applyFill="1" applyBorder="1" applyAlignment="1">
      <alignment vertical="center"/>
    </xf>
    <xf numFmtId="43" fontId="7" fillId="23" borderId="87" xfId="1" applyFont="1" applyFill="1" applyBorder="1" applyAlignment="1">
      <alignment vertical="center"/>
    </xf>
    <xf numFmtId="0" fontId="7" fillId="8" borderId="93" xfId="0" applyFont="1" applyFill="1" applyBorder="1" applyAlignment="1">
      <alignment vertical="top" wrapText="1"/>
    </xf>
    <xf numFmtId="0" fontId="7" fillId="8" borderId="88" xfId="0" applyFont="1" applyFill="1" applyBorder="1" applyAlignment="1">
      <alignment vertical="top" wrapText="1"/>
    </xf>
    <xf numFmtId="3" fontId="18" fillId="8" borderId="43" xfId="0" applyNumberFormat="1" applyFont="1" applyFill="1" applyBorder="1" applyAlignment="1">
      <alignment horizontal="center" vertical="top" wrapText="1"/>
    </xf>
    <xf numFmtId="0" fontId="18" fillId="0" borderId="0" xfId="0" applyFont="1" applyFill="1" applyBorder="1" applyAlignment="1">
      <alignment vertical="top"/>
    </xf>
    <xf numFmtId="0" fontId="18" fillId="33" borderId="0" xfId="0" applyFont="1" applyFill="1" applyBorder="1" applyAlignment="1">
      <alignment vertical="top"/>
    </xf>
    <xf numFmtId="0" fontId="7" fillId="8" borderId="28" xfId="0" applyFont="1" applyFill="1" applyBorder="1" applyAlignment="1">
      <alignment vertical="top" wrapText="1"/>
    </xf>
    <xf numFmtId="0" fontId="7" fillId="8" borderId="74" xfId="0" applyFont="1" applyFill="1" applyBorder="1" applyAlignment="1">
      <alignment vertical="top" wrapText="1"/>
    </xf>
    <xf numFmtId="3" fontId="18" fillId="8" borderId="41" xfId="0" applyNumberFormat="1" applyFont="1" applyFill="1" applyBorder="1" applyAlignment="1">
      <alignment horizontal="center" vertical="top" wrapText="1"/>
    </xf>
    <xf numFmtId="3" fontId="18" fillId="0" borderId="0" xfId="0" applyNumberFormat="1" applyFont="1" applyFill="1" applyBorder="1" applyAlignment="1">
      <alignment vertical="top"/>
    </xf>
    <xf numFmtId="0" fontId="7" fillId="23" borderId="2" xfId="0" applyFont="1" applyFill="1" applyBorder="1" applyAlignment="1">
      <alignment vertical="center"/>
    </xf>
    <xf numFmtId="3" fontId="25" fillId="6" borderId="89" xfId="0" applyNumberFormat="1" applyFont="1" applyFill="1" applyBorder="1" applyAlignment="1">
      <alignment vertical="top"/>
    </xf>
    <xf numFmtId="3" fontId="27" fillId="2" borderId="89" xfId="0" applyNumberFormat="1" applyFont="1" applyFill="1" applyBorder="1" applyAlignment="1">
      <alignment vertical="top"/>
    </xf>
    <xf numFmtId="3" fontId="25" fillId="25" borderId="87" xfId="0" applyNumberFormat="1" applyFont="1" applyFill="1" applyBorder="1" applyAlignment="1">
      <alignment vertical="top"/>
    </xf>
    <xf numFmtId="3" fontId="27" fillId="0" borderId="89" xfId="0" applyNumberFormat="1" applyFont="1" applyFill="1" applyBorder="1" applyAlignment="1">
      <alignment vertical="top"/>
    </xf>
    <xf numFmtId="3" fontId="31" fillId="0" borderId="87" xfId="0" applyNumberFormat="1" applyFont="1" applyFill="1" applyBorder="1" applyAlignment="1">
      <alignment vertical="top"/>
    </xf>
    <xf numFmtId="0" fontId="31" fillId="0" borderId="74" xfId="4" applyFont="1" applyFill="1" applyBorder="1" applyAlignment="1">
      <alignment vertical="center"/>
    </xf>
    <xf numFmtId="3" fontId="25" fillId="6" borderId="87" xfId="0" applyNumberFormat="1" applyFont="1" applyFill="1" applyBorder="1" applyAlignment="1">
      <alignment vertical="top"/>
    </xf>
    <xf numFmtId="3" fontId="27" fillId="2" borderId="87" xfId="0" applyNumberFormat="1" applyFont="1" applyFill="1" applyBorder="1" applyAlignment="1">
      <alignment vertical="top"/>
    </xf>
    <xf numFmtId="3" fontId="27" fillId="0" borderId="87" xfId="0" applyNumberFormat="1" applyFont="1" applyFill="1" applyBorder="1" applyAlignment="1">
      <alignment vertical="top"/>
    </xf>
    <xf numFmtId="0" fontId="7" fillId="23" borderId="2" xfId="0" applyFont="1" applyFill="1" applyBorder="1" applyAlignment="1">
      <alignment vertical="top"/>
    </xf>
    <xf numFmtId="3" fontId="21" fillId="0" borderId="47" xfId="0" applyNumberFormat="1" applyFont="1" applyFill="1" applyBorder="1" applyAlignment="1">
      <alignment horizontal="right" vertical="center"/>
    </xf>
    <xf numFmtId="0" fontId="39" fillId="0" borderId="0" xfId="0" applyFont="1" applyBorder="1"/>
    <xf numFmtId="3" fontId="13" fillId="0" borderId="0" xfId="0" applyNumberFormat="1" applyFont="1" applyFill="1" applyBorder="1" applyAlignment="1">
      <alignment horizontal="right" vertical="center"/>
    </xf>
    <xf numFmtId="3" fontId="25" fillId="6" borderId="89" xfId="0" applyNumberFormat="1" applyFont="1" applyFill="1" applyBorder="1" applyAlignment="1">
      <alignment vertical="center"/>
    </xf>
    <xf numFmtId="0" fontId="28" fillId="52" borderId="6" xfId="0" applyFont="1" applyFill="1" applyBorder="1" applyAlignment="1">
      <alignment vertical="top"/>
    </xf>
    <xf numFmtId="3" fontId="25" fillId="6" borderId="9" xfId="0" applyNumberFormat="1" applyFont="1" applyFill="1" applyBorder="1" applyAlignment="1">
      <alignment vertical="center"/>
    </xf>
    <xf numFmtId="3" fontId="27" fillId="50" borderId="12" xfId="4" applyNumberFormat="1" applyFont="1" applyFill="1" applyBorder="1" applyAlignment="1">
      <alignment horizontal="right" vertical="center"/>
    </xf>
    <xf numFmtId="0" fontId="24" fillId="28" borderId="11" xfId="0" applyFont="1" applyFill="1" applyBorder="1" applyAlignment="1">
      <alignment vertical="center"/>
    </xf>
    <xf numFmtId="3" fontId="25" fillId="22" borderId="35" xfId="0" applyNumberFormat="1" applyFont="1" applyFill="1" applyBorder="1" applyAlignment="1">
      <alignment vertical="center"/>
    </xf>
    <xf numFmtId="3" fontId="17" fillId="0" borderId="0" xfId="0" applyNumberFormat="1" applyFont="1" applyBorder="1" applyAlignment="1">
      <alignment vertical="center"/>
    </xf>
    <xf numFmtId="0" fontId="17" fillId="0" borderId="0" xfId="0" applyFont="1" applyBorder="1" applyAlignment="1">
      <alignment vertical="center"/>
    </xf>
    <xf numFmtId="0" fontId="21" fillId="0" borderId="0" xfId="0" applyFont="1" applyFill="1" applyBorder="1" applyAlignment="1">
      <alignment vertical="center"/>
    </xf>
    <xf numFmtId="3" fontId="21" fillId="0" borderId="0" xfId="0" applyNumberFormat="1" applyFont="1" applyFill="1" applyBorder="1" applyAlignment="1">
      <alignment vertical="center"/>
    </xf>
    <xf numFmtId="0" fontId="21" fillId="33" borderId="0" xfId="0" applyFont="1" applyFill="1" applyBorder="1" applyAlignment="1">
      <alignment vertical="center"/>
    </xf>
    <xf numFmtId="3" fontId="31" fillId="28" borderId="13" xfId="0" applyNumberFormat="1" applyFont="1" applyFill="1" applyBorder="1" applyAlignment="1">
      <alignment vertical="center"/>
    </xf>
    <xf numFmtId="0" fontId="25" fillId="8" borderId="19" xfId="0" applyFont="1" applyFill="1" applyBorder="1" applyAlignment="1">
      <alignment vertical="center" wrapText="1"/>
    </xf>
    <xf numFmtId="0" fontId="25" fillId="8" borderId="16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top"/>
    </xf>
    <xf numFmtId="0" fontId="0" fillId="0" borderId="0" xfId="0" applyFont="1" applyBorder="1" applyAlignment="1">
      <alignment horizontal="center" vertical="top" wrapText="1"/>
    </xf>
    <xf numFmtId="3" fontId="37" fillId="0" borderId="0" xfId="0" applyNumberFormat="1" applyFont="1" applyBorder="1" applyAlignment="1">
      <alignment vertical="top"/>
    </xf>
    <xf numFmtId="0" fontId="19" fillId="0" borderId="1" xfId="0" applyFont="1" applyBorder="1" applyAlignment="1">
      <alignment vertical="top"/>
    </xf>
    <xf numFmtId="0" fontId="20" fillId="0" borderId="3" xfId="0" applyFont="1" applyBorder="1" applyAlignment="1">
      <alignment vertical="top" wrapText="1"/>
    </xf>
    <xf numFmtId="0" fontId="19" fillId="0" borderId="26" xfId="0" applyFont="1" applyBorder="1" applyAlignment="1">
      <alignment vertical="top"/>
    </xf>
    <xf numFmtId="0" fontId="19" fillId="0" borderId="66" xfId="0" applyFont="1" applyBorder="1" applyAlignment="1">
      <alignment vertical="top"/>
    </xf>
    <xf numFmtId="3" fontId="31" fillId="8" borderId="18" xfId="0" applyNumberFormat="1" applyFont="1" applyFill="1" applyBorder="1" applyAlignment="1">
      <alignment vertical="top"/>
    </xf>
    <xf numFmtId="3" fontId="31" fillId="8" borderId="76" xfId="0" applyNumberFormat="1" applyFont="1" applyFill="1" applyBorder="1" applyAlignment="1">
      <alignment vertical="top"/>
    </xf>
    <xf numFmtId="3" fontId="7" fillId="8" borderId="18" xfId="0" applyNumberFormat="1" applyFont="1" applyFill="1" applyBorder="1" applyAlignment="1">
      <alignment vertical="top"/>
    </xf>
    <xf numFmtId="0" fontId="39" fillId="0" borderId="98" xfId="0" applyFont="1" applyBorder="1"/>
    <xf numFmtId="0" fontId="27" fillId="50" borderId="28" xfId="4" applyFont="1" applyFill="1" applyBorder="1" applyAlignment="1">
      <alignment horizontal="left" vertical="center"/>
    </xf>
    <xf numFmtId="3" fontId="27" fillId="50" borderId="89" xfId="4" applyNumberFormat="1" applyFont="1" applyFill="1" applyBorder="1" applyAlignment="1">
      <alignment horizontal="right" vertical="center"/>
    </xf>
    <xf numFmtId="3" fontId="31" fillId="0" borderId="98" xfId="0" applyNumberFormat="1" applyFont="1" applyFill="1" applyBorder="1" applyAlignment="1">
      <alignment vertical="top"/>
    </xf>
    <xf numFmtId="0" fontId="20" fillId="0" borderId="0" xfId="0" applyFont="1" applyBorder="1" applyAlignment="1">
      <alignment vertical="top"/>
    </xf>
    <xf numFmtId="0" fontId="7" fillId="6" borderId="28" xfId="0" applyFont="1" applyFill="1" applyBorder="1" applyAlignment="1">
      <alignment vertical="center" wrapText="1"/>
    </xf>
    <xf numFmtId="3" fontId="24" fillId="6" borderId="35" xfId="0" applyNumberFormat="1" applyFont="1" applyFill="1" applyBorder="1" applyAlignment="1">
      <alignment vertical="center"/>
    </xf>
    <xf numFmtId="3" fontId="7" fillId="0" borderId="97" xfId="4" applyNumberFormat="1" applyFont="1" applyFill="1" applyBorder="1" applyAlignment="1">
      <alignment horizontal="right" vertical="center"/>
    </xf>
    <xf numFmtId="3" fontId="25" fillId="6" borderId="99" xfId="0" applyNumberFormat="1" applyFont="1" applyFill="1" applyBorder="1" applyAlignment="1">
      <alignment vertical="top"/>
    </xf>
    <xf numFmtId="3" fontId="27" fillId="2" borderId="99" xfId="0" applyNumberFormat="1" applyFont="1" applyFill="1" applyBorder="1" applyAlignment="1">
      <alignment vertical="top"/>
    </xf>
    <xf numFmtId="3" fontId="27" fillId="0" borderId="99" xfId="0" applyNumberFormat="1" applyFont="1" applyFill="1" applyBorder="1" applyAlignment="1">
      <alignment vertical="top"/>
    </xf>
    <xf numFmtId="0" fontId="15" fillId="2" borderId="9" xfId="0" applyFont="1" applyFill="1" applyBorder="1" applyAlignment="1">
      <alignment horizontal="right" vertical="center"/>
    </xf>
    <xf numFmtId="0" fontId="15" fillId="2" borderId="99" xfId="0" applyFont="1" applyFill="1" applyBorder="1" applyAlignment="1">
      <alignment horizontal="right" vertical="center"/>
    </xf>
    <xf numFmtId="0" fontId="24" fillId="8" borderId="19" xfId="4" applyFont="1" applyFill="1" applyBorder="1" applyAlignment="1">
      <alignment vertical="center" wrapText="1"/>
    </xf>
    <xf numFmtId="3" fontId="24" fillId="8" borderId="76" xfId="4" applyNumberFormat="1" applyFont="1" applyFill="1" applyBorder="1" applyAlignment="1">
      <alignment horizontal="right" vertical="center"/>
    </xf>
    <xf numFmtId="3" fontId="33" fillId="0" borderId="69" xfId="6" applyNumberFormat="1" applyFont="1" applyFill="1" applyBorder="1" applyAlignment="1">
      <alignment vertical="center"/>
    </xf>
    <xf numFmtId="0" fontId="27" fillId="50" borderId="90" xfId="4" applyFont="1" applyFill="1" applyBorder="1" applyAlignment="1">
      <alignment horizontal="left" vertical="center"/>
    </xf>
    <xf numFmtId="0" fontId="31" fillId="0" borderId="32" xfId="4" applyFont="1" applyFill="1" applyBorder="1" applyAlignment="1">
      <alignment vertical="center"/>
    </xf>
    <xf numFmtId="0" fontId="63" fillId="52" borderId="21" xfId="0" applyFont="1" applyFill="1" applyBorder="1"/>
    <xf numFmtId="0" fontId="31" fillId="6" borderId="28" xfId="0" applyFont="1" applyFill="1" applyBorder="1" applyAlignment="1">
      <alignment vertical="center"/>
    </xf>
    <xf numFmtId="3" fontId="25" fillId="22" borderId="89" xfId="0" applyNumberFormat="1" applyFont="1" applyFill="1" applyBorder="1" applyAlignment="1">
      <alignment vertical="center"/>
    </xf>
    <xf numFmtId="3" fontId="27" fillId="2" borderId="9" xfId="0" applyNumberFormat="1" applyFont="1" applyFill="1" applyBorder="1" applyAlignment="1">
      <alignment vertical="top"/>
    </xf>
    <xf numFmtId="3" fontId="7" fillId="23" borderId="98" xfId="0" applyNumberFormat="1" applyFont="1" applyFill="1" applyBorder="1" applyAlignment="1">
      <alignment horizontal="center" vertical="center"/>
    </xf>
    <xf numFmtId="0" fontId="7" fillId="0" borderId="32" xfId="4" applyFont="1" applyFill="1" applyBorder="1" applyAlignment="1">
      <alignment vertical="center"/>
    </xf>
    <xf numFmtId="3" fontId="27" fillId="50" borderId="6" xfId="4" applyNumberFormat="1" applyFont="1" applyFill="1" applyBorder="1" applyAlignment="1">
      <alignment horizontal="left" vertical="center"/>
    </xf>
    <xf numFmtId="3" fontId="29" fillId="8" borderId="30" xfId="4" applyNumberFormat="1" applyFont="1" applyFill="1" applyBorder="1" applyAlignment="1">
      <alignment horizontal="right" vertical="center"/>
    </xf>
    <xf numFmtId="3" fontId="7" fillId="8" borderId="29" xfId="4" applyNumberFormat="1" applyFont="1" applyFill="1" applyBorder="1" applyAlignment="1">
      <alignment horizontal="right" vertical="center"/>
    </xf>
    <xf numFmtId="0" fontId="7" fillId="8" borderId="71" xfId="4" applyFont="1" applyFill="1" applyBorder="1" applyAlignment="1">
      <alignment vertical="center"/>
    </xf>
    <xf numFmtId="0" fontId="24" fillId="8" borderId="36" xfId="4" applyFont="1" applyFill="1" applyBorder="1" applyAlignment="1">
      <alignment vertical="center" wrapText="1"/>
    </xf>
    <xf numFmtId="0" fontId="7" fillId="0" borderId="74" xfId="4" applyFont="1" applyFill="1" applyBorder="1" applyAlignment="1">
      <alignment horizontal="left" vertical="center"/>
    </xf>
    <xf numFmtId="0" fontId="7" fillId="0" borderId="32" xfId="4" applyFont="1" applyFill="1" applyBorder="1" applyAlignment="1">
      <alignment horizontal="left" vertical="center"/>
    </xf>
    <xf numFmtId="0" fontId="7" fillId="0" borderId="21" xfId="4" applyFont="1" applyFill="1" applyBorder="1" applyAlignment="1">
      <alignment horizontal="left" vertical="center"/>
    </xf>
    <xf numFmtId="0" fontId="31" fillId="0" borderId="74" xfId="4" applyFont="1" applyFill="1" applyBorder="1" applyAlignment="1">
      <alignment horizontal="left" vertical="center"/>
    </xf>
    <xf numFmtId="0" fontId="31" fillId="0" borderId="32" xfId="4" applyFont="1" applyFill="1" applyBorder="1" applyAlignment="1">
      <alignment horizontal="left" vertical="center"/>
    </xf>
    <xf numFmtId="0" fontId="23" fillId="0" borderId="71" xfId="0" applyFont="1" applyBorder="1" applyAlignment="1">
      <alignment vertical="center"/>
    </xf>
    <xf numFmtId="0" fontId="23" fillId="0" borderId="6" xfId="0" applyFont="1" applyBorder="1" applyAlignment="1">
      <alignment vertical="center"/>
    </xf>
    <xf numFmtId="3" fontId="0" fillId="0" borderId="0" xfId="0" applyNumberFormat="1" applyFont="1" applyAlignment="1">
      <alignment vertical="center"/>
    </xf>
    <xf numFmtId="3" fontId="27" fillId="2" borderId="38" xfId="4" applyNumberFormat="1" applyFont="1" applyFill="1" applyBorder="1" applyAlignment="1">
      <alignment horizontal="center" vertical="center" wrapText="1"/>
    </xf>
    <xf numFmtId="3" fontId="27" fillId="26" borderId="75" xfId="4" applyNumberFormat="1" applyFont="1" applyFill="1" applyBorder="1" applyAlignment="1">
      <alignment horizontal="center" vertical="center"/>
    </xf>
    <xf numFmtId="0" fontId="39" fillId="0" borderId="40" xfId="0" applyFont="1" applyBorder="1" applyAlignment="1">
      <alignment horizontal="center" vertical="center" wrapText="1"/>
    </xf>
    <xf numFmtId="0" fontId="27" fillId="2" borderId="32" xfId="4" applyFont="1" applyFill="1" applyBorder="1" applyAlignment="1">
      <alignment vertical="center"/>
    </xf>
    <xf numFmtId="0" fontId="39" fillId="0" borderId="112" xfId="0" applyFont="1" applyBorder="1"/>
    <xf numFmtId="0" fontId="64" fillId="8" borderId="20" xfId="4" applyFont="1" applyFill="1" applyBorder="1" applyAlignment="1">
      <alignment vertical="center" wrapText="1"/>
    </xf>
    <xf numFmtId="3" fontId="64" fillId="8" borderId="29" xfId="0" applyNumberFormat="1" applyFont="1" applyFill="1" applyBorder="1" applyAlignment="1">
      <alignment vertical="center" wrapText="1"/>
    </xf>
    <xf numFmtId="43" fontId="64" fillId="8" borderId="29" xfId="1" applyFont="1" applyFill="1" applyBorder="1" applyAlignment="1">
      <alignment vertical="center" wrapText="1"/>
    </xf>
    <xf numFmtId="3" fontId="8" fillId="0" borderId="0" xfId="0" applyNumberFormat="1" applyFont="1" applyFill="1" applyAlignment="1">
      <alignment vertical="center"/>
    </xf>
    <xf numFmtId="3" fontId="8" fillId="0" borderId="10" xfId="0" applyNumberFormat="1" applyFont="1" applyBorder="1" applyAlignment="1">
      <alignment vertical="center"/>
    </xf>
    <xf numFmtId="3" fontId="8" fillId="0" borderId="27" xfId="0" applyNumberFormat="1" applyFont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8" fillId="0" borderId="28" xfId="0" applyFont="1" applyFill="1" applyBorder="1" applyAlignment="1">
      <alignment vertical="center" wrapText="1"/>
    </xf>
    <xf numFmtId="43" fontId="8" fillId="0" borderId="35" xfId="1" applyFont="1" applyFill="1" applyBorder="1" applyAlignment="1">
      <alignment vertical="center" wrapText="1"/>
    </xf>
    <xf numFmtId="3" fontId="8" fillId="0" borderId="35" xfId="0" applyNumberFormat="1" applyFont="1" applyFill="1" applyBorder="1" applyAlignment="1">
      <alignment vertical="center" wrapText="1"/>
    </xf>
    <xf numFmtId="3" fontId="7" fillId="25" borderId="0" xfId="4" applyNumberFormat="1" applyFont="1" applyFill="1" applyBorder="1" applyAlignment="1">
      <alignment horizontal="right" vertical="center"/>
    </xf>
    <xf numFmtId="3" fontId="32" fillId="0" borderId="99" xfId="6" applyNumberFormat="1" applyFont="1" applyFill="1" applyBorder="1" applyAlignment="1">
      <alignment vertical="center"/>
    </xf>
    <xf numFmtId="3" fontId="7" fillId="0" borderId="47" xfId="4" applyNumberFormat="1" applyFont="1" applyFill="1" applyBorder="1" applyAlignment="1">
      <alignment horizontal="center" vertical="center"/>
    </xf>
    <xf numFmtId="3" fontId="31" fillId="2" borderId="72" xfId="4" applyNumberFormat="1" applyFont="1" applyFill="1" applyBorder="1" applyAlignment="1">
      <alignment vertical="center"/>
    </xf>
    <xf numFmtId="3" fontId="7" fillId="0" borderId="116" xfId="4" applyNumberFormat="1" applyFont="1" applyFill="1" applyBorder="1" applyAlignment="1">
      <alignment horizontal="right" vertical="center"/>
    </xf>
    <xf numFmtId="0" fontId="27" fillId="50" borderId="17" xfId="4" applyFont="1" applyFill="1" applyBorder="1" applyAlignment="1">
      <alignment horizontal="left" vertical="center"/>
    </xf>
    <xf numFmtId="0" fontId="24" fillId="6" borderId="119" xfId="4" applyFont="1" applyFill="1" applyBorder="1" applyAlignment="1">
      <alignment horizontal="left" vertical="center"/>
    </xf>
    <xf numFmtId="3" fontId="31" fillId="0" borderId="121" xfId="0" applyNumberFormat="1" applyFont="1" applyFill="1" applyBorder="1" applyAlignment="1">
      <alignment vertical="top"/>
    </xf>
    <xf numFmtId="0" fontId="24" fillId="6" borderId="126" xfId="4" applyFont="1" applyFill="1" applyBorder="1" applyAlignment="1">
      <alignment horizontal="left" vertical="center"/>
    </xf>
    <xf numFmtId="3" fontId="31" fillId="0" borderId="121" xfId="0" applyNumberFormat="1" applyFont="1" applyFill="1" applyBorder="1" applyAlignment="1">
      <alignment vertical="center"/>
    </xf>
    <xf numFmtId="3" fontId="27" fillId="0" borderId="121" xfId="0" applyNumberFormat="1" applyFont="1" applyFill="1" applyBorder="1" applyAlignment="1">
      <alignment vertical="top"/>
    </xf>
    <xf numFmtId="3" fontId="7" fillId="0" borderId="123" xfId="4" applyNumberFormat="1" applyFont="1" applyFill="1" applyBorder="1" applyAlignment="1">
      <alignment horizontal="right" vertical="center"/>
    </xf>
    <xf numFmtId="0" fontId="39" fillId="0" borderId="123" xfId="0" applyFont="1" applyBorder="1"/>
    <xf numFmtId="0" fontId="25" fillId="6" borderId="121" xfId="4" applyFont="1" applyFill="1" applyBorder="1" applyAlignment="1">
      <alignment horizontal="left" vertical="center"/>
    </xf>
    <xf numFmtId="3" fontId="25" fillId="22" borderId="121" xfId="4" applyNumberFormat="1" applyFont="1" applyFill="1" applyBorder="1" applyAlignment="1">
      <alignment horizontal="right" vertical="center"/>
    </xf>
    <xf numFmtId="3" fontId="31" fillId="23" borderId="121" xfId="0" applyNumberFormat="1" applyFont="1" applyFill="1" applyBorder="1" applyAlignment="1">
      <alignment vertical="center"/>
    </xf>
    <xf numFmtId="3" fontId="24" fillId="6" borderId="121" xfId="4" applyNumberFormat="1" applyFont="1" applyFill="1" applyBorder="1" applyAlignment="1">
      <alignment vertical="center"/>
    </xf>
    <xf numFmtId="0" fontId="25" fillId="0" borderId="0" xfId="0" applyFont="1" applyBorder="1" applyAlignment="1">
      <alignment vertical="top"/>
    </xf>
    <xf numFmtId="3" fontId="21" fillId="0" borderId="0" xfId="0" applyNumberFormat="1" applyFont="1" applyBorder="1" applyAlignment="1">
      <alignment vertical="top"/>
    </xf>
    <xf numFmtId="0" fontId="59" fillId="0" borderId="0" xfId="0" applyFont="1" applyFill="1" applyBorder="1" applyAlignment="1">
      <alignment vertical="top"/>
    </xf>
    <xf numFmtId="0" fontId="59" fillId="30" borderId="0" xfId="0" applyFont="1" applyFill="1" applyBorder="1" applyAlignment="1">
      <alignment vertical="top"/>
    </xf>
    <xf numFmtId="0" fontId="21" fillId="0" borderId="0" xfId="0" applyFont="1" applyBorder="1" applyAlignment="1">
      <alignment horizontal="center" vertical="top" wrapText="1"/>
    </xf>
    <xf numFmtId="0" fontId="25" fillId="6" borderId="114" xfId="4" applyFont="1" applyFill="1" applyBorder="1" applyAlignment="1">
      <alignment horizontal="left" vertical="center"/>
    </xf>
    <xf numFmtId="0" fontId="21" fillId="0" borderId="65" xfId="0" applyFont="1" applyBorder="1" applyAlignment="1">
      <alignment vertical="top"/>
    </xf>
    <xf numFmtId="0" fontId="31" fillId="0" borderId="24" xfId="4" applyFont="1" applyFill="1" applyBorder="1" applyAlignment="1">
      <alignment vertical="center"/>
    </xf>
    <xf numFmtId="0" fontId="23" fillId="0" borderId="24" xfId="0" applyFont="1" applyBorder="1" applyAlignment="1">
      <alignment horizontal="center" vertical="center" wrapText="1"/>
    </xf>
    <xf numFmtId="3" fontId="31" fillId="0" borderId="24" xfId="0" applyNumberFormat="1" applyFont="1" applyFill="1" applyBorder="1" applyAlignment="1">
      <alignment vertical="top"/>
    </xf>
    <xf numFmtId="3" fontId="31" fillId="0" borderId="24" xfId="0" applyNumberFormat="1" applyFont="1" applyFill="1" applyBorder="1" applyAlignment="1">
      <alignment horizontal="right" vertical="center"/>
    </xf>
    <xf numFmtId="3" fontId="25" fillId="22" borderId="24" xfId="0" applyNumberFormat="1" applyFont="1" applyFill="1" applyBorder="1" applyAlignment="1">
      <alignment horizontal="center" vertical="center"/>
    </xf>
    <xf numFmtId="0" fontId="23" fillId="0" borderId="67" xfId="0" applyFont="1" applyBorder="1" applyAlignment="1">
      <alignment horizontal="center" wrapText="1"/>
    </xf>
    <xf numFmtId="0" fontId="59" fillId="2" borderId="0" xfId="0" applyFont="1" applyFill="1" applyBorder="1" applyAlignment="1">
      <alignment vertical="top"/>
    </xf>
    <xf numFmtId="0" fontId="59" fillId="2" borderId="0" xfId="0" applyFont="1" applyFill="1" applyBorder="1" applyAlignment="1"/>
    <xf numFmtId="0" fontId="40" fillId="2" borderId="0" xfId="0" applyFont="1" applyFill="1" applyBorder="1" applyAlignment="1"/>
    <xf numFmtId="3" fontId="59" fillId="2" borderId="0" xfId="0" applyNumberFormat="1" applyFont="1" applyFill="1" applyBorder="1" applyAlignment="1">
      <alignment vertical="top"/>
    </xf>
    <xf numFmtId="0" fontId="20" fillId="2" borderId="1" xfId="0" applyFont="1" applyFill="1" applyBorder="1" applyAlignment="1">
      <alignment horizontal="center" vertical="top"/>
    </xf>
    <xf numFmtId="0" fontId="20" fillId="2" borderId="26" xfId="0" applyFont="1" applyFill="1" applyBorder="1" applyAlignment="1">
      <alignment horizontal="center" vertical="top"/>
    </xf>
    <xf numFmtId="0" fontId="21" fillId="8" borderId="43" xfId="0" quotePrefix="1" applyFont="1" applyFill="1" applyBorder="1" applyAlignment="1">
      <alignment horizontal="center" vertical="top"/>
    </xf>
    <xf numFmtId="3" fontId="31" fillId="23" borderId="121" xfId="0" applyNumberFormat="1" applyFont="1" applyFill="1" applyBorder="1" applyAlignment="1">
      <alignment vertical="top"/>
    </xf>
    <xf numFmtId="3" fontId="25" fillId="6" borderId="121" xfId="0" applyNumberFormat="1" applyFont="1" applyFill="1" applyBorder="1" applyAlignment="1">
      <alignment vertical="top"/>
    </xf>
    <xf numFmtId="3" fontId="31" fillId="8" borderId="35" xfId="0" applyNumberFormat="1" applyFont="1" applyFill="1" applyBorder="1" applyAlignment="1">
      <alignment vertical="top"/>
    </xf>
    <xf numFmtId="3" fontId="31" fillId="23" borderId="10" xfId="0" applyNumberFormat="1" applyFont="1" applyFill="1" applyBorder="1" applyAlignment="1">
      <alignment vertical="top"/>
    </xf>
    <xf numFmtId="3" fontId="25" fillId="22" borderId="121" xfId="0" applyNumberFormat="1" applyFont="1" applyFill="1" applyBorder="1" applyAlignment="1">
      <alignment vertical="top"/>
    </xf>
    <xf numFmtId="3" fontId="27" fillId="2" borderId="121" xfId="4" applyNumberFormat="1" applyFont="1" applyFill="1" applyBorder="1" applyAlignment="1">
      <alignment vertical="top" wrapText="1"/>
    </xf>
    <xf numFmtId="3" fontId="25" fillId="25" borderId="121" xfId="0" applyNumberFormat="1" applyFont="1" applyFill="1" applyBorder="1" applyAlignment="1">
      <alignment vertical="top"/>
    </xf>
    <xf numFmtId="3" fontId="31" fillId="0" borderId="116" xfId="0" applyNumberFormat="1" applyFont="1" applyFill="1" applyBorder="1" applyAlignment="1">
      <alignment vertical="top"/>
    </xf>
    <xf numFmtId="0" fontId="27" fillId="2" borderId="35" xfId="4" applyFont="1" applyFill="1" applyBorder="1" applyAlignment="1">
      <alignment vertical="top"/>
    </xf>
    <xf numFmtId="3" fontId="27" fillId="0" borderId="35" xfId="0" applyNumberFormat="1" applyFont="1" applyFill="1" applyBorder="1" applyAlignment="1">
      <alignment vertical="top"/>
    </xf>
    <xf numFmtId="0" fontId="20" fillId="0" borderId="0" xfId="0" applyFont="1" applyFill="1" applyBorder="1" applyAlignment="1">
      <alignment vertical="top"/>
    </xf>
    <xf numFmtId="0" fontId="25" fillId="8" borderId="68" xfId="0" applyFont="1" applyFill="1" applyBorder="1" applyAlignment="1">
      <alignment vertical="center" wrapText="1"/>
    </xf>
    <xf numFmtId="0" fontId="31" fillId="6" borderId="121" xfId="0" applyFont="1" applyFill="1" applyBorder="1" applyAlignment="1">
      <alignment vertical="top"/>
    </xf>
    <xf numFmtId="3" fontId="27" fillId="25" borderId="35" xfId="0" applyNumberFormat="1" applyFont="1" applyFill="1" applyBorder="1" applyAlignment="1">
      <alignment horizontal="center" vertical="top"/>
    </xf>
    <xf numFmtId="0" fontId="20" fillId="0" borderId="0" xfId="0" applyFont="1" applyFill="1" applyBorder="1" applyAlignment="1">
      <alignment vertical="center"/>
    </xf>
    <xf numFmtId="3" fontId="20" fillId="0" borderId="0" xfId="0" applyNumberFormat="1" applyFont="1" applyFill="1" applyBorder="1" applyAlignment="1">
      <alignment vertical="center"/>
    </xf>
    <xf numFmtId="3" fontId="31" fillId="0" borderId="116" xfId="0" applyNumberFormat="1" applyFont="1" applyFill="1" applyBorder="1" applyAlignment="1">
      <alignment vertical="center"/>
    </xf>
    <xf numFmtId="3" fontId="31" fillId="25" borderId="121" xfId="0" applyNumberFormat="1" applyFont="1" applyFill="1" applyBorder="1" applyAlignment="1">
      <alignment horizontal="center" vertical="top"/>
    </xf>
    <xf numFmtId="3" fontId="25" fillId="0" borderId="121" xfId="0" applyNumberFormat="1" applyFont="1" applyFill="1" applyBorder="1" applyAlignment="1">
      <alignment vertical="top"/>
    </xf>
    <xf numFmtId="3" fontId="20" fillId="0" borderId="0" xfId="0" applyNumberFormat="1" applyFont="1" applyFill="1" applyBorder="1" applyAlignment="1">
      <alignment vertical="top"/>
    </xf>
    <xf numFmtId="3" fontId="31" fillId="23" borderId="2" xfId="0" applyNumberFormat="1" applyFont="1" applyFill="1" applyBorder="1" applyAlignment="1">
      <alignment vertical="top"/>
    </xf>
    <xf numFmtId="0" fontId="31" fillId="0" borderId="121" xfId="0" applyFont="1" applyFill="1" applyBorder="1" applyAlignment="1">
      <alignment horizontal="left" vertical="center" wrapText="1"/>
    </xf>
    <xf numFmtId="0" fontId="21" fillId="30" borderId="0" xfId="0" applyFont="1" applyFill="1" applyBorder="1" applyAlignment="1">
      <alignment vertical="top"/>
    </xf>
    <xf numFmtId="0" fontId="20" fillId="0" borderId="1" xfId="0" applyFont="1" applyBorder="1" applyAlignment="1">
      <alignment vertical="top"/>
    </xf>
    <xf numFmtId="0" fontId="21" fillId="0" borderId="3" xfId="0" applyFont="1" applyBorder="1" applyAlignment="1">
      <alignment vertical="top"/>
    </xf>
    <xf numFmtId="0" fontId="21" fillId="0" borderId="64" xfId="0" applyFont="1" applyBorder="1" applyAlignment="1">
      <alignment vertical="top"/>
    </xf>
    <xf numFmtId="0" fontId="21" fillId="0" borderId="64" xfId="0" applyFont="1" applyBorder="1" applyAlignment="1">
      <alignment horizontal="center" vertical="top" wrapText="1"/>
    </xf>
    <xf numFmtId="0" fontId="20" fillId="0" borderId="26" xfId="0" applyFont="1" applyBorder="1" applyAlignment="1">
      <alignment vertical="top"/>
    </xf>
    <xf numFmtId="0" fontId="21" fillId="0" borderId="65" xfId="0" applyFont="1" applyBorder="1" applyAlignment="1">
      <alignment horizontal="center" vertical="top" wrapText="1"/>
    </xf>
    <xf numFmtId="0" fontId="20" fillId="0" borderId="66" xfId="0" applyFont="1" applyBorder="1" applyAlignment="1">
      <alignment vertical="top"/>
    </xf>
    <xf numFmtId="0" fontId="21" fillId="0" borderId="24" xfId="0" applyFont="1" applyBorder="1" applyAlignment="1">
      <alignment vertical="top"/>
    </xf>
    <xf numFmtId="0" fontId="21" fillId="0" borderId="67" xfId="0" applyFont="1" applyBorder="1" applyAlignment="1">
      <alignment vertical="top"/>
    </xf>
    <xf numFmtId="0" fontId="21" fillId="0" borderId="67" xfId="0" applyFont="1" applyBorder="1" applyAlignment="1">
      <alignment horizontal="center" vertical="top" wrapText="1"/>
    </xf>
    <xf numFmtId="3" fontId="27" fillId="25" borderId="123" xfId="4" applyNumberFormat="1" applyFont="1" applyFill="1" applyBorder="1" applyAlignment="1">
      <alignment horizontal="right" vertical="center"/>
    </xf>
    <xf numFmtId="3" fontId="31" fillId="25" borderId="123" xfId="4" applyNumberFormat="1" applyFont="1" applyFill="1" applyBorder="1" applyAlignment="1">
      <alignment horizontal="right" vertical="center"/>
    </xf>
    <xf numFmtId="3" fontId="7" fillId="0" borderId="120" xfId="4" applyNumberFormat="1" applyFont="1" applyFill="1" applyBorder="1" applyAlignment="1">
      <alignment horizontal="right" vertical="center"/>
    </xf>
    <xf numFmtId="0" fontId="7" fillId="2" borderId="21" xfId="4" applyFont="1" applyFill="1" applyBorder="1" applyAlignment="1">
      <alignment vertical="center"/>
    </xf>
    <xf numFmtId="0" fontId="14" fillId="2" borderId="0" xfId="113" applyFont="1" applyFill="1" applyBorder="1" applyAlignment="1">
      <alignment horizontal="right" vertical="center"/>
    </xf>
    <xf numFmtId="0" fontId="15" fillId="2" borderId="0" xfId="112" applyFont="1" applyFill="1" applyBorder="1" applyAlignment="1">
      <alignment horizontal="right" vertical="center"/>
    </xf>
    <xf numFmtId="3" fontId="27" fillId="21" borderId="122" xfId="4" applyNumberFormat="1" applyFont="1" applyFill="1" applyBorder="1" applyAlignment="1">
      <alignment horizontal="right" vertical="center"/>
    </xf>
    <xf numFmtId="3" fontId="32" fillId="8" borderId="123" xfId="114" applyNumberFormat="1" applyFont="1" applyFill="1" applyBorder="1" applyAlignment="1">
      <alignment vertical="center"/>
    </xf>
    <xf numFmtId="0" fontId="31" fillId="8" borderId="119" xfId="4" applyFont="1" applyFill="1" applyBorder="1" applyAlignment="1">
      <alignment vertical="center"/>
    </xf>
    <xf numFmtId="3" fontId="24" fillId="6" borderId="123" xfId="4" applyNumberFormat="1" applyFont="1" applyFill="1" applyBorder="1" applyAlignment="1">
      <alignment horizontal="right" vertical="center"/>
    </xf>
    <xf numFmtId="0" fontId="27" fillId="8" borderId="126" xfId="4" applyFont="1" applyFill="1" applyBorder="1" applyAlignment="1">
      <alignment vertical="center"/>
    </xf>
    <xf numFmtId="0" fontId="27" fillId="8" borderId="114" xfId="4" applyFont="1" applyFill="1" applyBorder="1" applyAlignment="1">
      <alignment vertical="center"/>
    </xf>
    <xf numFmtId="3" fontId="33" fillId="8" borderId="123" xfId="114" applyNumberFormat="1" applyFont="1" applyFill="1" applyBorder="1" applyAlignment="1">
      <alignment vertical="center"/>
    </xf>
    <xf numFmtId="0" fontId="17" fillId="8" borderId="11" xfId="4" applyFont="1" applyFill="1" applyBorder="1" applyAlignment="1">
      <alignment horizontal="center" vertical="center"/>
    </xf>
    <xf numFmtId="0" fontId="31" fillId="8" borderId="114" xfId="4" applyFont="1" applyFill="1" applyBorder="1" applyAlignment="1">
      <alignment vertical="center"/>
    </xf>
    <xf numFmtId="3" fontId="31" fillId="8" borderId="121" xfId="112" applyNumberFormat="1" applyFont="1" applyFill="1" applyBorder="1" applyAlignment="1">
      <alignment vertical="center"/>
    </xf>
    <xf numFmtId="0" fontId="18" fillId="8" borderId="43" xfId="4" applyFont="1" applyFill="1" applyBorder="1" applyAlignment="1">
      <alignment vertical="center"/>
    </xf>
    <xf numFmtId="3" fontId="18" fillId="0" borderId="0" xfId="112" applyNumberFormat="1" applyFont="1" applyBorder="1" applyAlignment="1">
      <alignment vertical="center"/>
    </xf>
    <xf numFmtId="0" fontId="18" fillId="0" borderId="0" xfId="112" applyFont="1" applyBorder="1" applyAlignment="1">
      <alignment vertical="center"/>
    </xf>
    <xf numFmtId="0" fontId="17" fillId="8" borderId="11" xfId="4" applyFont="1" applyFill="1" applyBorder="1" applyAlignment="1">
      <alignment vertical="center"/>
    </xf>
    <xf numFmtId="0" fontId="27" fillId="8" borderId="20" xfId="4" applyFont="1" applyFill="1" applyBorder="1" applyAlignment="1">
      <alignment vertical="center"/>
    </xf>
    <xf numFmtId="3" fontId="33" fillId="8" borderId="9" xfId="114" applyNumberFormat="1" applyFont="1" applyFill="1" applyBorder="1" applyAlignment="1">
      <alignment vertical="center"/>
    </xf>
    <xf numFmtId="0" fontId="17" fillId="8" borderId="25" xfId="4" applyFont="1" applyFill="1" applyBorder="1" applyAlignment="1">
      <alignment vertical="center"/>
    </xf>
    <xf numFmtId="0" fontId="31" fillId="8" borderId="12" xfId="4" applyFont="1" applyFill="1" applyBorder="1" applyAlignment="1">
      <alignment vertical="center"/>
    </xf>
    <xf numFmtId="0" fontId="24" fillId="8" borderId="19" xfId="112" applyFont="1" applyFill="1" applyBorder="1" applyAlignment="1">
      <alignment vertical="center" wrapText="1"/>
    </xf>
    <xf numFmtId="0" fontId="24" fillId="8" borderId="14" xfId="112" applyFont="1" applyFill="1" applyBorder="1" applyAlignment="1">
      <alignment horizontal="center" vertical="center" wrapText="1"/>
    </xf>
    <xf numFmtId="3" fontId="27" fillId="0" borderId="122" xfId="4" applyNumberFormat="1" applyFont="1" applyFill="1" applyBorder="1" applyAlignment="1">
      <alignment horizontal="right" vertical="center"/>
    </xf>
    <xf numFmtId="3" fontId="33" fillId="0" borderId="121" xfId="114" applyNumberFormat="1" applyFont="1" applyFill="1" applyBorder="1" applyAlignment="1">
      <alignment vertical="center"/>
    </xf>
    <xf numFmtId="3" fontId="27" fillId="0" borderId="120" xfId="4" applyNumberFormat="1" applyFont="1" applyFill="1" applyBorder="1" applyAlignment="1">
      <alignment horizontal="right" vertical="center"/>
    </xf>
    <xf numFmtId="3" fontId="27" fillId="2" borderId="121" xfId="4" applyNumberFormat="1" applyFont="1" applyFill="1" applyBorder="1" applyAlignment="1">
      <alignment horizontal="right" vertical="center"/>
    </xf>
    <xf numFmtId="3" fontId="33" fillId="0" borderId="123" xfId="114" applyNumberFormat="1" applyFont="1" applyFill="1" applyBorder="1" applyAlignment="1">
      <alignment vertical="center"/>
    </xf>
    <xf numFmtId="3" fontId="27" fillId="8" borderId="121" xfId="0" applyNumberFormat="1" applyFont="1" applyFill="1" applyBorder="1" applyAlignment="1">
      <alignment vertical="center"/>
    </xf>
    <xf numFmtId="3" fontId="27" fillId="23" borderId="121" xfId="0" applyNumberFormat="1" applyFont="1" applyFill="1" applyBorder="1" applyAlignment="1">
      <alignment vertical="center"/>
    </xf>
    <xf numFmtId="3" fontId="31" fillId="28" borderId="121" xfId="0" applyNumberFormat="1" applyFont="1" applyFill="1" applyBorder="1" applyAlignment="1">
      <alignment vertical="center"/>
    </xf>
    <xf numFmtId="3" fontId="27" fillId="2" borderId="119" xfId="4" applyNumberFormat="1" applyFont="1" applyFill="1" applyBorder="1" applyAlignment="1">
      <alignment vertical="center" wrapText="1"/>
    </xf>
    <xf numFmtId="0" fontId="31" fillId="0" borderId="74" xfId="0" applyFont="1" applyFill="1" applyBorder="1" applyAlignment="1">
      <alignment vertical="center"/>
    </xf>
    <xf numFmtId="43" fontId="31" fillId="0" borderId="116" xfId="1" applyFont="1" applyFill="1" applyBorder="1" applyAlignment="1">
      <alignment vertical="center"/>
    </xf>
    <xf numFmtId="3" fontId="27" fillId="2" borderId="34" xfId="4" applyNumberFormat="1" applyFont="1" applyFill="1" applyBorder="1" applyAlignment="1">
      <alignment vertical="center" wrapText="1"/>
    </xf>
    <xf numFmtId="0" fontId="20" fillId="6" borderId="20" xfId="4" applyFont="1" applyFill="1" applyBorder="1" applyAlignment="1">
      <alignment horizontal="center" vertical="center" wrapText="1"/>
    </xf>
    <xf numFmtId="43" fontId="24" fillId="8" borderId="68" xfId="1" applyFont="1" applyFill="1" applyBorder="1" applyAlignment="1">
      <alignment horizontal="right" vertical="center"/>
    </xf>
    <xf numFmtId="3" fontId="25" fillId="22" borderId="155" xfId="4" applyNumberFormat="1" applyFont="1" applyFill="1" applyBorder="1" applyAlignment="1">
      <alignment horizontal="right" vertical="center"/>
    </xf>
    <xf numFmtId="3" fontId="27" fillId="25" borderId="155" xfId="4" applyNumberFormat="1" applyFont="1" applyFill="1" applyBorder="1" applyAlignment="1">
      <alignment horizontal="right" vertical="center"/>
    </xf>
    <xf numFmtId="3" fontId="33" fillId="0" borderId="155" xfId="6" applyNumberFormat="1" applyFont="1" applyFill="1" applyBorder="1" applyAlignment="1">
      <alignment vertical="center"/>
    </xf>
    <xf numFmtId="0" fontId="24" fillId="8" borderId="19" xfId="0" applyFont="1" applyFill="1" applyBorder="1" applyAlignment="1">
      <alignment horizontal="left" vertical="center" wrapText="1"/>
    </xf>
    <xf numFmtId="3" fontId="24" fillId="8" borderId="3" xfId="0" applyNumberFormat="1" applyFont="1" applyFill="1" applyBorder="1" applyAlignment="1">
      <alignment vertical="center"/>
    </xf>
    <xf numFmtId="3" fontId="31" fillId="0" borderId="30" xfId="0" applyNumberFormat="1" applyFont="1" applyFill="1" applyBorder="1" applyAlignment="1">
      <alignment horizontal="right" vertical="center"/>
    </xf>
    <xf numFmtId="3" fontId="31" fillId="0" borderId="29" xfId="0" applyNumberFormat="1" applyFont="1" applyFill="1" applyBorder="1" applyAlignment="1">
      <alignment horizontal="right" vertical="center"/>
    </xf>
    <xf numFmtId="0" fontId="33" fillId="0" borderId="6" xfId="0" applyFont="1" applyBorder="1" applyAlignment="1">
      <alignment horizontal="center" vertical="center"/>
    </xf>
    <xf numFmtId="3" fontId="29" fillId="0" borderId="29" xfId="4" applyNumberFormat="1" applyFont="1" applyFill="1" applyBorder="1" applyAlignment="1">
      <alignment horizontal="right" vertical="center"/>
    </xf>
    <xf numFmtId="3" fontId="31" fillId="0" borderId="69" xfId="0" applyNumberFormat="1" applyFont="1" applyFill="1" applyBorder="1" applyAlignment="1">
      <alignment horizontal="right" vertical="center"/>
    </xf>
    <xf numFmtId="3" fontId="31" fillId="0" borderId="72" xfId="0" applyNumberFormat="1" applyFont="1" applyFill="1" applyBorder="1" applyAlignment="1">
      <alignment horizontal="right" vertical="center"/>
    </xf>
    <xf numFmtId="3" fontId="31" fillId="0" borderId="73" xfId="0" applyNumberFormat="1" applyFont="1" applyFill="1" applyBorder="1" applyAlignment="1">
      <alignment horizontal="right" vertical="center"/>
    </xf>
    <xf numFmtId="3" fontId="24" fillId="22" borderId="68" xfId="4" applyNumberFormat="1" applyFont="1" applyFill="1" applyBorder="1" applyAlignment="1">
      <alignment horizontal="right" vertical="center"/>
    </xf>
    <xf numFmtId="0" fontId="7" fillId="0" borderId="116" xfId="4" applyFont="1" applyFill="1" applyBorder="1" applyAlignment="1">
      <alignment vertical="top"/>
    </xf>
    <xf numFmtId="3" fontId="31" fillId="0" borderId="116" xfId="0" applyNumberFormat="1" applyFont="1" applyFill="1" applyBorder="1" applyAlignment="1">
      <alignment horizontal="right" vertical="center"/>
    </xf>
    <xf numFmtId="0" fontId="28" fillId="50" borderId="22" xfId="0" quotePrefix="1" applyFont="1" applyFill="1" applyBorder="1" applyAlignment="1">
      <alignment horizontal="center" vertical="top"/>
    </xf>
    <xf numFmtId="3" fontId="18" fillId="8" borderId="65" xfId="0" applyNumberFormat="1" applyFont="1" applyFill="1" applyBorder="1" applyAlignment="1">
      <alignment horizontal="center" vertical="center" wrapText="1"/>
    </xf>
    <xf numFmtId="0" fontId="30" fillId="8" borderId="11" xfId="0" applyFont="1" applyFill="1" applyBorder="1" applyAlignment="1">
      <alignment vertical="center"/>
    </xf>
    <xf numFmtId="0" fontId="25" fillId="6" borderId="119" xfId="4" applyFont="1" applyFill="1" applyBorder="1" applyAlignment="1">
      <alignment horizontal="left" vertical="center"/>
    </xf>
    <xf numFmtId="3" fontId="25" fillId="6" borderId="154" xfId="0" applyNumberFormat="1" applyFont="1" applyFill="1" applyBorder="1" applyAlignment="1">
      <alignment vertical="top"/>
    </xf>
    <xf numFmtId="43" fontId="25" fillId="6" borderId="154" xfId="1" applyFont="1" applyFill="1" applyBorder="1" applyAlignment="1">
      <alignment vertical="top"/>
    </xf>
    <xf numFmtId="0" fontId="24" fillId="8" borderId="17" xfId="0" applyFont="1" applyFill="1" applyBorder="1" applyAlignment="1">
      <alignment horizontal="center" vertical="center" wrapText="1"/>
    </xf>
    <xf numFmtId="0" fontId="24" fillId="6" borderId="160" xfId="4" applyFont="1" applyFill="1" applyBorder="1" applyAlignment="1">
      <alignment horizontal="left" vertical="center"/>
    </xf>
    <xf numFmtId="3" fontId="25" fillId="6" borderId="154" xfId="0" applyNumberFormat="1" applyFont="1" applyFill="1" applyBorder="1" applyAlignment="1"/>
    <xf numFmtId="3" fontId="29" fillId="2" borderId="119" xfId="4" applyNumberFormat="1" applyFont="1" applyFill="1" applyBorder="1" applyAlignment="1">
      <alignment vertical="center" wrapText="1"/>
    </xf>
    <xf numFmtId="3" fontId="31" fillId="0" borderId="154" xfId="0" applyNumberFormat="1" applyFont="1" applyFill="1" applyBorder="1" applyAlignment="1">
      <alignment vertical="top"/>
    </xf>
    <xf numFmtId="0" fontId="29" fillId="2" borderId="119" xfId="4" applyFont="1" applyFill="1" applyBorder="1" applyAlignment="1">
      <alignment vertical="center"/>
    </xf>
    <xf numFmtId="3" fontId="27" fillId="0" borderId="154" xfId="0" applyNumberFormat="1" applyFont="1" applyFill="1" applyBorder="1" applyAlignment="1">
      <alignment vertical="top"/>
    </xf>
    <xf numFmtId="3" fontId="27" fillId="0" borderId="13" xfId="0" applyNumberFormat="1" applyFont="1" applyFill="1" applyBorder="1" applyAlignment="1">
      <alignment vertical="top"/>
    </xf>
    <xf numFmtId="43" fontId="31" fillId="0" borderId="154" xfId="1" applyFont="1" applyFill="1" applyBorder="1" applyAlignment="1">
      <alignment vertical="center"/>
    </xf>
    <xf numFmtId="43" fontId="31" fillId="0" borderId="155" xfId="1" applyFont="1" applyFill="1" applyBorder="1" applyAlignment="1">
      <alignment vertical="center"/>
    </xf>
    <xf numFmtId="0" fontId="29" fillId="2" borderId="160" xfId="4" applyFont="1" applyFill="1" applyBorder="1" applyAlignment="1">
      <alignment vertical="center"/>
    </xf>
    <xf numFmtId="0" fontId="7" fillId="0" borderId="127" xfId="4" applyFont="1" applyFill="1" applyBorder="1" applyAlignment="1">
      <alignment vertical="center"/>
    </xf>
    <xf numFmtId="43" fontId="31" fillId="0" borderId="131" xfId="1" applyFont="1" applyFill="1" applyBorder="1" applyAlignment="1">
      <alignment vertical="center"/>
    </xf>
    <xf numFmtId="3" fontId="25" fillId="6" borderId="154" xfId="0" applyNumberFormat="1" applyFont="1" applyFill="1" applyBorder="1" applyAlignment="1">
      <alignment vertical="center"/>
    </xf>
    <xf numFmtId="43" fontId="31" fillId="0" borderId="116" xfId="1" applyFont="1" applyFill="1" applyBorder="1" applyAlignment="1">
      <alignment vertical="top"/>
    </xf>
    <xf numFmtId="43" fontId="27" fillId="2" borderId="155" xfId="1" applyFont="1" applyFill="1" applyBorder="1" applyAlignment="1">
      <alignment vertical="center"/>
    </xf>
    <xf numFmtId="0" fontId="18" fillId="0" borderId="0" xfId="0" applyFont="1" applyBorder="1" applyAlignment="1">
      <alignment vertical="center"/>
    </xf>
    <xf numFmtId="0" fontId="7" fillId="8" borderId="37" xfId="0" applyFont="1" applyFill="1" applyBorder="1" applyAlignment="1">
      <alignment vertical="center" wrapText="1"/>
    </xf>
    <xf numFmtId="3" fontId="25" fillId="6" borderId="155" xfId="0" applyNumberFormat="1" applyFont="1" applyFill="1" applyBorder="1" applyAlignment="1">
      <alignment vertical="top"/>
    </xf>
    <xf numFmtId="3" fontId="25" fillId="25" borderId="154" xfId="0" applyNumberFormat="1" applyFont="1" applyFill="1" applyBorder="1" applyAlignment="1">
      <alignment vertical="top"/>
    </xf>
    <xf numFmtId="0" fontId="27" fillId="2" borderId="119" xfId="4" applyFont="1" applyFill="1" applyBorder="1" applyAlignment="1">
      <alignment vertical="top"/>
    </xf>
    <xf numFmtId="0" fontId="31" fillId="0" borderId="129" xfId="0" applyFont="1" applyFill="1" applyBorder="1" applyAlignment="1">
      <alignment horizontal="left" vertical="center" wrapText="1"/>
    </xf>
    <xf numFmtId="0" fontId="7" fillId="6" borderId="159" xfId="0" applyFont="1" applyFill="1" applyBorder="1" applyAlignment="1">
      <alignment horizontal="left" vertical="center" wrapText="1"/>
    </xf>
    <xf numFmtId="3" fontId="27" fillId="2" borderId="161" xfId="4" applyNumberFormat="1" applyFont="1" applyFill="1" applyBorder="1" applyAlignment="1">
      <alignment vertical="center" wrapText="1"/>
    </xf>
    <xf numFmtId="3" fontId="27" fillId="2" borderId="154" xfId="0" applyNumberFormat="1" applyFont="1" applyFill="1" applyBorder="1" applyAlignment="1">
      <alignment vertical="top"/>
    </xf>
    <xf numFmtId="0" fontId="27" fillId="2" borderId="128" xfId="4" applyFont="1" applyFill="1" applyBorder="1" applyAlignment="1">
      <alignment vertical="top"/>
    </xf>
    <xf numFmtId="0" fontId="31" fillId="6" borderId="159" xfId="0" applyFont="1" applyFill="1" applyBorder="1" applyAlignment="1">
      <alignment vertical="top"/>
    </xf>
    <xf numFmtId="43" fontId="25" fillId="6" borderId="155" xfId="1" applyFont="1" applyFill="1" applyBorder="1" applyAlignment="1">
      <alignment vertical="top"/>
    </xf>
    <xf numFmtId="3" fontId="31" fillId="0" borderId="131" xfId="0" applyNumberFormat="1" applyFont="1" applyFill="1" applyBorder="1" applyAlignment="1">
      <alignment vertical="top"/>
    </xf>
    <xf numFmtId="3" fontId="25" fillId="6" borderId="154" xfId="4" applyNumberFormat="1" applyFont="1" applyFill="1" applyBorder="1" applyAlignment="1">
      <alignment horizontal="right" vertical="center"/>
    </xf>
    <xf numFmtId="3" fontId="31" fillId="25" borderId="121" xfId="0" applyNumberFormat="1" applyFont="1" applyFill="1" applyBorder="1" applyAlignment="1">
      <alignment vertical="top"/>
    </xf>
    <xf numFmtId="43" fontId="27" fillId="2" borderId="35" xfId="1" applyFont="1" applyFill="1" applyBorder="1" applyAlignment="1">
      <alignment vertical="center"/>
    </xf>
    <xf numFmtId="43" fontId="27" fillId="2" borderId="9" xfId="1" applyFont="1" applyFill="1" applyBorder="1" applyAlignment="1">
      <alignment vertical="center"/>
    </xf>
    <xf numFmtId="43" fontId="32" fillId="0" borderId="116" xfId="1" applyFont="1" applyBorder="1"/>
    <xf numFmtId="43" fontId="32" fillId="0" borderId="12" xfId="1" applyFont="1" applyBorder="1"/>
    <xf numFmtId="0" fontId="20" fillId="2" borderId="6" xfId="0" applyFont="1" applyFill="1" applyBorder="1" applyAlignment="1">
      <alignment vertical="top"/>
    </xf>
    <xf numFmtId="0" fontId="20" fillId="2" borderId="22" xfId="0" applyFont="1" applyFill="1" applyBorder="1" applyAlignment="1">
      <alignment vertical="top"/>
    </xf>
    <xf numFmtId="0" fontId="27" fillId="50" borderId="21" xfId="4" applyFont="1" applyFill="1" applyBorder="1" applyAlignment="1">
      <alignment horizontal="left" vertical="center"/>
    </xf>
    <xf numFmtId="0" fontId="29" fillId="8" borderId="119" xfId="4" applyFont="1" applyFill="1" applyBorder="1" applyAlignment="1">
      <alignment vertical="top"/>
    </xf>
    <xf numFmtId="0" fontId="7" fillId="8" borderId="119" xfId="4" applyFont="1" applyFill="1" applyBorder="1" applyAlignment="1">
      <alignment vertical="top"/>
    </xf>
    <xf numFmtId="0" fontId="7" fillId="8" borderId="119" xfId="4" applyFont="1" applyFill="1" applyBorder="1" applyAlignment="1">
      <alignment vertical="top" wrapText="1"/>
    </xf>
    <xf numFmtId="0" fontId="7" fillId="8" borderId="11" xfId="4" applyFont="1" applyFill="1" applyBorder="1" applyAlignment="1">
      <alignment vertical="top"/>
    </xf>
    <xf numFmtId="3" fontId="24" fillId="6" borderId="155" xfId="4" applyNumberFormat="1" applyFont="1" applyFill="1" applyBorder="1" applyAlignment="1">
      <alignment vertical="center"/>
    </xf>
    <xf numFmtId="3" fontId="24" fillId="6" borderId="154" xfId="4" applyNumberFormat="1" applyFont="1" applyFill="1" applyBorder="1" applyAlignment="1">
      <alignment vertical="center"/>
    </xf>
    <xf numFmtId="0" fontId="29" fillId="0" borderId="119" xfId="4" applyFont="1" applyFill="1" applyBorder="1" applyAlignment="1">
      <alignment vertical="top"/>
    </xf>
    <xf numFmtId="3" fontId="29" fillId="0" borderId="155" xfId="4" applyNumberFormat="1" applyFont="1" applyFill="1" applyBorder="1" applyAlignment="1">
      <alignment horizontal="right" vertical="center"/>
    </xf>
    <xf numFmtId="0" fontId="7" fillId="0" borderId="119" xfId="4" applyFont="1" applyFill="1" applyBorder="1" applyAlignment="1">
      <alignment vertical="top"/>
    </xf>
    <xf numFmtId="3" fontId="7" fillId="0" borderId="155" xfId="4" applyNumberFormat="1" applyFont="1" applyFill="1" applyBorder="1" applyAlignment="1">
      <alignment horizontal="right" vertical="center"/>
    </xf>
    <xf numFmtId="3" fontId="7" fillId="0" borderId="154" xfId="4" applyNumberFormat="1" applyFont="1" applyFill="1" applyBorder="1" applyAlignment="1">
      <alignment horizontal="right" vertical="center"/>
    </xf>
    <xf numFmtId="3" fontId="31" fillId="0" borderId="154" xfId="4" applyNumberFormat="1" applyFont="1" applyFill="1" applyBorder="1" applyAlignment="1">
      <alignment horizontal="right" vertical="center"/>
    </xf>
    <xf numFmtId="0" fontId="24" fillId="8" borderId="21" xfId="4" applyFont="1" applyFill="1" applyBorder="1" applyAlignment="1">
      <alignment horizontal="left" vertical="center" wrapText="1"/>
    </xf>
    <xf numFmtId="3" fontId="7" fillId="23" borderId="35" xfId="4" applyNumberFormat="1" applyFont="1" applyFill="1" applyBorder="1" applyAlignment="1">
      <alignment horizontal="right" vertical="center"/>
    </xf>
    <xf numFmtId="43" fontId="24" fillId="6" borderId="154" xfId="1" applyFont="1" applyFill="1" applyBorder="1" applyAlignment="1">
      <alignment vertical="center"/>
    </xf>
    <xf numFmtId="43" fontId="7" fillId="0" borderId="154" xfId="1" applyFont="1" applyFill="1" applyBorder="1" applyAlignment="1">
      <alignment horizontal="right" vertical="center"/>
    </xf>
    <xf numFmtId="3" fontId="7" fillId="8" borderId="154" xfId="4" applyNumberFormat="1" applyFont="1" applyFill="1" applyBorder="1" applyAlignment="1">
      <alignment horizontal="right" vertical="center"/>
    </xf>
    <xf numFmtId="0" fontId="31" fillId="0" borderId="0" xfId="0" applyFont="1" applyBorder="1" applyAlignment="1">
      <alignment vertical="top"/>
    </xf>
    <xf numFmtId="3" fontId="25" fillId="6" borderId="155" xfId="4" applyNumberFormat="1" applyFont="1" applyFill="1" applyBorder="1" applyAlignment="1">
      <alignment vertical="center"/>
    </xf>
    <xf numFmtId="3" fontId="27" fillId="25" borderId="154" xfId="4" applyNumberFormat="1" applyFont="1" applyFill="1" applyBorder="1" applyAlignment="1">
      <alignment horizontal="right" vertical="center"/>
    </xf>
    <xf numFmtId="0" fontId="7" fillId="0" borderId="119" xfId="4" applyFont="1" applyFill="1" applyBorder="1" applyAlignment="1">
      <alignment vertical="center"/>
    </xf>
    <xf numFmtId="3" fontId="27" fillId="0" borderId="154" xfId="4" applyNumberFormat="1" applyFont="1" applyFill="1" applyBorder="1" applyAlignment="1">
      <alignment horizontal="right" vertical="center"/>
    </xf>
    <xf numFmtId="0" fontId="31" fillId="0" borderId="0" xfId="0" applyFont="1" applyBorder="1" applyAlignment="1"/>
    <xf numFmtId="3" fontId="27" fillId="0" borderId="155" xfId="4" applyNumberFormat="1" applyFont="1" applyFill="1" applyBorder="1" applyAlignment="1">
      <alignment horizontal="right" vertical="center"/>
    </xf>
    <xf numFmtId="0" fontId="7" fillId="0" borderId="0" xfId="0" applyFont="1" applyBorder="1" applyAlignment="1">
      <alignment vertical="top"/>
    </xf>
    <xf numFmtId="3" fontId="25" fillId="8" borderId="9" xfId="4" applyNumberFormat="1" applyFont="1" applyFill="1" applyBorder="1" applyAlignment="1">
      <alignment horizontal="center" vertical="center"/>
    </xf>
    <xf numFmtId="3" fontId="7" fillId="8" borderId="7" xfId="4" applyNumberFormat="1" applyFont="1" applyFill="1" applyBorder="1" applyAlignment="1">
      <alignment horizontal="right" vertical="center"/>
    </xf>
    <xf numFmtId="3" fontId="29" fillId="25" borderId="155" xfId="4" applyNumberFormat="1" applyFont="1" applyFill="1" applyBorder="1" applyAlignment="1">
      <alignment horizontal="right" vertical="center"/>
    </xf>
    <xf numFmtId="0" fontId="7" fillId="0" borderId="11" xfId="4" applyFont="1" applyFill="1" applyBorder="1" applyAlignment="1">
      <alignment vertical="top"/>
    </xf>
    <xf numFmtId="3" fontId="18" fillId="0" borderId="13" xfId="4" applyNumberFormat="1" applyFont="1" applyFill="1" applyBorder="1" applyAlignment="1">
      <alignment horizontal="right" vertical="center"/>
    </xf>
    <xf numFmtId="3" fontId="18" fillId="25" borderId="10" xfId="4" applyNumberFormat="1" applyFont="1" applyFill="1" applyBorder="1" applyAlignment="1">
      <alignment vertical="top"/>
    </xf>
    <xf numFmtId="0" fontId="21" fillId="0" borderId="0" xfId="0" applyFont="1" applyBorder="1" applyAlignment="1">
      <alignment vertical="center"/>
    </xf>
    <xf numFmtId="0" fontId="25" fillId="6" borderId="159" xfId="4" applyFont="1" applyFill="1" applyBorder="1" applyAlignment="1">
      <alignment horizontal="left" vertical="center"/>
    </xf>
    <xf numFmtId="43" fontId="24" fillId="6" borderId="155" xfId="1" applyFont="1" applyFill="1" applyBorder="1" applyAlignment="1">
      <alignment vertical="center"/>
    </xf>
    <xf numFmtId="0" fontId="17" fillId="0" borderId="0" xfId="0" applyFont="1" applyAlignment="1">
      <alignment vertical="center"/>
    </xf>
    <xf numFmtId="0" fontId="20" fillId="2" borderId="5" xfId="0" applyFont="1" applyFill="1" applyBorder="1" applyAlignment="1">
      <alignment horizontal="center" vertical="center"/>
    </xf>
    <xf numFmtId="0" fontId="20" fillId="2" borderId="11" xfId="0" applyFont="1" applyFill="1" applyBorder="1" applyAlignment="1">
      <alignment horizontal="center" vertical="center"/>
    </xf>
    <xf numFmtId="3" fontId="18" fillId="8" borderId="43" xfId="4" applyNumberFormat="1" applyFont="1" applyFill="1" applyBorder="1" applyAlignment="1">
      <alignment vertical="center" wrapText="1"/>
    </xf>
    <xf numFmtId="3" fontId="27" fillId="50" borderId="23" xfId="0" quotePrefix="1" applyNumberFormat="1" applyFont="1" applyFill="1" applyBorder="1" applyAlignment="1">
      <alignment horizontal="right" vertical="center"/>
    </xf>
    <xf numFmtId="3" fontId="18" fillId="8" borderId="43" xfId="4" applyNumberFormat="1" applyFont="1" applyFill="1" applyBorder="1" applyAlignment="1">
      <alignment horizontal="center" vertical="center"/>
    </xf>
    <xf numFmtId="0" fontId="18" fillId="8" borderId="43" xfId="4" applyFont="1" applyFill="1" applyBorder="1" applyAlignment="1">
      <alignment horizontal="center" vertical="center"/>
    </xf>
    <xf numFmtId="0" fontId="17" fillId="8" borderId="25" xfId="4" applyFont="1" applyFill="1" applyBorder="1" applyAlignment="1">
      <alignment horizontal="center" vertical="center"/>
    </xf>
    <xf numFmtId="0" fontId="7" fillId="8" borderId="3" xfId="0" applyFont="1" applyFill="1" applyBorder="1" applyAlignment="1">
      <alignment vertical="center"/>
    </xf>
    <xf numFmtId="0" fontId="7" fillId="8" borderId="76" xfId="0" applyFont="1" applyFill="1" applyBorder="1" applyAlignment="1">
      <alignment vertical="center"/>
    </xf>
    <xf numFmtId="3" fontId="7" fillId="8" borderId="76" xfId="0" applyNumberFormat="1" applyFont="1" applyFill="1" applyBorder="1" applyAlignment="1">
      <alignment vertical="center"/>
    </xf>
    <xf numFmtId="3" fontId="7" fillId="23" borderId="68" xfId="0" applyNumberFormat="1" applyFont="1" applyFill="1" applyBorder="1" applyAlignment="1">
      <alignment vertical="center"/>
    </xf>
    <xf numFmtId="3" fontId="27" fillId="2" borderId="29" xfId="4" applyNumberFormat="1" applyFont="1" applyFill="1" applyBorder="1" applyAlignment="1">
      <alignment vertical="center"/>
    </xf>
    <xf numFmtId="0" fontId="7" fillId="0" borderId="34" xfId="4" applyFont="1" applyFill="1" applyBorder="1" applyAlignment="1">
      <alignment vertical="center"/>
    </xf>
    <xf numFmtId="3" fontId="27" fillId="2" borderId="30" xfId="4" applyNumberFormat="1" applyFont="1" applyFill="1" applyBorder="1" applyAlignment="1">
      <alignment vertical="center"/>
    </xf>
    <xf numFmtId="0" fontId="34" fillId="2" borderId="51" xfId="0" applyFont="1" applyFill="1" applyBorder="1" applyAlignment="1">
      <alignment vertical="center"/>
    </xf>
    <xf numFmtId="0" fontId="34" fillId="0" borderId="51" xfId="0" applyFont="1" applyFill="1" applyBorder="1" applyAlignment="1">
      <alignment vertical="center"/>
    </xf>
    <xf numFmtId="0" fontId="34" fillId="0" borderId="77" xfId="0" applyFont="1" applyFill="1" applyBorder="1" applyAlignment="1">
      <alignment vertical="center"/>
    </xf>
    <xf numFmtId="0" fontId="30" fillId="8" borderId="5" xfId="0" applyFont="1" applyFill="1" applyBorder="1" applyAlignment="1">
      <alignment vertical="center"/>
    </xf>
    <xf numFmtId="0" fontId="27" fillId="50" borderId="25" xfId="0" applyFont="1" applyFill="1" applyBorder="1" applyAlignment="1">
      <alignment horizontal="left" vertical="center"/>
    </xf>
    <xf numFmtId="0" fontId="17" fillId="28" borderId="11" xfId="0" applyFont="1" applyFill="1" applyBorder="1" applyAlignment="1">
      <alignment vertical="center"/>
    </xf>
    <xf numFmtId="0" fontId="7" fillId="8" borderId="0" xfId="0" applyFont="1" applyFill="1" applyBorder="1" applyAlignment="1">
      <alignment vertical="center"/>
    </xf>
    <xf numFmtId="0" fontId="7" fillId="8" borderId="7" xfId="0" applyFont="1" applyFill="1" applyBorder="1" applyAlignment="1">
      <alignment vertical="center"/>
    </xf>
    <xf numFmtId="3" fontId="7" fillId="8" borderId="7" xfId="0" applyNumberFormat="1" applyFont="1" applyFill="1" applyBorder="1" applyAlignment="1">
      <alignment vertical="center"/>
    </xf>
    <xf numFmtId="3" fontId="7" fillId="23" borderId="35" xfId="0" applyNumberFormat="1" applyFont="1" applyFill="1" applyBorder="1" applyAlignment="1">
      <alignment vertical="center"/>
    </xf>
    <xf numFmtId="3" fontId="24" fillId="6" borderId="27" xfId="4" applyNumberFormat="1" applyFont="1" applyFill="1" applyBorder="1" applyAlignment="1">
      <alignment vertical="center"/>
    </xf>
    <xf numFmtId="0" fontId="18" fillId="0" borderId="0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7" fillId="0" borderId="0" xfId="112" applyFont="1" applyBorder="1" applyAlignment="1">
      <alignment vertical="center"/>
    </xf>
    <xf numFmtId="0" fontId="11" fillId="0" borderId="0" xfId="112" applyFont="1" applyFill="1" applyBorder="1" applyAlignment="1">
      <alignment vertical="center"/>
    </xf>
    <xf numFmtId="0" fontId="20" fillId="2" borderId="5" xfId="112" applyFont="1" applyFill="1" applyBorder="1" applyAlignment="1">
      <alignment horizontal="center" vertical="center"/>
    </xf>
    <xf numFmtId="0" fontId="20" fillId="2" borderId="11" xfId="112" applyFont="1" applyFill="1" applyBorder="1" applyAlignment="1">
      <alignment horizontal="center" vertical="center"/>
    </xf>
    <xf numFmtId="3" fontId="4" fillId="0" borderId="0" xfId="112" applyNumberFormat="1" applyFont="1" applyBorder="1" applyAlignment="1">
      <alignment vertical="center"/>
    </xf>
    <xf numFmtId="0" fontId="4" fillId="0" borderId="0" xfId="112" applyFont="1" applyBorder="1" applyAlignment="1">
      <alignment vertical="center"/>
    </xf>
    <xf numFmtId="0" fontId="27" fillId="50" borderId="25" xfId="112" applyFont="1" applyFill="1" applyBorder="1" applyAlignment="1">
      <alignment horizontal="left" vertical="center"/>
    </xf>
    <xf numFmtId="0" fontId="28" fillId="50" borderId="22" xfId="112" quotePrefix="1" applyFont="1" applyFill="1" applyBorder="1" applyAlignment="1">
      <alignment horizontal="center" vertical="center"/>
    </xf>
    <xf numFmtId="3" fontId="27" fillId="50" borderId="23" xfId="112" quotePrefix="1" applyNumberFormat="1" applyFont="1" applyFill="1" applyBorder="1" applyAlignment="1">
      <alignment horizontal="right" vertical="center"/>
    </xf>
    <xf numFmtId="3" fontId="29" fillId="8" borderId="126" xfId="4" applyNumberFormat="1" applyFont="1" applyFill="1" applyBorder="1" applyAlignment="1">
      <alignment vertical="center" wrapText="1"/>
    </xf>
    <xf numFmtId="3" fontId="29" fillId="8" borderId="114" xfId="4" applyNumberFormat="1" applyFont="1" applyFill="1" applyBorder="1" applyAlignment="1">
      <alignment vertical="center" wrapText="1"/>
    </xf>
    <xf numFmtId="3" fontId="27" fillId="8" borderId="121" xfId="112" applyNumberFormat="1" applyFont="1" applyFill="1" applyBorder="1" applyAlignment="1">
      <alignment vertical="center"/>
    </xf>
    <xf numFmtId="3" fontId="27" fillId="23" borderId="121" xfId="112" applyNumberFormat="1" applyFont="1" applyFill="1" applyBorder="1" applyAlignment="1">
      <alignment vertical="center"/>
    </xf>
    <xf numFmtId="3" fontId="7" fillId="8" borderId="126" xfId="4" applyNumberFormat="1" applyFont="1" applyFill="1" applyBorder="1" applyAlignment="1">
      <alignment vertical="center" wrapText="1"/>
    </xf>
    <xf numFmtId="3" fontId="7" fillId="8" borderId="114" xfId="4" applyNumberFormat="1" applyFont="1" applyFill="1" applyBorder="1" applyAlignment="1">
      <alignment vertical="center" wrapText="1"/>
    </xf>
    <xf numFmtId="3" fontId="7" fillId="8" borderId="121" xfId="112" applyNumberFormat="1" applyFont="1" applyFill="1" applyBorder="1" applyAlignment="1">
      <alignment vertical="center"/>
    </xf>
    <xf numFmtId="0" fontId="29" fillId="8" borderId="126" xfId="4" applyFont="1" applyFill="1" applyBorder="1" applyAlignment="1">
      <alignment vertical="center"/>
    </xf>
    <xf numFmtId="0" fontId="29" fillId="8" borderId="114" xfId="4" applyFont="1" applyFill="1" applyBorder="1" applyAlignment="1">
      <alignment vertical="center"/>
    </xf>
    <xf numFmtId="0" fontId="7" fillId="8" borderId="114" xfId="4" applyFont="1" applyFill="1" applyBorder="1" applyAlignment="1">
      <alignment vertical="center" wrapText="1"/>
    </xf>
    <xf numFmtId="0" fontId="27" fillId="8" borderId="6" xfId="4" applyFont="1" applyFill="1" applyBorder="1" applyAlignment="1">
      <alignment vertical="center"/>
    </xf>
    <xf numFmtId="0" fontId="18" fillId="8" borderId="41" xfId="4" applyFont="1" applyFill="1" applyBorder="1" applyAlignment="1">
      <alignment vertical="center"/>
    </xf>
    <xf numFmtId="0" fontId="7" fillId="8" borderId="76" xfId="112" applyFont="1" applyFill="1" applyBorder="1" applyAlignment="1">
      <alignment vertical="center"/>
    </xf>
    <xf numFmtId="3" fontId="7" fillId="23" borderId="68" xfId="112" applyNumberFormat="1" applyFont="1" applyFill="1" applyBorder="1" applyAlignment="1">
      <alignment vertical="center"/>
    </xf>
    <xf numFmtId="3" fontId="29" fillId="2" borderId="126" xfId="4" applyNumberFormat="1" applyFont="1" applyFill="1" applyBorder="1" applyAlignment="1">
      <alignment vertical="center" wrapText="1"/>
    </xf>
    <xf numFmtId="0" fontId="7" fillId="0" borderId="126" xfId="4" applyFont="1" applyFill="1" applyBorder="1" applyAlignment="1">
      <alignment vertical="center"/>
    </xf>
    <xf numFmtId="0" fontId="29" fillId="2" borderId="126" xfId="4" applyFont="1" applyFill="1" applyBorder="1" applyAlignment="1">
      <alignment vertical="center"/>
    </xf>
    <xf numFmtId="0" fontId="31" fillId="0" borderId="127" xfId="4" applyFont="1" applyFill="1" applyBorder="1" applyAlignment="1">
      <alignment vertical="center"/>
    </xf>
    <xf numFmtId="3" fontId="24" fillId="6" borderId="123" xfId="4" applyNumberFormat="1" applyFont="1" applyFill="1" applyBorder="1" applyAlignment="1">
      <alignment vertical="center"/>
    </xf>
    <xf numFmtId="3" fontId="27" fillId="2" borderId="123" xfId="4" applyNumberFormat="1" applyFont="1" applyFill="1" applyBorder="1" applyAlignment="1">
      <alignment vertical="center"/>
    </xf>
    <xf numFmtId="3" fontId="24" fillId="32" borderId="9" xfId="4" applyNumberFormat="1" applyFont="1" applyFill="1" applyBorder="1" applyAlignment="1">
      <alignment vertical="center"/>
    </xf>
    <xf numFmtId="3" fontId="24" fillId="8" borderId="4" xfId="4" applyNumberFormat="1" applyFont="1" applyFill="1" applyBorder="1" applyAlignment="1">
      <alignment vertical="center"/>
    </xf>
    <xf numFmtId="3" fontId="4" fillId="0" borderId="0" xfId="0" applyNumberFormat="1" applyFont="1" applyBorder="1" applyAlignment="1">
      <alignment vertical="center"/>
    </xf>
    <xf numFmtId="0" fontId="31" fillId="0" borderId="133" xfId="4" applyFont="1" applyFill="1" applyBorder="1" applyAlignment="1">
      <alignment vertical="center"/>
    </xf>
    <xf numFmtId="0" fontId="27" fillId="50" borderId="46" xfId="0" applyFont="1" applyFill="1" applyBorder="1" applyAlignment="1">
      <alignment horizontal="left" vertical="center"/>
    </xf>
    <xf numFmtId="3" fontId="31" fillId="8" borderId="17" xfId="0" applyNumberFormat="1" applyFont="1" applyFill="1" applyBorder="1" applyAlignment="1">
      <alignment vertical="center"/>
    </xf>
    <xf numFmtId="0" fontId="31" fillId="8" borderId="2" xfId="0" applyFont="1" applyFill="1" applyBorder="1" applyAlignment="1">
      <alignment vertical="center"/>
    </xf>
    <xf numFmtId="0" fontId="18" fillId="0" borderId="0" xfId="112" applyFont="1" applyBorder="1" applyAlignment="1">
      <alignment horizontal="center" vertical="center" wrapText="1"/>
    </xf>
    <xf numFmtId="0" fontId="13" fillId="0" borderId="0" xfId="0" applyFont="1" applyFill="1" applyAlignment="1">
      <alignment vertical="center"/>
    </xf>
    <xf numFmtId="0" fontId="0" fillId="0" borderId="64" xfId="0" applyFont="1" applyBorder="1" applyAlignment="1">
      <alignment vertical="center"/>
    </xf>
    <xf numFmtId="3" fontId="18" fillId="8" borderId="65" xfId="4" applyNumberFormat="1" applyFont="1" applyFill="1" applyBorder="1" applyAlignment="1">
      <alignment vertical="center" wrapText="1"/>
    </xf>
    <xf numFmtId="0" fontId="27" fillId="50" borderId="65" xfId="0" applyFont="1" applyFill="1" applyBorder="1" applyAlignment="1">
      <alignment horizontal="left" vertical="center"/>
    </xf>
    <xf numFmtId="0" fontId="28" fillId="50" borderId="6" xfId="0" quotePrefix="1" applyFont="1" applyFill="1" applyBorder="1" applyAlignment="1">
      <alignment horizontal="center" vertical="center"/>
    </xf>
    <xf numFmtId="3" fontId="27" fillId="50" borderId="27" xfId="0" quotePrefix="1" applyNumberFormat="1" applyFont="1" applyFill="1" applyBorder="1" applyAlignment="1">
      <alignment horizontal="right" vertical="center"/>
    </xf>
    <xf numFmtId="3" fontId="24" fillId="6" borderId="68" xfId="4" applyNumberFormat="1" applyFont="1" applyFill="1" applyBorder="1" applyAlignment="1">
      <alignment vertical="center"/>
    </xf>
    <xf numFmtId="3" fontId="24" fillId="22" borderId="68" xfId="4" applyNumberFormat="1" applyFont="1" applyFill="1" applyBorder="1" applyAlignment="1">
      <alignment vertical="center"/>
    </xf>
    <xf numFmtId="3" fontId="39" fillId="0" borderId="0" xfId="0" applyNumberFormat="1" applyFont="1" applyAlignment="1">
      <alignment vertical="center"/>
    </xf>
    <xf numFmtId="3" fontId="30" fillId="8" borderId="43" xfId="4" applyNumberFormat="1" applyFont="1" applyFill="1" applyBorder="1" applyAlignment="1">
      <alignment vertical="center" wrapText="1"/>
    </xf>
    <xf numFmtId="3" fontId="60" fillId="0" borderId="0" xfId="0" applyNumberFormat="1" applyFont="1" applyAlignment="1">
      <alignment vertical="center"/>
    </xf>
    <xf numFmtId="0" fontId="39" fillId="0" borderId="0" xfId="0" applyFont="1" applyAlignment="1">
      <alignment vertical="center"/>
    </xf>
    <xf numFmtId="0" fontId="7" fillId="8" borderId="20" xfId="4" applyFont="1" applyFill="1" applyBorder="1" applyAlignment="1">
      <alignment vertical="center"/>
    </xf>
    <xf numFmtId="3" fontId="7" fillId="8" borderId="34" xfId="4" applyNumberFormat="1" applyFont="1" applyFill="1" applyBorder="1" applyAlignment="1">
      <alignment vertical="center" wrapText="1"/>
    </xf>
    <xf numFmtId="3" fontId="7" fillId="8" borderId="28" xfId="4" applyNumberFormat="1" applyFont="1" applyFill="1" applyBorder="1" applyAlignment="1">
      <alignment vertical="center" wrapText="1"/>
    </xf>
    <xf numFmtId="0" fontId="18" fillId="8" borderId="43" xfId="4" applyFont="1" applyFill="1" applyBorder="1" applyAlignment="1">
      <alignment vertical="center" wrapText="1"/>
    </xf>
    <xf numFmtId="0" fontId="29" fillId="8" borderId="20" xfId="4" applyFont="1" applyFill="1" applyBorder="1" applyAlignment="1">
      <alignment vertical="center"/>
    </xf>
    <xf numFmtId="0" fontId="30" fillId="8" borderId="43" xfId="4" applyFont="1" applyFill="1" applyBorder="1" applyAlignment="1">
      <alignment vertical="center" wrapText="1"/>
    </xf>
    <xf numFmtId="3" fontId="27" fillId="8" borderId="20" xfId="4" applyNumberFormat="1" applyFont="1" applyFill="1" applyBorder="1" applyAlignment="1">
      <alignment vertical="center" wrapText="1"/>
    </xf>
    <xf numFmtId="0" fontId="27" fillId="8" borderId="28" xfId="4" applyFont="1" applyFill="1" applyBorder="1" applyAlignment="1">
      <alignment vertical="center"/>
    </xf>
    <xf numFmtId="3" fontId="7" fillId="8" borderId="12" xfId="4" applyNumberFormat="1" applyFont="1" applyFill="1" applyBorder="1" applyAlignment="1">
      <alignment vertical="center"/>
    </xf>
    <xf numFmtId="0" fontId="17" fillId="13" borderId="11" xfId="4" applyFont="1" applyFill="1" applyBorder="1" applyAlignment="1">
      <alignment horizontal="center" vertical="center"/>
    </xf>
    <xf numFmtId="3" fontId="18" fillId="13" borderId="43" xfId="4" applyNumberFormat="1" applyFont="1" applyFill="1" applyBorder="1" applyAlignment="1">
      <alignment horizontal="center" vertical="center"/>
    </xf>
    <xf numFmtId="3" fontId="7" fillId="13" borderId="34" xfId="4" applyNumberFormat="1" applyFont="1" applyFill="1" applyBorder="1" applyAlignment="1">
      <alignment vertical="center" wrapText="1"/>
    </xf>
    <xf numFmtId="3" fontId="7" fillId="13" borderId="28" xfId="4" applyNumberFormat="1" applyFont="1" applyFill="1" applyBorder="1" applyAlignment="1">
      <alignment vertical="center" wrapText="1"/>
    </xf>
    <xf numFmtId="0" fontId="18" fillId="13" borderId="43" xfId="4" applyFont="1" applyFill="1" applyBorder="1" applyAlignment="1">
      <alignment horizontal="center" vertical="center"/>
    </xf>
    <xf numFmtId="0" fontId="29" fillId="13" borderId="34" xfId="4" applyFont="1" applyFill="1" applyBorder="1" applyAlignment="1">
      <alignment vertical="center"/>
    </xf>
    <xf numFmtId="3" fontId="7" fillId="13" borderId="78" xfId="4" applyNumberFormat="1" applyFont="1" applyFill="1" applyBorder="1" applyAlignment="1">
      <alignment vertical="center" wrapText="1"/>
    </xf>
    <xf numFmtId="3" fontId="27" fillId="13" borderId="20" xfId="4" applyNumberFormat="1" applyFont="1" applyFill="1" applyBorder="1" applyAlignment="1">
      <alignment vertical="center" wrapText="1"/>
    </xf>
    <xf numFmtId="0" fontId="17" fillId="13" borderId="25" xfId="4" applyFont="1" applyFill="1" applyBorder="1" applyAlignment="1">
      <alignment horizontal="center" vertical="center"/>
    </xf>
    <xf numFmtId="3" fontId="18" fillId="13" borderId="41" xfId="4" applyNumberFormat="1" applyFont="1" applyFill="1" applyBorder="1" applyAlignment="1">
      <alignment horizontal="center" vertical="center"/>
    </xf>
    <xf numFmtId="3" fontId="29" fillId="2" borderId="34" xfId="4" applyNumberFormat="1" applyFont="1" applyFill="1" applyBorder="1" applyAlignment="1">
      <alignment vertical="center" wrapText="1"/>
    </xf>
    <xf numFmtId="0" fontId="29" fillId="2" borderId="32" xfId="4" applyFont="1" applyFill="1" applyBorder="1" applyAlignment="1">
      <alignment vertical="center"/>
    </xf>
    <xf numFmtId="0" fontId="7" fillId="0" borderId="33" xfId="4" applyFont="1" applyFill="1" applyBorder="1" applyAlignment="1">
      <alignment vertical="center"/>
    </xf>
    <xf numFmtId="3" fontId="25" fillId="8" borderId="4" xfId="4" applyNumberFormat="1" applyFont="1" applyFill="1" applyBorder="1" applyAlignment="1">
      <alignment vertical="center"/>
    </xf>
    <xf numFmtId="3" fontId="31" fillId="0" borderId="70" xfId="4" applyNumberFormat="1" applyFont="1" applyFill="1" applyBorder="1" applyAlignment="1">
      <alignment vertical="center"/>
    </xf>
    <xf numFmtId="0" fontId="31" fillId="0" borderId="78" xfId="4" applyFont="1" applyFill="1" applyBorder="1" applyAlignment="1">
      <alignment vertical="center"/>
    </xf>
    <xf numFmtId="3" fontId="28" fillId="0" borderId="50" xfId="4" applyNumberFormat="1" applyFont="1" applyFill="1" applyBorder="1" applyAlignment="1">
      <alignment vertical="center"/>
    </xf>
    <xf numFmtId="3" fontId="28" fillId="2" borderId="75" xfId="4" applyNumberFormat="1" applyFont="1" applyFill="1" applyBorder="1" applyAlignment="1">
      <alignment vertical="center"/>
    </xf>
    <xf numFmtId="43" fontId="24" fillId="6" borderId="9" xfId="1" applyFont="1" applyFill="1" applyBorder="1" applyAlignment="1">
      <alignment vertical="center"/>
    </xf>
    <xf numFmtId="0" fontId="24" fillId="13" borderId="16" xfId="4" applyFont="1" applyFill="1" applyBorder="1" applyAlignment="1">
      <alignment vertical="center" wrapText="1"/>
    </xf>
    <xf numFmtId="0" fontId="39" fillId="0" borderId="0" xfId="0" applyFont="1" applyFill="1" applyAlignment="1">
      <alignment vertical="center"/>
    </xf>
    <xf numFmtId="0" fontId="7" fillId="13" borderId="25" xfId="4" applyFont="1" applyFill="1" applyBorder="1" applyAlignment="1">
      <alignment vertical="center"/>
    </xf>
    <xf numFmtId="0" fontId="7" fillId="13" borderId="22" xfId="4" applyFont="1" applyFill="1" applyBorder="1" applyAlignment="1">
      <alignment vertical="center"/>
    </xf>
    <xf numFmtId="3" fontId="31" fillId="0" borderId="51" xfId="4" applyNumberFormat="1" applyFont="1" applyFill="1" applyBorder="1" applyAlignment="1">
      <alignment vertical="center"/>
    </xf>
    <xf numFmtId="3" fontId="7" fillId="0" borderId="75" xfId="4" applyNumberFormat="1" applyFont="1" applyFill="1" applyBorder="1" applyAlignment="1">
      <alignment horizontal="right" vertical="center"/>
    </xf>
    <xf numFmtId="3" fontId="7" fillId="0" borderId="51" xfId="4" applyNumberFormat="1" applyFont="1" applyFill="1" applyBorder="1" applyAlignment="1">
      <alignment horizontal="right" vertical="center"/>
    </xf>
    <xf numFmtId="3" fontId="27" fillId="2" borderId="155" xfId="4" applyNumberFormat="1" applyFont="1" applyFill="1" applyBorder="1" applyAlignment="1">
      <alignment vertical="center"/>
    </xf>
    <xf numFmtId="0" fontId="24" fillId="27" borderId="14" xfId="4" applyFont="1" applyFill="1" applyBorder="1" applyAlignment="1">
      <alignment vertical="center" wrapText="1"/>
    </xf>
    <xf numFmtId="0" fontId="7" fillId="27" borderId="4" xfId="4" applyFont="1" applyFill="1" applyBorder="1" applyAlignment="1">
      <alignment vertical="center"/>
    </xf>
    <xf numFmtId="3" fontId="7" fillId="27" borderId="68" xfId="4" applyNumberFormat="1" applyFont="1" applyFill="1" applyBorder="1" applyAlignment="1">
      <alignment vertical="center"/>
    </xf>
    <xf numFmtId="3" fontId="7" fillId="27" borderId="2" xfId="4" applyNumberFormat="1" applyFont="1" applyFill="1" applyBorder="1" applyAlignment="1">
      <alignment vertical="center"/>
    </xf>
    <xf numFmtId="3" fontId="7" fillId="24" borderId="2" xfId="4" applyNumberFormat="1" applyFont="1" applyFill="1" applyBorder="1" applyAlignment="1">
      <alignment vertical="center"/>
    </xf>
    <xf numFmtId="0" fontId="29" fillId="27" borderId="34" xfId="4" applyFont="1" applyFill="1" applyBorder="1" applyAlignment="1">
      <alignment vertical="center" wrapText="1"/>
    </xf>
    <xf numFmtId="3" fontId="29" fillId="27" borderId="28" xfId="4" applyNumberFormat="1" applyFont="1" applyFill="1" applyBorder="1" applyAlignment="1">
      <alignment vertical="center" wrapText="1"/>
    </xf>
    <xf numFmtId="0" fontId="7" fillId="27" borderId="34" xfId="4" applyFont="1" applyFill="1" applyBorder="1" applyAlignment="1">
      <alignment vertical="center" wrapText="1"/>
    </xf>
    <xf numFmtId="0" fontId="7" fillId="27" borderId="28" xfId="4" applyFont="1" applyFill="1" applyBorder="1" applyAlignment="1">
      <alignment vertical="center" wrapText="1"/>
    </xf>
    <xf numFmtId="0" fontId="7" fillId="13" borderId="36" xfId="4" applyFont="1" applyFill="1" applyBorder="1" applyAlignment="1">
      <alignment vertical="center"/>
    </xf>
    <xf numFmtId="0" fontId="7" fillId="13" borderId="20" xfId="4" applyFont="1" applyFill="1" applyBorder="1" applyAlignment="1">
      <alignment vertical="center"/>
    </xf>
    <xf numFmtId="0" fontId="29" fillId="13" borderId="20" xfId="4" applyFont="1" applyFill="1" applyBorder="1" applyAlignment="1">
      <alignment vertical="center"/>
    </xf>
    <xf numFmtId="0" fontId="60" fillId="0" borderId="0" xfId="0" applyFont="1" applyAlignment="1">
      <alignment vertical="center"/>
    </xf>
    <xf numFmtId="3" fontId="27" fillId="13" borderId="32" xfId="4" applyNumberFormat="1" applyFont="1" applyFill="1" applyBorder="1" applyAlignment="1">
      <alignment vertical="center" wrapText="1"/>
    </xf>
    <xf numFmtId="3" fontId="27" fillId="13" borderId="28" xfId="4" applyNumberFormat="1" applyFont="1" applyFill="1" applyBorder="1" applyAlignment="1">
      <alignment vertical="center" wrapText="1"/>
    </xf>
    <xf numFmtId="0" fontId="7" fillId="13" borderId="32" xfId="4" applyFont="1" applyFill="1" applyBorder="1" applyAlignment="1">
      <alignment vertical="center"/>
    </xf>
    <xf numFmtId="0" fontId="29" fillId="13" borderId="36" xfId="4" applyFont="1" applyFill="1" applyBorder="1" applyAlignment="1">
      <alignment vertical="center"/>
    </xf>
    <xf numFmtId="3" fontId="7" fillId="13" borderId="32" xfId="4" applyNumberFormat="1" applyFont="1" applyFill="1" applyBorder="1" applyAlignment="1">
      <alignment vertical="center" wrapText="1"/>
    </xf>
    <xf numFmtId="3" fontId="7" fillId="13" borderId="67" xfId="4" applyNumberFormat="1" applyFont="1" applyFill="1" applyBorder="1" applyAlignment="1">
      <alignment vertical="center" wrapText="1"/>
    </xf>
    <xf numFmtId="3" fontId="18" fillId="27" borderId="41" xfId="4" applyNumberFormat="1" applyFont="1" applyFill="1" applyBorder="1" applyAlignment="1">
      <alignment horizontal="center" vertical="center" wrapText="1"/>
    </xf>
    <xf numFmtId="0" fontId="60" fillId="2" borderId="0" xfId="0" applyFont="1" applyFill="1" applyAlignment="1">
      <alignment vertical="center"/>
    </xf>
    <xf numFmtId="3" fontId="31" fillId="2" borderId="63" xfId="4" applyNumberFormat="1" applyFont="1" applyFill="1" applyBorder="1" applyAlignment="1">
      <alignment vertical="center"/>
    </xf>
    <xf numFmtId="0" fontId="31" fillId="2" borderId="36" xfId="4" applyFont="1" applyFill="1" applyBorder="1" applyAlignment="1">
      <alignment vertical="center"/>
    </xf>
    <xf numFmtId="0" fontId="27" fillId="2" borderId="36" xfId="4" applyFont="1" applyFill="1" applyBorder="1" applyAlignment="1">
      <alignment vertical="center"/>
    </xf>
    <xf numFmtId="3" fontId="27" fillId="2" borderId="69" xfId="4" applyNumberFormat="1" applyFont="1" applyFill="1" applyBorder="1" applyAlignment="1">
      <alignment vertical="center"/>
    </xf>
    <xf numFmtId="0" fontId="7" fillId="27" borderId="14" xfId="4" applyFont="1" applyFill="1" applyBorder="1" applyAlignment="1">
      <alignment vertical="center"/>
    </xf>
    <xf numFmtId="3" fontId="29" fillId="27" borderId="32" xfId="4" applyNumberFormat="1" applyFont="1" applyFill="1" applyBorder="1" applyAlignment="1">
      <alignment vertical="center" wrapText="1"/>
    </xf>
    <xf numFmtId="3" fontId="29" fillId="13" borderId="32" xfId="4" applyNumberFormat="1" applyFont="1" applyFill="1" applyBorder="1" applyAlignment="1">
      <alignment vertical="center" wrapText="1"/>
    </xf>
    <xf numFmtId="0" fontId="27" fillId="13" borderId="21" xfId="4" applyFont="1" applyFill="1" applyBorder="1" applyAlignment="1">
      <alignment vertical="center"/>
    </xf>
    <xf numFmtId="43" fontId="31" fillId="2" borderId="72" xfId="1" applyFont="1" applyFill="1" applyBorder="1" applyAlignment="1">
      <alignment vertical="center"/>
    </xf>
    <xf numFmtId="3" fontId="7" fillId="8" borderId="43" xfId="4" applyNumberFormat="1" applyFont="1" applyFill="1" applyBorder="1" applyAlignment="1">
      <alignment vertical="center" wrapText="1"/>
    </xf>
    <xf numFmtId="3" fontId="32" fillId="0" borderId="0" xfId="0" applyNumberFormat="1" applyFont="1" applyAlignment="1">
      <alignment vertical="center"/>
    </xf>
    <xf numFmtId="0" fontId="32" fillId="0" borderId="0" xfId="0" applyFont="1" applyAlignment="1">
      <alignment vertical="center"/>
    </xf>
    <xf numFmtId="0" fontId="28" fillId="50" borderId="20" xfId="0" quotePrefix="1" applyFont="1" applyFill="1" applyBorder="1" applyAlignment="1">
      <alignment horizontal="center" vertical="center"/>
    </xf>
    <xf numFmtId="3" fontId="27" fillId="50" borderId="9" xfId="0" quotePrefix="1" applyNumberFormat="1" applyFont="1" applyFill="1" applyBorder="1" applyAlignment="1">
      <alignment horizontal="right" vertical="center"/>
    </xf>
    <xf numFmtId="3" fontId="7" fillId="8" borderId="43" xfId="4" applyNumberFormat="1" applyFont="1" applyFill="1" applyBorder="1" applyAlignment="1">
      <alignment horizontal="center" vertical="center"/>
    </xf>
    <xf numFmtId="3" fontId="29" fillId="8" borderId="34" xfId="4" applyNumberFormat="1" applyFont="1" applyFill="1" applyBorder="1" applyAlignment="1">
      <alignment vertical="center" wrapText="1"/>
    </xf>
    <xf numFmtId="3" fontId="29" fillId="8" borderId="28" xfId="4" applyNumberFormat="1" applyFont="1" applyFill="1" applyBorder="1" applyAlignment="1">
      <alignment vertical="center" wrapText="1"/>
    </xf>
    <xf numFmtId="3" fontId="63" fillId="0" borderId="0" xfId="0" applyNumberFormat="1" applyFont="1" applyAlignment="1">
      <alignment vertical="center"/>
    </xf>
    <xf numFmtId="0" fontId="63" fillId="0" borderId="0" xfId="0" applyFont="1" applyAlignment="1">
      <alignment vertical="center"/>
    </xf>
    <xf numFmtId="0" fontId="24" fillId="8" borderId="6" xfId="4" applyFont="1" applyFill="1" applyBorder="1" applyAlignment="1">
      <alignment horizontal="center" vertical="center" wrapText="1"/>
    </xf>
    <xf numFmtId="0" fontId="32" fillId="0" borderId="0" xfId="0" applyFont="1" applyFill="1" applyBorder="1" applyAlignment="1">
      <alignment vertical="center"/>
    </xf>
    <xf numFmtId="0" fontId="32" fillId="0" borderId="3" xfId="0" applyFont="1" applyFill="1" applyBorder="1" applyAlignment="1">
      <alignment vertical="center"/>
    </xf>
    <xf numFmtId="3" fontId="32" fillId="0" borderId="0" xfId="0" applyNumberFormat="1" applyFont="1" applyFill="1" applyBorder="1" applyAlignment="1">
      <alignment vertical="center"/>
    </xf>
    <xf numFmtId="3" fontId="62" fillId="6" borderId="30" xfId="0" applyNumberFormat="1" applyFont="1" applyFill="1" applyBorder="1" applyAlignment="1">
      <alignment vertical="center" wrapText="1"/>
    </xf>
    <xf numFmtId="3" fontId="65" fillId="8" borderId="29" xfId="0" applyNumberFormat="1" applyFont="1" applyFill="1" applyBorder="1" applyAlignment="1">
      <alignment vertical="center" wrapText="1"/>
    </xf>
    <xf numFmtId="3" fontId="6" fillId="2" borderId="9" xfId="0" applyNumberFormat="1" applyFont="1" applyFill="1" applyBorder="1" applyAlignment="1">
      <alignment vertical="center" wrapText="1"/>
    </xf>
    <xf numFmtId="3" fontId="6" fillId="0" borderId="9" xfId="0" applyNumberFormat="1" applyFont="1" applyFill="1" applyBorder="1" applyAlignment="1">
      <alignment vertical="center" wrapText="1"/>
    </xf>
    <xf numFmtId="3" fontId="65" fillId="8" borderId="30" xfId="0" applyNumberFormat="1" applyFont="1" applyFill="1" applyBorder="1" applyAlignment="1">
      <alignment vertical="center" wrapText="1"/>
    </xf>
    <xf numFmtId="3" fontId="31" fillId="0" borderId="154" xfId="4" applyNumberFormat="1" applyFont="1" applyFill="1" applyBorder="1" applyAlignment="1">
      <alignment vertical="center"/>
    </xf>
    <xf numFmtId="3" fontId="29" fillId="50" borderId="27" xfId="4" applyNumberFormat="1" applyFont="1" applyFill="1" applyBorder="1" applyAlignment="1">
      <alignment horizontal="right" vertical="center"/>
    </xf>
    <xf numFmtId="3" fontId="31" fillId="0" borderId="116" xfId="4" applyNumberFormat="1" applyFont="1" applyFill="1" applyBorder="1" applyAlignment="1">
      <alignment vertical="center"/>
    </xf>
    <xf numFmtId="3" fontId="31" fillId="0" borderId="131" xfId="4" applyNumberFormat="1" applyFont="1" applyFill="1" applyBorder="1" applyAlignment="1">
      <alignment vertical="center"/>
    </xf>
    <xf numFmtId="0" fontId="40" fillId="2" borderId="24" xfId="0" applyFont="1" applyFill="1" applyBorder="1" applyAlignment="1"/>
    <xf numFmtId="0" fontId="59" fillId="2" borderId="24" xfId="0" applyFont="1" applyFill="1" applyBorder="1" applyAlignment="1"/>
    <xf numFmtId="0" fontId="17" fillId="32" borderId="12" xfId="4" applyFont="1" applyFill="1" applyBorder="1" applyAlignment="1">
      <alignment horizontal="center" vertical="center" wrapText="1"/>
    </xf>
    <xf numFmtId="3" fontId="29" fillId="50" borderId="17" xfId="4" applyNumberFormat="1" applyFont="1" applyFill="1" applyBorder="1" applyAlignment="1">
      <alignment horizontal="right" vertical="center"/>
    </xf>
    <xf numFmtId="3" fontId="29" fillId="50" borderId="23" xfId="112" quotePrefix="1" applyNumberFormat="1" applyFont="1" applyFill="1" applyBorder="1" applyAlignment="1">
      <alignment horizontal="right" vertical="center"/>
    </xf>
    <xf numFmtId="3" fontId="31" fillId="0" borderId="156" xfId="4" applyNumberFormat="1" applyFont="1" applyFill="1" applyBorder="1" applyAlignment="1">
      <alignment vertical="center"/>
    </xf>
    <xf numFmtId="3" fontId="25" fillId="6" borderId="123" xfId="0" applyNumberFormat="1" applyFont="1" applyFill="1" applyBorder="1" applyAlignment="1">
      <alignment vertical="top"/>
    </xf>
    <xf numFmtId="3" fontId="25" fillId="22" borderId="123" xfId="0" applyNumberFormat="1" applyFont="1" applyFill="1" applyBorder="1" applyAlignment="1">
      <alignment vertical="top"/>
    </xf>
    <xf numFmtId="3" fontId="27" fillId="2" borderId="123" xfId="0" applyNumberFormat="1" applyFont="1" applyFill="1" applyBorder="1" applyAlignment="1">
      <alignment vertical="top"/>
    </xf>
    <xf numFmtId="3" fontId="27" fillId="0" borderId="123" xfId="0" applyNumberFormat="1" applyFont="1" applyFill="1" applyBorder="1" applyAlignment="1">
      <alignment vertical="top"/>
    </xf>
    <xf numFmtId="3" fontId="24" fillId="22" borderId="154" xfId="4" applyNumberFormat="1" applyFont="1" applyFill="1" applyBorder="1" applyAlignment="1">
      <alignment horizontal="right" vertical="center"/>
    </xf>
    <xf numFmtId="0" fontId="24" fillId="6" borderId="154" xfId="4" applyFont="1" applyFill="1" applyBorder="1" applyAlignment="1">
      <alignment horizontal="left" vertical="center"/>
    </xf>
    <xf numFmtId="0" fontId="25" fillId="6" borderId="154" xfId="4" applyFont="1" applyFill="1" applyBorder="1" applyAlignment="1">
      <alignment horizontal="left" vertical="center"/>
    </xf>
    <xf numFmtId="3" fontId="25" fillId="22" borderId="154" xfId="4" applyNumberFormat="1" applyFont="1" applyFill="1" applyBorder="1" applyAlignment="1">
      <alignment horizontal="right" vertical="center"/>
    </xf>
    <xf numFmtId="3" fontId="29" fillId="2" borderId="154" xfId="4" applyNumberFormat="1" applyFont="1" applyFill="1" applyBorder="1" applyAlignment="1">
      <alignment vertical="top" wrapText="1"/>
    </xf>
    <xf numFmtId="0" fontId="7" fillId="0" borderId="154" xfId="4" applyFont="1" applyFill="1" applyBorder="1" applyAlignment="1">
      <alignment vertical="top"/>
    </xf>
    <xf numFmtId="3" fontId="7" fillId="25" borderId="154" xfId="4" applyNumberFormat="1" applyFont="1" applyFill="1" applyBorder="1" applyAlignment="1">
      <alignment horizontal="right" vertical="center"/>
    </xf>
    <xf numFmtId="3" fontId="32" fillId="0" borderId="154" xfId="6" applyNumberFormat="1" applyFont="1" applyFill="1" applyBorder="1" applyAlignment="1">
      <alignment vertical="center"/>
    </xf>
    <xf numFmtId="3" fontId="33" fillId="0" borderId="154" xfId="6" applyNumberFormat="1" applyFont="1" applyFill="1" applyBorder="1" applyAlignment="1">
      <alignment vertical="center"/>
    </xf>
    <xf numFmtId="3" fontId="24" fillId="6" borderId="154" xfId="4" applyNumberFormat="1" applyFont="1" applyFill="1" applyBorder="1" applyAlignment="1"/>
    <xf numFmtId="3" fontId="31" fillId="0" borderId="155" xfId="4" applyNumberFormat="1" applyFont="1" applyFill="1" applyBorder="1" applyAlignment="1">
      <alignment vertical="center"/>
    </xf>
    <xf numFmtId="3" fontId="24" fillId="6" borderId="155" xfId="4" applyNumberFormat="1" applyFont="1" applyFill="1" applyBorder="1" applyAlignment="1">
      <alignment horizontal="right" vertical="center"/>
    </xf>
    <xf numFmtId="3" fontId="27" fillId="13" borderId="160" xfId="4" applyNumberFormat="1" applyFont="1" applyFill="1" applyBorder="1" applyAlignment="1">
      <alignment vertical="center" wrapText="1"/>
    </xf>
    <xf numFmtId="3" fontId="32" fillId="13" borderId="155" xfId="6" applyNumberFormat="1" applyFont="1" applyFill="1" applyBorder="1" applyAlignment="1">
      <alignment vertical="center"/>
    </xf>
    <xf numFmtId="0" fontId="7" fillId="13" borderId="160" xfId="4" applyFont="1" applyFill="1" applyBorder="1" applyAlignment="1">
      <alignment vertical="center"/>
    </xf>
    <xf numFmtId="0" fontId="27" fillId="13" borderId="160" xfId="4" applyFont="1" applyFill="1" applyBorder="1" applyAlignment="1">
      <alignment vertical="center"/>
    </xf>
    <xf numFmtId="3" fontId="33" fillId="13" borderId="155" xfId="6" applyNumberFormat="1" applyFont="1" applyFill="1" applyBorder="1" applyAlignment="1">
      <alignment vertical="center"/>
    </xf>
    <xf numFmtId="3" fontId="25" fillId="6" borderId="155" xfId="4" applyNumberFormat="1" applyFont="1" applyFill="1" applyBorder="1" applyAlignment="1">
      <alignment horizontal="right" vertical="center"/>
    </xf>
    <xf numFmtId="3" fontId="31" fillId="25" borderId="155" xfId="4" applyNumberFormat="1" applyFont="1" applyFill="1" applyBorder="1" applyAlignment="1">
      <alignment horizontal="right" vertical="center"/>
    </xf>
    <xf numFmtId="43" fontId="7" fillId="0" borderId="155" xfId="1" applyFont="1" applyFill="1" applyBorder="1" applyAlignment="1">
      <alignment horizontal="right" vertical="center"/>
    </xf>
    <xf numFmtId="0" fontId="27" fillId="2" borderId="119" xfId="4" applyFont="1" applyFill="1" applyBorder="1" applyAlignment="1">
      <alignment vertical="center"/>
    </xf>
    <xf numFmtId="43" fontId="33" fillId="0" borderId="155" xfId="1" applyFont="1" applyFill="1" applyBorder="1" applyAlignment="1">
      <alignment vertical="center"/>
    </xf>
    <xf numFmtId="3" fontId="27" fillId="2" borderId="160" xfId="4" applyNumberFormat="1" applyFont="1" applyFill="1" applyBorder="1" applyAlignment="1">
      <alignment vertical="center" wrapText="1"/>
    </xf>
    <xf numFmtId="0" fontId="7" fillId="0" borderId="133" xfId="4" applyFont="1" applyFill="1" applyBorder="1" applyAlignment="1">
      <alignment vertical="center"/>
    </xf>
    <xf numFmtId="0" fontId="31" fillId="0" borderId="119" xfId="4" applyFont="1" applyFill="1" applyBorder="1" applyAlignment="1">
      <alignment vertical="center"/>
    </xf>
    <xf numFmtId="3" fontId="7" fillId="0" borderId="164" xfId="4" applyNumberFormat="1" applyFont="1" applyFill="1" applyBorder="1" applyAlignment="1">
      <alignment horizontal="right" vertical="center"/>
    </xf>
    <xf numFmtId="43" fontId="33" fillId="0" borderId="154" xfId="1" applyFont="1" applyFill="1" applyBorder="1" applyAlignment="1">
      <alignment vertical="center"/>
    </xf>
    <xf numFmtId="43" fontId="7" fillId="0" borderId="116" xfId="1" applyFont="1" applyFill="1" applyBorder="1" applyAlignment="1">
      <alignment horizontal="right" vertical="center"/>
    </xf>
    <xf numFmtId="3" fontId="7" fillId="0" borderId="156" xfId="4" applyNumberFormat="1" applyFont="1" applyFill="1" applyBorder="1" applyAlignment="1">
      <alignment horizontal="right" vertical="center"/>
    </xf>
    <xf numFmtId="43" fontId="31" fillId="0" borderId="131" xfId="1" applyFont="1" applyFill="1" applyBorder="1" applyAlignment="1">
      <alignment horizontal="right" vertical="center"/>
    </xf>
    <xf numFmtId="3" fontId="27" fillId="2" borderId="163" xfId="4" applyNumberFormat="1" applyFont="1" applyFill="1" applyBorder="1" applyAlignment="1">
      <alignment vertical="center" wrapText="1"/>
    </xf>
    <xf numFmtId="0" fontId="7" fillId="0" borderId="154" xfId="4" applyFont="1" applyFill="1" applyBorder="1" applyAlignment="1">
      <alignment vertical="center"/>
    </xf>
    <xf numFmtId="0" fontId="32" fillId="57" borderId="154" xfId="0" applyFont="1" applyFill="1" applyBorder="1" applyAlignment="1">
      <alignment horizontal="center" vertical="center" wrapText="1"/>
    </xf>
    <xf numFmtId="3" fontId="37" fillId="0" borderId="0" xfId="0" applyNumberFormat="1" applyFont="1" applyAlignment="1">
      <alignment vertical="center"/>
    </xf>
    <xf numFmtId="0" fontId="7" fillId="8" borderId="74" xfId="4" applyFont="1" applyFill="1" applyBorder="1" applyAlignment="1">
      <alignment vertical="top"/>
    </xf>
    <xf numFmtId="3" fontId="25" fillId="8" borderId="35" xfId="4" applyNumberFormat="1" applyFont="1" applyFill="1" applyBorder="1" applyAlignment="1">
      <alignment horizontal="center" vertical="center"/>
    </xf>
    <xf numFmtId="3" fontId="7" fillId="0" borderId="9" xfId="4" applyNumberFormat="1" applyFont="1" applyFill="1" applyBorder="1" applyAlignment="1">
      <alignment horizontal="right" vertical="center"/>
    </xf>
    <xf numFmtId="0" fontId="25" fillId="6" borderId="160" xfId="4" applyFont="1" applyFill="1" applyBorder="1" applyAlignment="1">
      <alignment horizontal="left" vertical="center"/>
    </xf>
    <xf numFmtId="3" fontId="29" fillId="13" borderId="155" xfId="4" applyNumberFormat="1" applyFont="1" applyFill="1" applyBorder="1" applyAlignment="1">
      <alignment horizontal="right" vertical="center"/>
    </xf>
    <xf numFmtId="3" fontId="7" fillId="13" borderId="155" xfId="4" applyNumberFormat="1" applyFont="1" applyFill="1" applyBorder="1" applyAlignment="1">
      <alignment horizontal="right" vertical="center"/>
    </xf>
    <xf numFmtId="0" fontId="29" fillId="13" borderId="160" xfId="4" applyFont="1" applyFill="1" applyBorder="1" applyAlignment="1">
      <alignment vertical="center"/>
    </xf>
    <xf numFmtId="0" fontId="29" fillId="13" borderId="159" xfId="4" applyFont="1" applyFill="1" applyBorder="1" applyAlignment="1">
      <alignment vertical="center"/>
    </xf>
    <xf numFmtId="3" fontId="27" fillId="13" borderId="155" xfId="4" applyNumberFormat="1" applyFont="1" applyFill="1" applyBorder="1" applyAlignment="1">
      <alignment horizontal="right" vertical="center"/>
    </xf>
    <xf numFmtId="0" fontId="31" fillId="6" borderId="155" xfId="0" applyFont="1" applyFill="1" applyBorder="1" applyAlignment="1">
      <alignment vertical="top"/>
    </xf>
    <xf numFmtId="3" fontId="27" fillId="2" borderId="155" xfId="0" applyNumberFormat="1" applyFont="1" applyFill="1" applyBorder="1" applyAlignment="1">
      <alignment vertical="center"/>
    </xf>
    <xf numFmtId="0" fontId="17" fillId="0" borderId="11" xfId="0" applyFont="1" applyFill="1" applyBorder="1" applyAlignment="1">
      <alignment vertical="center"/>
    </xf>
    <xf numFmtId="0" fontId="25" fillId="2" borderId="20" xfId="0" applyFont="1" applyFill="1" applyBorder="1" applyAlignment="1">
      <alignment vertical="center" wrapText="1"/>
    </xf>
    <xf numFmtId="3" fontId="31" fillId="0" borderId="27" xfId="4" applyNumberFormat="1" applyFont="1" applyFill="1" applyBorder="1" applyAlignment="1">
      <alignment vertical="center"/>
    </xf>
    <xf numFmtId="3" fontId="31" fillId="0" borderId="9" xfId="4" applyNumberFormat="1" applyFont="1" applyFill="1" applyBorder="1" applyAlignment="1">
      <alignment vertical="center"/>
    </xf>
    <xf numFmtId="43" fontId="32" fillId="0" borderId="35" xfId="1" applyFont="1" applyBorder="1"/>
    <xf numFmtId="3" fontId="27" fillId="21" borderId="164" xfId="4" applyNumberFormat="1" applyFont="1" applyFill="1" applyBorder="1" applyAlignment="1">
      <alignment horizontal="right" vertical="center"/>
    </xf>
    <xf numFmtId="3" fontId="29" fillId="8" borderId="155" xfId="4" applyNumberFormat="1" applyFont="1" applyFill="1" applyBorder="1" applyAlignment="1">
      <alignment vertical="center"/>
    </xf>
    <xf numFmtId="3" fontId="7" fillId="8" borderId="155" xfId="4" applyNumberFormat="1" applyFont="1" applyFill="1" applyBorder="1" applyAlignment="1">
      <alignment vertical="center"/>
    </xf>
    <xf numFmtId="3" fontId="31" fillId="23" borderId="154" xfId="4" applyNumberFormat="1" applyFont="1" applyFill="1" applyBorder="1" applyAlignment="1">
      <alignment horizontal="right" vertical="center"/>
    </xf>
    <xf numFmtId="3" fontId="7" fillId="8" borderId="160" xfId="4" applyNumberFormat="1" applyFont="1" applyFill="1" applyBorder="1" applyAlignment="1">
      <alignment vertical="center" wrapText="1"/>
    </xf>
    <xf numFmtId="0" fontId="7" fillId="8" borderId="160" xfId="4" applyFont="1" applyFill="1" applyBorder="1" applyAlignment="1">
      <alignment vertical="center" wrapText="1"/>
    </xf>
    <xf numFmtId="0" fontId="7" fillId="8" borderId="119" xfId="4" applyFont="1" applyFill="1" applyBorder="1" applyAlignment="1">
      <alignment vertical="center" wrapText="1"/>
    </xf>
    <xf numFmtId="3" fontId="27" fillId="8" borderId="155" xfId="4" applyNumberFormat="1" applyFont="1" applyFill="1" applyBorder="1" applyAlignment="1">
      <alignment vertical="center"/>
    </xf>
    <xf numFmtId="3" fontId="31" fillId="8" borderId="155" xfId="4" applyNumberFormat="1" applyFont="1" applyFill="1" applyBorder="1" applyAlignment="1">
      <alignment vertical="center"/>
    </xf>
    <xf numFmtId="0" fontId="7" fillId="8" borderId="160" xfId="4" applyFont="1" applyFill="1" applyBorder="1" applyAlignment="1">
      <alignment vertical="center"/>
    </xf>
    <xf numFmtId="3" fontId="29" fillId="13" borderId="160" xfId="4" applyNumberFormat="1" applyFont="1" applyFill="1" applyBorder="1" applyAlignment="1">
      <alignment vertical="center" wrapText="1"/>
    </xf>
    <xf numFmtId="3" fontId="29" fillId="24" borderId="155" xfId="4" applyNumberFormat="1" applyFont="1" applyFill="1" applyBorder="1" applyAlignment="1">
      <alignment horizontal="right" vertical="center"/>
    </xf>
    <xf numFmtId="3" fontId="7" fillId="13" borderId="160" xfId="4" applyNumberFormat="1" applyFont="1" applyFill="1" applyBorder="1" applyAlignment="1">
      <alignment vertical="center" wrapText="1"/>
    </xf>
    <xf numFmtId="3" fontId="7" fillId="13" borderId="127" xfId="4" applyNumberFormat="1" applyFont="1" applyFill="1" applyBorder="1" applyAlignment="1">
      <alignment vertical="center" wrapText="1"/>
    </xf>
    <xf numFmtId="3" fontId="7" fillId="13" borderId="125" xfId="4" applyNumberFormat="1" applyFont="1" applyFill="1" applyBorder="1" applyAlignment="1">
      <alignment vertical="center" wrapText="1"/>
    </xf>
    <xf numFmtId="3" fontId="32" fillId="13" borderId="156" xfId="6" applyNumberFormat="1" applyFont="1" applyFill="1" applyBorder="1" applyAlignment="1">
      <alignment vertical="center"/>
    </xf>
    <xf numFmtId="0" fontId="21" fillId="2" borderId="159" xfId="0" applyFont="1" applyFill="1" applyBorder="1" applyAlignment="1">
      <alignment horizontal="center" vertical="top"/>
    </xf>
    <xf numFmtId="0" fontId="21" fillId="2" borderId="154" xfId="0" applyFont="1" applyFill="1" applyBorder="1" applyAlignment="1">
      <alignment horizontal="center" vertical="top"/>
    </xf>
    <xf numFmtId="0" fontId="21" fillId="2" borderId="154" xfId="0" quotePrefix="1" applyFont="1" applyFill="1" applyBorder="1" applyAlignment="1">
      <alignment horizontal="center" vertical="top"/>
    </xf>
    <xf numFmtId="0" fontId="21" fillId="26" borderId="154" xfId="0" quotePrefix="1" applyFont="1" applyFill="1" applyBorder="1" applyAlignment="1">
      <alignment horizontal="center" vertical="top"/>
    </xf>
    <xf numFmtId="0" fontId="21" fillId="2" borderId="157" xfId="0" quotePrefix="1" applyFont="1" applyFill="1" applyBorder="1" applyAlignment="1">
      <alignment horizontal="center" vertical="top"/>
    </xf>
    <xf numFmtId="3" fontId="24" fillId="6" borderId="154" xfId="4" applyNumberFormat="1" applyFont="1" applyFill="1" applyBorder="1" applyAlignment="1">
      <alignment horizontal="right" vertical="center"/>
    </xf>
    <xf numFmtId="3" fontId="28" fillId="23" borderId="154" xfId="4" applyNumberFormat="1" applyFont="1" applyFill="1" applyBorder="1" applyAlignment="1">
      <alignment horizontal="right" vertical="center"/>
    </xf>
    <xf numFmtId="3" fontId="27" fillId="23" borderId="154" xfId="4" applyNumberFormat="1" applyFont="1" applyFill="1" applyBorder="1" applyAlignment="1">
      <alignment horizontal="right" vertical="center"/>
    </xf>
    <xf numFmtId="3" fontId="33" fillId="23" borderId="154" xfId="6" applyNumberFormat="1" applyFont="1" applyFill="1" applyBorder="1" applyAlignment="1">
      <alignment vertical="center"/>
    </xf>
    <xf numFmtId="0" fontId="34" fillId="0" borderId="51" xfId="0" applyFont="1" applyFill="1" applyBorder="1" applyAlignment="1">
      <alignment vertical="top"/>
    </xf>
    <xf numFmtId="0" fontId="69" fillId="0" borderId="0" xfId="0" applyFont="1" applyAlignment="1">
      <alignment horizontal="center" vertical="center"/>
    </xf>
    <xf numFmtId="0" fontId="8" fillId="0" borderId="0" xfId="0" applyFont="1"/>
    <xf numFmtId="0" fontId="8" fillId="0" borderId="0" xfId="0" applyFont="1" applyBorder="1"/>
    <xf numFmtId="0" fontId="11" fillId="0" borderId="0" xfId="0" applyFont="1" applyFill="1" applyAlignment="1"/>
    <xf numFmtId="0" fontId="13" fillId="0" borderId="0" xfId="0" applyFont="1" applyFill="1" applyAlignment="1">
      <alignment horizontal="left"/>
    </xf>
    <xf numFmtId="0" fontId="28" fillId="0" borderId="0" xfId="0" applyFont="1" applyFill="1" applyAlignment="1">
      <alignment horizontal="left"/>
    </xf>
    <xf numFmtId="0" fontId="71" fillId="2" borderId="0" xfId="0" applyFont="1" applyFill="1" applyBorder="1" applyAlignment="1">
      <alignment horizontal="center" vertical="center"/>
    </xf>
    <xf numFmtId="0" fontId="19" fillId="2" borderId="14" xfId="0" applyFont="1" applyFill="1" applyBorder="1" applyAlignment="1">
      <alignment horizontal="center"/>
    </xf>
    <xf numFmtId="3" fontId="8" fillId="0" borderId="0" xfId="0" applyNumberFormat="1" applyFont="1" applyBorder="1"/>
    <xf numFmtId="0" fontId="19" fillId="2" borderId="6" xfId="0" applyFont="1" applyFill="1" applyBorder="1" applyAlignment="1">
      <alignment horizontal="center"/>
    </xf>
    <xf numFmtId="0" fontId="36" fillId="0" borderId="13" xfId="4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/>
    </xf>
    <xf numFmtId="0" fontId="19" fillId="0" borderId="61" xfId="0" applyFont="1" applyBorder="1" applyAlignment="1">
      <alignment horizontal="center" vertical="center"/>
    </xf>
    <xf numFmtId="3" fontId="8" fillId="0" borderId="0" xfId="0" applyNumberFormat="1" applyFont="1"/>
    <xf numFmtId="0" fontId="7" fillId="0" borderId="14" xfId="0" applyFont="1" applyBorder="1" applyAlignment="1">
      <alignment horizontal="center"/>
    </xf>
    <xf numFmtId="3" fontId="7" fillId="0" borderId="15" xfId="0" quotePrefix="1" applyNumberFormat="1" applyFont="1" applyBorder="1" applyAlignment="1">
      <alignment horizontal="center"/>
    </xf>
    <xf numFmtId="3" fontId="7" fillId="0" borderId="2" xfId="0" quotePrefix="1" applyNumberFormat="1" applyFont="1" applyBorder="1" applyAlignment="1">
      <alignment horizontal="center"/>
    </xf>
    <xf numFmtId="3" fontId="7" fillId="0" borderId="39" xfId="0" quotePrefix="1" applyNumberFormat="1" applyFont="1" applyBorder="1" applyAlignment="1">
      <alignment horizontal="center"/>
    </xf>
    <xf numFmtId="3" fontId="7" fillId="0" borderId="50" xfId="0" quotePrefix="1" applyNumberFormat="1" applyFont="1" applyBorder="1" applyAlignment="1">
      <alignment horizontal="center"/>
    </xf>
    <xf numFmtId="3" fontId="7" fillId="0" borderId="4" xfId="0" quotePrefix="1" applyNumberFormat="1" applyFont="1" applyBorder="1" applyAlignment="1">
      <alignment horizontal="center"/>
    </xf>
    <xf numFmtId="0" fontId="7" fillId="3" borderId="5" xfId="0" quotePrefix="1" applyFont="1" applyFill="1" applyBorder="1" applyAlignment="1">
      <alignment horizontal="center"/>
    </xf>
    <xf numFmtId="0" fontId="66" fillId="4" borderId="16" xfId="4" applyFont="1" applyFill="1" applyBorder="1" applyAlignment="1">
      <alignment horizontal="left" vertical="center"/>
    </xf>
    <xf numFmtId="3" fontId="66" fillId="4" borderId="17" xfId="0" applyNumberFormat="1" applyFont="1" applyFill="1" applyBorder="1" applyAlignment="1">
      <alignment horizontal="right" vertical="center" wrapText="1"/>
    </xf>
    <xf numFmtId="3" fontId="66" fillId="5" borderId="19" xfId="0" applyNumberFormat="1" applyFont="1" applyFill="1" applyBorder="1" applyAlignment="1">
      <alignment horizontal="right" vertical="center" wrapText="1"/>
    </xf>
    <xf numFmtId="3" fontId="8" fillId="0" borderId="9" xfId="0" applyNumberFormat="1" applyFont="1" applyBorder="1" applyAlignment="1">
      <alignment vertical="center"/>
    </xf>
    <xf numFmtId="0" fontId="8" fillId="0" borderId="0" xfId="0" applyFont="1" applyAlignment="1">
      <alignment vertical="center"/>
    </xf>
    <xf numFmtId="0" fontId="36" fillId="4" borderId="20" xfId="0" applyFont="1" applyFill="1" applyBorder="1" applyAlignment="1">
      <alignment horizontal="left" vertical="center"/>
    </xf>
    <xf numFmtId="3" fontId="36" fillId="4" borderId="9" xfId="0" quotePrefix="1" applyNumberFormat="1" applyFont="1" applyFill="1" applyBorder="1" applyAlignment="1">
      <alignment horizontal="right" vertical="center"/>
    </xf>
    <xf numFmtId="3" fontId="6" fillId="3" borderId="21" xfId="0" applyNumberFormat="1" applyFont="1" applyFill="1" applyBorder="1" applyAlignment="1">
      <alignment vertical="center" wrapText="1"/>
    </xf>
    <xf numFmtId="0" fontId="36" fillId="4" borderId="22" xfId="0" applyFont="1" applyFill="1" applyBorder="1" applyAlignment="1">
      <alignment horizontal="left" vertical="center"/>
    </xf>
    <xf numFmtId="3" fontId="36" fillId="4" borderId="23" xfId="0" quotePrefix="1" applyNumberFormat="1" applyFont="1" applyFill="1" applyBorder="1" applyAlignment="1">
      <alignment horizontal="right" vertical="center"/>
    </xf>
    <xf numFmtId="0" fontId="7" fillId="0" borderId="26" xfId="0" applyFont="1" applyFill="1" applyBorder="1" applyAlignment="1">
      <alignment vertical="center" wrapText="1"/>
    </xf>
    <xf numFmtId="3" fontId="7" fillId="0" borderId="0" xfId="0" applyNumberFormat="1" applyFont="1" applyFill="1" applyBorder="1" applyAlignment="1">
      <alignment vertical="center" wrapText="1"/>
    </xf>
    <xf numFmtId="0" fontId="66" fillId="6" borderId="28" xfId="4" applyFont="1" applyFill="1" applyBorder="1" applyAlignment="1">
      <alignment horizontal="left" vertical="center"/>
    </xf>
    <xf numFmtId="3" fontId="66" fillId="6" borderId="30" xfId="0" applyNumberFormat="1" applyFont="1" applyFill="1" applyBorder="1" applyAlignment="1">
      <alignment horizontal="right" vertical="center" wrapText="1"/>
    </xf>
    <xf numFmtId="0" fontId="72" fillId="0" borderId="0" xfId="0" applyFont="1" applyFill="1" applyBorder="1" applyAlignment="1">
      <alignment vertical="center"/>
    </xf>
    <xf numFmtId="0" fontId="64" fillId="8" borderId="20" xfId="4" applyFont="1" applyFill="1" applyBorder="1" applyAlignment="1">
      <alignment vertical="center"/>
    </xf>
    <xf numFmtId="3" fontId="64" fillId="8" borderId="9" xfId="0" applyNumberFormat="1" applyFont="1" applyFill="1" applyBorder="1" applyAlignment="1">
      <alignment horizontal="right" vertical="center" wrapText="1"/>
    </xf>
    <xf numFmtId="3" fontId="64" fillId="9" borderId="21" xfId="0" applyNumberFormat="1" applyFont="1" applyFill="1" applyBorder="1" applyAlignment="1">
      <alignment horizontal="right" vertical="center" wrapText="1"/>
    </xf>
    <xf numFmtId="0" fontId="8" fillId="0" borderId="0" xfId="0" applyFont="1" applyFill="1" applyBorder="1" applyAlignment="1"/>
    <xf numFmtId="0" fontId="8" fillId="0" borderId="20" xfId="0" applyFont="1" applyFill="1" applyBorder="1" applyAlignment="1">
      <alignment vertical="center" wrapText="1"/>
    </xf>
    <xf numFmtId="3" fontId="8" fillId="0" borderId="9" xfId="0" applyNumberFormat="1" applyFont="1" applyFill="1" applyBorder="1" applyAlignment="1">
      <alignment vertical="center" wrapText="1"/>
    </xf>
    <xf numFmtId="43" fontId="8" fillId="0" borderId="9" xfId="1" applyFont="1" applyFill="1" applyBorder="1" applyAlignment="1">
      <alignment vertical="center" wrapText="1"/>
    </xf>
    <xf numFmtId="3" fontId="8" fillId="0" borderId="30" xfId="0" applyNumberFormat="1" applyFont="1" applyFill="1" applyBorder="1" applyAlignment="1">
      <alignment vertical="center" wrapText="1"/>
    </xf>
    <xf numFmtId="3" fontId="8" fillId="0" borderId="27" xfId="0" applyNumberFormat="1" applyFont="1" applyFill="1" applyBorder="1" applyAlignment="1">
      <alignment vertical="center" wrapText="1"/>
    </xf>
    <xf numFmtId="0" fontId="72" fillId="0" borderId="0" xfId="0" applyFont="1" applyFill="1" applyBorder="1" applyAlignment="1"/>
    <xf numFmtId="43" fontId="6" fillId="2" borderId="9" xfId="1" applyFont="1" applyFill="1" applyBorder="1" applyAlignment="1">
      <alignment vertical="center" wrapText="1"/>
    </xf>
    <xf numFmtId="3" fontId="8" fillId="0" borderId="0" xfId="0" applyNumberFormat="1" applyFont="1" applyFill="1" applyBorder="1" applyAlignment="1">
      <alignment vertical="center"/>
    </xf>
    <xf numFmtId="3" fontId="7" fillId="0" borderId="13" xfId="0" applyNumberFormat="1" applyFont="1" applyFill="1" applyBorder="1" applyAlignment="1">
      <alignment vertical="center" wrapText="1"/>
    </xf>
    <xf numFmtId="3" fontId="7" fillId="0" borderId="27" xfId="0" applyNumberFormat="1" applyFont="1" applyFill="1" applyBorder="1" applyAlignment="1">
      <alignment vertical="center" wrapText="1"/>
    </xf>
    <xf numFmtId="3" fontId="7" fillId="2" borderId="0" xfId="0" applyNumberFormat="1" applyFont="1" applyFill="1" applyBorder="1" applyAlignment="1">
      <alignment vertical="center" wrapText="1"/>
    </xf>
    <xf numFmtId="0" fontId="68" fillId="52" borderId="38" xfId="0" applyFont="1" applyFill="1" applyBorder="1" applyAlignment="1">
      <alignment vertical="center"/>
    </xf>
    <xf numFmtId="3" fontId="62" fillId="52" borderId="39" xfId="0" applyNumberFormat="1" applyFont="1" applyFill="1" applyBorder="1" applyAlignment="1">
      <alignment vertical="center" wrapText="1"/>
    </xf>
    <xf numFmtId="3" fontId="62" fillId="52" borderId="40" xfId="0" applyNumberFormat="1" applyFont="1" applyFill="1" applyBorder="1" applyAlignment="1">
      <alignment vertical="center" wrapText="1"/>
    </xf>
    <xf numFmtId="3" fontId="72" fillId="0" borderId="0" xfId="0" applyNumberFormat="1" applyFont="1" applyFill="1" applyAlignment="1">
      <alignment vertical="center"/>
    </xf>
    <xf numFmtId="3" fontId="72" fillId="0" borderId="0" xfId="0" applyNumberFormat="1" applyFont="1" applyFill="1" applyBorder="1" applyAlignment="1">
      <alignment vertical="center"/>
    </xf>
    <xf numFmtId="3" fontId="62" fillId="52" borderId="12" xfId="0" applyNumberFormat="1" applyFont="1" applyFill="1" applyBorder="1" applyAlignment="1">
      <alignment vertical="center" wrapText="1"/>
    </xf>
    <xf numFmtId="3" fontId="62" fillId="52" borderId="41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 wrapText="1"/>
    </xf>
    <xf numFmtId="3" fontId="7" fillId="0" borderId="0" xfId="0" applyNumberFormat="1" applyFont="1" applyFill="1" applyBorder="1" applyAlignment="1">
      <alignment horizontal="right" vertical="center" wrapText="1"/>
    </xf>
    <xf numFmtId="0" fontId="40" fillId="2" borderId="0" xfId="0" applyFont="1" applyFill="1" applyBorder="1" applyAlignment="1">
      <alignment horizontal="center" vertical="center"/>
    </xf>
    <xf numFmtId="0" fontId="36" fillId="4" borderId="22" xfId="0" applyFont="1" applyFill="1" applyBorder="1" applyAlignment="1">
      <alignment horizontal="left"/>
    </xf>
    <xf numFmtId="3" fontId="36" fillId="4" borderId="47" xfId="0" quotePrefix="1" applyNumberFormat="1" applyFont="1" applyFill="1" applyBorder="1" applyAlignment="1">
      <alignment horizontal="right"/>
    </xf>
    <xf numFmtId="3" fontId="65" fillId="8" borderId="35" xfId="0" applyNumberFormat="1" applyFont="1" applyFill="1" applyBorder="1" applyAlignment="1">
      <alignment horizontal="right" vertical="center" wrapText="1"/>
    </xf>
    <xf numFmtId="43" fontId="8" fillId="2" borderId="9" xfId="1" applyFont="1" applyFill="1" applyBorder="1" applyAlignment="1">
      <alignment vertical="center" wrapText="1"/>
    </xf>
    <xf numFmtId="43" fontId="65" fillId="8" borderId="29" xfId="1" applyFont="1" applyFill="1" applyBorder="1" applyAlignment="1">
      <alignment vertical="center" wrapText="1"/>
    </xf>
    <xf numFmtId="43" fontId="65" fillId="8" borderId="30" xfId="1" applyFont="1" applyFill="1" applyBorder="1" applyAlignment="1">
      <alignment vertical="center" wrapText="1"/>
    </xf>
    <xf numFmtId="0" fontId="8" fillId="0" borderId="37" xfId="0" applyFont="1" applyFill="1" applyBorder="1" applyAlignment="1">
      <alignment vertical="center" wrapText="1"/>
    </xf>
    <xf numFmtId="43" fontId="8" fillId="0" borderId="47" xfId="1" applyFont="1" applyFill="1" applyBorder="1" applyAlignment="1">
      <alignment vertical="center" wrapText="1"/>
    </xf>
    <xf numFmtId="3" fontId="8" fillId="0" borderId="47" xfId="0" applyNumberFormat="1" applyFont="1" applyFill="1" applyBorder="1" applyAlignment="1">
      <alignment vertical="center" wrapText="1"/>
    </xf>
    <xf numFmtId="0" fontId="68" fillId="4" borderId="38" xfId="0" applyFont="1" applyFill="1" applyBorder="1" applyAlignment="1">
      <alignment vertical="center"/>
    </xf>
    <xf numFmtId="3" fontId="62" fillId="4" borderId="39" xfId="0" applyNumberFormat="1" applyFont="1" applyFill="1" applyBorder="1" applyAlignment="1">
      <alignment vertical="center" wrapText="1"/>
    </xf>
    <xf numFmtId="3" fontId="62" fillId="4" borderId="51" xfId="0" applyNumberFormat="1" applyFont="1" applyFill="1" applyBorder="1" applyAlignment="1">
      <alignment vertical="center" wrapText="1"/>
    </xf>
    <xf numFmtId="3" fontId="62" fillId="4" borderId="52" xfId="0" applyNumberFormat="1" applyFont="1" applyFill="1" applyBorder="1" applyAlignment="1">
      <alignment vertical="center" wrapText="1"/>
    </xf>
    <xf numFmtId="3" fontId="62" fillId="4" borderId="12" xfId="0" applyNumberFormat="1" applyFont="1" applyFill="1" applyBorder="1" applyAlignment="1">
      <alignment vertical="center" wrapText="1"/>
    </xf>
    <xf numFmtId="3" fontId="62" fillId="4" borderId="23" xfId="0" applyNumberFormat="1" applyFont="1" applyFill="1" applyBorder="1" applyAlignment="1">
      <alignment vertical="center" wrapText="1"/>
    </xf>
    <xf numFmtId="3" fontId="62" fillId="4" borderId="25" xfId="0" applyNumberFormat="1" applyFont="1" applyFill="1" applyBorder="1" applyAlignment="1">
      <alignment horizontal="center" vertical="center" wrapText="1"/>
    </xf>
    <xf numFmtId="3" fontId="62" fillId="2" borderId="0" xfId="0" applyNumberFormat="1" applyFont="1" applyFill="1" applyBorder="1" applyAlignment="1">
      <alignment vertical="center" wrapText="1"/>
    </xf>
    <xf numFmtId="3" fontId="72" fillId="2" borderId="0" xfId="0" applyNumberFormat="1" applyFont="1" applyFill="1" applyAlignment="1">
      <alignment vertical="center"/>
    </xf>
    <xf numFmtId="0" fontId="72" fillId="2" borderId="0" xfId="0" applyFont="1" applyFill="1" applyBorder="1" applyAlignment="1">
      <alignment vertical="center"/>
    </xf>
    <xf numFmtId="0" fontId="66" fillId="13" borderId="53" xfId="4" applyFont="1" applyFill="1" applyBorder="1" applyAlignment="1">
      <alignment horizontal="left" vertical="center"/>
    </xf>
    <xf numFmtId="3" fontId="62" fillId="13" borderId="54" xfId="0" applyNumberFormat="1" applyFont="1" applyFill="1" applyBorder="1" applyAlignment="1">
      <alignment vertical="center" wrapText="1"/>
    </xf>
    <xf numFmtId="3" fontId="62" fillId="13" borderId="55" xfId="0" applyNumberFormat="1" applyFont="1" applyFill="1" applyBorder="1" applyAlignment="1">
      <alignment vertical="center" wrapText="1"/>
    </xf>
    <xf numFmtId="3" fontId="62" fillId="13" borderId="56" xfId="0" applyNumberFormat="1" applyFont="1" applyFill="1" applyBorder="1" applyAlignment="1">
      <alignment vertical="center" wrapText="1"/>
    </xf>
    <xf numFmtId="3" fontId="73" fillId="13" borderId="35" xfId="0" applyNumberFormat="1" applyFont="1" applyFill="1" applyBorder="1" applyAlignment="1">
      <alignment vertical="center" wrapText="1"/>
    </xf>
    <xf numFmtId="3" fontId="73" fillId="13" borderId="7" xfId="0" applyNumberFormat="1" applyFont="1" applyFill="1" applyBorder="1" applyAlignment="1">
      <alignment vertical="center" wrapText="1"/>
    </xf>
    <xf numFmtId="3" fontId="73" fillId="13" borderId="21" xfId="0" applyNumberFormat="1" applyFont="1" applyFill="1" applyBorder="1" applyAlignment="1">
      <alignment vertical="center" wrapText="1"/>
    </xf>
    <xf numFmtId="3" fontId="62" fillId="13" borderId="57" xfId="0" applyNumberFormat="1" applyFont="1" applyFill="1" applyBorder="1" applyAlignment="1">
      <alignment vertical="center" wrapText="1"/>
    </xf>
    <xf numFmtId="3" fontId="62" fillId="13" borderId="58" xfId="0" applyNumberFormat="1" applyFont="1" applyFill="1" applyBorder="1" applyAlignment="1">
      <alignment horizontal="center" vertical="center" wrapText="1"/>
    </xf>
    <xf numFmtId="3" fontId="62" fillId="13" borderId="59" xfId="0" applyNumberFormat="1" applyFont="1" applyFill="1" applyBorder="1" applyAlignment="1">
      <alignment horizontal="center" vertical="center" wrapText="1"/>
    </xf>
    <xf numFmtId="3" fontId="72" fillId="2" borderId="0" xfId="0" applyNumberFormat="1" applyFont="1" applyFill="1" applyBorder="1" applyAlignment="1">
      <alignment vertical="center"/>
    </xf>
    <xf numFmtId="3" fontId="73" fillId="13" borderId="47" xfId="0" applyNumberFormat="1" applyFont="1" applyFill="1" applyBorder="1" applyAlignment="1">
      <alignment vertical="center" wrapText="1"/>
    </xf>
    <xf numFmtId="3" fontId="62" fillId="13" borderId="74" xfId="0" applyNumberFormat="1" applyFont="1" applyFill="1" applyBorder="1" applyAlignment="1">
      <alignment horizontal="center" vertical="center" wrapText="1"/>
    </xf>
    <xf numFmtId="3" fontId="62" fillId="13" borderId="0" xfId="0" applyNumberFormat="1" applyFont="1" applyFill="1" applyBorder="1" applyAlignment="1">
      <alignment vertical="center" wrapText="1"/>
    </xf>
    <xf numFmtId="3" fontId="62" fillId="0" borderId="0" xfId="0" applyNumberFormat="1" applyFont="1" applyFill="1" applyBorder="1" applyAlignment="1">
      <alignment vertical="center" wrapText="1"/>
    </xf>
    <xf numFmtId="3" fontId="62" fillId="0" borderId="54" xfId="0" applyNumberFormat="1" applyFont="1" applyFill="1" applyBorder="1" applyAlignment="1">
      <alignment vertical="center" wrapText="1"/>
    </xf>
    <xf numFmtId="3" fontId="62" fillId="0" borderId="55" xfId="0" applyNumberFormat="1" applyFont="1" applyFill="1" applyBorder="1" applyAlignment="1">
      <alignment vertical="center" wrapText="1"/>
    </xf>
    <xf numFmtId="3" fontId="75" fillId="0" borderId="35" xfId="0" applyNumberFormat="1" applyFont="1" applyFill="1" applyBorder="1" applyAlignment="1">
      <alignment vertical="center" wrapText="1"/>
    </xf>
    <xf numFmtId="3" fontId="73" fillId="0" borderId="7" xfId="0" applyNumberFormat="1" applyFont="1" applyFill="1" applyBorder="1" applyAlignment="1">
      <alignment vertical="center" wrapText="1"/>
    </xf>
    <xf numFmtId="0" fontId="65" fillId="0" borderId="61" xfId="0" applyFont="1" applyBorder="1" applyAlignment="1">
      <alignment horizontal="center" vertical="center"/>
    </xf>
    <xf numFmtId="0" fontId="65" fillId="0" borderId="61" xfId="0" applyFont="1" applyBorder="1" applyAlignment="1">
      <alignment horizontal="center"/>
    </xf>
    <xf numFmtId="3" fontId="62" fillId="2" borderId="0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 wrapText="1"/>
    </xf>
    <xf numFmtId="3" fontId="8" fillId="0" borderId="0" xfId="0" applyNumberFormat="1" applyFont="1" applyFill="1" applyBorder="1" applyAlignment="1">
      <alignment vertical="center" wrapText="1"/>
    </xf>
    <xf numFmtId="3" fontId="19" fillId="2" borderId="3" xfId="0" applyNumberFormat="1" applyFont="1" applyFill="1" applyBorder="1" applyAlignment="1">
      <alignment vertical="center" wrapText="1"/>
    </xf>
    <xf numFmtId="3" fontId="19" fillId="14" borderId="3" xfId="0" applyNumberFormat="1" applyFont="1" applyFill="1" applyBorder="1" applyAlignment="1">
      <alignment vertical="center" wrapText="1"/>
    </xf>
    <xf numFmtId="3" fontId="19" fillId="2" borderId="64" xfId="0" applyNumberFormat="1" applyFont="1" applyFill="1" applyBorder="1" applyAlignment="1">
      <alignment vertical="center" wrapText="1"/>
    </xf>
    <xf numFmtId="3" fontId="24" fillId="2" borderId="0" xfId="0" applyNumberFormat="1" applyFont="1" applyFill="1" applyBorder="1" applyAlignment="1">
      <alignment vertical="center" wrapText="1"/>
    </xf>
    <xf numFmtId="3" fontId="24" fillId="14" borderId="0" xfId="0" applyNumberFormat="1" applyFont="1" applyFill="1" applyBorder="1" applyAlignment="1">
      <alignment vertical="center" wrapText="1"/>
    </xf>
    <xf numFmtId="3" fontId="24" fillId="2" borderId="65" xfId="0" applyNumberFormat="1" applyFont="1" applyFill="1" applyBorder="1" applyAlignment="1">
      <alignment vertical="center" wrapText="1"/>
    </xf>
    <xf numFmtId="3" fontId="24" fillId="2" borderId="24" xfId="0" applyNumberFormat="1" applyFont="1" applyFill="1" applyBorder="1" applyAlignment="1">
      <alignment vertical="center" wrapText="1"/>
    </xf>
    <xf numFmtId="3" fontId="24" fillId="14" borderId="24" xfId="0" applyNumberFormat="1" applyFont="1" applyFill="1" applyBorder="1" applyAlignment="1">
      <alignment vertical="center" wrapText="1"/>
    </xf>
    <xf numFmtId="3" fontId="24" fillId="2" borderId="67" xfId="0" applyNumberFormat="1" applyFont="1" applyFill="1" applyBorder="1" applyAlignment="1">
      <alignment vertical="center" wrapText="1"/>
    </xf>
    <xf numFmtId="3" fontId="25" fillId="0" borderId="0" xfId="0" applyNumberFormat="1" applyFont="1" applyFill="1" applyBorder="1" applyAlignment="1">
      <alignment vertical="center" wrapText="1"/>
    </xf>
    <xf numFmtId="3" fontId="72" fillId="0" borderId="0" xfId="0" applyNumberFormat="1" applyFont="1" applyFill="1" applyBorder="1" applyAlignment="1">
      <alignment vertical="center" wrapText="1"/>
    </xf>
    <xf numFmtId="3" fontId="72" fillId="2" borderId="0" xfId="0" applyNumberFormat="1" applyFont="1" applyFill="1" applyBorder="1" applyAlignment="1">
      <alignment vertical="center" wrapText="1"/>
    </xf>
    <xf numFmtId="0" fontId="8" fillId="15" borderId="15" xfId="0" applyFont="1" applyFill="1" applyBorder="1"/>
    <xf numFmtId="0" fontId="8" fillId="15" borderId="4" xfId="0" applyFont="1" applyFill="1" applyBorder="1"/>
    <xf numFmtId="0" fontId="8" fillId="15" borderId="3" xfId="0" applyFont="1" applyFill="1" applyBorder="1"/>
    <xf numFmtId="3" fontId="36" fillId="15" borderId="12" xfId="0" applyNumberFormat="1" applyFont="1" applyFill="1" applyBorder="1" applyAlignment="1">
      <alignment vertical="center"/>
    </xf>
    <xf numFmtId="3" fontId="36" fillId="15" borderId="23" xfId="0" applyNumberFormat="1" applyFont="1" applyFill="1" applyBorder="1" applyAlignment="1">
      <alignment vertical="center"/>
    </xf>
    <xf numFmtId="3" fontId="36" fillId="15" borderId="24" xfId="0" applyNumberFormat="1" applyFont="1" applyFill="1" applyBorder="1" applyAlignment="1">
      <alignment vertical="center"/>
    </xf>
    <xf numFmtId="0" fontId="7" fillId="6" borderId="37" xfId="0" applyFont="1" applyFill="1" applyBorder="1" applyAlignment="1">
      <alignment vertical="center" wrapText="1"/>
    </xf>
    <xf numFmtId="3" fontId="36" fillId="12" borderId="0" xfId="0" applyNumberFormat="1" applyFont="1" applyFill="1" applyBorder="1" applyAlignment="1">
      <alignment horizontal="right" vertical="center"/>
    </xf>
    <xf numFmtId="3" fontId="76" fillId="12" borderId="0" xfId="0" applyNumberFormat="1" applyFont="1" applyFill="1" applyBorder="1" applyAlignment="1">
      <alignment vertical="center"/>
    </xf>
    <xf numFmtId="3" fontId="76" fillId="12" borderId="13" xfId="0" applyNumberFormat="1" applyFont="1" applyFill="1" applyBorder="1" applyAlignment="1">
      <alignment vertical="center"/>
    </xf>
    <xf numFmtId="0" fontId="36" fillId="8" borderId="0" xfId="0" applyFont="1" applyFill="1" applyBorder="1" applyAlignment="1">
      <alignment horizontal="right"/>
    </xf>
    <xf numFmtId="3" fontId="76" fillId="8" borderId="0" xfId="0" applyNumberFormat="1" applyFont="1" applyFill="1" applyBorder="1"/>
    <xf numFmtId="3" fontId="36" fillId="15" borderId="39" xfId="0" applyNumberFormat="1" applyFont="1" applyFill="1" applyBorder="1" applyAlignment="1">
      <alignment vertical="center"/>
    </xf>
    <xf numFmtId="3" fontId="36" fillId="15" borderId="50" xfId="0" applyNumberFormat="1" applyFont="1" applyFill="1" applyBorder="1" applyAlignment="1">
      <alignment vertical="center"/>
    </xf>
    <xf numFmtId="3" fontId="36" fillId="15" borderId="51" xfId="0" applyNumberFormat="1" applyFont="1" applyFill="1" applyBorder="1" applyAlignment="1">
      <alignment horizontal="center"/>
    </xf>
    <xf numFmtId="3" fontId="36" fillId="6" borderId="35" xfId="0" applyNumberFormat="1" applyFont="1" applyFill="1" applyBorder="1"/>
    <xf numFmtId="3" fontId="8" fillId="6" borderId="47" xfId="0" applyNumberFormat="1" applyFont="1" applyFill="1" applyBorder="1"/>
    <xf numFmtId="3" fontId="8" fillId="6" borderId="70" xfId="0" applyNumberFormat="1" applyFont="1" applyFill="1" applyBorder="1"/>
    <xf numFmtId="3" fontId="36" fillId="6" borderId="12" xfId="0" applyNumberFormat="1" applyFont="1" applyFill="1" applyBorder="1"/>
    <xf numFmtId="3" fontId="8" fillId="12" borderId="0" xfId="0" applyNumberFormat="1" applyFont="1" applyFill="1" applyBorder="1" applyAlignment="1">
      <alignment horizontal="right"/>
    </xf>
    <xf numFmtId="3" fontId="76" fillId="12" borderId="0" xfId="0" applyNumberFormat="1" applyFont="1" applyFill="1" applyBorder="1"/>
    <xf numFmtId="0" fontId="8" fillId="12" borderId="8" xfId="0" applyFont="1" applyFill="1" applyBorder="1" applyAlignment="1">
      <alignment horizontal="right"/>
    </xf>
    <xf numFmtId="3" fontId="76" fillId="12" borderId="8" xfId="0" applyNumberFormat="1" applyFont="1" applyFill="1" applyBorder="1"/>
    <xf numFmtId="0" fontId="65" fillId="0" borderId="0" xfId="0" applyFont="1" applyBorder="1" applyAlignment="1">
      <alignment horizontal="center" vertical="center"/>
    </xf>
    <xf numFmtId="0" fontId="65" fillId="0" borderId="116" xfId="0" applyFont="1" applyBorder="1" applyAlignment="1">
      <alignment horizontal="center"/>
    </xf>
    <xf numFmtId="0" fontId="8" fillId="16" borderId="15" xfId="0" applyFont="1" applyFill="1" applyBorder="1"/>
    <xf numFmtId="0" fontId="8" fillId="16" borderId="3" xfId="0" applyFont="1" applyFill="1" applyBorder="1"/>
    <xf numFmtId="0" fontId="8" fillId="16" borderId="4" xfId="0" applyFont="1" applyFill="1" applyBorder="1"/>
    <xf numFmtId="0" fontId="8" fillId="16" borderId="0" xfId="0" applyFont="1" applyFill="1" applyBorder="1"/>
    <xf numFmtId="3" fontId="36" fillId="16" borderId="12" xfId="5" applyNumberFormat="1" applyFont="1" applyFill="1" applyBorder="1" applyAlignment="1">
      <alignment vertical="center"/>
    </xf>
    <xf numFmtId="3" fontId="36" fillId="16" borderId="23" xfId="5" applyNumberFormat="1" applyFont="1" applyFill="1" applyBorder="1" applyAlignment="1">
      <alignment vertical="center"/>
    </xf>
    <xf numFmtId="3" fontId="36" fillId="16" borderId="24" xfId="5" applyNumberFormat="1" applyFont="1" applyFill="1" applyBorder="1" applyAlignment="1">
      <alignment vertical="center"/>
    </xf>
    <xf numFmtId="0" fontId="7" fillId="8" borderId="20" xfId="0" applyFont="1" applyFill="1" applyBorder="1" applyAlignment="1">
      <alignment vertical="center" wrapText="1"/>
    </xf>
    <xf numFmtId="3" fontId="8" fillId="8" borderId="30" xfId="0" applyNumberFormat="1" applyFont="1" applyFill="1" applyBorder="1"/>
    <xf numFmtId="3" fontId="8" fillId="8" borderId="69" xfId="0" applyNumberFormat="1" applyFont="1" applyFill="1" applyBorder="1"/>
    <xf numFmtId="3" fontId="8" fillId="8" borderId="47" xfId="0" applyNumberFormat="1" applyFont="1" applyFill="1" applyBorder="1"/>
    <xf numFmtId="3" fontId="8" fillId="8" borderId="73" xfId="0" applyNumberFormat="1" applyFont="1" applyFill="1" applyBorder="1"/>
    <xf numFmtId="3" fontId="8" fillId="8" borderId="132" xfId="0" applyNumberFormat="1" applyFont="1" applyFill="1" applyBorder="1"/>
    <xf numFmtId="0" fontId="7" fillId="17" borderId="0" xfId="0" applyFont="1" applyFill="1" applyBorder="1" applyAlignment="1">
      <alignment vertical="center" wrapText="1"/>
    </xf>
    <xf numFmtId="3" fontId="77" fillId="17" borderId="0" xfId="0" applyNumberFormat="1" applyFont="1" applyFill="1" applyBorder="1"/>
    <xf numFmtId="3" fontId="77" fillId="17" borderId="13" xfId="0" applyNumberFormat="1" applyFont="1" applyFill="1" applyBorder="1"/>
    <xf numFmtId="0" fontId="28" fillId="8" borderId="0" xfId="0" applyFont="1" applyFill="1" applyBorder="1" applyAlignment="1">
      <alignment horizontal="right" vertical="center" wrapText="1"/>
    </xf>
    <xf numFmtId="3" fontId="77" fillId="8" borderId="0" xfId="0" applyNumberFormat="1" applyFont="1" applyFill="1" applyBorder="1"/>
    <xf numFmtId="3" fontId="77" fillId="8" borderId="13" xfId="0" applyNumberFormat="1" applyFont="1" applyFill="1" applyBorder="1"/>
    <xf numFmtId="3" fontId="19" fillId="8" borderId="0" xfId="0" applyNumberFormat="1" applyFont="1" applyFill="1" applyBorder="1"/>
    <xf numFmtId="3" fontId="19" fillId="16" borderId="39" xfId="5" applyNumberFormat="1" applyFont="1" applyFill="1" applyBorder="1"/>
    <xf numFmtId="3" fontId="19" fillId="16" borderId="50" xfId="5" applyNumberFormat="1" applyFont="1" applyFill="1" applyBorder="1"/>
    <xf numFmtId="3" fontId="19" fillId="16" borderId="0" xfId="0" applyNumberFormat="1" applyFont="1" applyFill="1" applyBorder="1" applyAlignment="1">
      <alignment horizontal="center"/>
    </xf>
    <xf numFmtId="3" fontId="8" fillId="8" borderId="0" xfId="0" applyNumberFormat="1" applyFont="1" applyFill="1" applyBorder="1"/>
    <xf numFmtId="3" fontId="65" fillId="17" borderId="0" xfId="0" applyNumberFormat="1" applyFont="1" applyFill="1" applyBorder="1"/>
    <xf numFmtId="3" fontId="8" fillId="17" borderId="0" xfId="0" applyNumberFormat="1" applyFont="1" applyFill="1" applyBorder="1"/>
    <xf numFmtId="0" fontId="8" fillId="18" borderId="15" xfId="0" applyFont="1" applyFill="1" applyBorder="1" applyAlignment="1">
      <alignment vertical="center"/>
    </xf>
    <xf numFmtId="0" fontId="8" fillId="18" borderId="3" xfId="0" applyFont="1" applyFill="1" applyBorder="1" applyAlignment="1">
      <alignment vertical="center"/>
    </xf>
    <xf numFmtId="0" fontId="8" fillId="18" borderId="4" xfId="0" applyFont="1" applyFill="1" applyBorder="1" applyAlignment="1">
      <alignment vertical="center"/>
    </xf>
    <xf numFmtId="0" fontId="8" fillId="18" borderId="0" xfId="0" applyFont="1" applyFill="1" applyBorder="1" applyAlignment="1">
      <alignment vertical="center"/>
    </xf>
    <xf numFmtId="3" fontId="36" fillId="18" borderId="12" xfId="0" applyNumberFormat="1" applyFont="1" applyFill="1" applyBorder="1" applyAlignment="1">
      <alignment vertical="center"/>
    </xf>
    <xf numFmtId="3" fontId="36" fillId="18" borderId="23" xfId="0" applyNumberFormat="1" applyFont="1" applyFill="1" applyBorder="1" applyAlignment="1">
      <alignment vertical="center"/>
    </xf>
    <xf numFmtId="3" fontId="36" fillId="18" borderId="0" xfId="0" applyNumberFormat="1" applyFont="1" applyFill="1" applyBorder="1" applyAlignment="1">
      <alignment vertical="center"/>
    </xf>
    <xf numFmtId="3" fontId="6" fillId="11" borderId="68" xfId="0" applyNumberFormat="1" applyFont="1" applyFill="1" applyBorder="1"/>
    <xf numFmtId="3" fontId="6" fillId="11" borderId="17" xfId="0" applyNumberFormat="1" applyFont="1" applyFill="1" applyBorder="1"/>
    <xf numFmtId="3" fontId="6" fillId="11" borderId="30" xfId="0" applyNumberFormat="1" applyFont="1" applyFill="1" applyBorder="1"/>
    <xf numFmtId="3" fontId="6" fillId="11" borderId="0" xfId="0" applyNumberFormat="1" applyFont="1" applyFill="1" applyBorder="1"/>
    <xf numFmtId="0" fontId="7" fillId="11" borderId="28" xfId="0" applyFont="1" applyFill="1" applyBorder="1" applyAlignment="1">
      <alignment vertical="center" wrapText="1"/>
    </xf>
    <xf numFmtId="0" fontId="7" fillId="11" borderId="37" xfId="0" applyFont="1" applyFill="1" applyBorder="1" applyAlignment="1">
      <alignment vertical="center" wrapText="1"/>
    </xf>
    <xf numFmtId="3" fontId="6" fillId="11" borderId="47" xfId="0" applyNumberFormat="1" applyFont="1" applyFill="1" applyBorder="1"/>
    <xf numFmtId="3" fontId="76" fillId="18" borderId="39" xfId="0" applyNumberFormat="1" applyFont="1" applyFill="1" applyBorder="1" applyAlignment="1">
      <alignment vertical="top"/>
    </xf>
    <xf numFmtId="3" fontId="76" fillId="18" borderId="50" xfId="0" applyNumberFormat="1" applyFont="1" applyFill="1" applyBorder="1" applyAlignment="1">
      <alignment vertical="top"/>
    </xf>
    <xf numFmtId="3" fontId="76" fillId="18" borderId="0" xfId="0" applyNumberFormat="1" applyFont="1" applyFill="1" applyBorder="1" applyAlignment="1">
      <alignment vertical="top"/>
    </xf>
    <xf numFmtId="0" fontId="76" fillId="0" borderId="0" xfId="0" applyFont="1" applyBorder="1" applyAlignment="1">
      <alignment horizontal="right"/>
    </xf>
    <xf numFmtId="3" fontId="76" fillId="2" borderId="0" xfId="0" applyNumberFormat="1" applyFont="1" applyFill="1" applyBorder="1" applyAlignment="1">
      <alignment vertical="top"/>
    </xf>
    <xf numFmtId="3" fontId="76" fillId="2" borderId="13" xfId="0" applyNumberFormat="1" applyFont="1" applyFill="1" applyBorder="1" applyAlignment="1">
      <alignment vertical="top"/>
    </xf>
    <xf numFmtId="3" fontId="36" fillId="18" borderId="39" xfId="0" applyNumberFormat="1" applyFont="1" applyFill="1" applyBorder="1"/>
    <xf numFmtId="3" fontId="36" fillId="18" borderId="50" xfId="0" applyNumberFormat="1" applyFont="1" applyFill="1" applyBorder="1"/>
    <xf numFmtId="3" fontId="36" fillId="18" borderId="0" xfId="0" applyNumberFormat="1" applyFont="1" applyFill="1" applyBorder="1" applyAlignment="1">
      <alignment horizontal="center"/>
    </xf>
    <xf numFmtId="43" fontId="8" fillId="11" borderId="0" xfId="1" applyFont="1" applyFill="1" applyBorder="1"/>
    <xf numFmtId="3" fontId="8" fillId="11" borderId="30" xfId="0" applyNumberFormat="1" applyFont="1" applyFill="1" applyBorder="1"/>
    <xf numFmtId="0" fontId="8" fillId="18" borderId="24" xfId="0" applyFont="1" applyFill="1" applyBorder="1" applyAlignment="1">
      <alignment horizontal="right"/>
    </xf>
    <xf numFmtId="3" fontId="8" fillId="18" borderId="24" xfId="0" applyNumberFormat="1" applyFont="1" applyFill="1" applyBorder="1"/>
    <xf numFmtId="3" fontId="8" fillId="18" borderId="12" xfId="0" applyNumberFormat="1" applyFont="1" applyFill="1" applyBorder="1"/>
    <xf numFmtId="3" fontId="8" fillId="18" borderId="0" xfId="0" applyNumberFormat="1" applyFont="1" applyFill="1" applyBorder="1"/>
    <xf numFmtId="0" fontId="8" fillId="0" borderId="13" xfId="0" applyFont="1" applyBorder="1"/>
    <xf numFmtId="3" fontId="76" fillId="0" borderId="0" xfId="0" applyNumberFormat="1" applyFont="1" applyBorder="1"/>
    <xf numFmtId="3" fontId="76" fillId="0" borderId="13" xfId="0" applyNumberFormat="1" applyFont="1" applyBorder="1"/>
    <xf numFmtId="0" fontId="20" fillId="0" borderId="3" xfId="0" applyFont="1" applyBorder="1" applyAlignment="1">
      <alignment wrapText="1"/>
    </xf>
    <xf numFmtId="0" fontId="8" fillId="0" borderId="3" xfId="0" applyFont="1" applyBorder="1"/>
    <xf numFmtId="0" fontId="8" fillId="0" borderId="24" xfId="0" applyFont="1" applyBorder="1"/>
    <xf numFmtId="3" fontId="29" fillId="2" borderId="163" xfId="4" applyNumberFormat="1" applyFont="1" applyFill="1" applyBorder="1" applyAlignment="1">
      <alignment vertical="center" wrapText="1"/>
    </xf>
    <xf numFmtId="0" fontId="7" fillId="0" borderId="163" xfId="4" applyFont="1" applyFill="1" applyBorder="1" applyAlignment="1">
      <alignment vertical="center"/>
    </xf>
    <xf numFmtId="43" fontId="31" fillId="25" borderId="155" xfId="1" applyFont="1" applyFill="1" applyBorder="1" applyAlignment="1">
      <alignment horizontal="right" vertical="center"/>
    </xf>
    <xf numFmtId="0" fontId="29" fillId="2" borderId="163" xfId="4" applyFont="1" applyFill="1" applyBorder="1" applyAlignment="1">
      <alignment vertical="center"/>
    </xf>
    <xf numFmtId="0" fontId="7" fillId="0" borderId="161" xfId="4" applyFont="1" applyFill="1" applyBorder="1" applyAlignment="1">
      <alignment vertical="center"/>
    </xf>
    <xf numFmtId="0" fontId="24" fillId="6" borderId="36" xfId="4" applyFont="1" applyFill="1" applyBorder="1" applyAlignment="1">
      <alignment horizontal="left" vertical="center"/>
    </xf>
    <xf numFmtId="43" fontId="24" fillId="32" borderId="9" xfId="1" applyFont="1" applyFill="1" applyBorder="1" applyAlignment="1">
      <alignment vertical="center"/>
    </xf>
    <xf numFmtId="3" fontId="31" fillId="32" borderId="9" xfId="4" applyNumberFormat="1" applyFont="1" applyFill="1" applyBorder="1" applyAlignment="1">
      <alignment vertical="center"/>
    </xf>
    <xf numFmtId="3" fontId="7" fillId="0" borderId="12" xfId="0" applyNumberFormat="1" applyFont="1" applyFill="1" applyBorder="1" applyAlignment="1">
      <alignment vertical="top"/>
    </xf>
    <xf numFmtId="43" fontId="27" fillId="50" borderId="9" xfId="1" applyFont="1" applyFill="1" applyBorder="1" applyAlignment="1">
      <alignment horizontal="right" vertical="center"/>
    </xf>
    <xf numFmtId="0" fontId="27" fillId="50" borderId="119" xfId="0" applyFont="1" applyFill="1" applyBorder="1" applyAlignment="1">
      <alignment horizontal="left" vertical="top"/>
    </xf>
    <xf numFmtId="0" fontId="7" fillId="8" borderId="119" xfId="4" applyFont="1" applyFill="1" applyBorder="1" applyAlignment="1">
      <alignment vertical="center"/>
    </xf>
    <xf numFmtId="3" fontId="25" fillId="8" borderId="17" xfId="4" applyNumberFormat="1" applyFont="1" applyFill="1" applyBorder="1" applyAlignment="1">
      <alignment horizontal="center" vertical="center"/>
    </xf>
    <xf numFmtId="3" fontId="7" fillId="8" borderId="76" xfId="4" applyNumberFormat="1" applyFont="1" applyFill="1" applyBorder="1" applyAlignment="1">
      <alignment horizontal="right" vertical="center"/>
    </xf>
    <xf numFmtId="3" fontId="7" fillId="23" borderId="68" xfId="4" applyNumberFormat="1" applyFont="1" applyFill="1" applyBorder="1" applyAlignment="1">
      <alignment horizontal="right" vertical="center"/>
    </xf>
    <xf numFmtId="0" fontId="24" fillId="0" borderId="25" xfId="4" applyFont="1" applyFill="1" applyBorder="1" applyAlignment="1">
      <alignment vertical="center"/>
    </xf>
    <xf numFmtId="0" fontId="7" fillId="0" borderId="25" xfId="4" applyFont="1" applyFill="1" applyBorder="1" applyAlignment="1">
      <alignment vertical="top"/>
    </xf>
    <xf numFmtId="3" fontId="7" fillId="0" borderId="12" xfId="4" applyNumberFormat="1" applyFont="1" applyFill="1" applyBorder="1" applyAlignment="1">
      <alignment vertical="top"/>
    </xf>
    <xf numFmtId="3" fontId="29" fillId="0" borderId="12" xfId="4" applyNumberFormat="1" applyFont="1" applyFill="1" applyBorder="1" applyAlignment="1">
      <alignment horizontal="right" vertical="center"/>
    </xf>
    <xf numFmtId="3" fontId="7" fillId="0" borderId="72" xfId="4" applyNumberFormat="1" applyFont="1" applyFill="1" applyBorder="1" applyAlignment="1">
      <alignment vertical="top"/>
    </xf>
    <xf numFmtId="3" fontId="24" fillId="34" borderId="12" xfId="4" applyNumberFormat="1" applyFont="1" applyFill="1" applyBorder="1" applyAlignment="1">
      <alignment vertical="center"/>
    </xf>
    <xf numFmtId="0" fontId="18" fillId="0" borderId="23" xfId="4" applyFont="1" applyFill="1" applyBorder="1" applyAlignment="1">
      <alignment vertical="center" wrapText="1"/>
    </xf>
    <xf numFmtId="43" fontId="7" fillId="0" borderId="132" xfId="1" applyFont="1" applyFill="1" applyBorder="1" applyAlignment="1">
      <alignment vertical="top"/>
    </xf>
    <xf numFmtId="3" fontId="7" fillId="0" borderId="132" xfId="4" applyNumberFormat="1" applyFont="1" applyFill="1" applyBorder="1" applyAlignment="1">
      <alignment vertical="top"/>
    </xf>
    <xf numFmtId="3" fontId="27" fillId="0" borderId="156" xfId="4" applyNumberFormat="1" applyFont="1" applyFill="1" applyBorder="1" applyAlignment="1">
      <alignment horizontal="right" vertical="center"/>
    </xf>
    <xf numFmtId="0" fontId="21" fillId="0" borderId="0" xfId="0" applyFont="1" applyAlignment="1">
      <alignment vertical="center"/>
    </xf>
    <xf numFmtId="0" fontId="28" fillId="54" borderId="125" xfId="0" applyFont="1" applyFill="1" applyBorder="1" applyAlignment="1">
      <alignment vertical="top"/>
    </xf>
    <xf numFmtId="3" fontId="28" fillId="52" borderId="9" xfId="0" applyNumberFormat="1" applyFont="1" applyFill="1" applyBorder="1" applyAlignment="1">
      <alignment horizontal="right" vertical="center"/>
    </xf>
    <xf numFmtId="3" fontId="36" fillId="3" borderId="21" xfId="0" applyNumberFormat="1" applyFont="1" applyFill="1" applyBorder="1" applyAlignment="1">
      <alignment vertical="center" wrapText="1"/>
    </xf>
    <xf numFmtId="3" fontId="36" fillId="3" borderId="25" xfId="0" applyNumberFormat="1" applyFont="1" applyFill="1" applyBorder="1" applyAlignment="1">
      <alignment vertical="center" wrapText="1"/>
    </xf>
    <xf numFmtId="0" fontId="24" fillId="8" borderId="45" xfId="0" applyFont="1" applyFill="1" applyBorder="1" applyAlignment="1">
      <alignment horizontal="left" vertical="center" wrapText="1"/>
    </xf>
    <xf numFmtId="3" fontId="29" fillId="0" borderId="29" xfId="0" applyNumberFormat="1" applyFont="1" applyFill="1" applyBorder="1" applyAlignment="1">
      <alignment horizontal="right" vertical="center"/>
    </xf>
    <xf numFmtId="3" fontId="7" fillId="0" borderId="70" xfId="0" applyNumberFormat="1" applyFont="1" applyFill="1" applyBorder="1" applyAlignment="1">
      <alignment horizontal="right" vertical="center"/>
    </xf>
    <xf numFmtId="3" fontId="7" fillId="0" borderId="63" xfId="0" applyNumberFormat="1" applyFont="1" applyFill="1" applyBorder="1" applyAlignment="1">
      <alignment horizontal="right" vertical="center"/>
    </xf>
    <xf numFmtId="3" fontId="31" fillId="50" borderId="9" xfId="0" applyNumberFormat="1" applyFont="1" applyFill="1" applyBorder="1" applyAlignment="1">
      <alignment vertical="top"/>
    </xf>
    <xf numFmtId="3" fontId="31" fillId="50" borderId="35" xfId="0" applyNumberFormat="1" applyFont="1" applyFill="1" applyBorder="1" applyAlignment="1">
      <alignment vertical="top"/>
    </xf>
    <xf numFmtId="3" fontId="28" fillId="52" borderId="9" xfId="0" applyNumberFormat="1" applyFont="1" applyFill="1" applyBorder="1" applyAlignment="1">
      <alignment vertical="top"/>
    </xf>
    <xf numFmtId="3" fontId="28" fillId="55" borderId="35" xfId="0" applyNumberFormat="1" applyFont="1" applyFill="1" applyBorder="1" applyAlignment="1">
      <alignment vertical="center"/>
    </xf>
    <xf numFmtId="3" fontId="28" fillId="51" borderId="9" xfId="0" applyNumberFormat="1" applyFont="1" applyFill="1" applyBorder="1" applyAlignment="1">
      <alignment horizontal="right" vertical="center"/>
    </xf>
    <xf numFmtId="3" fontId="28" fillId="54" borderId="9" xfId="0" applyNumberFormat="1" applyFont="1" applyFill="1" applyBorder="1" applyAlignment="1">
      <alignment vertical="top"/>
    </xf>
    <xf numFmtId="3" fontId="28" fillId="50" borderId="9" xfId="0" applyNumberFormat="1" applyFont="1" applyFill="1" applyBorder="1" applyAlignment="1">
      <alignment horizontal="right" vertical="center"/>
    </xf>
    <xf numFmtId="3" fontId="28" fillId="0" borderId="116" xfId="0" applyNumberFormat="1" applyFont="1" applyFill="1" applyBorder="1" applyAlignment="1">
      <alignment vertical="center"/>
    </xf>
    <xf numFmtId="0" fontId="26" fillId="0" borderId="41" xfId="0" applyFont="1" applyBorder="1" applyAlignment="1"/>
    <xf numFmtId="0" fontId="27" fillId="50" borderId="8" xfId="4" applyFont="1" applyFill="1" applyBorder="1" applyAlignment="1">
      <alignment horizontal="left" vertical="center"/>
    </xf>
    <xf numFmtId="3" fontId="27" fillId="50" borderId="20" xfId="4" applyNumberFormat="1" applyFont="1" applyFill="1" applyBorder="1" applyAlignment="1">
      <alignment horizontal="right" vertical="center"/>
    </xf>
    <xf numFmtId="0" fontId="27" fillId="50" borderId="0" xfId="4" applyFont="1" applyFill="1" applyBorder="1" applyAlignment="1">
      <alignment horizontal="left" vertical="center"/>
    </xf>
    <xf numFmtId="3" fontId="27" fillId="50" borderId="6" xfId="4" applyNumberFormat="1" applyFont="1" applyFill="1" applyBorder="1" applyAlignment="1">
      <alignment horizontal="right" vertical="center"/>
    </xf>
    <xf numFmtId="0" fontId="27" fillId="50" borderId="66" xfId="0" applyFont="1" applyFill="1" applyBorder="1" applyAlignment="1">
      <alignment horizontal="left" vertical="center"/>
    </xf>
    <xf numFmtId="3" fontId="27" fillId="50" borderId="22" xfId="0" quotePrefix="1" applyNumberFormat="1" applyFont="1" applyFill="1" applyBorder="1" applyAlignment="1">
      <alignment horizontal="right" vertical="center"/>
    </xf>
    <xf numFmtId="0" fontId="29" fillId="8" borderId="11" xfId="0" applyFont="1" applyFill="1" applyBorder="1" applyAlignment="1">
      <alignment vertical="top"/>
    </xf>
    <xf numFmtId="0" fontId="7" fillId="8" borderId="26" xfId="4" applyFont="1" applyFill="1" applyBorder="1" applyAlignment="1">
      <alignment vertical="top"/>
    </xf>
    <xf numFmtId="0" fontId="24" fillId="8" borderId="26" xfId="4" applyFont="1" applyFill="1" applyBorder="1" applyAlignment="1">
      <alignment horizontal="right" vertical="top"/>
    </xf>
    <xf numFmtId="0" fontId="7" fillId="8" borderId="66" xfId="4" applyFont="1" applyFill="1" applyBorder="1" applyAlignment="1">
      <alignment vertical="top"/>
    </xf>
    <xf numFmtId="3" fontId="18" fillId="8" borderId="41" xfId="4" applyNumberFormat="1" applyFont="1" applyFill="1" applyBorder="1" applyAlignment="1">
      <alignment vertical="top" wrapText="1"/>
    </xf>
    <xf numFmtId="43" fontId="7" fillId="0" borderId="156" xfId="1" applyFont="1" applyFill="1" applyBorder="1" applyAlignment="1">
      <alignment horizontal="right" vertical="center"/>
    </xf>
    <xf numFmtId="43" fontId="27" fillId="8" borderId="121" xfId="1" applyFont="1" applyFill="1" applyBorder="1" applyAlignment="1">
      <alignment vertical="center"/>
    </xf>
    <xf numFmtId="43" fontId="31" fillId="28" borderId="121" xfId="1" applyFont="1" applyFill="1" applyBorder="1" applyAlignment="1">
      <alignment vertical="center"/>
    </xf>
    <xf numFmtId="43" fontId="24" fillId="29" borderId="35" xfId="1" applyFont="1" applyFill="1" applyBorder="1" applyAlignment="1">
      <alignment vertical="center"/>
    </xf>
    <xf numFmtId="43" fontId="31" fillId="8" borderId="2" xfId="1" applyFont="1" applyFill="1" applyBorder="1" applyAlignment="1">
      <alignment vertical="center"/>
    </xf>
    <xf numFmtId="43" fontId="31" fillId="0" borderId="9" xfId="1" applyFont="1" applyFill="1" applyBorder="1" applyAlignment="1">
      <alignment horizontal="right" vertical="center"/>
    </xf>
    <xf numFmtId="3" fontId="20" fillId="0" borderId="0" xfId="0" applyNumberFormat="1" applyFont="1" applyFill="1" applyBorder="1" applyAlignment="1">
      <alignment horizontal="center" vertical="top" wrapText="1"/>
    </xf>
    <xf numFmtId="3" fontId="25" fillId="6" borderId="26" xfId="0" applyNumberFormat="1" applyFont="1" applyFill="1" applyBorder="1" applyAlignment="1">
      <alignment vertical="center"/>
    </xf>
    <xf numFmtId="3" fontId="25" fillId="6" borderId="0" xfId="0" applyNumberFormat="1" applyFont="1" applyFill="1" applyBorder="1" applyAlignment="1">
      <alignment vertical="center"/>
    </xf>
    <xf numFmtId="3" fontId="27" fillId="32" borderId="26" xfId="0" applyNumberFormat="1" applyFont="1" applyFill="1" applyBorder="1" applyAlignment="1">
      <alignment vertical="center"/>
    </xf>
    <xf numFmtId="3" fontId="27" fillId="32" borderId="0" xfId="0" applyNumberFormat="1" applyFont="1" applyFill="1" applyBorder="1" applyAlignment="1">
      <alignment vertical="center"/>
    </xf>
    <xf numFmtId="3" fontId="37" fillId="0" borderId="170" xfId="0" applyNumberFormat="1" applyFont="1" applyBorder="1" applyAlignment="1">
      <alignment vertical="center"/>
    </xf>
    <xf numFmtId="0" fontId="39" fillId="0" borderId="170" xfId="0" applyFont="1" applyBorder="1" applyAlignment="1">
      <alignment vertical="center"/>
    </xf>
    <xf numFmtId="3" fontId="39" fillId="0" borderId="170" xfId="0" applyNumberFormat="1" applyFont="1" applyBorder="1" applyAlignment="1">
      <alignment vertical="center"/>
    </xf>
    <xf numFmtId="0" fontId="18" fillId="0" borderId="170" xfId="0" applyFont="1" applyBorder="1" applyAlignment="1">
      <alignment vertical="top"/>
    </xf>
    <xf numFmtId="3" fontId="37" fillId="0" borderId="170" xfId="0" applyNumberFormat="1" applyFont="1" applyBorder="1"/>
    <xf numFmtId="3" fontId="8" fillId="0" borderId="170" xfId="0" applyNumberFormat="1" applyFont="1" applyBorder="1" applyAlignment="1">
      <alignment vertical="top"/>
    </xf>
    <xf numFmtId="0" fontId="37" fillId="0" borderId="170" xfId="0" applyFont="1" applyBorder="1" applyAlignment="1">
      <alignment vertical="center"/>
    </xf>
    <xf numFmtId="3" fontId="24" fillId="6" borderId="170" xfId="4" applyNumberFormat="1" applyFont="1" applyFill="1" applyBorder="1" applyAlignment="1">
      <alignment vertical="center"/>
    </xf>
    <xf numFmtId="0" fontId="40" fillId="2" borderId="0" xfId="0" applyFont="1" applyFill="1" applyBorder="1" applyAlignment="1">
      <alignment horizontal="center" vertical="center" wrapText="1"/>
    </xf>
    <xf numFmtId="3" fontId="74" fillId="2" borderId="0" xfId="0" applyNumberFormat="1" applyFont="1" applyFill="1" applyBorder="1" applyAlignment="1">
      <alignment vertical="center"/>
    </xf>
    <xf numFmtId="3" fontId="24" fillId="23" borderId="15" xfId="4" applyNumberFormat="1" applyFont="1" applyFill="1" applyBorder="1" applyAlignment="1">
      <alignment horizontal="right" vertical="center"/>
    </xf>
    <xf numFmtId="3" fontId="24" fillId="6" borderId="35" xfId="0" applyNumberFormat="1" applyFont="1" applyFill="1" applyBorder="1" applyAlignment="1">
      <alignment horizontal="right" vertical="center"/>
    </xf>
    <xf numFmtId="43" fontId="24" fillId="6" borderId="35" xfId="1" applyFont="1" applyFill="1" applyBorder="1" applyAlignment="1">
      <alignment horizontal="right" vertical="center"/>
    </xf>
    <xf numFmtId="0" fontId="24" fillId="8" borderId="76" xfId="4" applyFont="1" applyFill="1" applyBorder="1" applyAlignment="1">
      <alignment vertical="center" wrapText="1"/>
    </xf>
    <xf numFmtId="0" fontId="24" fillId="8" borderId="68" xfId="4" applyFont="1" applyFill="1" applyBorder="1" applyAlignment="1">
      <alignment horizontal="center" vertical="center" wrapText="1"/>
    </xf>
    <xf numFmtId="0" fontId="24" fillId="6" borderId="35" xfId="4" applyFont="1" applyFill="1" applyBorder="1" applyAlignment="1">
      <alignment horizontal="left" vertical="center"/>
    </xf>
    <xf numFmtId="3" fontId="28" fillId="2" borderId="123" xfId="0" applyNumberFormat="1" applyFont="1" applyFill="1" applyBorder="1" applyAlignment="1">
      <alignment vertical="top"/>
    </xf>
    <xf numFmtId="0" fontId="31" fillId="0" borderId="119" xfId="0" applyFont="1" applyFill="1" applyBorder="1" applyAlignment="1">
      <alignment horizontal="left" vertical="center" wrapText="1"/>
    </xf>
    <xf numFmtId="3" fontId="25" fillId="22" borderId="99" xfId="0" applyNumberFormat="1" applyFont="1" applyFill="1" applyBorder="1" applyAlignment="1">
      <alignment vertical="top"/>
    </xf>
    <xf numFmtId="3" fontId="25" fillId="25" borderId="98" xfId="0" applyNumberFormat="1" applyFont="1" applyFill="1" applyBorder="1" applyAlignment="1">
      <alignment vertical="top"/>
    </xf>
    <xf numFmtId="0" fontId="31" fillId="0" borderId="74" xfId="0" applyFont="1" applyFill="1" applyBorder="1" applyAlignment="1">
      <alignment vertical="top"/>
    </xf>
    <xf numFmtId="3" fontId="25" fillId="22" borderId="35" xfId="4" applyNumberFormat="1" applyFont="1" applyFill="1" applyBorder="1" applyAlignment="1">
      <alignment horizontal="right" vertical="center"/>
    </xf>
    <xf numFmtId="3" fontId="6" fillId="0" borderId="0" xfId="0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6" fillId="30" borderId="0" xfId="0" applyFont="1" applyFill="1" applyBorder="1" applyAlignment="1">
      <alignment vertical="center"/>
    </xf>
    <xf numFmtId="0" fontId="27" fillId="8" borderId="155" xfId="4" applyFont="1" applyFill="1" applyBorder="1" applyAlignment="1">
      <alignment horizontal="left" vertical="center"/>
    </xf>
    <xf numFmtId="0" fontId="7" fillId="8" borderId="155" xfId="4" applyFont="1" applyFill="1" applyBorder="1" applyAlignment="1">
      <alignment vertical="top"/>
    </xf>
    <xf numFmtId="3" fontId="32" fillId="0" borderId="0" xfId="0" applyNumberFormat="1" applyFont="1" applyFill="1" applyBorder="1"/>
    <xf numFmtId="0" fontId="27" fillId="8" borderId="21" xfId="4" applyFont="1" applyFill="1" applyBorder="1" applyAlignment="1">
      <alignment horizontal="left" vertical="center"/>
    </xf>
    <xf numFmtId="0" fontId="27" fillId="8" borderId="20" xfId="4" applyFont="1" applyFill="1" applyBorder="1" applyAlignment="1">
      <alignment horizontal="left" vertical="center"/>
    </xf>
    <xf numFmtId="3" fontId="27" fillId="8" borderId="35" xfId="4" applyNumberFormat="1" applyFont="1" applyFill="1" applyBorder="1" applyAlignment="1">
      <alignment vertical="top"/>
    </xf>
    <xf numFmtId="3" fontId="27" fillId="23" borderId="35" xfId="4" applyNumberFormat="1" applyFont="1" applyFill="1" applyBorder="1" applyAlignment="1">
      <alignment vertical="top"/>
    </xf>
    <xf numFmtId="0" fontId="29" fillId="8" borderId="155" xfId="4" applyFont="1" applyFill="1" applyBorder="1" applyAlignment="1">
      <alignment horizontal="left" vertical="center"/>
    </xf>
    <xf numFmtId="3" fontId="25" fillId="6" borderId="35" xfId="4" applyNumberFormat="1" applyFont="1" applyFill="1" applyBorder="1" applyAlignment="1">
      <alignment vertical="center"/>
    </xf>
    <xf numFmtId="0" fontId="7" fillId="8" borderId="27" xfId="4" applyFont="1" applyFill="1" applyBorder="1" applyAlignment="1">
      <alignment vertical="top"/>
    </xf>
    <xf numFmtId="3" fontId="7" fillId="8" borderId="13" xfId="4" applyNumberFormat="1" applyFont="1" applyFill="1" applyBorder="1" applyAlignment="1">
      <alignment vertical="top"/>
    </xf>
    <xf numFmtId="0" fontId="27" fillId="8" borderId="9" xfId="4" applyFont="1" applyFill="1" applyBorder="1" applyAlignment="1">
      <alignment horizontal="left" vertical="center"/>
    </xf>
    <xf numFmtId="0" fontId="7" fillId="8" borderId="155" xfId="4" applyFont="1" applyFill="1" applyBorder="1" applyAlignment="1">
      <alignment horizontal="left" vertical="center"/>
    </xf>
    <xf numFmtId="0" fontId="7" fillId="8" borderId="74" xfId="4" applyFont="1" applyFill="1" applyBorder="1" applyAlignment="1">
      <alignment vertical="top" wrapText="1"/>
    </xf>
    <xf numFmtId="0" fontId="4" fillId="0" borderId="170" xfId="0" applyFont="1" applyBorder="1" applyAlignment="1">
      <alignment vertical="center"/>
    </xf>
    <xf numFmtId="3" fontId="60" fillId="0" borderId="0" xfId="0" applyNumberFormat="1" applyFont="1" applyBorder="1" applyAlignment="1">
      <alignment vertical="center"/>
    </xf>
    <xf numFmtId="0" fontId="60" fillId="0" borderId="0" xfId="0" applyFont="1" applyBorder="1" applyAlignment="1">
      <alignment vertical="center"/>
    </xf>
    <xf numFmtId="3" fontId="31" fillId="23" borderId="165" xfId="4" applyNumberFormat="1" applyFont="1" applyFill="1" applyBorder="1" applyAlignment="1">
      <alignment vertical="center"/>
    </xf>
    <xf numFmtId="43" fontId="62" fillId="6" borderId="30" xfId="1" applyFont="1" applyFill="1" applyBorder="1" applyAlignment="1">
      <alignment vertical="center" wrapText="1"/>
    </xf>
    <xf numFmtId="3" fontId="8" fillId="0" borderId="116" xfId="0" applyNumberFormat="1" applyFont="1" applyFill="1" applyBorder="1" applyAlignment="1">
      <alignment vertical="center" wrapText="1"/>
    </xf>
    <xf numFmtId="0" fontId="63" fillId="53" borderId="119" xfId="0" applyFont="1" applyFill="1" applyBorder="1"/>
    <xf numFmtId="0" fontId="8" fillId="0" borderId="159" xfId="0" applyFont="1" applyFill="1" applyBorder="1" applyAlignment="1">
      <alignment vertical="center" wrapText="1"/>
    </xf>
    <xf numFmtId="0" fontId="31" fillId="50" borderId="119" xfId="4" applyFont="1" applyFill="1" applyBorder="1" applyAlignment="1">
      <alignment horizontal="left" vertical="center"/>
    </xf>
    <xf numFmtId="0" fontId="63" fillId="51" borderId="119" xfId="0" applyFont="1" applyFill="1" applyBorder="1" applyAlignment="1">
      <alignment vertical="center"/>
    </xf>
    <xf numFmtId="3" fontId="31" fillId="0" borderId="170" xfId="4" applyNumberFormat="1" applyFont="1" applyFill="1" applyBorder="1" applyAlignment="1">
      <alignment vertical="center"/>
    </xf>
    <xf numFmtId="0" fontId="7" fillId="0" borderId="25" xfId="4" applyFont="1" applyFill="1" applyBorder="1" applyAlignment="1">
      <alignment vertical="center"/>
    </xf>
    <xf numFmtId="3" fontId="32" fillId="0" borderId="12" xfId="6" applyNumberFormat="1" applyFont="1" applyFill="1" applyBorder="1" applyAlignment="1">
      <alignment vertical="center"/>
    </xf>
    <xf numFmtId="3" fontId="7" fillId="2" borderId="72" xfId="4" applyNumberFormat="1" applyFont="1" applyFill="1" applyBorder="1" applyAlignment="1">
      <alignment vertical="center"/>
    </xf>
    <xf numFmtId="0" fontId="7" fillId="0" borderId="107" xfId="4" applyFont="1" applyFill="1" applyBorder="1" applyAlignment="1">
      <alignment vertical="center"/>
    </xf>
    <xf numFmtId="43" fontId="7" fillId="0" borderId="97" xfId="1" applyFont="1" applyFill="1" applyBorder="1" applyAlignment="1">
      <alignment horizontal="right" vertical="center"/>
    </xf>
    <xf numFmtId="0" fontId="7" fillId="0" borderId="80" xfId="4" applyFont="1" applyFill="1" applyBorder="1" applyAlignment="1">
      <alignment horizontal="left" vertical="center"/>
    </xf>
    <xf numFmtId="3" fontId="7" fillId="0" borderId="47" xfId="4" applyNumberFormat="1" applyFont="1" applyFill="1" applyBorder="1" applyAlignment="1">
      <alignment vertical="center"/>
    </xf>
    <xf numFmtId="0" fontId="31" fillId="0" borderId="21" xfId="4" applyFont="1" applyFill="1" applyBorder="1" applyAlignment="1">
      <alignment horizontal="left" vertical="center"/>
    </xf>
    <xf numFmtId="0" fontId="31" fillId="0" borderId="119" xfId="4" applyFont="1" applyFill="1" applyBorder="1" applyAlignment="1">
      <alignment horizontal="left" vertical="center"/>
    </xf>
    <xf numFmtId="0" fontId="31" fillId="6" borderId="100" xfId="0" applyFont="1" applyFill="1" applyBorder="1" applyAlignment="1">
      <alignment vertical="top"/>
    </xf>
    <xf numFmtId="0" fontId="31" fillId="0" borderId="102" xfId="0" applyFont="1" applyFill="1" applyBorder="1" applyAlignment="1">
      <alignment horizontal="left" vertical="center" wrapText="1"/>
    </xf>
    <xf numFmtId="0" fontId="7" fillId="6" borderId="100" xfId="0" applyFont="1" applyFill="1" applyBorder="1" applyAlignment="1">
      <alignment horizontal="left" vertical="center" wrapText="1"/>
    </xf>
    <xf numFmtId="3" fontId="27" fillId="2" borderId="109" xfId="4" applyNumberFormat="1" applyFont="1" applyFill="1" applyBorder="1" applyAlignment="1">
      <alignment vertical="center" wrapText="1"/>
    </xf>
    <xf numFmtId="0" fontId="27" fillId="2" borderId="104" xfId="4" applyFont="1" applyFill="1" applyBorder="1" applyAlignment="1">
      <alignment vertical="top"/>
    </xf>
    <xf numFmtId="0" fontId="24" fillId="8" borderId="5" xfId="0" applyFont="1" applyFill="1" applyBorder="1" applyAlignment="1">
      <alignment vertical="center" wrapText="1"/>
    </xf>
    <xf numFmtId="3" fontId="25" fillId="6" borderId="35" xfId="0" applyNumberFormat="1" applyFont="1" applyFill="1" applyBorder="1" applyAlignment="1">
      <alignment vertical="center"/>
    </xf>
    <xf numFmtId="0" fontId="25" fillId="6" borderId="35" xfId="4" applyFont="1" applyFill="1" applyBorder="1" applyAlignment="1">
      <alignment horizontal="left" vertical="center"/>
    </xf>
    <xf numFmtId="3" fontId="31" fillId="8" borderId="116" xfId="0" applyNumberFormat="1" applyFont="1" applyFill="1" applyBorder="1" applyAlignment="1">
      <alignment vertical="top"/>
    </xf>
    <xf numFmtId="0" fontId="25" fillId="8" borderId="35" xfId="0" applyFont="1" applyFill="1" applyBorder="1" applyAlignment="1">
      <alignment horizontal="left" vertical="center" wrapText="1"/>
    </xf>
    <xf numFmtId="3" fontId="27" fillId="25" borderId="121" xfId="0" applyNumberFormat="1" applyFont="1" applyFill="1" applyBorder="1" applyAlignment="1">
      <alignment horizontal="center" vertical="top"/>
    </xf>
    <xf numFmtId="3" fontId="25" fillId="6" borderId="35" xfId="0" applyNumberFormat="1" applyFont="1" applyFill="1" applyBorder="1" applyAlignment="1">
      <alignment vertical="top"/>
    </xf>
    <xf numFmtId="3" fontId="25" fillId="6" borderId="13" xfId="0" applyNumberFormat="1" applyFont="1" applyFill="1" applyBorder="1" applyAlignment="1">
      <alignment vertical="top"/>
    </xf>
    <xf numFmtId="0" fontId="18" fillId="8" borderId="76" xfId="0" applyFont="1" applyFill="1" applyBorder="1" applyAlignment="1">
      <alignment vertical="center"/>
    </xf>
    <xf numFmtId="3" fontId="18" fillId="23" borderId="68" xfId="0" applyNumberFormat="1" applyFont="1" applyFill="1" applyBorder="1" applyAlignment="1">
      <alignment vertical="center"/>
    </xf>
    <xf numFmtId="43" fontId="27" fillId="0" borderId="155" xfId="1" applyFont="1" applyFill="1" applyBorder="1" applyAlignment="1">
      <alignment vertical="center"/>
    </xf>
    <xf numFmtId="0" fontId="17" fillId="2" borderId="5" xfId="0" applyFont="1" applyFill="1" applyBorder="1" applyAlignment="1">
      <alignment horizontal="center" vertical="top"/>
    </xf>
    <xf numFmtId="0" fontId="17" fillId="2" borderId="0" xfId="0" applyFont="1" applyFill="1" applyBorder="1" applyAlignment="1">
      <alignment horizontal="center" vertical="center" wrapText="1"/>
    </xf>
    <xf numFmtId="0" fontId="17" fillId="2" borderId="25" xfId="0" applyFont="1" applyFill="1" applyBorder="1" applyAlignment="1">
      <alignment horizontal="center" vertical="top"/>
    </xf>
    <xf numFmtId="0" fontId="17" fillId="2" borderId="24" xfId="0" applyFont="1" applyFill="1" applyBorder="1" applyAlignment="1">
      <alignment horizontal="center" vertical="top"/>
    </xf>
    <xf numFmtId="3" fontId="7" fillId="0" borderId="0" xfId="0" applyNumberFormat="1" applyFont="1" applyFill="1" applyBorder="1" applyAlignment="1">
      <alignment vertical="top"/>
    </xf>
    <xf numFmtId="0" fontId="30" fillId="8" borderId="5" xfId="0" applyFont="1" applyFill="1" applyBorder="1" applyAlignment="1">
      <alignment vertical="top"/>
    </xf>
    <xf numFmtId="3" fontId="27" fillId="50" borderId="18" xfId="4" applyNumberFormat="1" applyFont="1" applyFill="1" applyBorder="1" applyAlignment="1">
      <alignment horizontal="right" vertical="center"/>
    </xf>
    <xf numFmtId="3" fontId="27" fillId="21" borderId="44" xfId="4" applyNumberFormat="1" applyFont="1" applyFill="1" applyBorder="1" applyAlignment="1">
      <alignment horizontal="right" vertical="center"/>
    </xf>
    <xf numFmtId="0" fontId="25" fillId="6" borderId="21" xfId="4" applyFont="1" applyFill="1" applyBorder="1" applyAlignment="1">
      <alignment horizontal="left"/>
    </xf>
    <xf numFmtId="0" fontId="25" fillId="6" borderId="9" xfId="4" applyFont="1" applyFill="1" applyBorder="1" applyAlignment="1">
      <alignment horizontal="left"/>
    </xf>
    <xf numFmtId="3" fontId="25" fillId="6" borderId="8" xfId="0" applyNumberFormat="1" applyFont="1" applyFill="1" applyBorder="1" applyAlignment="1"/>
    <xf numFmtId="3" fontId="25" fillId="6" borderId="35" xfId="0" applyNumberFormat="1" applyFont="1" applyFill="1" applyBorder="1" applyAlignment="1"/>
    <xf numFmtId="3" fontId="25" fillId="22" borderId="46" xfId="0" applyNumberFormat="1" applyFont="1" applyFill="1" applyBorder="1" applyAlignment="1"/>
    <xf numFmtId="0" fontId="27" fillId="8" borderId="36" xfId="4" applyFont="1" applyFill="1" applyBorder="1" applyAlignment="1"/>
    <xf numFmtId="0" fontId="25" fillId="8" borderId="9" xfId="0" applyFont="1" applyFill="1" applyBorder="1" applyAlignment="1">
      <alignment wrapText="1"/>
    </xf>
    <xf numFmtId="3" fontId="25" fillId="8" borderId="35" xfId="0" applyNumberFormat="1" applyFont="1" applyFill="1" applyBorder="1" applyAlignment="1"/>
    <xf numFmtId="3" fontId="25" fillId="23" borderId="46" xfId="0" applyNumberFormat="1" applyFont="1" applyFill="1" applyBorder="1" applyAlignment="1"/>
    <xf numFmtId="0" fontId="31" fillId="8" borderId="21" xfId="0" applyFont="1" applyFill="1" applyBorder="1" applyAlignment="1">
      <alignment vertical="center"/>
    </xf>
    <xf numFmtId="3" fontId="31" fillId="8" borderId="35" xfId="0" applyNumberFormat="1" applyFont="1" applyFill="1" applyBorder="1" applyAlignment="1"/>
    <xf numFmtId="0" fontId="31" fillId="8" borderId="9" xfId="0" applyFont="1" applyFill="1" applyBorder="1" applyAlignment="1">
      <alignment vertical="center"/>
    </xf>
    <xf numFmtId="3" fontId="31" fillId="8" borderId="154" xfId="0" applyNumberFormat="1" applyFont="1" applyFill="1" applyBorder="1" applyAlignment="1">
      <alignment vertical="center"/>
    </xf>
    <xf numFmtId="3" fontId="31" fillId="25" borderId="157" xfId="0" applyNumberFormat="1" applyFont="1" applyFill="1" applyBorder="1" applyAlignment="1">
      <alignment horizontal="center" vertical="top"/>
    </xf>
    <xf numFmtId="3" fontId="31" fillId="8" borderId="35" xfId="0" applyNumberFormat="1" applyFont="1" applyFill="1" applyBorder="1" applyAlignment="1">
      <alignment vertical="center"/>
    </xf>
    <xf numFmtId="3" fontId="31" fillId="23" borderId="157" xfId="0" applyNumberFormat="1" applyFont="1" applyFill="1" applyBorder="1" applyAlignment="1">
      <alignment vertical="top"/>
    </xf>
    <xf numFmtId="0" fontId="57" fillId="8" borderId="65" xfId="0" applyFont="1" applyFill="1" applyBorder="1" applyAlignment="1">
      <alignment horizontal="center" vertical="top" wrapText="1"/>
    </xf>
    <xf numFmtId="0" fontId="31" fillId="8" borderId="119" xfId="0" applyFont="1" applyFill="1" applyBorder="1" applyAlignment="1">
      <alignment vertical="center" wrapText="1"/>
    </xf>
    <xf numFmtId="3" fontId="31" fillId="23" borderId="157" xfId="0" applyNumberFormat="1" applyFont="1" applyFill="1" applyBorder="1" applyAlignment="1">
      <alignment vertical="center"/>
    </xf>
    <xf numFmtId="0" fontId="57" fillId="8" borderId="65" xfId="0" applyFont="1" applyFill="1" applyBorder="1" applyAlignment="1">
      <alignment horizontal="center" vertical="center" wrapText="1"/>
    </xf>
    <xf numFmtId="3" fontId="7" fillId="23" borderId="157" xfId="0" applyNumberFormat="1" applyFont="1" applyFill="1" applyBorder="1" applyAlignment="1">
      <alignment vertical="center"/>
    </xf>
    <xf numFmtId="3" fontId="18" fillId="0" borderId="0" xfId="0" applyNumberFormat="1" applyFont="1" applyFill="1" applyBorder="1" applyAlignment="1">
      <alignment vertical="center"/>
    </xf>
    <xf numFmtId="0" fontId="25" fillId="8" borderId="9" xfId="0" applyFont="1" applyFill="1" applyBorder="1" applyAlignment="1">
      <alignment vertical="center" wrapText="1"/>
    </xf>
    <xf numFmtId="3" fontId="25" fillId="8" borderId="35" xfId="0" applyNumberFormat="1" applyFont="1" applyFill="1" applyBorder="1" applyAlignment="1">
      <alignment vertical="center"/>
    </xf>
    <xf numFmtId="0" fontId="31" fillId="8" borderId="129" xfId="4" applyFont="1" applyFill="1" applyBorder="1" applyAlignment="1">
      <alignment vertical="top" wrapText="1"/>
    </xf>
    <xf numFmtId="0" fontId="31" fillId="8" borderId="159" xfId="0" applyFont="1" applyFill="1" applyBorder="1" applyAlignment="1">
      <alignment vertical="top" wrapText="1"/>
    </xf>
    <xf numFmtId="3" fontId="31" fillId="8" borderId="122" xfId="0" applyNumberFormat="1" applyFont="1" applyFill="1" applyBorder="1" applyAlignment="1">
      <alignment vertical="top"/>
    </xf>
    <xf numFmtId="0" fontId="18" fillId="8" borderId="65" xfId="0" applyFont="1" applyFill="1" applyBorder="1" applyAlignment="1">
      <alignment horizontal="center" vertical="top" wrapText="1"/>
    </xf>
    <xf numFmtId="0" fontId="18" fillId="8" borderId="65" xfId="0" applyFont="1" applyFill="1" applyBorder="1" applyAlignment="1">
      <alignment horizontal="center" vertical="center" wrapText="1"/>
    </xf>
    <xf numFmtId="0" fontId="31" fillId="8" borderId="27" xfId="0" applyFont="1" applyFill="1" applyBorder="1" applyAlignment="1">
      <alignment vertical="top" wrapText="1"/>
    </xf>
    <xf numFmtId="3" fontId="25" fillId="8" borderId="3" xfId="0" applyNumberFormat="1" applyFont="1" applyFill="1" applyBorder="1" applyAlignment="1">
      <alignment vertical="top"/>
    </xf>
    <xf numFmtId="3" fontId="25" fillId="8" borderId="4" xfId="0" applyNumberFormat="1" applyFont="1" applyFill="1" applyBorder="1" applyAlignment="1">
      <alignment vertical="top"/>
    </xf>
    <xf numFmtId="3" fontId="25" fillId="23" borderId="42" xfId="0" applyNumberFormat="1" applyFont="1" applyFill="1" applyBorder="1" applyAlignment="1">
      <alignment vertical="top"/>
    </xf>
    <xf numFmtId="43" fontId="25" fillId="6" borderId="154" xfId="1" applyFont="1" applyFill="1" applyBorder="1" applyAlignment="1"/>
    <xf numFmtId="3" fontId="25" fillId="22" borderId="157" xfId="0" applyNumberFormat="1" applyFont="1" applyFill="1" applyBorder="1" applyAlignment="1"/>
    <xf numFmtId="0" fontId="7" fillId="0" borderId="21" xfId="0" applyFont="1" applyFill="1" applyBorder="1" applyAlignment="1">
      <alignment vertical="top"/>
    </xf>
    <xf numFmtId="3" fontId="31" fillId="25" borderId="157" xfId="0" applyNumberFormat="1" applyFont="1" applyFill="1" applyBorder="1" applyAlignment="1">
      <alignment vertical="top"/>
    </xf>
    <xf numFmtId="3" fontId="31" fillId="0" borderId="123" xfId="4" applyNumberFormat="1" applyFont="1" applyFill="1" applyBorder="1" applyAlignment="1"/>
    <xf numFmtId="3" fontId="27" fillId="2" borderId="154" xfId="0" applyNumberFormat="1" applyFont="1" applyFill="1" applyBorder="1" applyAlignment="1">
      <alignment vertical="center"/>
    </xf>
    <xf numFmtId="3" fontId="31" fillId="0" borderId="156" xfId="0" applyNumberFormat="1" applyFont="1" applyFill="1" applyBorder="1" applyAlignment="1">
      <alignment vertical="center"/>
    </xf>
    <xf numFmtId="43" fontId="27" fillId="2" borderId="154" xfId="1" applyFont="1" applyFill="1" applyBorder="1" applyAlignment="1">
      <alignment vertical="center"/>
    </xf>
    <xf numFmtId="3" fontId="27" fillId="2" borderId="165" xfId="0" applyNumberFormat="1" applyFont="1" applyFill="1" applyBorder="1" applyAlignment="1">
      <alignment vertical="center"/>
    </xf>
    <xf numFmtId="3" fontId="31" fillId="0" borderId="165" xfId="0" applyNumberFormat="1" applyFont="1" applyFill="1" applyBorder="1" applyAlignment="1">
      <alignment vertical="center"/>
    </xf>
    <xf numFmtId="0" fontId="57" fillId="0" borderId="0" xfId="0" applyFont="1" applyFill="1" applyBorder="1" applyAlignment="1">
      <alignment vertical="top"/>
    </xf>
    <xf numFmtId="0" fontId="38" fillId="0" borderId="0" xfId="0" applyFont="1" applyFill="1" applyBorder="1" applyAlignment="1">
      <alignment vertical="top"/>
    </xf>
    <xf numFmtId="3" fontId="22" fillId="0" borderId="0" xfId="0" applyNumberFormat="1" applyFont="1" applyBorder="1" applyAlignment="1">
      <alignment vertical="top"/>
    </xf>
    <xf numFmtId="0" fontId="0" fillId="0" borderId="154" xfId="0" applyFont="1" applyBorder="1" applyAlignment="1">
      <alignment horizontal="center" vertical="top"/>
    </xf>
    <xf numFmtId="0" fontId="37" fillId="0" borderId="0" xfId="0" applyFont="1" applyBorder="1" applyAlignment="1">
      <alignment horizontal="center" vertical="top"/>
    </xf>
    <xf numFmtId="3" fontId="37" fillId="0" borderId="0" xfId="0" applyNumberFormat="1" applyFont="1" applyBorder="1" applyAlignment="1">
      <alignment horizontal="center" vertical="top"/>
    </xf>
    <xf numFmtId="3" fontId="37" fillId="0" borderId="154" xfId="0" applyNumberFormat="1" applyFont="1" applyBorder="1" applyAlignment="1">
      <alignment vertical="top"/>
    </xf>
    <xf numFmtId="3" fontId="57" fillId="0" borderId="0" xfId="0" applyNumberFormat="1" applyFont="1" applyFill="1" applyBorder="1" applyAlignment="1">
      <alignment vertical="top"/>
    </xf>
    <xf numFmtId="0" fontId="17" fillId="0" borderId="0" xfId="0" applyFont="1" applyFill="1" applyBorder="1" applyAlignment="1">
      <alignment vertical="top"/>
    </xf>
    <xf numFmtId="3" fontId="17" fillId="0" borderId="0" xfId="0" applyNumberFormat="1" applyFont="1" applyFill="1" applyBorder="1" applyAlignment="1">
      <alignment vertical="top"/>
    </xf>
    <xf numFmtId="0" fontId="24" fillId="0" borderId="0" xfId="0" applyFont="1" applyFill="1" applyBorder="1" applyAlignment="1">
      <alignment vertical="top"/>
    </xf>
    <xf numFmtId="0" fontId="24" fillId="2" borderId="2" xfId="0" applyFont="1" applyFill="1" applyBorder="1" applyAlignment="1">
      <alignment horizontal="center" vertical="center" wrapText="1"/>
    </xf>
    <xf numFmtId="3" fontId="25" fillId="8" borderId="15" xfId="0" applyNumberFormat="1" applyFont="1" applyFill="1" applyBorder="1" applyAlignment="1">
      <alignment vertical="top"/>
    </xf>
    <xf numFmtId="0" fontId="25" fillId="32" borderId="35" xfId="4" applyFont="1" applyFill="1" applyBorder="1" applyAlignment="1">
      <alignment horizontal="center" vertical="center" wrapText="1"/>
    </xf>
    <xf numFmtId="3" fontId="31" fillId="8" borderId="17" xfId="0" applyNumberFormat="1" applyFont="1" applyFill="1" applyBorder="1" applyAlignment="1">
      <alignment vertical="top"/>
    </xf>
    <xf numFmtId="3" fontId="13" fillId="0" borderId="0" xfId="0" applyNumberFormat="1" applyFont="1" applyFill="1" applyAlignment="1">
      <alignment horizontal="left"/>
    </xf>
    <xf numFmtId="0" fontId="66" fillId="6" borderId="159" xfId="4" applyFont="1" applyFill="1" applyBorder="1" applyAlignment="1">
      <alignment horizontal="left"/>
    </xf>
    <xf numFmtId="3" fontId="62" fillId="6" borderId="170" xfId="0" applyNumberFormat="1" applyFont="1" applyFill="1" applyBorder="1" applyAlignment="1">
      <alignment wrapText="1"/>
    </xf>
    <xf numFmtId="3" fontId="65" fillId="8" borderId="155" xfId="0" applyNumberFormat="1" applyFont="1" applyFill="1" applyBorder="1" applyAlignment="1">
      <alignment vertical="center" wrapText="1"/>
    </xf>
    <xf numFmtId="3" fontId="8" fillId="0" borderId="170" xfId="0" applyNumberFormat="1" applyFont="1" applyFill="1" applyBorder="1" applyAlignment="1">
      <alignment vertical="center" wrapText="1"/>
    </xf>
    <xf numFmtId="3" fontId="65" fillId="8" borderId="170" xfId="0" applyNumberFormat="1" applyFont="1" applyFill="1" applyBorder="1" applyAlignment="1">
      <alignment vertical="center" wrapText="1"/>
    </xf>
    <xf numFmtId="3" fontId="8" fillId="0" borderId="155" xfId="0" applyNumberFormat="1" applyFont="1" applyFill="1" applyBorder="1" applyAlignment="1">
      <alignment vertical="center" wrapText="1"/>
    </xf>
    <xf numFmtId="3" fontId="8" fillId="0" borderId="131" xfId="0" applyNumberFormat="1" applyFont="1" applyFill="1" applyBorder="1" applyAlignment="1">
      <alignment vertical="center" wrapText="1"/>
    </xf>
    <xf numFmtId="3" fontId="38" fillId="0" borderId="75" xfId="4" applyNumberFormat="1" applyFont="1" applyFill="1" applyBorder="1" applyAlignment="1">
      <alignment horizontal="right" vertical="center"/>
    </xf>
    <xf numFmtId="3" fontId="31" fillId="2" borderId="69" xfId="4" applyNumberFormat="1" applyFont="1" applyFill="1" applyBorder="1" applyAlignment="1">
      <alignment vertical="center"/>
    </xf>
    <xf numFmtId="3" fontId="34" fillId="2" borderId="51" xfId="0" applyNumberFormat="1" applyFont="1" applyFill="1" applyBorder="1" applyAlignment="1">
      <alignment vertical="top"/>
    </xf>
    <xf numFmtId="0" fontId="24" fillId="2" borderId="76" xfId="112" applyFont="1" applyFill="1" applyBorder="1" applyAlignment="1">
      <alignment horizontal="center" vertical="center" wrapText="1"/>
    </xf>
    <xf numFmtId="43" fontId="7" fillId="8" borderId="76" xfId="1" applyFont="1" applyFill="1" applyBorder="1" applyAlignment="1">
      <alignment vertical="center"/>
    </xf>
    <xf numFmtId="0" fontId="21" fillId="2" borderId="35" xfId="0" quotePrefix="1" applyFont="1" applyFill="1" applyBorder="1" applyAlignment="1">
      <alignment horizontal="center" vertical="top"/>
    </xf>
    <xf numFmtId="3" fontId="31" fillId="0" borderId="171" xfId="4" applyNumberFormat="1" applyFont="1" applyFill="1" applyBorder="1" applyAlignment="1">
      <alignment vertical="center"/>
    </xf>
    <xf numFmtId="3" fontId="6" fillId="6" borderId="174" xfId="0" applyNumberFormat="1" applyFont="1" applyFill="1" applyBorder="1"/>
    <xf numFmtId="3" fontId="6" fillId="6" borderId="116" xfId="0" applyNumberFormat="1" applyFont="1" applyFill="1" applyBorder="1"/>
    <xf numFmtId="0" fontId="24" fillId="6" borderId="174" xfId="4" applyFont="1" applyFill="1" applyBorder="1" applyAlignment="1">
      <alignment horizontal="left" vertical="center"/>
    </xf>
    <xf numFmtId="3" fontId="24" fillId="6" borderId="174" xfId="4" applyNumberFormat="1" applyFont="1" applyFill="1" applyBorder="1" applyAlignment="1">
      <alignment horizontal="right" vertical="center"/>
    </xf>
    <xf numFmtId="3" fontId="25" fillId="6" borderId="174" xfId="4" applyNumberFormat="1" applyFont="1" applyFill="1" applyBorder="1" applyAlignment="1">
      <alignment horizontal="right" vertical="center"/>
    </xf>
    <xf numFmtId="3" fontId="25" fillId="22" borderId="174" xfId="4" applyNumberFormat="1" applyFont="1" applyFill="1" applyBorder="1" applyAlignment="1">
      <alignment horizontal="right" vertical="center"/>
    </xf>
    <xf numFmtId="3" fontId="29" fillId="2" borderId="174" xfId="4" applyNumberFormat="1" applyFont="1" applyFill="1" applyBorder="1" applyAlignment="1">
      <alignment vertical="top" wrapText="1"/>
    </xf>
    <xf numFmtId="3" fontId="27" fillId="0" borderId="174" xfId="4" applyNumberFormat="1" applyFont="1" applyFill="1" applyBorder="1" applyAlignment="1">
      <alignment horizontal="right" vertical="center"/>
    </xf>
    <xf numFmtId="3" fontId="27" fillId="23" borderId="174" xfId="4" applyNumberFormat="1" applyFont="1" applyFill="1" applyBorder="1" applyAlignment="1">
      <alignment horizontal="right" vertical="center"/>
    </xf>
    <xf numFmtId="0" fontId="7" fillId="0" borderId="174" xfId="4" applyFont="1" applyFill="1" applyBorder="1" applyAlignment="1">
      <alignment vertical="top"/>
    </xf>
    <xf numFmtId="3" fontId="31" fillId="0" borderId="173" xfId="4" applyNumberFormat="1" applyFont="1" applyFill="1" applyBorder="1" applyAlignment="1">
      <alignment vertical="center"/>
    </xf>
    <xf numFmtId="3" fontId="31" fillId="0" borderId="174" xfId="4" applyNumberFormat="1" applyFont="1" applyFill="1" applyBorder="1" applyAlignment="1">
      <alignment horizontal="right" vertical="center"/>
    </xf>
    <xf numFmtId="3" fontId="7" fillId="0" borderId="174" xfId="4" applyNumberFormat="1" applyFont="1" applyFill="1" applyBorder="1" applyAlignment="1">
      <alignment horizontal="right" vertical="center"/>
    </xf>
    <xf numFmtId="3" fontId="7" fillId="25" borderId="174" xfId="4" applyNumberFormat="1" applyFont="1" applyFill="1" applyBorder="1" applyAlignment="1">
      <alignment horizontal="right" vertical="center"/>
    </xf>
    <xf numFmtId="3" fontId="32" fillId="0" borderId="174" xfId="6" applyNumberFormat="1" applyFont="1" applyFill="1" applyBorder="1" applyAlignment="1">
      <alignment vertical="center"/>
    </xf>
    <xf numFmtId="3" fontId="33" fillId="0" borderId="174" xfId="6" applyNumberFormat="1" applyFont="1" applyFill="1" applyBorder="1" applyAlignment="1">
      <alignment vertical="center"/>
    </xf>
    <xf numFmtId="3" fontId="33" fillId="23" borderId="174" xfId="6" applyNumberFormat="1" applyFont="1" applyFill="1" applyBorder="1" applyAlignment="1">
      <alignment vertical="center"/>
    </xf>
    <xf numFmtId="0" fontId="25" fillId="6" borderId="174" xfId="4" applyFont="1" applyFill="1" applyBorder="1" applyAlignment="1">
      <alignment horizontal="left" vertical="center"/>
    </xf>
    <xf numFmtId="3" fontId="24" fillId="6" borderId="174" xfId="4" applyNumberFormat="1" applyFont="1" applyFill="1" applyBorder="1" applyAlignment="1"/>
    <xf numFmtId="0" fontId="31" fillId="6" borderId="172" xfId="0" applyFont="1" applyFill="1" applyBorder="1" applyAlignment="1">
      <alignment vertical="top"/>
    </xf>
    <xf numFmtId="3" fontId="27" fillId="2" borderId="179" xfId="0" applyNumberFormat="1" applyFont="1" applyFill="1" applyBorder="1" applyAlignment="1">
      <alignment vertical="top"/>
    </xf>
    <xf numFmtId="3" fontId="25" fillId="25" borderId="180" xfId="0" applyNumberFormat="1" applyFont="1" applyFill="1" applyBorder="1" applyAlignment="1">
      <alignment vertical="top"/>
    </xf>
    <xf numFmtId="3" fontId="28" fillId="2" borderId="179" xfId="0" applyNumberFormat="1" applyFont="1" applyFill="1" applyBorder="1" applyAlignment="1">
      <alignment vertical="top"/>
    </xf>
    <xf numFmtId="3" fontId="31" fillId="0" borderId="179" xfId="0" applyNumberFormat="1" applyFont="1" applyFill="1" applyBorder="1" applyAlignment="1">
      <alignment vertical="top"/>
    </xf>
    <xf numFmtId="3" fontId="31" fillId="25" borderId="180" xfId="0" applyNumberFormat="1" applyFont="1" applyFill="1" applyBorder="1" applyAlignment="1">
      <alignment vertical="top"/>
    </xf>
    <xf numFmtId="3" fontId="27" fillId="0" borderId="179" xfId="0" applyNumberFormat="1" applyFont="1" applyFill="1" applyBorder="1" applyAlignment="1">
      <alignment vertical="top"/>
    </xf>
    <xf numFmtId="43" fontId="27" fillId="0" borderId="179" xfId="1" applyFont="1" applyFill="1" applyBorder="1" applyAlignment="1">
      <alignment vertical="top"/>
    </xf>
    <xf numFmtId="3" fontId="31" fillId="0" borderId="179" xfId="0" applyNumberFormat="1" applyFont="1" applyFill="1" applyBorder="1" applyAlignment="1">
      <alignment horizontal="right" vertical="center"/>
    </xf>
    <xf numFmtId="43" fontId="31" fillId="0" borderId="179" xfId="1" applyFont="1" applyFill="1" applyBorder="1" applyAlignment="1">
      <alignment horizontal="right" vertical="center"/>
    </xf>
    <xf numFmtId="0" fontId="7" fillId="6" borderId="181" xfId="0" applyFont="1" applyFill="1" applyBorder="1" applyAlignment="1">
      <alignment horizontal="left" vertical="center" wrapText="1"/>
    </xf>
    <xf numFmtId="3" fontId="25" fillId="6" borderId="179" xfId="0" applyNumberFormat="1" applyFont="1" applyFill="1" applyBorder="1" applyAlignment="1">
      <alignment vertical="top"/>
    </xf>
    <xf numFmtId="3" fontId="27" fillId="2" borderId="182" xfId="4" applyNumberFormat="1" applyFont="1" applyFill="1" applyBorder="1" applyAlignment="1">
      <alignment vertical="center" wrapText="1"/>
    </xf>
    <xf numFmtId="3" fontId="31" fillId="0" borderId="180" xfId="0" applyNumberFormat="1" applyFont="1" applyFill="1" applyBorder="1" applyAlignment="1">
      <alignment vertical="top"/>
    </xf>
    <xf numFmtId="0" fontId="27" fillId="2" borderId="183" xfId="4" applyFont="1" applyFill="1" applyBorder="1" applyAlignment="1">
      <alignment vertical="top"/>
    </xf>
    <xf numFmtId="3" fontId="28" fillId="2" borderId="131" xfId="0" applyNumberFormat="1" applyFont="1" applyFill="1" applyBorder="1" applyAlignment="1">
      <alignment vertical="top"/>
    </xf>
    <xf numFmtId="0" fontId="31" fillId="6" borderId="181" xfId="0" applyFont="1" applyFill="1" applyBorder="1" applyAlignment="1">
      <alignment vertical="top"/>
    </xf>
    <xf numFmtId="3" fontId="25" fillId="6" borderId="179" xfId="0" applyNumberFormat="1" applyFont="1" applyFill="1" applyBorder="1" applyAlignment="1">
      <alignment vertical="center"/>
    </xf>
    <xf numFmtId="3" fontId="25" fillId="22" borderId="180" xfId="0" applyNumberFormat="1" applyFont="1" applyFill="1" applyBorder="1" applyAlignment="1">
      <alignment vertical="center"/>
    </xf>
    <xf numFmtId="3" fontId="27" fillId="32" borderId="179" xfId="0" applyNumberFormat="1" applyFont="1" applyFill="1" applyBorder="1" applyAlignment="1">
      <alignment vertical="center"/>
    </xf>
    <xf numFmtId="3" fontId="27" fillId="25" borderId="180" xfId="0" applyNumberFormat="1" applyFont="1" applyFill="1" applyBorder="1" applyAlignment="1">
      <alignment vertical="center"/>
    </xf>
    <xf numFmtId="3" fontId="31" fillId="2" borderId="179" xfId="0" applyNumberFormat="1" applyFont="1" applyFill="1" applyBorder="1" applyAlignment="1">
      <alignment vertical="top"/>
    </xf>
    <xf numFmtId="3" fontId="25" fillId="32" borderId="179" xfId="0" applyNumberFormat="1" applyFont="1" applyFill="1" applyBorder="1" applyAlignment="1">
      <alignment vertical="top"/>
    </xf>
    <xf numFmtId="3" fontId="27" fillId="25" borderId="180" xfId="0" applyNumberFormat="1" applyFont="1" applyFill="1" applyBorder="1" applyAlignment="1">
      <alignment vertical="top"/>
    </xf>
    <xf numFmtId="3" fontId="28" fillId="52" borderId="179" xfId="0" applyNumberFormat="1" applyFont="1" applyFill="1" applyBorder="1" applyAlignment="1">
      <alignment vertical="top"/>
    </xf>
    <xf numFmtId="3" fontId="28" fillId="53" borderId="179" xfId="0" applyNumberFormat="1" applyFont="1" applyFill="1" applyBorder="1" applyAlignment="1">
      <alignment vertical="top"/>
    </xf>
    <xf numFmtId="3" fontId="31" fillId="0" borderId="179" xfId="4" applyNumberFormat="1" applyFont="1" applyFill="1" applyBorder="1" applyAlignment="1">
      <alignment vertical="center"/>
    </xf>
    <xf numFmtId="3" fontId="28" fillId="54" borderId="179" xfId="0" applyNumberFormat="1" applyFont="1" applyFill="1" applyBorder="1" applyAlignment="1">
      <alignment vertical="top"/>
    </xf>
    <xf numFmtId="3" fontId="28" fillId="50" borderId="179" xfId="0" applyNumberFormat="1" applyFont="1" applyFill="1" applyBorder="1" applyAlignment="1">
      <alignment vertical="top"/>
    </xf>
    <xf numFmtId="43" fontId="28" fillId="25" borderId="180" xfId="1" applyFont="1" applyFill="1" applyBorder="1" applyAlignment="1">
      <alignment vertical="center"/>
    </xf>
    <xf numFmtId="3" fontId="27" fillId="0" borderId="180" xfId="0" applyNumberFormat="1" applyFont="1" applyFill="1" applyBorder="1" applyAlignment="1">
      <alignment vertical="top"/>
    </xf>
    <xf numFmtId="3" fontId="31" fillId="0" borderId="180" xfId="4" applyNumberFormat="1" applyFont="1" applyFill="1" applyBorder="1" applyAlignment="1">
      <alignment vertical="center"/>
    </xf>
    <xf numFmtId="3" fontId="31" fillId="23" borderId="180" xfId="0" applyNumberFormat="1" applyFont="1" applyFill="1" applyBorder="1" applyAlignment="1">
      <alignment vertical="center"/>
    </xf>
    <xf numFmtId="0" fontId="28" fillId="53" borderId="181" xfId="0" applyFont="1" applyFill="1" applyBorder="1" applyAlignment="1">
      <alignment vertical="top"/>
    </xf>
    <xf numFmtId="0" fontId="28" fillId="51" borderId="178" xfId="0" applyFont="1" applyFill="1" applyBorder="1" applyAlignment="1">
      <alignment vertical="center"/>
    </xf>
    <xf numFmtId="3" fontId="28" fillId="51" borderId="179" xfId="0" applyNumberFormat="1" applyFont="1" applyFill="1" applyBorder="1" applyAlignment="1">
      <alignment vertical="center"/>
    </xf>
    <xf numFmtId="0" fontId="28" fillId="54" borderId="181" xfId="0" applyFont="1" applyFill="1" applyBorder="1" applyAlignment="1">
      <alignment vertical="top"/>
    </xf>
    <xf numFmtId="0" fontId="28" fillId="54" borderId="178" xfId="0" applyFont="1" applyFill="1" applyBorder="1" applyAlignment="1">
      <alignment vertical="top"/>
    </xf>
    <xf numFmtId="0" fontId="31" fillId="50" borderId="178" xfId="0" applyFont="1" applyFill="1" applyBorder="1" applyAlignment="1">
      <alignment vertical="top"/>
    </xf>
    <xf numFmtId="0" fontId="31" fillId="50" borderId="181" xfId="0" applyFont="1" applyFill="1" applyBorder="1" applyAlignment="1">
      <alignment vertical="top"/>
    </xf>
    <xf numFmtId="3" fontId="25" fillId="6" borderId="180" xfId="0" applyNumberFormat="1" applyFont="1" applyFill="1" applyBorder="1" applyAlignment="1">
      <alignment vertical="center"/>
    </xf>
    <xf numFmtId="0" fontId="27" fillId="2" borderId="184" xfId="4" applyFont="1" applyFill="1" applyBorder="1" applyAlignment="1">
      <alignment vertical="top"/>
    </xf>
    <xf numFmtId="0" fontId="31" fillId="6" borderId="181" xfId="0" applyFont="1" applyFill="1" applyBorder="1" applyAlignment="1">
      <alignment vertical="center"/>
    </xf>
    <xf numFmtId="3" fontId="25" fillId="22" borderId="179" xfId="0" applyNumberFormat="1" applyFont="1" applyFill="1" applyBorder="1" applyAlignment="1">
      <alignment vertical="center"/>
    </xf>
    <xf numFmtId="0" fontId="31" fillId="0" borderId="185" xfId="0" applyFont="1" applyFill="1" applyBorder="1" applyAlignment="1">
      <alignment horizontal="left" vertical="center" wrapText="1"/>
    </xf>
    <xf numFmtId="3" fontId="25" fillId="6" borderId="180" xfId="0" applyNumberFormat="1" applyFont="1" applyFill="1" applyBorder="1" applyAlignment="1">
      <alignment vertical="top"/>
    </xf>
    <xf numFmtId="3" fontId="27" fillId="2" borderId="180" xfId="0" applyNumberFormat="1" applyFont="1" applyFill="1" applyBorder="1" applyAlignment="1">
      <alignment vertical="top"/>
    </xf>
    <xf numFmtId="0" fontId="25" fillId="6" borderId="184" xfId="4" applyFont="1" applyFill="1" applyBorder="1" applyAlignment="1">
      <alignment horizontal="left" vertical="center"/>
    </xf>
    <xf numFmtId="0" fontId="25" fillId="6" borderId="181" xfId="4" applyFont="1" applyFill="1" applyBorder="1" applyAlignment="1">
      <alignment horizontal="left" vertical="center"/>
    </xf>
    <xf numFmtId="3" fontId="24" fillId="6" borderId="179" xfId="4" applyNumberFormat="1" applyFont="1" applyFill="1" applyBorder="1" applyAlignment="1">
      <alignment vertical="center"/>
    </xf>
    <xf numFmtId="3" fontId="25" fillId="22" borderId="180" xfId="4" applyNumberFormat="1" applyFont="1" applyFill="1" applyBorder="1" applyAlignment="1">
      <alignment horizontal="right" vertical="center"/>
    </xf>
    <xf numFmtId="3" fontId="27" fillId="2" borderId="183" xfId="4" applyNumberFormat="1" applyFont="1" applyFill="1" applyBorder="1" applyAlignment="1">
      <alignment vertical="center" wrapText="1"/>
    </xf>
    <xf numFmtId="3" fontId="33" fillId="0" borderId="179" xfId="6" applyNumberFormat="1" applyFont="1" applyFill="1" applyBorder="1" applyAlignment="1">
      <alignment vertical="center"/>
    </xf>
    <xf numFmtId="3" fontId="27" fillId="25" borderId="179" xfId="4" applyNumberFormat="1" applyFont="1" applyFill="1" applyBorder="1" applyAlignment="1">
      <alignment horizontal="right" vertical="center"/>
    </xf>
    <xf numFmtId="0" fontId="7" fillId="0" borderId="183" xfId="4" applyFont="1" applyFill="1" applyBorder="1" applyAlignment="1">
      <alignment vertical="center"/>
    </xf>
    <xf numFmtId="3" fontId="7" fillId="0" borderId="171" xfId="4" applyNumberFormat="1" applyFont="1" applyFill="1" applyBorder="1" applyAlignment="1">
      <alignment horizontal="right" vertical="center"/>
    </xf>
    <xf numFmtId="3" fontId="27" fillId="2" borderId="184" xfId="4" applyNumberFormat="1" applyFont="1" applyFill="1" applyBorder="1" applyAlignment="1">
      <alignment vertical="center" wrapText="1"/>
    </xf>
    <xf numFmtId="3" fontId="27" fillId="0" borderId="171" xfId="4" applyNumberFormat="1" applyFont="1" applyFill="1" applyBorder="1" applyAlignment="1">
      <alignment horizontal="right" vertical="center"/>
    </xf>
    <xf numFmtId="3" fontId="33" fillId="0" borderId="180" xfId="6" applyNumberFormat="1" applyFont="1" applyFill="1" applyBorder="1" applyAlignment="1">
      <alignment vertical="center"/>
    </xf>
    <xf numFmtId="43" fontId="24" fillId="6" borderId="179" xfId="4" applyNumberFormat="1" applyFont="1" applyFill="1" applyBorder="1" applyAlignment="1">
      <alignment vertical="center"/>
    </xf>
    <xf numFmtId="43" fontId="33" fillId="0" borderId="179" xfId="6" applyNumberFormat="1" applyFont="1" applyFill="1" applyBorder="1" applyAlignment="1">
      <alignment vertical="center"/>
    </xf>
    <xf numFmtId="3" fontId="7" fillId="0" borderId="180" xfId="4" applyNumberFormat="1" applyFont="1" applyFill="1" applyBorder="1" applyAlignment="1">
      <alignment horizontal="right" vertical="center"/>
    </xf>
    <xf numFmtId="3" fontId="25" fillId="6" borderId="179" xfId="4" applyNumberFormat="1" applyFont="1" applyFill="1" applyBorder="1" applyAlignment="1">
      <alignment horizontal="right" vertical="center"/>
    </xf>
    <xf numFmtId="3" fontId="27" fillId="0" borderId="179" xfId="4" applyNumberFormat="1" applyFont="1" applyFill="1" applyBorder="1" applyAlignment="1">
      <alignment horizontal="right" vertical="center"/>
    </xf>
    <xf numFmtId="3" fontId="31" fillId="0" borderId="179" xfId="4" applyNumberFormat="1" applyFont="1" applyFill="1" applyBorder="1" applyAlignment="1">
      <alignment horizontal="right" vertical="center"/>
    </xf>
    <xf numFmtId="3" fontId="7" fillId="0" borderId="179" xfId="4" applyNumberFormat="1" applyFont="1" applyFill="1" applyBorder="1" applyAlignment="1">
      <alignment horizontal="right" vertical="center"/>
    </xf>
    <xf numFmtId="3" fontId="31" fillId="25" borderId="179" xfId="4" applyNumberFormat="1" applyFont="1" applyFill="1" applyBorder="1" applyAlignment="1">
      <alignment horizontal="right" vertical="center"/>
    </xf>
    <xf numFmtId="0" fontId="7" fillId="0" borderId="177" xfId="4" applyFont="1" applyFill="1" applyBorder="1" applyAlignment="1">
      <alignment vertical="center"/>
    </xf>
    <xf numFmtId="3" fontId="29" fillId="2" borderId="184" xfId="4" applyNumberFormat="1" applyFont="1" applyFill="1" applyBorder="1" applyAlignment="1">
      <alignment vertical="center" wrapText="1"/>
    </xf>
    <xf numFmtId="3" fontId="32" fillId="0" borderId="180" xfId="6" applyNumberFormat="1" applyFont="1" applyFill="1" applyBorder="1" applyAlignment="1">
      <alignment vertical="center"/>
    </xf>
    <xf numFmtId="3" fontId="27" fillId="2" borderId="179" xfId="4" applyNumberFormat="1" applyFont="1" applyFill="1" applyBorder="1" applyAlignment="1">
      <alignment vertical="center"/>
    </xf>
    <xf numFmtId="3" fontId="36" fillId="6" borderId="30" xfId="0" applyNumberFormat="1" applyFont="1" applyFill="1" applyBorder="1"/>
    <xf numFmtId="0" fontId="25" fillId="6" borderId="172" xfId="4" applyFont="1" applyFill="1" applyBorder="1" applyAlignment="1">
      <alignment horizontal="left" vertical="center"/>
    </xf>
    <xf numFmtId="3" fontId="23" fillId="6" borderId="179" xfId="6" applyNumberFormat="1" applyFont="1" applyFill="1" applyBorder="1" applyAlignment="1">
      <alignment horizontal="right" vertical="center"/>
    </xf>
    <xf numFmtId="3" fontId="33" fillId="0" borderId="179" xfId="6" applyNumberFormat="1" applyFont="1" applyFill="1" applyBorder="1" applyAlignment="1">
      <alignment horizontal="right" vertical="center"/>
    </xf>
    <xf numFmtId="43" fontId="31" fillId="0" borderId="171" xfId="1" applyFont="1" applyFill="1" applyBorder="1" applyAlignment="1">
      <alignment horizontal="right" vertical="center"/>
    </xf>
    <xf numFmtId="43" fontId="33" fillId="0" borderId="179" xfId="1" applyFont="1" applyFill="1" applyBorder="1" applyAlignment="1">
      <alignment horizontal="right" vertical="center"/>
    </xf>
    <xf numFmtId="3" fontId="29" fillId="2" borderId="179" xfId="4" applyNumberFormat="1" applyFont="1" applyFill="1" applyBorder="1" applyAlignment="1">
      <alignment vertical="center"/>
    </xf>
    <xf numFmtId="43" fontId="23" fillId="6" borderId="179" xfId="1" applyFont="1" applyFill="1" applyBorder="1" applyAlignment="1">
      <alignment horizontal="right" vertical="center"/>
    </xf>
    <xf numFmtId="0" fontId="7" fillId="0" borderId="184" xfId="4" applyFont="1" applyFill="1" applyBorder="1" applyAlignment="1">
      <alignment vertical="center"/>
    </xf>
    <xf numFmtId="0" fontId="24" fillId="8" borderId="14" xfId="0" applyFont="1" applyFill="1" applyBorder="1" applyAlignment="1">
      <alignment horizontal="center" vertical="center" wrapText="1"/>
    </xf>
    <xf numFmtId="0" fontId="0" fillId="0" borderId="0" xfId="0" applyFont="1" applyBorder="1"/>
    <xf numFmtId="0" fontId="25" fillId="6" borderId="172" xfId="4" applyFont="1" applyFill="1" applyBorder="1" applyAlignment="1">
      <alignment horizontal="center" vertical="center"/>
    </xf>
    <xf numFmtId="43" fontId="7" fillId="0" borderId="176" xfId="1" applyFont="1" applyFill="1" applyBorder="1" applyAlignment="1">
      <alignment horizontal="right" vertical="center"/>
    </xf>
    <xf numFmtId="3" fontId="7" fillId="0" borderId="176" xfId="4" applyNumberFormat="1" applyFont="1" applyFill="1" applyBorder="1" applyAlignment="1">
      <alignment horizontal="right" vertical="center"/>
    </xf>
    <xf numFmtId="3" fontId="31" fillId="0" borderId="174" xfId="4" applyNumberFormat="1" applyFont="1" applyFill="1" applyBorder="1" applyAlignment="1">
      <alignment vertical="center"/>
    </xf>
    <xf numFmtId="43" fontId="32" fillId="0" borderId="174" xfId="1" applyFont="1" applyFill="1" applyBorder="1" applyAlignment="1">
      <alignment vertical="center"/>
    </xf>
    <xf numFmtId="0" fontId="27" fillId="2" borderId="184" xfId="4" applyFont="1" applyFill="1" applyBorder="1" applyAlignment="1">
      <alignment vertical="center"/>
    </xf>
    <xf numFmtId="3" fontId="24" fillId="6" borderId="179" xfId="4" applyNumberFormat="1" applyFont="1" applyFill="1" applyBorder="1" applyAlignment="1">
      <alignment horizontal="right" vertical="center"/>
    </xf>
    <xf numFmtId="3" fontId="29" fillId="0" borderId="179" xfId="4" applyNumberFormat="1" applyFont="1" applyFill="1" applyBorder="1" applyAlignment="1">
      <alignment horizontal="right" vertical="center"/>
    </xf>
    <xf numFmtId="3" fontId="29" fillId="25" borderId="179" xfId="4" applyNumberFormat="1" applyFont="1" applyFill="1" applyBorder="1" applyAlignment="1">
      <alignment horizontal="right" vertical="center"/>
    </xf>
    <xf numFmtId="43" fontId="7" fillId="0" borderId="179" xfId="1" applyFont="1" applyFill="1" applyBorder="1" applyAlignment="1">
      <alignment horizontal="right" vertical="center"/>
    </xf>
    <xf numFmtId="3" fontId="6" fillId="3" borderId="21" xfId="0" applyNumberFormat="1" applyFont="1" applyFill="1" applyBorder="1" applyAlignment="1">
      <alignment horizontal="center" vertical="center" wrapText="1"/>
    </xf>
    <xf numFmtId="43" fontId="6" fillId="3" borderId="21" xfId="1" applyFont="1" applyFill="1" applyBorder="1" applyAlignment="1">
      <alignment horizontal="center" vertical="center" wrapText="1"/>
    </xf>
    <xf numFmtId="3" fontId="31" fillId="25" borderId="116" xfId="0" applyNumberFormat="1" applyFont="1" applyFill="1" applyBorder="1" applyAlignment="1">
      <alignment vertical="top"/>
    </xf>
    <xf numFmtId="0" fontId="25" fillId="0" borderId="9" xfId="4" applyFont="1" applyBorder="1" applyAlignment="1">
      <alignment horizontal="center" vertical="center" wrapText="1"/>
    </xf>
    <xf numFmtId="0" fontId="21" fillId="26" borderId="35" xfId="0" quotePrefix="1" applyFont="1" applyFill="1" applyBorder="1" applyAlignment="1">
      <alignment horizontal="center" vertical="top"/>
    </xf>
    <xf numFmtId="0" fontId="21" fillId="2" borderId="46" xfId="0" quotePrefix="1" applyFont="1" applyFill="1" applyBorder="1" applyAlignment="1">
      <alignment horizontal="center" vertical="top"/>
    </xf>
    <xf numFmtId="43" fontId="8" fillId="0" borderId="30" xfId="1" applyFont="1" applyFill="1" applyBorder="1" applyAlignment="1">
      <alignment vertical="center" wrapText="1"/>
    </xf>
    <xf numFmtId="43" fontId="8" fillId="0" borderId="170" xfId="1" applyFont="1" applyFill="1" applyBorder="1" applyAlignment="1">
      <alignment vertical="center" wrapText="1"/>
    </xf>
    <xf numFmtId="3" fontId="65" fillId="17" borderId="68" xfId="0" applyNumberFormat="1" applyFont="1" applyFill="1" applyBorder="1"/>
    <xf numFmtId="3" fontId="65" fillId="17" borderId="35" xfId="0" applyNumberFormat="1" applyFont="1" applyFill="1" applyBorder="1"/>
    <xf numFmtId="3" fontId="8" fillId="8" borderId="116" xfId="0" applyNumberFormat="1" applyFont="1" applyFill="1" applyBorder="1"/>
    <xf numFmtId="0" fontId="24" fillId="8" borderId="16" xfId="4" applyFont="1" applyFill="1" applyBorder="1" applyAlignment="1">
      <alignment horizontal="center" vertical="center" wrapText="1"/>
    </xf>
    <xf numFmtId="3" fontId="25" fillId="6" borderId="180" xfId="4" applyNumberFormat="1" applyFont="1" applyFill="1" applyBorder="1" applyAlignment="1">
      <alignment horizontal="right" vertical="center"/>
    </xf>
    <xf numFmtId="3" fontId="24" fillId="22" borderId="180" xfId="4" applyNumberFormat="1" applyFont="1" applyFill="1" applyBorder="1" applyAlignment="1">
      <alignment horizontal="right" vertical="center"/>
    </xf>
    <xf numFmtId="3" fontId="25" fillId="6" borderId="180" xfId="4" applyNumberFormat="1" applyFont="1" applyFill="1" applyBorder="1" applyAlignment="1">
      <alignment vertical="center"/>
    </xf>
    <xf numFmtId="43" fontId="25" fillId="6" borderId="180" xfId="1" applyFont="1" applyFill="1" applyBorder="1" applyAlignment="1">
      <alignment vertical="center"/>
    </xf>
    <xf numFmtId="43" fontId="31" fillId="0" borderId="156" xfId="1" applyFont="1" applyFill="1" applyBorder="1" applyAlignment="1">
      <alignment horizontal="right" vertical="center"/>
    </xf>
    <xf numFmtId="43" fontId="33" fillId="0" borderId="180" xfId="1" applyFont="1" applyFill="1" applyBorder="1" applyAlignment="1">
      <alignment vertical="center"/>
    </xf>
    <xf numFmtId="3" fontId="24" fillId="6" borderId="180" xfId="4" applyNumberFormat="1" applyFont="1" applyFill="1" applyBorder="1" applyAlignment="1">
      <alignment vertical="center"/>
    </xf>
    <xf numFmtId="3" fontId="25" fillId="22" borderId="179" xfId="4" applyNumberFormat="1" applyFont="1" applyFill="1" applyBorder="1" applyAlignment="1">
      <alignment horizontal="right" vertical="center"/>
    </xf>
    <xf numFmtId="3" fontId="32" fillId="0" borderId="179" xfId="6" applyNumberFormat="1" applyFont="1" applyFill="1" applyBorder="1" applyAlignment="1">
      <alignment vertical="center"/>
    </xf>
    <xf numFmtId="43" fontId="31" fillId="0" borderId="116" xfId="1" applyFont="1" applyFill="1" applyBorder="1" applyAlignment="1">
      <alignment horizontal="right" vertical="center"/>
    </xf>
    <xf numFmtId="43" fontId="25" fillId="6" borderId="179" xfId="1" applyFont="1" applyFill="1" applyBorder="1" applyAlignment="1">
      <alignment vertical="top"/>
    </xf>
    <xf numFmtId="3" fontId="25" fillId="22" borderId="179" xfId="0" applyNumberFormat="1" applyFont="1" applyFill="1" applyBorder="1" applyAlignment="1">
      <alignment vertical="top"/>
    </xf>
    <xf numFmtId="3" fontId="27" fillId="2" borderId="187" xfId="4" applyNumberFormat="1" applyFont="1" applyFill="1" applyBorder="1" applyAlignment="1">
      <alignment vertical="center" wrapText="1"/>
    </xf>
    <xf numFmtId="43" fontId="27" fillId="25" borderId="180" xfId="1" applyFont="1" applyFill="1" applyBorder="1" applyAlignment="1">
      <alignment horizontal="center" vertical="top"/>
    </xf>
    <xf numFmtId="43" fontId="31" fillId="25" borderId="180" xfId="1" applyFont="1" applyFill="1" applyBorder="1" applyAlignment="1">
      <alignment horizontal="center" vertical="top"/>
    </xf>
    <xf numFmtId="0" fontId="23" fillId="0" borderId="172" xfId="0" applyFont="1" applyBorder="1" applyAlignment="1">
      <alignment horizontal="center" vertical="center" wrapText="1"/>
    </xf>
    <xf numFmtId="0" fontId="28" fillId="53" borderId="172" xfId="0" applyFont="1" applyFill="1" applyBorder="1" applyAlignment="1">
      <alignment vertical="top"/>
    </xf>
    <xf numFmtId="0" fontId="28" fillId="51" borderId="125" xfId="0" applyFont="1" applyFill="1" applyBorder="1" applyAlignment="1">
      <alignment vertical="center"/>
    </xf>
    <xf numFmtId="0" fontId="39" fillId="54" borderId="187" xfId="0" applyFont="1" applyFill="1" applyBorder="1"/>
    <xf numFmtId="0" fontId="28" fillId="54" borderId="172" xfId="0" applyFont="1" applyFill="1" applyBorder="1" applyAlignment="1">
      <alignment vertical="top"/>
    </xf>
    <xf numFmtId="0" fontId="31" fillId="50" borderId="125" xfId="0" applyFont="1" applyFill="1" applyBorder="1" applyAlignment="1">
      <alignment vertical="top"/>
    </xf>
    <xf numFmtId="0" fontId="31" fillId="50" borderId="172" xfId="0" applyFont="1" applyFill="1" applyBorder="1" applyAlignment="1">
      <alignment vertical="top"/>
    </xf>
    <xf numFmtId="3" fontId="27" fillId="0" borderId="180" xfId="0" applyNumberFormat="1" applyFont="1" applyFill="1" applyBorder="1" applyAlignment="1">
      <alignment vertical="center"/>
    </xf>
    <xf numFmtId="3" fontId="27" fillId="8" borderId="180" xfId="0" applyNumberFormat="1" applyFont="1" applyFill="1" applyBorder="1" applyAlignment="1">
      <alignment vertical="center"/>
    </xf>
    <xf numFmtId="3" fontId="27" fillId="23" borderId="180" xfId="0" applyNumberFormat="1" applyFont="1" applyFill="1" applyBorder="1" applyAlignment="1">
      <alignment vertical="center"/>
    </xf>
    <xf numFmtId="3" fontId="31" fillId="28" borderId="180" xfId="0" applyNumberFormat="1" applyFont="1" applyFill="1" applyBorder="1" applyAlignment="1">
      <alignment vertical="center"/>
    </xf>
    <xf numFmtId="3" fontId="7" fillId="23" borderId="180" xfId="0" applyNumberFormat="1" applyFont="1" applyFill="1" applyBorder="1" applyAlignment="1">
      <alignment vertical="center"/>
    </xf>
    <xf numFmtId="3" fontId="27" fillId="25" borderId="179" xfId="0" applyNumberFormat="1" applyFont="1" applyFill="1" applyBorder="1" applyAlignment="1">
      <alignment vertical="top"/>
    </xf>
    <xf numFmtId="3" fontId="27" fillId="2" borderId="180" xfId="0" applyNumberFormat="1" applyFont="1" applyFill="1" applyBorder="1" applyAlignment="1">
      <alignment vertical="center"/>
    </xf>
    <xf numFmtId="3" fontId="7" fillId="8" borderId="180" xfId="4" applyNumberFormat="1" applyFont="1" applyFill="1" applyBorder="1" applyAlignment="1">
      <alignment horizontal="right" vertical="center"/>
    </xf>
    <xf numFmtId="3" fontId="29" fillId="0" borderId="180" xfId="4" applyNumberFormat="1" applyFont="1" applyFill="1" applyBorder="1" applyAlignment="1">
      <alignment horizontal="right" vertical="center"/>
    </xf>
    <xf numFmtId="3" fontId="7" fillId="0" borderId="180" xfId="4" applyNumberFormat="1" applyFont="1" applyFill="1" applyBorder="1" applyAlignment="1">
      <alignment vertical="top"/>
    </xf>
    <xf numFmtId="3" fontId="7" fillId="25" borderId="180" xfId="4" applyNumberFormat="1" applyFont="1" applyFill="1" applyBorder="1" applyAlignment="1">
      <alignment vertical="center"/>
    </xf>
    <xf numFmtId="0" fontId="31" fillId="0" borderId="184" xfId="4" applyFont="1" applyFill="1" applyBorder="1" applyAlignment="1">
      <alignment vertical="center"/>
    </xf>
    <xf numFmtId="3" fontId="33" fillId="25" borderId="180" xfId="6" applyNumberFormat="1" applyFont="1" applyFill="1" applyBorder="1" applyAlignment="1">
      <alignment vertical="center"/>
    </xf>
    <xf numFmtId="3" fontId="63" fillId="0" borderId="171" xfId="6" applyNumberFormat="1" applyFont="1" applyFill="1" applyBorder="1" applyAlignment="1">
      <alignment vertical="center"/>
    </xf>
    <xf numFmtId="3" fontId="38" fillId="0" borderId="171" xfId="4" applyNumberFormat="1" applyFont="1" applyFill="1" applyBorder="1" applyAlignment="1">
      <alignment horizontal="right" vertical="center"/>
    </xf>
    <xf numFmtId="0" fontId="25" fillId="6" borderId="180" xfId="4" applyFont="1" applyFill="1" applyBorder="1" applyAlignment="1">
      <alignment horizontal="left" vertical="center"/>
    </xf>
    <xf numFmtId="3" fontId="25" fillId="22" borderId="180" xfId="0" applyNumberFormat="1" applyFont="1" applyFill="1" applyBorder="1" applyAlignment="1">
      <alignment vertical="top"/>
    </xf>
    <xf numFmtId="3" fontId="31" fillId="23" borderId="180" xfId="0" applyNumberFormat="1" applyFont="1" applyFill="1" applyBorder="1" applyAlignment="1">
      <alignment vertical="top"/>
    </xf>
    <xf numFmtId="3" fontId="31" fillId="0" borderId="180" xfId="0" applyNumberFormat="1" applyFont="1" applyFill="1" applyBorder="1" applyAlignment="1">
      <alignment vertical="center"/>
    </xf>
    <xf numFmtId="3" fontId="27" fillId="0" borderId="180" xfId="4" applyNumberFormat="1" applyFont="1" applyFill="1" applyBorder="1" applyAlignment="1">
      <alignment vertical="center" wrapText="1"/>
    </xf>
    <xf numFmtId="0" fontId="32" fillId="0" borderId="190" xfId="0" applyFont="1" applyBorder="1" applyAlignment="1">
      <alignment vertical="center"/>
    </xf>
    <xf numFmtId="3" fontId="31" fillId="0" borderId="191" xfId="4" applyNumberFormat="1" applyFont="1" applyFill="1" applyBorder="1" applyAlignment="1">
      <alignment vertical="center"/>
    </xf>
    <xf numFmtId="3" fontId="31" fillId="0" borderId="190" xfId="0" applyNumberFormat="1" applyFont="1" applyFill="1" applyBorder="1" applyAlignment="1">
      <alignment vertical="center"/>
    </xf>
    <xf numFmtId="2" fontId="17" fillId="0" borderId="0" xfId="0" applyNumberFormat="1" applyFont="1" applyBorder="1" applyAlignment="1">
      <alignment vertical="top"/>
    </xf>
    <xf numFmtId="2" fontId="18" fillId="0" borderId="0" xfId="0" applyNumberFormat="1" applyFont="1" applyBorder="1" applyAlignment="1">
      <alignment vertical="top"/>
    </xf>
    <xf numFmtId="2" fontId="11" fillId="0" borderId="0" xfId="0" applyNumberFormat="1" applyFont="1" applyFill="1" applyBorder="1" applyAlignment="1"/>
    <xf numFmtId="2" fontId="14" fillId="2" borderId="0" xfId="3" applyNumberFormat="1" applyFont="1" applyFill="1" applyBorder="1" applyAlignment="1">
      <alignment horizontal="right" vertical="center"/>
    </xf>
    <xf numFmtId="2" fontId="15" fillId="2" borderId="0" xfId="0" applyNumberFormat="1" applyFont="1" applyFill="1" applyBorder="1" applyAlignment="1">
      <alignment horizontal="right" vertical="center"/>
    </xf>
    <xf numFmtId="2" fontId="13" fillId="0" borderId="0" xfId="0" applyNumberFormat="1" applyFont="1" applyFill="1" applyBorder="1" applyAlignment="1">
      <alignment horizontal="left"/>
    </xf>
    <xf numFmtId="2" fontId="20" fillId="2" borderId="5" xfId="0" applyNumberFormat="1" applyFont="1" applyFill="1" applyBorder="1" applyAlignment="1">
      <alignment horizontal="center" vertical="top"/>
    </xf>
    <xf numFmtId="2" fontId="20" fillId="2" borderId="11" xfId="0" applyNumberFormat="1" applyFont="1" applyFill="1" applyBorder="1" applyAlignment="1">
      <alignment horizontal="center" vertical="top"/>
    </xf>
    <xf numFmtId="2" fontId="17" fillId="8" borderId="11" xfId="0" applyNumberFormat="1" applyFont="1" applyFill="1" applyBorder="1" applyAlignment="1">
      <alignment vertical="center"/>
    </xf>
    <xf numFmtId="2" fontId="27" fillId="50" borderId="36" xfId="4" applyNumberFormat="1" applyFont="1" applyFill="1" applyBorder="1" applyAlignment="1">
      <alignment horizontal="left" vertical="center"/>
    </xf>
    <xf numFmtId="2" fontId="27" fillId="50" borderId="20" xfId="4" applyNumberFormat="1" applyFont="1" applyFill="1" applyBorder="1" applyAlignment="1">
      <alignment horizontal="left" vertical="center"/>
    </xf>
    <xf numFmtId="2" fontId="27" fillId="21" borderId="68" xfId="4" applyNumberFormat="1" applyFont="1" applyFill="1" applyBorder="1" applyAlignment="1">
      <alignment horizontal="right" vertical="center"/>
    </xf>
    <xf numFmtId="2" fontId="7" fillId="28" borderId="65" xfId="0" applyNumberFormat="1" applyFont="1" applyFill="1" applyBorder="1" applyAlignment="1">
      <alignment horizontal="center" vertical="top" wrapText="1"/>
    </xf>
    <xf numFmtId="2" fontId="27" fillId="50" borderId="65" xfId="4" applyNumberFormat="1" applyFont="1" applyFill="1" applyBorder="1" applyAlignment="1">
      <alignment horizontal="left" vertical="center"/>
    </xf>
    <xf numFmtId="2" fontId="27" fillId="50" borderId="6" xfId="4" applyNumberFormat="1" applyFont="1" applyFill="1" applyBorder="1" applyAlignment="1">
      <alignment horizontal="left" vertical="center"/>
    </xf>
    <xf numFmtId="2" fontId="27" fillId="21" borderId="13" xfId="4" applyNumberFormat="1" applyFont="1" applyFill="1" applyBorder="1" applyAlignment="1">
      <alignment horizontal="right" vertical="center"/>
    </xf>
    <xf numFmtId="2" fontId="27" fillId="50" borderId="46" xfId="0" applyNumberFormat="1" applyFont="1" applyFill="1" applyBorder="1" applyAlignment="1">
      <alignment horizontal="left" vertical="top"/>
    </xf>
    <xf numFmtId="2" fontId="24" fillId="28" borderId="11" xfId="0" applyNumberFormat="1" applyFont="1" applyFill="1" applyBorder="1" applyAlignment="1">
      <alignment vertical="top"/>
    </xf>
    <xf numFmtId="2" fontId="24" fillId="6" borderId="19" xfId="4" applyNumberFormat="1" applyFont="1" applyFill="1" applyBorder="1" applyAlignment="1">
      <alignment horizontal="left" vertical="center"/>
    </xf>
    <xf numFmtId="2" fontId="24" fillId="6" borderId="16" xfId="4" applyNumberFormat="1" applyFont="1" applyFill="1" applyBorder="1" applyAlignment="1">
      <alignment horizontal="left" vertical="center"/>
    </xf>
    <xf numFmtId="2" fontId="29" fillId="8" borderId="36" xfId="4" applyNumberFormat="1" applyFont="1" applyFill="1" applyBorder="1" applyAlignment="1">
      <alignment vertical="center"/>
    </xf>
    <xf numFmtId="2" fontId="7" fillId="8" borderId="181" xfId="0" applyNumberFormat="1" applyFont="1" applyFill="1" applyBorder="1" applyAlignment="1">
      <alignment vertical="center" wrapText="1"/>
    </xf>
    <xf numFmtId="2" fontId="18" fillId="8" borderId="65" xfId="0" applyNumberFormat="1" applyFont="1" applyFill="1" applyBorder="1" applyAlignment="1">
      <alignment horizontal="center" vertical="center" wrapText="1"/>
    </xf>
    <xf numFmtId="2" fontId="17" fillId="28" borderId="11" xfId="0" applyNumberFormat="1" applyFont="1" applyFill="1" applyBorder="1" applyAlignment="1">
      <alignment vertical="top"/>
    </xf>
    <xf numFmtId="2" fontId="7" fillId="8" borderId="36" xfId="4" applyNumberFormat="1" applyFont="1" applyFill="1" applyBorder="1" applyAlignment="1">
      <alignment vertical="center"/>
    </xf>
    <xf numFmtId="2" fontId="7" fillId="28" borderId="8" xfId="0" applyNumberFormat="1" applyFont="1" applyFill="1" applyBorder="1" applyAlignment="1">
      <alignment vertical="center" wrapText="1"/>
    </xf>
    <xf numFmtId="2" fontId="29" fillId="8" borderId="119" xfId="4" applyNumberFormat="1" applyFont="1" applyFill="1" applyBorder="1" applyAlignment="1">
      <alignment vertical="center"/>
    </xf>
    <xf numFmtId="2" fontId="24" fillId="8" borderId="181" xfId="0" applyNumberFormat="1" applyFont="1" applyFill="1" applyBorder="1" applyAlignment="1">
      <alignment vertical="center"/>
    </xf>
    <xf numFmtId="2" fontId="17" fillId="8" borderId="11" xfId="0" applyNumberFormat="1" applyFont="1" applyFill="1" applyBorder="1" applyAlignment="1">
      <alignment vertical="top"/>
    </xf>
    <xf numFmtId="2" fontId="7" fillId="8" borderId="185" xfId="0" applyNumberFormat="1" applyFont="1" applyFill="1" applyBorder="1" applyAlignment="1">
      <alignment vertical="top" wrapText="1"/>
    </xf>
    <xf numFmtId="2" fontId="7" fillId="8" borderId="178" xfId="0" applyNumberFormat="1" applyFont="1" applyFill="1" applyBorder="1" applyAlignment="1">
      <alignment vertical="top" wrapText="1"/>
    </xf>
    <xf numFmtId="2" fontId="18" fillId="8" borderId="65" xfId="0" applyNumberFormat="1" applyFont="1" applyFill="1" applyBorder="1" applyAlignment="1">
      <alignment horizontal="center" vertical="top" wrapText="1"/>
    </xf>
    <xf numFmtId="2" fontId="24" fillId="6" borderId="119" xfId="4" applyNumberFormat="1" applyFont="1" applyFill="1" applyBorder="1" applyAlignment="1">
      <alignment horizontal="left" vertical="center"/>
    </xf>
    <xf numFmtId="2" fontId="7" fillId="6" borderId="181" xfId="0" applyNumberFormat="1" applyFont="1" applyFill="1" applyBorder="1" applyAlignment="1">
      <alignment vertical="center" wrapText="1"/>
    </xf>
    <xf numFmtId="2" fontId="7" fillId="28" borderId="65" xfId="0" applyNumberFormat="1" applyFont="1" applyFill="1" applyBorder="1" applyAlignment="1">
      <alignment horizontal="center" vertical="center" wrapText="1"/>
    </xf>
    <xf numFmtId="2" fontId="18" fillId="0" borderId="0" xfId="0" applyNumberFormat="1" applyFont="1" applyBorder="1" applyAlignment="1">
      <alignment vertical="center"/>
    </xf>
    <xf numFmtId="2" fontId="25" fillId="8" borderId="5" xfId="0" applyNumberFormat="1" applyFont="1" applyFill="1" applyBorder="1" applyAlignment="1">
      <alignment vertical="center" wrapText="1"/>
    </xf>
    <xf numFmtId="2" fontId="25" fillId="8" borderId="14" xfId="0" applyNumberFormat="1" applyFont="1" applyFill="1" applyBorder="1" applyAlignment="1">
      <alignment horizontal="center" vertical="center" wrapText="1"/>
    </xf>
    <xf numFmtId="2" fontId="7" fillId="23" borderId="15" xfId="0" applyNumberFormat="1" applyFont="1" applyFill="1" applyBorder="1" applyAlignment="1">
      <alignment vertical="center"/>
    </xf>
    <xf numFmtId="2" fontId="25" fillId="6" borderId="119" xfId="4" applyNumberFormat="1" applyFont="1" applyFill="1" applyBorder="1" applyAlignment="1">
      <alignment horizontal="left" vertical="center"/>
    </xf>
    <xf numFmtId="2" fontId="31" fillId="6" borderId="181" xfId="0" applyNumberFormat="1" applyFont="1" applyFill="1" applyBorder="1" applyAlignment="1">
      <alignment vertical="top"/>
    </xf>
    <xf numFmtId="2" fontId="27" fillId="2" borderId="119" xfId="4" applyNumberFormat="1" applyFont="1" applyFill="1" applyBorder="1" applyAlignment="1">
      <alignment vertical="center" wrapText="1"/>
    </xf>
    <xf numFmtId="2" fontId="31" fillId="0" borderId="21" xfId="0" applyNumberFormat="1" applyFont="1" applyFill="1" applyBorder="1" applyAlignment="1">
      <alignment vertical="top"/>
    </xf>
    <xf numFmtId="2" fontId="31" fillId="0" borderId="179" xfId="0" applyNumberFormat="1" applyFont="1" applyFill="1" applyBorder="1" applyAlignment="1">
      <alignment vertical="top"/>
    </xf>
    <xf numFmtId="2" fontId="27" fillId="2" borderId="119" xfId="4" applyNumberFormat="1" applyFont="1" applyFill="1" applyBorder="1" applyAlignment="1">
      <alignment vertical="top"/>
    </xf>
    <xf numFmtId="2" fontId="31" fillId="0" borderId="185" xfId="0" applyNumberFormat="1" applyFont="1" applyFill="1" applyBorder="1" applyAlignment="1">
      <alignment horizontal="left" vertical="center" wrapText="1"/>
    </xf>
    <xf numFmtId="2" fontId="7" fillId="6" borderId="181" xfId="0" applyNumberFormat="1" applyFont="1" applyFill="1" applyBorder="1" applyAlignment="1">
      <alignment horizontal="left" vertical="center" wrapText="1"/>
    </xf>
    <xf numFmtId="2" fontId="27" fillId="2" borderId="187" xfId="4" applyNumberFormat="1" applyFont="1" applyFill="1" applyBorder="1" applyAlignment="1">
      <alignment vertical="center" wrapText="1"/>
    </xf>
    <xf numFmtId="2" fontId="31" fillId="0" borderId="82" xfId="0" applyNumberFormat="1" applyFont="1" applyFill="1" applyBorder="1" applyAlignment="1">
      <alignment vertical="top"/>
    </xf>
    <xf numFmtId="2" fontId="31" fillId="0" borderId="180" xfId="0" applyNumberFormat="1" applyFont="1" applyFill="1" applyBorder="1" applyAlignment="1">
      <alignment vertical="top"/>
    </xf>
    <xf numFmtId="2" fontId="27" fillId="2" borderId="183" xfId="4" applyNumberFormat="1" applyFont="1" applyFill="1" applyBorder="1" applyAlignment="1">
      <alignment vertical="top"/>
    </xf>
    <xf numFmtId="2" fontId="31" fillId="0" borderId="74" xfId="0" applyNumberFormat="1" applyFont="1" applyFill="1" applyBorder="1" applyAlignment="1">
      <alignment horizontal="left" vertical="center" wrapText="1"/>
    </xf>
    <xf numFmtId="2" fontId="27" fillId="2" borderId="187" xfId="4" applyNumberFormat="1" applyFont="1" applyFill="1" applyBorder="1" applyAlignment="1">
      <alignment vertical="top"/>
    </xf>
    <xf numFmtId="2" fontId="31" fillId="0" borderId="192" xfId="0" applyNumberFormat="1" applyFont="1" applyFill="1" applyBorder="1" applyAlignment="1">
      <alignment horizontal="left" vertical="center" wrapText="1"/>
    </xf>
    <xf numFmtId="2" fontId="25" fillId="6" borderId="187" xfId="4" applyNumberFormat="1" applyFont="1" applyFill="1" applyBorder="1" applyAlignment="1">
      <alignment horizontal="left" vertical="center"/>
    </xf>
    <xf numFmtId="2" fontId="7" fillId="6" borderId="20" xfId="0" applyNumberFormat="1" applyFont="1" applyFill="1" applyBorder="1" applyAlignment="1">
      <alignment horizontal="left" vertical="center" wrapText="1"/>
    </xf>
    <xf numFmtId="2" fontId="31" fillId="0" borderId="193" xfId="0" applyNumberFormat="1" applyFont="1" applyFill="1" applyBorder="1" applyAlignment="1">
      <alignment horizontal="left" vertical="center" wrapText="1"/>
    </xf>
    <xf numFmtId="2" fontId="25" fillId="6" borderId="9" xfId="0" applyNumberFormat="1" applyFont="1" applyFill="1" applyBorder="1" applyAlignment="1">
      <alignment vertical="top"/>
    </xf>
    <xf numFmtId="2" fontId="21" fillId="0" borderId="0" xfId="0" applyNumberFormat="1" applyFont="1" applyFill="1" applyBorder="1" applyAlignment="1">
      <alignment horizontal="left" vertical="center" wrapText="1"/>
    </xf>
    <xf numFmtId="2" fontId="26" fillId="0" borderId="0" xfId="0" applyNumberFormat="1" applyFont="1" applyBorder="1" applyAlignment="1">
      <alignment horizontal="center" vertical="center" wrapText="1"/>
    </xf>
    <xf numFmtId="2" fontId="21" fillId="0" borderId="0" xfId="0" applyNumberFormat="1" applyFont="1" applyFill="1" applyBorder="1" applyAlignment="1">
      <alignment vertical="top"/>
    </xf>
    <xf numFmtId="2" fontId="21" fillId="0" borderId="0" xfId="0" applyNumberFormat="1" applyFont="1" applyFill="1" applyBorder="1" applyAlignment="1">
      <alignment horizontal="right" vertical="center"/>
    </xf>
    <xf numFmtId="2" fontId="20" fillId="0" borderId="0" xfId="0" applyNumberFormat="1" applyFont="1" applyFill="1" applyBorder="1" applyAlignment="1">
      <alignment horizontal="center" vertical="center"/>
    </xf>
    <xf numFmtId="2" fontId="25" fillId="0" borderId="0" xfId="0" applyNumberFormat="1" applyFont="1" applyFill="1" applyBorder="1" applyAlignment="1">
      <alignment horizontal="center" vertical="center"/>
    </xf>
    <xf numFmtId="2" fontId="24" fillId="2" borderId="24" xfId="0" applyNumberFormat="1" applyFont="1" applyFill="1" applyBorder="1" applyAlignment="1">
      <alignment horizontal="left" vertical="top" wrapText="1"/>
    </xf>
    <xf numFmtId="2" fontId="18" fillId="0" borderId="0" xfId="0" applyNumberFormat="1" applyFont="1" applyFill="1" applyBorder="1" applyAlignment="1">
      <alignment vertical="top"/>
    </xf>
    <xf numFmtId="2" fontId="18" fillId="30" borderId="0" xfId="0" applyNumberFormat="1" applyFont="1" applyFill="1" applyBorder="1" applyAlignment="1">
      <alignment vertical="top"/>
    </xf>
    <xf numFmtId="2" fontId="27" fillId="8" borderId="36" xfId="4" applyNumberFormat="1" applyFont="1" applyFill="1" applyBorder="1" applyAlignment="1">
      <alignment vertical="top"/>
    </xf>
    <xf numFmtId="2" fontId="31" fillId="8" borderId="119" xfId="0" applyNumberFormat="1" applyFont="1" applyFill="1" applyBorder="1" applyAlignment="1">
      <alignment vertical="top"/>
    </xf>
    <xf numFmtId="2" fontId="31" fillId="8" borderId="179" xfId="0" applyNumberFormat="1" applyFont="1" applyFill="1" applyBorder="1" applyAlignment="1">
      <alignment vertical="top"/>
    </xf>
    <xf numFmtId="2" fontId="7" fillId="23" borderId="176" xfId="0" applyNumberFormat="1" applyFont="1" applyFill="1" applyBorder="1" applyAlignment="1">
      <alignment vertical="top"/>
    </xf>
    <xf numFmtId="2" fontId="31" fillId="8" borderId="119" xfId="0" applyNumberFormat="1" applyFont="1" applyFill="1" applyBorder="1" applyAlignment="1">
      <alignment vertical="center"/>
    </xf>
    <xf numFmtId="2" fontId="31" fillId="8" borderId="179" xfId="0" applyNumberFormat="1" applyFont="1" applyFill="1" applyBorder="1" applyAlignment="1">
      <alignment vertical="center"/>
    </xf>
    <xf numFmtId="2" fontId="25" fillId="23" borderId="179" xfId="0" applyNumberFormat="1" applyFont="1" applyFill="1" applyBorder="1" applyAlignment="1">
      <alignment vertical="center"/>
    </xf>
    <xf numFmtId="2" fontId="18" fillId="0" borderId="0" xfId="0" applyNumberFormat="1" applyFont="1" applyFill="1" applyBorder="1" applyAlignment="1">
      <alignment vertical="center"/>
    </xf>
    <xf numFmtId="2" fontId="18" fillId="30" borderId="0" xfId="0" applyNumberFormat="1" applyFont="1" applyFill="1" applyBorder="1" applyAlignment="1">
      <alignment vertical="center"/>
    </xf>
    <xf numFmtId="2" fontId="27" fillId="8" borderId="179" xfId="0" applyNumberFormat="1" applyFont="1" applyFill="1" applyBorder="1" applyAlignment="1">
      <alignment horizontal="right" vertical="center"/>
    </xf>
    <xf numFmtId="2" fontId="27" fillId="8" borderId="180" xfId="0" applyNumberFormat="1" applyFont="1" applyFill="1" applyBorder="1" applyAlignment="1">
      <alignment horizontal="right" vertical="center"/>
    </xf>
    <xf numFmtId="2" fontId="25" fillId="23" borderId="179" xfId="0" applyNumberFormat="1" applyFont="1" applyFill="1" applyBorder="1" applyAlignment="1">
      <alignment horizontal="center" vertical="center"/>
    </xf>
    <xf numFmtId="2" fontId="20" fillId="8" borderId="65" xfId="0" applyNumberFormat="1" applyFont="1" applyFill="1" applyBorder="1" applyAlignment="1">
      <alignment horizontal="center" vertical="center" wrapText="1"/>
    </xf>
    <xf numFmtId="2" fontId="31" fillId="8" borderId="180" xfId="0" applyNumberFormat="1" applyFont="1" applyFill="1" applyBorder="1" applyAlignment="1">
      <alignment vertical="top"/>
    </xf>
    <xf numFmtId="2" fontId="25" fillId="23" borderId="180" xfId="0" applyNumberFormat="1" applyFont="1" applyFill="1" applyBorder="1" applyAlignment="1">
      <alignment horizontal="center" vertical="center"/>
    </xf>
    <xf numFmtId="2" fontId="25" fillId="6" borderId="21" xfId="4" applyNumberFormat="1" applyFont="1" applyFill="1" applyBorder="1" applyAlignment="1">
      <alignment horizontal="left" vertical="center"/>
    </xf>
    <xf numFmtId="2" fontId="25" fillId="6" borderId="20" xfId="4" applyNumberFormat="1" applyFont="1" applyFill="1" applyBorder="1" applyAlignment="1">
      <alignment horizontal="left" vertical="center"/>
    </xf>
    <xf numFmtId="2" fontId="25" fillId="6" borderId="180" xfId="4" applyNumberFormat="1" applyFont="1" applyFill="1" applyBorder="1" applyAlignment="1">
      <alignment horizontal="right" vertical="center"/>
    </xf>
    <xf numFmtId="2" fontId="25" fillId="22" borderId="35" xfId="0" applyNumberFormat="1" applyFont="1" applyFill="1" applyBorder="1" applyAlignment="1">
      <alignment vertical="top"/>
    </xf>
    <xf numFmtId="2" fontId="27" fillId="8" borderId="36" xfId="4" applyNumberFormat="1" applyFont="1" applyFill="1" applyBorder="1" applyAlignment="1">
      <alignment vertical="center"/>
    </xf>
    <xf numFmtId="2" fontId="27" fillId="8" borderId="6" xfId="4" applyNumberFormat="1" applyFont="1" applyFill="1" applyBorder="1" applyAlignment="1">
      <alignment horizontal="center" vertical="center"/>
    </xf>
    <xf numFmtId="2" fontId="25" fillId="8" borderId="179" xfId="0" applyNumberFormat="1" applyFont="1" applyFill="1" applyBorder="1" applyAlignment="1">
      <alignment vertical="center"/>
    </xf>
    <xf numFmtId="2" fontId="27" fillId="8" borderId="179" xfId="0" applyNumberFormat="1" applyFont="1" applyFill="1" applyBorder="1" applyAlignment="1">
      <alignment vertical="center"/>
    </xf>
    <xf numFmtId="2" fontId="35" fillId="0" borderId="0" xfId="0" applyNumberFormat="1" applyFont="1" applyFill="1" applyBorder="1" applyAlignment="1">
      <alignment vertical="top"/>
    </xf>
    <xf numFmtId="2" fontId="35" fillId="30" borderId="0" xfId="0" applyNumberFormat="1" applyFont="1" applyFill="1" applyBorder="1" applyAlignment="1">
      <alignment vertical="top"/>
    </xf>
    <xf numFmtId="2" fontId="24" fillId="8" borderId="19" xfId="0" applyNumberFormat="1" applyFont="1" applyFill="1" applyBorder="1" applyAlignment="1">
      <alignment vertical="center" wrapText="1"/>
    </xf>
    <xf numFmtId="2" fontId="24" fillId="8" borderId="17" xfId="0" applyNumberFormat="1" applyFont="1" applyFill="1" applyBorder="1" applyAlignment="1">
      <alignment horizontal="center" vertical="center" wrapText="1"/>
    </xf>
    <xf numFmtId="2" fontId="7" fillId="8" borderId="18" xfId="0" applyNumberFormat="1" applyFont="1" applyFill="1" applyBorder="1" applyAlignment="1">
      <alignment vertical="top"/>
    </xf>
    <xf numFmtId="2" fontId="7" fillId="8" borderId="76" xfId="0" applyNumberFormat="1" applyFont="1" applyFill="1" applyBorder="1" applyAlignment="1">
      <alignment vertical="top"/>
    </xf>
    <xf numFmtId="2" fontId="7" fillId="23" borderId="68" xfId="0" applyNumberFormat="1" applyFont="1" applyFill="1" applyBorder="1" applyAlignment="1">
      <alignment vertical="top"/>
    </xf>
    <xf numFmtId="2" fontId="24" fillId="6" borderId="21" xfId="4" applyNumberFormat="1" applyFont="1" applyFill="1" applyBorder="1" applyAlignment="1">
      <alignment horizontal="left" vertical="center"/>
    </xf>
    <xf numFmtId="2" fontId="25" fillId="6" borderId="9" xfId="4" applyNumberFormat="1" applyFont="1" applyFill="1" applyBorder="1" applyAlignment="1">
      <alignment horizontal="left" vertical="center"/>
    </xf>
    <xf numFmtId="2" fontId="27" fillId="0" borderId="36" xfId="4" applyNumberFormat="1" applyFont="1" applyFill="1" applyBorder="1" applyAlignment="1">
      <alignment vertical="center"/>
    </xf>
    <xf numFmtId="2" fontId="31" fillId="0" borderId="179" xfId="0" applyNumberFormat="1" applyFont="1" applyFill="1" applyBorder="1" applyAlignment="1">
      <alignment vertical="center"/>
    </xf>
    <xf numFmtId="2" fontId="25" fillId="0" borderId="179" xfId="0" applyNumberFormat="1" applyFont="1" applyFill="1" applyBorder="1" applyAlignment="1">
      <alignment vertical="center"/>
    </xf>
    <xf numFmtId="2" fontId="31" fillId="32" borderId="119" xfId="0" applyNumberFormat="1" applyFont="1" applyFill="1" applyBorder="1" applyAlignment="1">
      <alignment vertical="center"/>
    </xf>
    <xf numFmtId="2" fontId="31" fillId="32" borderId="179" xfId="0" applyNumberFormat="1" applyFont="1" applyFill="1" applyBorder="1" applyAlignment="1">
      <alignment vertical="center"/>
    </xf>
    <xf numFmtId="2" fontId="32" fillId="0" borderId="0" xfId="0" applyNumberFormat="1" applyFont="1" applyBorder="1"/>
    <xf numFmtId="2" fontId="25" fillId="6" borderId="179" xfId="4" applyNumberFormat="1" applyFont="1" applyFill="1" applyBorder="1" applyAlignment="1">
      <alignment horizontal="left" vertical="center"/>
    </xf>
    <xf numFmtId="2" fontId="24" fillId="8" borderId="4" xfId="0" applyNumberFormat="1" applyFont="1" applyFill="1" applyBorder="1" applyAlignment="1">
      <alignment horizontal="center" vertical="center" wrapText="1"/>
    </xf>
    <xf numFmtId="2" fontId="7" fillId="8" borderId="3" xfId="0" applyNumberFormat="1" applyFont="1" applyFill="1" applyBorder="1" applyAlignment="1">
      <alignment vertical="top"/>
    </xf>
    <xf numFmtId="2" fontId="7" fillId="23" borderId="68" xfId="0" applyNumberFormat="1" applyFont="1" applyFill="1" applyBorder="1" applyAlignment="1">
      <alignment vertical="center"/>
    </xf>
    <xf numFmtId="2" fontId="25" fillId="6" borderId="180" xfId="0" applyNumberFormat="1" applyFont="1" applyFill="1" applyBorder="1" applyAlignment="1"/>
    <xf numFmtId="2" fontId="29" fillId="2" borderId="119" xfId="4" applyNumberFormat="1" applyFont="1" applyFill="1" applyBorder="1" applyAlignment="1">
      <alignment vertical="center" wrapText="1"/>
    </xf>
    <xf numFmtId="2" fontId="27" fillId="2" borderId="180" xfId="0" applyNumberFormat="1" applyFont="1" applyFill="1" applyBorder="1" applyAlignment="1"/>
    <xf numFmtId="2" fontId="7" fillId="0" borderId="21" xfId="0" applyNumberFormat="1" applyFont="1" applyFill="1" applyBorder="1" applyAlignment="1">
      <alignment vertical="center"/>
    </xf>
    <xf numFmtId="2" fontId="7" fillId="0" borderId="119" xfId="0" applyNumberFormat="1" applyFont="1" applyFill="1" applyBorder="1" applyAlignment="1">
      <alignment vertical="center" wrapText="1"/>
    </xf>
    <xf numFmtId="2" fontId="31" fillId="0" borderId="176" xfId="0" applyNumberFormat="1" applyFont="1" applyFill="1" applyBorder="1" applyAlignment="1">
      <alignment vertical="top"/>
    </xf>
    <xf numFmtId="2" fontId="31" fillId="2" borderId="119" xfId="4" applyNumberFormat="1" applyFont="1" applyFill="1" applyBorder="1" applyAlignment="1">
      <alignment vertical="center" wrapText="1"/>
    </xf>
    <xf numFmtId="2" fontId="7" fillId="23" borderId="180" xfId="0" applyNumberFormat="1" applyFont="1" applyFill="1" applyBorder="1" applyAlignment="1">
      <alignment horizontal="center" vertical="top"/>
    </xf>
    <xf numFmtId="2" fontId="25" fillId="2" borderId="180" xfId="0" applyNumberFormat="1" applyFont="1" applyFill="1" applyBorder="1" applyAlignment="1"/>
    <xf numFmtId="2" fontId="28" fillId="2" borderId="180" xfId="0" applyNumberFormat="1" applyFont="1" applyFill="1" applyBorder="1" applyAlignment="1"/>
    <xf numFmtId="2" fontId="31" fillId="2" borderId="180" xfId="0" applyNumberFormat="1" applyFont="1" applyFill="1" applyBorder="1" applyAlignment="1"/>
    <xf numFmtId="2" fontId="31" fillId="2" borderId="74" xfId="4" applyNumberFormat="1" applyFont="1" applyFill="1" applyBorder="1" applyAlignment="1">
      <alignment vertical="center" wrapText="1"/>
    </xf>
    <xf numFmtId="2" fontId="24" fillId="8" borderId="83" xfId="0" applyNumberFormat="1" applyFont="1" applyFill="1" applyBorder="1" applyAlignment="1">
      <alignment vertical="center" wrapText="1"/>
    </xf>
    <xf numFmtId="2" fontId="24" fillId="8" borderId="68" xfId="0" applyNumberFormat="1" applyFont="1" applyFill="1" applyBorder="1" applyAlignment="1">
      <alignment horizontal="center" vertical="center" wrapText="1"/>
    </xf>
    <xf numFmtId="2" fontId="7" fillId="8" borderId="17" xfId="0" applyNumberFormat="1" applyFont="1" applyFill="1" applyBorder="1" applyAlignment="1">
      <alignment vertical="top"/>
    </xf>
    <xf numFmtId="2" fontId="24" fillId="6" borderId="82" xfId="4" applyNumberFormat="1" applyFont="1" applyFill="1" applyBorder="1" applyAlignment="1">
      <alignment horizontal="left" vertical="center"/>
    </xf>
    <xf numFmtId="2" fontId="25" fillId="6" borderId="180" xfId="0" applyNumberFormat="1" applyFont="1" applyFill="1" applyBorder="1" applyAlignment="1">
      <alignment vertical="center"/>
    </xf>
    <xf numFmtId="2" fontId="25" fillId="22" borderId="180" xfId="0" applyNumberFormat="1" applyFont="1" applyFill="1" applyBorder="1" applyAlignment="1">
      <alignment vertical="center"/>
    </xf>
    <xf numFmtId="2" fontId="29" fillId="0" borderId="82" xfId="0" applyNumberFormat="1" applyFont="1" applyFill="1" applyBorder="1" applyAlignment="1">
      <alignment vertical="center"/>
    </xf>
    <xf numFmtId="2" fontId="25" fillId="25" borderId="180" xfId="0" applyNumberFormat="1" applyFont="1" applyFill="1" applyBorder="1" applyAlignment="1">
      <alignment vertical="center"/>
    </xf>
    <xf numFmtId="2" fontId="30" fillId="0" borderId="0" xfId="0" applyNumberFormat="1" applyFont="1" applyBorder="1" applyAlignment="1">
      <alignment vertical="top"/>
    </xf>
    <xf numFmtId="2" fontId="7" fillId="0" borderId="193" xfId="0" applyNumberFormat="1" applyFont="1" applyFill="1" applyBorder="1" applyAlignment="1">
      <alignment vertical="center" wrapText="1"/>
    </xf>
    <xf numFmtId="2" fontId="31" fillId="2" borderId="190" xfId="0" applyNumberFormat="1" applyFont="1" applyFill="1" applyBorder="1" applyAlignment="1">
      <alignment vertical="center"/>
    </xf>
    <xf numFmtId="2" fontId="31" fillId="25" borderId="12" xfId="0" applyNumberFormat="1" applyFont="1" applyFill="1" applyBorder="1" applyAlignment="1">
      <alignment vertical="center"/>
    </xf>
    <xf numFmtId="2" fontId="18" fillId="0" borderId="0" xfId="0" applyNumberFormat="1" applyFont="1" applyBorder="1" applyAlignment="1">
      <alignment horizontal="center" vertical="top" wrapText="1"/>
    </xf>
    <xf numFmtId="2" fontId="39" fillId="0" borderId="180" xfId="0" applyNumberFormat="1" applyFont="1" applyBorder="1" applyAlignment="1">
      <alignment vertical="center"/>
    </xf>
    <xf numFmtId="2" fontId="18" fillId="0" borderId="180" xfId="0" applyNumberFormat="1" applyFont="1" applyBorder="1" applyAlignment="1">
      <alignment vertical="top"/>
    </xf>
    <xf numFmtId="3" fontId="29" fillId="8" borderId="180" xfId="0" applyNumberFormat="1" applyFont="1" applyFill="1" applyBorder="1" applyAlignment="1">
      <alignment vertical="center"/>
    </xf>
    <xf numFmtId="3" fontId="29" fillId="23" borderId="180" xfId="0" applyNumberFormat="1" applyFont="1" applyFill="1" applyBorder="1" applyAlignment="1">
      <alignment vertical="center"/>
    </xf>
    <xf numFmtId="3" fontId="7" fillId="28" borderId="180" xfId="0" applyNumberFormat="1" applyFont="1" applyFill="1" applyBorder="1" applyAlignment="1">
      <alignment vertical="center"/>
    </xf>
    <xf numFmtId="3" fontId="7" fillId="8" borderId="4" xfId="0" applyNumberFormat="1" applyFont="1" applyFill="1" applyBorder="1" applyAlignment="1">
      <alignment vertical="top"/>
    </xf>
    <xf numFmtId="3" fontId="7" fillId="8" borderId="2" xfId="0" applyNumberFormat="1" applyFont="1" applyFill="1" applyBorder="1" applyAlignment="1">
      <alignment vertical="top"/>
    </xf>
    <xf numFmtId="3" fontId="7" fillId="23" borderId="15" xfId="0" applyNumberFormat="1" applyFont="1" applyFill="1" applyBorder="1" applyAlignment="1">
      <alignment vertical="center"/>
    </xf>
    <xf numFmtId="3" fontId="31" fillId="25" borderId="35" xfId="0" applyNumberFormat="1" applyFont="1" applyFill="1" applyBorder="1" applyAlignment="1">
      <alignment vertical="top"/>
    </xf>
    <xf numFmtId="3" fontId="31" fillId="0" borderId="156" xfId="0" applyNumberFormat="1" applyFont="1" applyFill="1" applyBorder="1" applyAlignment="1">
      <alignment vertical="top"/>
    </xf>
    <xf numFmtId="3" fontId="31" fillId="0" borderId="176" xfId="0" applyNumberFormat="1" applyFont="1" applyFill="1" applyBorder="1" applyAlignment="1">
      <alignment horizontal="right" vertical="center"/>
    </xf>
    <xf numFmtId="3" fontId="25" fillId="6" borderId="176" xfId="0" applyNumberFormat="1" applyFont="1" applyFill="1" applyBorder="1" applyAlignment="1">
      <alignment vertical="top"/>
    </xf>
    <xf numFmtId="3" fontId="27" fillId="2" borderId="13" xfId="0" applyNumberFormat="1" applyFont="1" applyFill="1" applyBorder="1" applyAlignment="1">
      <alignment vertical="top"/>
    </xf>
    <xf numFmtId="3" fontId="31" fillId="0" borderId="190" xfId="0" applyNumberFormat="1" applyFont="1" applyFill="1" applyBorder="1" applyAlignment="1">
      <alignment vertical="top"/>
    </xf>
    <xf numFmtId="3" fontId="31" fillId="0" borderId="190" xfId="0" applyNumberFormat="1" applyFont="1" applyFill="1" applyBorder="1" applyAlignment="1">
      <alignment horizontal="right" vertical="center"/>
    </xf>
    <xf numFmtId="3" fontId="31" fillId="0" borderId="179" xfId="4" applyNumberFormat="1" applyFont="1" applyFill="1" applyBorder="1" applyAlignment="1"/>
    <xf numFmtId="3" fontId="31" fillId="0" borderId="156" xfId="4" applyNumberFormat="1" applyFont="1" applyFill="1" applyBorder="1" applyAlignment="1"/>
    <xf numFmtId="3" fontId="25" fillId="6" borderId="9" xfId="0" applyNumberFormat="1" applyFont="1" applyFill="1" applyBorder="1" applyAlignment="1">
      <alignment vertical="top"/>
    </xf>
    <xf numFmtId="1" fontId="21" fillId="2" borderId="181" xfId="0" applyNumberFormat="1" applyFont="1" applyFill="1" applyBorder="1" applyAlignment="1">
      <alignment horizontal="center" vertical="top"/>
    </xf>
    <xf numFmtId="1" fontId="21" fillId="2" borderId="180" xfId="0" applyNumberFormat="1" applyFont="1" applyFill="1" applyBorder="1" applyAlignment="1">
      <alignment horizontal="center" vertical="top"/>
    </xf>
    <xf numFmtId="1" fontId="21" fillId="2" borderId="180" xfId="0" quotePrefix="1" applyNumberFormat="1" applyFont="1" applyFill="1" applyBorder="1" applyAlignment="1">
      <alignment horizontal="center" vertical="top"/>
    </xf>
    <xf numFmtId="1" fontId="21" fillId="2" borderId="175" xfId="0" quotePrefix="1" applyNumberFormat="1" applyFont="1" applyFill="1" applyBorder="1" applyAlignment="1">
      <alignment horizontal="center" vertical="top"/>
    </xf>
    <xf numFmtId="1" fontId="21" fillId="0" borderId="68" xfId="0" quotePrefix="1" applyNumberFormat="1" applyFont="1" applyFill="1" applyBorder="1" applyAlignment="1">
      <alignment horizontal="center" vertical="top"/>
    </xf>
    <xf numFmtId="0" fontId="7" fillId="0" borderId="3" xfId="0" quotePrefix="1" applyFont="1" applyBorder="1" applyAlignment="1">
      <alignment horizontal="center"/>
    </xf>
    <xf numFmtId="3" fontId="66" fillId="4" borderId="18" xfId="0" applyNumberFormat="1" applyFont="1" applyFill="1" applyBorder="1" applyAlignment="1">
      <alignment horizontal="right" vertical="center" wrapText="1"/>
    </xf>
    <xf numFmtId="3" fontId="36" fillId="4" borderId="8" xfId="0" applyNumberFormat="1" applyFont="1" applyFill="1" applyBorder="1" applyAlignment="1">
      <alignment horizontal="right" vertical="center" wrapText="1"/>
    </xf>
    <xf numFmtId="3" fontId="36" fillId="4" borderId="24" xfId="0" applyNumberFormat="1" applyFont="1" applyFill="1" applyBorder="1" applyAlignment="1">
      <alignment horizontal="right" vertical="center" wrapText="1"/>
    </xf>
    <xf numFmtId="3" fontId="66" fillId="6" borderId="183" xfId="0" applyNumberFormat="1" applyFont="1" applyFill="1" applyBorder="1" applyAlignment="1">
      <alignment horizontal="right" vertical="center" wrapText="1"/>
    </xf>
    <xf numFmtId="3" fontId="64" fillId="8" borderId="8" xfId="0" applyNumberFormat="1" applyFont="1" applyFill="1" applyBorder="1" applyAlignment="1">
      <alignment horizontal="right" vertical="center" wrapText="1"/>
    </xf>
    <xf numFmtId="3" fontId="8" fillId="0" borderId="8" xfId="0" applyNumberFormat="1" applyFont="1" applyFill="1" applyBorder="1" applyAlignment="1">
      <alignment vertical="center" wrapText="1"/>
    </xf>
    <xf numFmtId="3" fontId="64" fillId="8" borderId="183" xfId="0" applyNumberFormat="1" applyFont="1" applyFill="1" applyBorder="1" applyAlignment="1">
      <alignment vertical="center" wrapText="1"/>
    </xf>
    <xf numFmtId="3" fontId="62" fillId="6" borderId="183" xfId="0" applyNumberFormat="1" applyFont="1" applyFill="1" applyBorder="1" applyAlignment="1">
      <alignment wrapText="1"/>
    </xf>
    <xf numFmtId="3" fontId="65" fillId="8" borderId="183" xfId="0" applyNumberFormat="1" applyFont="1" applyFill="1" applyBorder="1" applyAlignment="1">
      <alignment vertical="center" wrapText="1"/>
    </xf>
    <xf numFmtId="3" fontId="8" fillId="0" borderId="24" xfId="0" applyNumberFormat="1" applyFont="1" applyFill="1" applyBorder="1" applyAlignment="1">
      <alignment vertical="center" wrapText="1"/>
    </xf>
    <xf numFmtId="3" fontId="62" fillId="52" borderId="51" xfId="0" applyNumberFormat="1" applyFont="1" applyFill="1" applyBorder="1" applyAlignment="1">
      <alignment vertical="center" wrapText="1"/>
    </xf>
    <xf numFmtId="3" fontId="62" fillId="52" borderId="24" xfId="0" applyNumberFormat="1" applyFont="1" applyFill="1" applyBorder="1" applyAlignment="1">
      <alignment vertical="center" wrapText="1"/>
    </xf>
    <xf numFmtId="3" fontId="7" fillId="0" borderId="11" xfId="0" applyNumberFormat="1" applyFont="1" applyFill="1" applyBorder="1" applyAlignment="1">
      <alignment vertical="center" wrapText="1"/>
    </xf>
    <xf numFmtId="3" fontId="66" fillId="7" borderId="119" xfId="0" applyNumberFormat="1" applyFont="1" applyFill="1" applyBorder="1" applyAlignment="1">
      <alignment horizontal="right" vertical="center" wrapText="1"/>
    </xf>
    <xf numFmtId="3" fontId="64" fillId="9" borderId="119" xfId="0" applyNumberFormat="1" applyFont="1" applyFill="1" applyBorder="1" applyAlignment="1">
      <alignment vertical="center" wrapText="1"/>
    </xf>
    <xf numFmtId="3" fontId="62" fillId="52" borderId="52" xfId="0" applyNumberFormat="1" applyFont="1" applyFill="1" applyBorder="1" applyAlignment="1">
      <alignment vertical="center" wrapText="1"/>
    </xf>
    <xf numFmtId="3" fontId="62" fillId="52" borderId="25" xfId="0" applyNumberFormat="1" applyFont="1" applyFill="1" applyBorder="1" applyAlignment="1">
      <alignment horizontal="center" vertical="center" wrapText="1"/>
    </xf>
    <xf numFmtId="3" fontId="66" fillId="4" borderId="76" xfId="0" applyNumberFormat="1" applyFont="1" applyFill="1" applyBorder="1" applyAlignment="1">
      <alignment horizontal="right" vertical="center" wrapText="1"/>
    </xf>
    <xf numFmtId="3" fontId="36" fillId="4" borderId="7" xfId="0" quotePrefix="1" applyNumberFormat="1" applyFont="1" applyFill="1" applyBorder="1" applyAlignment="1">
      <alignment horizontal="right" vertical="center"/>
    </xf>
    <xf numFmtId="3" fontId="36" fillId="4" borderId="132" xfId="0" quotePrefix="1" applyNumberFormat="1" applyFont="1" applyFill="1" applyBorder="1" applyAlignment="1">
      <alignment horizontal="right"/>
    </xf>
    <xf numFmtId="3" fontId="65" fillId="8" borderId="8" xfId="0" applyNumberFormat="1" applyFont="1" applyFill="1" applyBorder="1" applyAlignment="1">
      <alignment horizontal="right" vertical="center" wrapText="1"/>
    </xf>
    <xf numFmtId="3" fontId="62" fillId="6" borderId="183" xfId="0" applyNumberFormat="1" applyFont="1" applyFill="1" applyBorder="1" applyAlignment="1">
      <alignment vertical="center" wrapText="1"/>
    </xf>
    <xf numFmtId="3" fontId="65" fillId="8" borderId="8" xfId="0" applyNumberFormat="1" applyFont="1" applyFill="1" applyBorder="1" applyAlignment="1">
      <alignment vertical="center" wrapText="1"/>
    </xf>
    <xf numFmtId="3" fontId="8" fillId="0" borderId="132" xfId="0" applyNumberFormat="1" applyFont="1" applyFill="1" applyBorder="1" applyAlignment="1">
      <alignment vertical="center" wrapText="1"/>
    </xf>
    <xf numFmtId="3" fontId="7" fillId="2" borderId="11" xfId="0" applyNumberFormat="1" applyFont="1" applyFill="1" applyBorder="1" applyAlignment="1">
      <alignment vertical="center" wrapText="1"/>
    </xf>
    <xf numFmtId="3" fontId="65" fillId="9" borderId="21" xfId="0" applyNumberFormat="1" applyFont="1" applyFill="1" applyBorder="1" applyAlignment="1">
      <alignment horizontal="right" vertical="center" wrapText="1"/>
    </xf>
    <xf numFmtId="43" fontId="64" fillId="9" borderId="119" xfId="1" applyFont="1" applyFill="1" applyBorder="1" applyAlignment="1">
      <alignment horizontal="center" vertical="center" wrapText="1"/>
    </xf>
    <xf numFmtId="43" fontId="32" fillId="0" borderId="154" xfId="1" applyFont="1" applyFill="1" applyBorder="1" applyAlignment="1">
      <alignment vertical="center"/>
    </xf>
    <xf numFmtId="3" fontId="31" fillId="0" borderId="190" xfId="4" applyNumberFormat="1" applyFont="1" applyFill="1" applyBorder="1" applyAlignment="1">
      <alignment vertical="center"/>
    </xf>
    <xf numFmtId="3" fontId="31" fillId="0" borderId="191" xfId="4" applyNumberFormat="1" applyFont="1" applyFill="1" applyBorder="1" applyAlignment="1"/>
    <xf numFmtId="3" fontId="27" fillId="50" borderId="176" xfId="4" applyNumberFormat="1" applyFont="1" applyFill="1" applyBorder="1" applyAlignment="1">
      <alignment horizontal="right" vertical="center"/>
    </xf>
    <xf numFmtId="3" fontId="27" fillId="50" borderId="156" xfId="4" applyNumberFormat="1" applyFont="1" applyFill="1" applyBorder="1" applyAlignment="1">
      <alignment horizontal="right" vertical="center"/>
    </xf>
    <xf numFmtId="3" fontId="27" fillId="50" borderId="12" xfId="0" quotePrefix="1" applyNumberFormat="1" applyFont="1" applyFill="1" applyBorder="1" applyAlignment="1">
      <alignment horizontal="right" vertical="top"/>
    </xf>
    <xf numFmtId="3" fontId="27" fillId="21" borderId="190" xfId="4" applyNumberFormat="1" applyFont="1" applyFill="1" applyBorder="1" applyAlignment="1">
      <alignment horizontal="right" vertical="center"/>
    </xf>
    <xf numFmtId="3" fontId="27" fillId="21" borderId="176" xfId="4" applyNumberFormat="1" applyFont="1" applyFill="1" applyBorder="1" applyAlignment="1">
      <alignment horizontal="right" vertical="center"/>
    </xf>
    <xf numFmtId="0" fontId="24" fillId="8" borderId="45" xfId="0" applyFont="1" applyFill="1" applyBorder="1" applyAlignment="1">
      <alignment vertical="center" wrapText="1"/>
    </xf>
    <xf numFmtId="3" fontId="27" fillId="0" borderId="180" xfId="4" applyNumberFormat="1" applyFont="1" applyFill="1" applyBorder="1" applyAlignment="1">
      <alignment horizontal="right" vertical="center"/>
    </xf>
    <xf numFmtId="43" fontId="25" fillId="6" borderId="179" xfId="1" applyFont="1" applyFill="1" applyBorder="1" applyAlignment="1">
      <alignment horizontal="right" vertical="center"/>
    </xf>
    <xf numFmtId="43" fontId="27" fillId="0" borderId="179" xfId="1" applyFont="1" applyFill="1" applyBorder="1" applyAlignment="1">
      <alignment horizontal="right" vertical="center"/>
    </xf>
    <xf numFmtId="43" fontId="33" fillId="0" borderId="179" xfId="1" applyFont="1" applyFill="1" applyBorder="1" applyAlignment="1">
      <alignment vertical="center"/>
    </xf>
    <xf numFmtId="0" fontId="31" fillId="0" borderId="194" xfId="4" applyFont="1" applyFill="1" applyBorder="1" applyAlignment="1">
      <alignment vertical="center"/>
    </xf>
    <xf numFmtId="43" fontId="24" fillId="6" borderId="179" xfId="1" applyFont="1" applyFill="1" applyBorder="1" applyAlignment="1">
      <alignment vertical="center"/>
    </xf>
    <xf numFmtId="43" fontId="27" fillId="2" borderId="179" xfId="1" applyFont="1" applyFill="1" applyBorder="1" applyAlignment="1">
      <alignment vertical="center"/>
    </xf>
    <xf numFmtId="3" fontId="24" fillId="6" borderId="171" xfId="4" applyNumberFormat="1" applyFont="1" applyFill="1" applyBorder="1" applyAlignment="1">
      <alignment vertical="center"/>
    </xf>
    <xf numFmtId="3" fontId="27" fillId="2" borderId="180" xfId="4" applyNumberFormat="1" applyFont="1" applyFill="1" applyBorder="1" applyAlignment="1">
      <alignment vertical="center"/>
    </xf>
    <xf numFmtId="3" fontId="32" fillId="0" borderId="190" xfId="6" applyNumberFormat="1" applyFont="1" applyFill="1" applyBorder="1" applyAlignment="1">
      <alignment vertical="center"/>
    </xf>
    <xf numFmtId="3" fontId="27" fillId="25" borderId="180" xfId="4" applyNumberFormat="1" applyFont="1" applyFill="1" applyBorder="1" applyAlignment="1">
      <alignment horizontal="right" vertical="center"/>
    </xf>
    <xf numFmtId="3" fontId="7" fillId="0" borderId="190" xfId="4" applyNumberFormat="1" applyFont="1" applyFill="1" applyBorder="1" applyAlignment="1">
      <alignment horizontal="right" vertical="center"/>
    </xf>
    <xf numFmtId="43" fontId="7" fillId="0" borderId="190" xfId="1" applyFont="1" applyFill="1" applyBorder="1" applyAlignment="1">
      <alignment horizontal="right" vertical="center"/>
    </xf>
    <xf numFmtId="3" fontId="24" fillId="6" borderId="180" xfId="0" applyNumberFormat="1" applyFont="1" applyFill="1" applyBorder="1" applyAlignment="1">
      <alignment horizontal="right" vertical="center"/>
    </xf>
    <xf numFmtId="3" fontId="29" fillId="0" borderId="180" xfId="0" applyNumberFormat="1" applyFont="1" applyFill="1" applyBorder="1" applyAlignment="1">
      <alignment horizontal="right" vertical="center"/>
    </xf>
    <xf numFmtId="3" fontId="7" fillId="0" borderId="180" xfId="0" applyNumberFormat="1" applyFont="1" applyFill="1" applyBorder="1" applyAlignment="1">
      <alignment horizontal="right" vertical="center"/>
    </xf>
    <xf numFmtId="43" fontId="31" fillId="0" borderId="180" xfId="1" applyFont="1" applyFill="1" applyBorder="1" applyAlignment="1">
      <alignment vertical="center"/>
    </xf>
    <xf numFmtId="43" fontId="31" fillId="0" borderId="190" xfId="1" applyFont="1" applyFill="1" applyBorder="1" applyAlignment="1">
      <alignment vertical="center"/>
    </xf>
    <xf numFmtId="3" fontId="31" fillId="0" borderId="191" xfId="4" applyNumberFormat="1" applyFont="1" applyFill="1" applyBorder="1" applyAlignment="1">
      <alignment horizontal="right" vertical="center"/>
    </xf>
    <xf numFmtId="3" fontId="31" fillId="25" borderId="191" xfId="4" applyNumberFormat="1" applyFont="1" applyFill="1" applyBorder="1" applyAlignment="1">
      <alignment horizontal="right" vertical="center"/>
    </xf>
    <xf numFmtId="3" fontId="28" fillId="23" borderId="180" xfId="4" applyNumberFormat="1" applyFont="1" applyFill="1" applyBorder="1" applyAlignment="1">
      <alignment horizontal="right" vertical="center"/>
    </xf>
    <xf numFmtId="3" fontId="24" fillId="6" borderId="180" xfId="4" applyNumberFormat="1" applyFont="1" applyFill="1" applyBorder="1" applyAlignment="1"/>
    <xf numFmtId="3" fontId="33" fillId="23" borderId="180" xfId="6" applyNumberFormat="1" applyFont="1" applyFill="1" applyBorder="1" applyAlignment="1">
      <alignment vertical="center"/>
    </xf>
    <xf numFmtId="3" fontId="31" fillId="23" borderId="180" xfId="4" applyNumberFormat="1" applyFont="1" applyFill="1" applyBorder="1" applyAlignment="1">
      <alignment vertical="center"/>
    </xf>
    <xf numFmtId="3" fontId="27" fillId="21" borderId="180" xfId="4" applyNumberFormat="1" applyFont="1" applyFill="1" applyBorder="1" applyAlignment="1">
      <alignment horizontal="right" vertical="center"/>
    </xf>
    <xf numFmtId="0" fontId="28" fillId="50" borderId="181" xfId="0" quotePrefix="1" applyFont="1" applyFill="1" applyBorder="1" applyAlignment="1">
      <alignment horizontal="center" vertical="top"/>
    </xf>
    <xf numFmtId="3" fontId="27" fillId="50" borderId="179" xfId="0" quotePrefix="1" applyNumberFormat="1" applyFont="1" applyFill="1" applyBorder="1" applyAlignment="1">
      <alignment horizontal="right" vertical="top"/>
    </xf>
    <xf numFmtId="43" fontId="27" fillId="50" borderId="179" xfId="1" quotePrefix="1" applyFont="1" applyFill="1" applyBorder="1" applyAlignment="1">
      <alignment horizontal="right" vertical="top"/>
    </xf>
    <xf numFmtId="0" fontId="25" fillId="6" borderId="179" xfId="0" applyFont="1" applyFill="1" applyBorder="1" applyAlignment="1">
      <alignment vertical="center"/>
    </xf>
    <xf numFmtId="3" fontId="25" fillId="6" borderId="183" xfId="0" applyNumberFormat="1" applyFont="1" applyFill="1" applyBorder="1" applyAlignment="1">
      <alignment vertical="center"/>
    </xf>
    <xf numFmtId="43" fontId="25" fillId="6" borderId="188" xfId="1" applyFont="1" applyFill="1" applyBorder="1" applyAlignment="1">
      <alignment vertical="center"/>
    </xf>
    <xf numFmtId="3" fontId="25" fillId="6" borderId="188" xfId="0" applyNumberFormat="1" applyFont="1" applyFill="1" applyBorder="1" applyAlignment="1">
      <alignment vertical="center"/>
    </xf>
    <xf numFmtId="0" fontId="27" fillId="8" borderId="179" xfId="4" applyFont="1" applyFill="1" applyBorder="1" applyAlignment="1">
      <alignment horizontal="left" vertical="center"/>
    </xf>
    <xf numFmtId="3" fontId="27" fillId="8" borderId="180" xfId="4" applyNumberFormat="1" applyFont="1" applyFill="1" applyBorder="1" applyAlignment="1">
      <alignment vertical="top"/>
    </xf>
    <xf numFmtId="43" fontId="27" fillId="8" borderId="180" xfId="1" applyFont="1" applyFill="1" applyBorder="1" applyAlignment="1">
      <alignment vertical="top"/>
    </xf>
    <xf numFmtId="3" fontId="27" fillId="23" borderId="180" xfId="4" applyNumberFormat="1" applyFont="1" applyFill="1" applyBorder="1" applyAlignment="1">
      <alignment vertical="top"/>
    </xf>
    <xf numFmtId="0" fontId="7" fillId="8" borderId="179" xfId="4" applyFont="1" applyFill="1" applyBorder="1" applyAlignment="1">
      <alignment vertical="top"/>
    </xf>
    <xf numFmtId="3" fontId="7" fillId="8" borderId="180" xfId="4" applyNumberFormat="1" applyFont="1" applyFill="1" applyBorder="1" applyAlignment="1">
      <alignment vertical="top"/>
    </xf>
    <xf numFmtId="43" fontId="7" fillId="8" borderId="180" xfId="1" applyFont="1" applyFill="1" applyBorder="1" applyAlignment="1">
      <alignment vertical="top"/>
    </xf>
    <xf numFmtId="3" fontId="7" fillId="25" borderId="180" xfId="4" applyNumberFormat="1" applyFont="1" applyFill="1" applyBorder="1" applyAlignment="1">
      <alignment vertical="top"/>
    </xf>
    <xf numFmtId="0" fontId="7" fillId="8" borderId="179" xfId="4" applyFont="1" applyFill="1" applyBorder="1" applyAlignment="1">
      <alignment vertical="center"/>
    </xf>
    <xf numFmtId="3" fontId="7" fillId="8" borderId="180" xfId="4" applyNumberFormat="1" applyFont="1" applyFill="1" applyBorder="1" applyAlignment="1">
      <alignment vertical="center"/>
    </xf>
    <xf numFmtId="43" fontId="31" fillId="8" borderId="180" xfId="1" applyFont="1" applyFill="1" applyBorder="1" applyAlignment="1">
      <alignment vertical="center"/>
    </xf>
    <xf numFmtId="43" fontId="7" fillId="8" borderId="180" xfId="1" applyFont="1" applyFill="1" applyBorder="1" applyAlignment="1">
      <alignment vertical="center"/>
    </xf>
    <xf numFmtId="0" fontId="7" fillId="8" borderId="181" xfId="4" applyFont="1" applyFill="1" applyBorder="1" applyAlignment="1">
      <alignment vertical="top"/>
    </xf>
    <xf numFmtId="3" fontId="31" fillId="8" borderId="180" xfId="4" applyNumberFormat="1" applyFont="1" applyFill="1" applyBorder="1" applyAlignment="1">
      <alignment vertical="top"/>
    </xf>
    <xf numFmtId="43" fontId="31" fillId="8" borderId="180" xfId="1" applyFont="1" applyFill="1" applyBorder="1" applyAlignment="1">
      <alignment vertical="top"/>
    </xf>
    <xf numFmtId="0" fontId="7" fillId="8" borderId="191" xfId="4" applyFont="1" applyFill="1" applyBorder="1" applyAlignment="1">
      <alignment vertical="top"/>
    </xf>
    <xf numFmtId="3" fontId="31" fillId="8" borderId="190" xfId="4" applyNumberFormat="1" applyFont="1" applyFill="1" applyBorder="1" applyAlignment="1">
      <alignment vertical="top"/>
    </xf>
    <xf numFmtId="3" fontId="25" fillId="6" borderId="181" xfId="4" applyNumberFormat="1" applyFont="1" applyFill="1" applyBorder="1" applyAlignment="1">
      <alignment vertical="center"/>
    </xf>
    <xf numFmtId="3" fontId="25" fillId="22" borderId="180" xfId="4" applyNumberFormat="1" applyFont="1" applyFill="1" applyBorder="1" applyAlignment="1">
      <alignment vertical="center"/>
    </xf>
    <xf numFmtId="3" fontId="31" fillId="0" borderId="180" xfId="4" applyNumberFormat="1" applyFont="1" applyFill="1" applyBorder="1" applyAlignment="1">
      <alignment horizontal="right" vertical="center"/>
    </xf>
    <xf numFmtId="43" fontId="7" fillId="0" borderId="180" xfId="1" applyFont="1" applyFill="1" applyBorder="1" applyAlignment="1">
      <alignment vertical="top"/>
    </xf>
    <xf numFmtId="3" fontId="31" fillId="0" borderId="190" xfId="4" applyNumberFormat="1" applyFont="1" applyFill="1" applyBorder="1" applyAlignment="1"/>
    <xf numFmtId="3" fontId="31" fillId="0" borderId="190" xfId="4" applyNumberFormat="1" applyFont="1" applyFill="1" applyBorder="1" applyAlignment="1">
      <alignment horizontal="right" vertical="center"/>
    </xf>
    <xf numFmtId="3" fontId="29" fillId="0" borderId="190" xfId="4" applyNumberFormat="1" applyFont="1" applyFill="1" applyBorder="1" applyAlignment="1">
      <alignment horizontal="right" vertical="center"/>
    </xf>
    <xf numFmtId="43" fontId="33" fillId="0" borderId="174" xfId="1" applyFont="1" applyFill="1" applyBorder="1" applyAlignment="1">
      <alignment vertical="center"/>
    </xf>
    <xf numFmtId="0" fontId="32" fillId="0" borderId="35" xfId="0" applyFont="1" applyFill="1" applyBorder="1" applyAlignment="1">
      <alignment horizontal="center" vertical="center" wrapText="1"/>
    </xf>
    <xf numFmtId="3" fontId="18" fillId="2" borderId="0" xfId="0" applyNumberFormat="1" applyFont="1" applyFill="1" applyBorder="1" applyAlignment="1">
      <alignment vertical="top"/>
    </xf>
    <xf numFmtId="0" fontId="18" fillId="2" borderId="0" xfId="0" applyFont="1" applyFill="1" applyBorder="1" applyAlignment="1">
      <alignment vertical="top"/>
    </xf>
    <xf numFmtId="3" fontId="18" fillId="51" borderId="0" xfId="0" applyNumberFormat="1" applyFont="1" applyFill="1" applyBorder="1" applyAlignment="1">
      <alignment vertical="top"/>
    </xf>
    <xf numFmtId="0" fontId="29" fillId="0" borderId="119" xfId="4" applyFont="1" applyFill="1" applyBorder="1" applyAlignment="1">
      <alignment vertical="center"/>
    </xf>
    <xf numFmtId="3" fontId="31" fillId="25" borderId="180" xfId="4" applyNumberFormat="1" applyFont="1" applyFill="1" applyBorder="1" applyAlignment="1">
      <alignment vertical="center"/>
    </xf>
    <xf numFmtId="3" fontId="31" fillId="0" borderId="180" xfId="4" applyNumberFormat="1" applyFont="1" applyFill="1" applyBorder="1" applyAlignment="1">
      <alignment vertical="top"/>
    </xf>
    <xf numFmtId="3" fontId="7" fillId="8" borderId="183" xfId="4" applyNumberFormat="1" applyFont="1" applyFill="1" applyBorder="1" applyAlignment="1">
      <alignment vertical="center" wrapText="1"/>
    </xf>
    <xf numFmtId="3" fontId="7" fillId="8" borderId="180" xfId="0" applyNumberFormat="1" applyFont="1" applyFill="1" applyBorder="1" applyAlignment="1">
      <alignment vertical="center"/>
    </xf>
    <xf numFmtId="3" fontId="32" fillId="8" borderId="179" xfId="6" applyNumberFormat="1" applyFont="1" applyFill="1" applyBorder="1" applyAlignment="1">
      <alignment vertical="center"/>
    </xf>
    <xf numFmtId="3" fontId="27" fillId="0" borderId="176" xfId="4" applyNumberFormat="1" applyFont="1" applyFill="1" applyBorder="1" applyAlignment="1">
      <alignment horizontal="right" vertical="center"/>
    </xf>
    <xf numFmtId="43" fontId="7" fillId="0" borderId="171" xfId="1" applyFont="1" applyFill="1" applyBorder="1" applyAlignment="1">
      <alignment horizontal="right" vertical="center"/>
    </xf>
    <xf numFmtId="43" fontId="7" fillId="0" borderId="171" xfId="1" applyNumberFormat="1" applyFont="1" applyFill="1" applyBorder="1" applyAlignment="1">
      <alignment horizontal="right" vertical="center"/>
    </xf>
    <xf numFmtId="3" fontId="31" fillId="23" borderId="179" xfId="4" applyNumberFormat="1" applyFont="1" applyFill="1" applyBorder="1" applyAlignment="1">
      <alignment vertical="center"/>
    </xf>
    <xf numFmtId="43" fontId="27" fillId="0" borderId="171" xfId="1" applyFont="1" applyFill="1" applyBorder="1" applyAlignment="1">
      <alignment horizontal="right" vertical="center"/>
    </xf>
    <xf numFmtId="3" fontId="33" fillId="0" borderId="35" xfId="6" applyNumberFormat="1" applyFont="1" applyFill="1" applyBorder="1" applyAlignment="1">
      <alignment vertical="center"/>
    </xf>
    <xf numFmtId="43" fontId="27" fillId="0" borderId="27" xfId="1" applyFont="1" applyFill="1" applyBorder="1" applyAlignment="1">
      <alignment horizontal="right" vertical="center"/>
    </xf>
    <xf numFmtId="3" fontId="27" fillId="21" borderId="72" xfId="4" applyNumberFormat="1" applyFont="1" applyFill="1" applyBorder="1" applyAlignment="1">
      <alignment horizontal="right" vertical="center"/>
    </xf>
    <xf numFmtId="3" fontId="27" fillId="21" borderId="189" xfId="4" applyNumberFormat="1" applyFont="1" applyFill="1" applyBorder="1" applyAlignment="1">
      <alignment horizontal="right" vertical="center"/>
    </xf>
    <xf numFmtId="3" fontId="27" fillId="25" borderId="179" xfId="0" applyNumberFormat="1" applyFont="1" applyFill="1" applyBorder="1" applyAlignment="1">
      <alignment vertical="center"/>
    </xf>
    <xf numFmtId="0" fontId="7" fillId="3" borderId="1" xfId="0" quotePrefix="1" applyFont="1" applyFill="1" applyBorder="1" applyAlignment="1">
      <alignment horizontal="center"/>
    </xf>
    <xf numFmtId="3" fontId="66" fillId="5" borderId="83" xfId="0" applyNumberFormat="1" applyFont="1" applyFill="1" applyBorder="1" applyAlignment="1">
      <alignment horizontal="right" vertical="center" wrapText="1"/>
    </xf>
    <xf numFmtId="3" fontId="36" fillId="3" borderId="82" xfId="0" applyNumberFormat="1" applyFont="1" applyFill="1" applyBorder="1" applyAlignment="1">
      <alignment vertical="center" wrapText="1"/>
    </xf>
    <xf numFmtId="3" fontId="36" fillId="3" borderId="66" xfId="0" applyNumberFormat="1" applyFont="1" applyFill="1" applyBorder="1" applyAlignment="1">
      <alignment vertical="center" wrapText="1"/>
    </xf>
    <xf numFmtId="3" fontId="7" fillId="0" borderId="26" xfId="0" applyNumberFormat="1" applyFont="1" applyFill="1" applyBorder="1" applyAlignment="1">
      <alignment vertical="center" wrapText="1"/>
    </xf>
    <xf numFmtId="3" fontId="66" fillId="7" borderId="187" xfId="0" applyNumberFormat="1" applyFont="1" applyFill="1" applyBorder="1" applyAlignment="1">
      <alignment horizontal="right" vertical="center" wrapText="1"/>
    </xf>
    <xf numFmtId="3" fontId="64" fillId="9" borderId="82" xfId="0" applyNumberFormat="1" applyFont="1" applyFill="1" applyBorder="1" applyAlignment="1">
      <alignment horizontal="right" vertical="center" wrapText="1"/>
    </xf>
    <xf numFmtId="3" fontId="6" fillId="3" borderId="82" xfId="0" applyNumberFormat="1" applyFont="1" applyFill="1" applyBorder="1" applyAlignment="1">
      <alignment vertical="center" wrapText="1"/>
    </xf>
    <xf numFmtId="3" fontId="6" fillId="3" borderId="82" xfId="0" applyNumberFormat="1" applyFont="1" applyFill="1" applyBorder="1" applyAlignment="1">
      <alignment horizontal="center" vertical="center" wrapText="1"/>
    </xf>
    <xf numFmtId="3" fontId="64" fillId="9" borderId="187" xfId="0" applyNumberFormat="1" applyFont="1" applyFill="1" applyBorder="1" applyAlignment="1">
      <alignment vertical="center" wrapText="1"/>
    </xf>
    <xf numFmtId="3" fontId="29" fillId="2" borderId="154" xfId="4" applyNumberFormat="1" applyFont="1" applyFill="1" applyBorder="1" applyAlignment="1">
      <alignment vertical="center" wrapText="1"/>
    </xf>
    <xf numFmtId="3" fontId="28" fillId="25" borderId="154" xfId="4" applyNumberFormat="1" applyFont="1" applyFill="1" applyBorder="1" applyAlignment="1">
      <alignment horizontal="right" vertical="center"/>
    </xf>
    <xf numFmtId="43" fontId="25" fillId="6" borderId="154" xfId="1" applyFont="1" applyFill="1" applyBorder="1" applyAlignment="1">
      <alignment horizontal="right" vertical="center"/>
    </xf>
    <xf numFmtId="43" fontId="27" fillId="0" borderId="154" xfId="1" applyFont="1" applyFill="1" applyBorder="1" applyAlignment="1">
      <alignment horizontal="right" vertical="center"/>
    </xf>
    <xf numFmtId="3" fontId="31" fillId="0" borderId="195" xfId="4" applyNumberFormat="1" applyFont="1" applyFill="1" applyBorder="1" applyAlignment="1">
      <alignment vertical="center"/>
    </xf>
    <xf numFmtId="43" fontId="31" fillId="0" borderId="154" xfId="1" applyFont="1" applyFill="1" applyBorder="1" applyAlignment="1">
      <alignment horizontal="right" vertical="center"/>
    </xf>
    <xf numFmtId="0" fontId="28" fillId="57" borderId="154" xfId="4" applyFont="1" applyFill="1" applyBorder="1" applyAlignment="1">
      <alignment vertical="top"/>
    </xf>
    <xf numFmtId="3" fontId="63" fillId="57" borderId="154" xfId="6" applyNumberFormat="1" applyFont="1" applyFill="1" applyBorder="1" applyAlignment="1">
      <alignment vertical="center"/>
    </xf>
    <xf numFmtId="43" fontId="38" fillId="57" borderId="180" xfId="1" applyFont="1" applyFill="1" applyBorder="1" applyAlignment="1">
      <alignment horizontal="right" vertical="center"/>
    </xf>
    <xf numFmtId="43" fontId="28" fillId="57" borderId="154" xfId="1" applyFont="1" applyFill="1" applyBorder="1" applyAlignment="1">
      <alignment horizontal="right" vertical="center"/>
    </xf>
    <xf numFmtId="3" fontId="38" fillId="57" borderId="154" xfId="4" applyNumberFormat="1" applyFont="1" applyFill="1" applyBorder="1" applyAlignment="1">
      <alignment horizontal="right" vertical="center"/>
    </xf>
    <xf numFmtId="0" fontId="28" fillId="56" borderId="154" xfId="4" applyFont="1" applyFill="1" applyBorder="1" applyAlignment="1">
      <alignment vertical="top"/>
    </xf>
    <xf numFmtId="3" fontId="63" fillId="56" borderId="154" xfId="6" applyNumberFormat="1" applyFont="1" applyFill="1" applyBorder="1" applyAlignment="1">
      <alignment vertical="center"/>
    </xf>
    <xf numFmtId="43" fontId="38" fillId="56" borderId="180" xfId="1" applyFont="1" applyFill="1" applyBorder="1" applyAlignment="1">
      <alignment horizontal="right" vertical="center"/>
    </xf>
    <xf numFmtId="43" fontId="28" fillId="56" borderId="154" xfId="1" applyFont="1" applyFill="1" applyBorder="1" applyAlignment="1">
      <alignment horizontal="right" vertical="center"/>
    </xf>
    <xf numFmtId="3" fontId="38" fillId="56" borderId="154" xfId="4" applyNumberFormat="1" applyFont="1" applyFill="1" applyBorder="1" applyAlignment="1">
      <alignment horizontal="right" vertical="center"/>
    </xf>
    <xf numFmtId="0" fontId="7" fillId="57" borderId="154" xfId="4" applyFont="1" applyFill="1" applyBorder="1" applyAlignment="1">
      <alignment vertical="top"/>
    </xf>
    <xf numFmtId="3" fontId="32" fillId="57" borderId="154" xfId="6" applyNumberFormat="1" applyFont="1" applyFill="1" applyBorder="1" applyAlignment="1">
      <alignment vertical="center"/>
    </xf>
    <xf numFmtId="43" fontId="7" fillId="57" borderId="180" xfId="1" applyFont="1" applyFill="1" applyBorder="1" applyAlignment="1">
      <alignment horizontal="right" vertical="center"/>
    </xf>
    <xf numFmtId="43" fontId="7" fillId="57" borderId="154" xfId="1" applyFont="1" applyFill="1" applyBorder="1" applyAlignment="1">
      <alignment horizontal="right" vertical="center"/>
    </xf>
    <xf numFmtId="3" fontId="7" fillId="57" borderId="154" xfId="4" applyNumberFormat="1" applyFont="1" applyFill="1" applyBorder="1" applyAlignment="1">
      <alignment horizontal="right" vertical="center"/>
    </xf>
    <xf numFmtId="0" fontId="7" fillId="56" borderId="154" xfId="4" applyFont="1" applyFill="1" applyBorder="1" applyAlignment="1">
      <alignment vertical="top"/>
    </xf>
    <xf numFmtId="0" fontId="32" fillId="56" borderId="154" xfId="0" applyFont="1" applyFill="1" applyBorder="1" applyAlignment="1">
      <alignment horizontal="center" vertical="center" wrapText="1"/>
    </xf>
    <xf numFmtId="3" fontId="32" fillId="56" borderId="154" xfId="6" applyNumberFormat="1" applyFont="1" applyFill="1" applyBorder="1" applyAlignment="1">
      <alignment vertical="center"/>
    </xf>
    <xf numFmtId="43" fontId="7" fillId="56" borderId="180" xfId="1" applyFont="1" applyFill="1" applyBorder="1" applyAlignment="1">
      <alignment horizontal="right" vertical="center"/>
    </xf>
    <xf numFmtId="43" fontId="7" fillId="56" borderId="154" xfId="1" applyFont="1" applyFill="1" applyBorder="1" applyAlignment="1">
      <alignment horizontal="right" vertical="center"/>
    </xf>
    <xf numFmtId="3" fontId="7" fillId="56" borderId="154" xfId="4" applyNumberFormat="1" applyFont="1" applyFill="1" applyBorder="1" applyAlignment="1">
      <alignment horizontal="right" vertical="center"/>
    </xf>
    <xf numFmtId="43" fontId="24" fillId="6" borderId="154" xfId="1" applyFont="1" applyFill="1" applyBorder="1" applyAlignment="1"/>
    <xf numFmtId="43" fontId="25" fillId="6" borderId="174" xfId="1" applyFont="1" applyFill="1" applyBorder="1" applyAlignment="1">
      <alignment horizontal="right" vertical="center"/>
    </xf>
    <xf numFmtId="43" fontId="27" fillId="0" borderId="174" xfId="1" applyFont="1" applyFill="1" applyBorder="1" applyAlignment="1">
      <alignment horizontal="right" vertical="center"/>
    </xf>
    <xf numFmtId="43" fontId="31" fillId="0" borderId="173" xfId="1" applyFont="1" applyFill="1" applyBorder="1" applyAlignment="1">
      <alignment vertical="center"/>
    </xf>
    <xf numFmtId="43" fontId="31" fillId="0" borderId="174" xfId="1" applyFont="1" applyFill="1" applyBorder="1" applyAlignment="1">
      <alignment horizontal="right" vertical="center"/>
    </xf>
    <xf numFmtId="0" fontId="38" fillId="57" borderId="174" xfId="4" applyFont="1" applyFill="1" applyBorder="1" applyAlignment="1">
      <alignment vertical="top"/>
    </xf>
    <xf numFmtId="3" fontId="63" fillId="57" borderId="174" xfId="6" applyNumberFormat="1" applyFont="1" applyFill="1" applyBorder="1" applyAlignment="1">
      <alignment vertical="center"/>
    </xf>
    <xf numFmtId="43" fontId="38" fillId="57" borderId="174" xfId="1" applyFont="1" applyFill="1" applyBorder="1" applyAlignment="1">
      <alignment horizontal="right" vertical="center"/>
    </xf>
    <xf numFmtId="43" fontId="28" fillId="57" borderId="174" xfId="1" applyFont="1" applyFill="1" applyBorder="1" applyAlignment="1">
      <alignment horizontal="right" vertical="center"/>
    </xf>
    <xf numFmtId="3" fontId="38" fillId="57" borderId="174" xfId="4" applyNumberFormat="1" applyFont="1" applyFill="1" applyBorder="1" applyAlignment="1">
      <alignment horizontal="right" vertical="center"/>
    </xf>
    <xf numFmtId="3" fontId="38" fillId="25" borderId="174" xfId="4" applyNumberFormat="1" applyFont="1" applyFill="1" applyBorder="1" applyAlignment="1">
      <alignment horizontal="right" vertical="center"/>
    </xf>
    <xf numFmtId="3" fontId="28" fillId="25" borderId="174" xfId="4" applyNumberFormat="1" applyFont="1" applyFill="1" applyBorder="1" applyAlignment="1">
      <alignment horizontal="right" vertical="center"/>
    </xf>
    <xf numFmtId="0" fontId="38" fillId="52" borderId="174" xfId="4" applyFont="1" applyFill="1" applyBorder="1" applyAlignment="1">
      <alignment vertical="top"/>
    </xf>
    <xf numFmtId="3" fontId="63" fillId="52" borderId="174" xfId="6" applyNumberFormat="1" applyFont="1" applyFill="1" applyBorder="1" applyAlignment="1">
      <alignment vertical="center"/>
    </xf>
    <xf numFmtId="43" fontId="38" fillId="52" borderId="174" xfId="1" applyFont="1" applyFill="1" applyBorder="1" applyAlignment="1">
      <alignment horizontal="right" vertical="center"/>
    </xf>
    <xf numFmtId="43" fontId="28" fillId="52" borderId="174" xfId="1" applyFont="1" applyFill="1" applyBorder="1" applyAlignment="1">
      <alignment horizontal="right" vertical="center"/>
    </xf>
    <xf numFmtId="3" fontId="38" fillId="52" borderId="174" xfId="4" applyNumberFormat="1" applyFont="1" applyFill="1" applyBorder="1" applyAlignment="1">
      <alignment horizontal="right" vertical="center"/>
    </xf>
    <xf numFmtId="3" fontId="31" fillId="25" borderId="180" xfId="4" applyNumberFormat="1" applyFont="1" applyFill="1" applyBorder="1" applyAlignment="1">
      <alignment horizontal="right" vertical="center"/>
    </xf>
    <xf numFmtId="0" fontId="39" fillId="0" borderId="180" xfId="0" applyFont="1" applyBorder="1"/>
    <xf numFmtId="3" fontId="38" fillId="25" borderId="180" xfId="4" applyNumberFormat="1" applyFont="1" applyFill="1" applyBorder="1" applyAlignment="1">
      <alignment horizontal="right" vertical="center"/>
    </xf>
    <xf numFmtId="43" fontId="7" fillId="0" borderId="174" xfId="1" applyFont="1" applyFill="1" applyBorder="1" applyAlignment="1">
      <alignment horizontal="right" vertical="center"/>
    </xf>
    <xf numFmtId="0" fontId="63" fillId="0" borderId="174" xfId="0" applyFont="1" applyFill="1" applyBorder="1" applyAlignment="1">
      <alignment horizontal="center" vertical="center" wrapText="1"/>
    </xf>
    <xf numFmtId="0" fontId="63" fillId="52" borderId="174" xfId="0" applyFont="1" applyFill="1" applyBorder="1" applyAlignment="1">
      <alignment horizontal="center" vertical="center" wrapText="1"/>
    </xf>
    <xf numFmtId="43" fontId="24" fillId="6" borderId="174" xfId="1" applyFont="1" applyFill="1" applyBorder="1" applyAlignment="1"/>
    <xf numFmtId="43" fontId="24" fillId="32" borderId="180" xfId="1" applyFont="1" applyFill="1" applyBorder="1" applyAlignment="1"/>
    <xf numFmtId="3" fontId="31" fillId="32" borderId="180" xfId="4" applyNumberFormat="1" applyFont="1" applyFill="1" applyBorder="1" applyAlignment="1"/>
    <xf numFmtId="43" fontId="31" fillId="32" borderId="180" xfId="1" applyFont="1" applyFill="1" applyBorder="1" applyAlignment="1"/>
    <xf numFmtId="41" fontId="24" fillId="6" borderId="179" xfId="4" applyNumberFormat="1" applyFont="1" applyFill="1" applyBorder="1" applyAlignment="1">
      <alignment vertical="center"/>
    </xf>
    <xf numFmtId="41" fontId="33" fillId="0" borderId="180" xfId="6" applyNumberFormat="1" applyFont="1" applyFill="1" applyBorder="1" applyAlignment="1">
      <alignment vertical="center"/>
    </xf>
    <xf numFmtId="41" fontId="7" fillId="0" borderId="190" xfId="4" applyNumberFormat="1" applyFont="1" applyFill="1" applyBorder="1" applyAlignment="1">
      <alignment horizontal="right" vertical="center"/>
    </xf>
    <xf numFmtId="43" fontId="24" fillId="6" borderId="179" xfId="1" applyNumberFormat="1" applyFont="1" applyFill="1" applyBorder="1" applyAlignment="1">
      <alignment vertical="center"/>
    </xf>
    <xf numFmtId="43" fontId="7" fillId="0" borderId="171" xfId="4" applyNumberFormat="1" applyFont="1" applyFill="1" applyBorder="1" applyAlignment="1">
      <alignment horizontal="right" vertical="center"/>
    </xf>
    <xf numFmtId="166" fontId="31" fillId="0" borderId="171" xfId="4" applyNumberFormat="1" applyFont="1" applyFill="1" applyBorder="1" applyAlignment="1">
      <alignment vertical="center"/>
    </xf>
    <xf numFmtId="166" fontId="7" fillId="0" borderId="171" xfId="1" applyNumberFormat="1" applyFont="1" applyFill="1" applyBorder="1" applyAlignment="1">
      <alignment horizontal="right" vertical="center"/>
    </xf>
    <xf numFmtId="43" fontId="27" fillId="0" borderId="171" xfId="1" applyNumberFormat="1" applyFont="1" applyFill="1" applyBorder="1" applyAlignment="1">
      <alignment horizontal="right" vertical="center"/>
    </xf>
    <xf numFmtId="43" fontId="27" fillId="0" borderId="171" xfId="4" applyNumberFormat="1" applyFont="1" applyFill="1" applyBorder="1" applyAlignment="1">
      <alignment horizontal="right" vertical="center"/>
    </xf>
    <xf numFmtId="3" fontId="24" fillId="6" borderId="179" xfId="1" applyNumberFormat="1" applyFont="1" applyFill="1" applyBorder="1" applyAlignment="1">
      <alignment vertical="center"/>
    </xf>
    <xf numFmtId="166" fontId="27" fillId="0" borderId="171" xfId="1" applyNumberFormat="1" applyFont="1" applyFill="1" applyBorder="1" applyAlignment="1">
      <alignment horizontal="right" vertical="center"/>
    </xf>
    <xf numFmtId="43" fontId="33" fillId="0" borderId="180" xfId="1" applyNumberFormat="1" applyFont="1" applyFill="1" applyBorder="1" applyAlignment="1">
      <alignment vertical="center"/>
    </xf>
    <xf numFmtId="166" fontId="7" fillId="0" borderId="179" xfId="1" applyNumberFormat="1" applyFont="1" applyFill="1" applyBorder="1" applyAlignment="1">
      <alignment horizontal="right" vertical="center"/>
    </xf>
    <xf numFmtId="43" fontId="7" fillId="0" borderId="180" xfId="1" applyNumberFormat="1" applyFont="1" applyFill="1" applyBorder="1" applyAlignment="1">
      <alignment horizontal="right" vertical="center"/>
    </xf>
    <xf numFmtId="43" fontId="7" fillId="0" borderId="179" xfId="1" applyNumberFormat="1" applyFont="1" applyFill="1" applyBorder="1" applyAlignment="1">
      <alignment horizontal="right" vertical="center"/>
    </xf>
    <xf numFmtId="3" fontId="27" fillId="2" borderId="36" xfId="4" applyNumberFormat="1" applyFont="1" applyFill="1" applyBorder="1" applyAlignment="1">
      <alignment vertical="center" wrapText="1"/>
    </xf>
    <xf numFmtId="43" fontId="33" fillId="0" borderId="35" xfId="1" applyNumberFormat="1" applyFont="1" applyFill="1" applyBorder="1" applyAlignment="1">
      <alignment vertical="center"/>
    </xf>
    <xf numFmtId="43" fontId="33" fillId="0" borderId="35" xfId="6" applyNumberFormat="1" applyFont="1" applyFill="1" applyBorder="1" applyAlignment="1">
      <alignment vertical="center"/>
    </xf>
    <xf numFmtId="43" fontId="7" fillId="0" borderId="190" xfId="1" applyNumberFormat="1" applyFont="1" applyFill="1" applyBorder="1" applyAlignment="1">
      <alignment horizontal="right" vertical="center"/>
    </xf>
    <xf numFmtId="43" fontId="7" fillId="0" borderId="190" xfId="4" applyNumberFormat="1" applyFont="1" applyFill="1" applyBorder="1" applyAlignment="1">
      <alignment horizontal="right" vertical="center"/>
    </xf>
    <xf numFmtId="0" fontId="65" fillId="0" borderId="196" xfId="0" applyFont="1" applyBorder="1" applyAlignment="1">
      <alignment horizontal="center" vertical="center"/>
    </xf>
    <xf numFmtId="3" fontId="8" fillId="6" borderId="163" xfId="0" applyNumberFormat="1" applyFont="1" applyFill="1" applyBorder="1"/>
    <xf numFmtId="3" fontId="6" fillId="6" borderId="118" xfId="0" applyNumberFormat="1" applyFont="1" applyFill="1" applyBorder="1"/>
    <xf numFmtId="3" fontId="36" fillId="15" borderId="51" xfId="0" applyNumberFormat="1" applyFont="1" applyFill="1" applyBorder="1" applyAlignment="1">
      <alignment vertical="center"/>
    </xf>
    <xf numFmtId="3" fontId="8" fillId="6" borderId="118" xfId="0" applyNumberFormat="1" applyFont="1" applyFill="1" applyBorder="1"/>
    <xf numFmtId="3" fontId="8" fillId="8" borderId="163" xfId="0" applyNumberFormat="1" applyFont="1" applyFill="1" applyBorder="1"/>
    <xf numFmtId="3" fontId="8" fillId="8" borderId="118" xfId="0" applyNumberFormat="1" applyFont="1" applyFill="1" applyBorder="1"/>
    <xf numFmtId="3" fontId="19" fillId="16" borderId="51" xfId="5" applyNumberFormat="1" applyFont="1" applyFill="1" applyBorder="1"/>
    <xf numFmtId="3" fontId="65" fillId="17" borderId="7" xfId="0" applyNumberFormat="1" applyFont="1" applyFill="1" applyBorder="1"/>
    <xf numFmtId="3" fontId="36" fillId="18" borderId="24" xfId="0" applyNumberFormat="1" applyFont="1" applyFill="1" applyBorder="1" applyAlignment="1">
      <alignment vertical="center"/>
    </xf>
    <xf numFmtId="3" fontId="6" fillId="11" borderId="18" xfId="0" applyNumberFormat="1" applyFont="1" applyFill="1" applyBorder="1"/>
    <xf numFmtId="3" fontId="6" fillId="11" borderId="163" xfId="0" applyNumberFormat="1" applyFont="1" applyFill="1" applyBorder="1"/>
    <xf numFmtId="3" fontId="6" fillId="11" borderId="118" xfId="0" applyNumberFormat="1" applyFont="1" applyFill="1" applyBorder="1"/>
    <xf numFmtId="3" fontId="76" fillId="18" borderId="51" xfId="0" applyNumberFormat="1" applyFont="1" applyFill="1" applyBorder="1" applyAlignment="1">
      <alignment vertical="top"/>
    </xf>
    <xf numFmtId="3" fontId="36" fillId="18" borderId="51" xfId="0" applyNumberFormat="1" applyFont="1" applyFill="1" applyBorder="1"/>
    <xf numFmtId="0" fontId="65" fillId="0" borderId="156" xfId="0" applyFont="1" applyBorder="1" applyAlignment="1">
      <alignment horizontal="center" vertical="center"/>
    </xf>
    <xf numFmtId="3" fontId="8" fillId="6" borderId="179" xfId="0" applyNumberFormat="1" applyFont="1" applyFill="1" applyBorder="1"/>
    <xf numFmtId="3" fontId="6" fillId="6" borderId="195" xfId="0" applyNumberFormat="1" applyFont="1" applyFill="1" applyBorder="1"/>
    <xf numFmtId="3" fontId="8" fillId="6" borderId="195" xfId="0" applyNumberFormat="1" applyFont="1" applyFill="1" applyBorder="1"/>
    <xf numFmtId="3" fontId="8" fillId="8" borderId="179" xfId="0" applyNumberFormat="1" applyFont="1" applyFill="1" applyBorder="1"/>
    <xf numFmtId="3" fontId="8" fillId="8" borderId="195" xfId="0" applyNumberFormat="1" applyFont="1" applyFill="1" applyBorder="1"/>
    <xf numFmtId="3" fontId="65" fillId="17" borderId="9" xfId="0" applyNumberFormat="1" applyFont="1" applyFill="1" applyBorder="1"/>
    <xf numFmtId="3" fontId="6" fillId="11" borderId="179" xfId="0" applyNumberFormat="1" applyFont="1" applyFill="1" applyBorder="1"/>
    <xf numFmtId="3" fontId="6" fillId="11" borderId="195" xfId="0" applyNumberFormat="1" applyFont="1" applyFill="1" applyBorder="1"/>
    <xf numFmtId="0" fontId="65" fillId="0" borderId="5" xfId="0" applyFont="1" applyBorder="1" applyAlignment="1">
      <alignment horizontal="center" vertical="center"/>
    </xf>
    <xf numFmtId="3" fontId="62" fillId="2" borderId="11" xfId="0" applyNumberFormat="1" applyFont="1" applyFill="1" applyBorder="1" applyAlignment="1">
      <alignment vertical="center" wrapText="1"/>
    </xf>
    <xf numFmtId="3" fontId="8" fillId="0" borderId="11" xfId="0" applyNumberFormat="1" applyFont="1" applyFill="1" applyBorder="1" applyAlignment="1">
      <alignment vertical="center" wrapText="1"/>
    </xf>
    <xf numFmtId="3" fontId="19" fillId="14" borderId="5" xfId="0" applyNumberFormat="1" applyFont="1" applyFill="1" applyBorder="1" applyAlignment="1">
      <alignment vertical="center" wrapText="1"/>
    </xf>
    <xf numFmtId="3" fontId="24" fillId="14" borderId="11" xfId="0" applyNumberFormat="1" applyFont="1" applyFill="1" applyBorder="1" applyAlignment="1">
      <alignment vertical="center" wrapText="1"/>
    </xf>
    <xf numFmtId="3" fontId="24" fillId="14" borderId="25" xfId="0" applyNumberFormat="1" applyFont="1" applyFill="1" applyBorder="1" applyAlignment="1">
      <alignment vertical="center" wrapText="1"/>
    </xf>
    <xf numFmtId="3" fontId="72" fillId="0" borderId="11" xfId="0" applyNumberFormat="1" applyFont="1" applyFill="1" applyBorder="1" applyAlignment="1">
      <alignment vertical="center" wrapText="1"/>
    </xf>
    <xf numFmtId="0" fontId="8" fillId="15" borderId="5" xfId="0" applyFont="1" applyFill="1" applyBorder="1"/>
    <xf numFmtId="3" fontId="36" fillId="15" borderId="25" xfId="0" applyNumberFormat="1" applyFont="1" applyFill="1" applyBorder="1" applyAlignment="1">
      <alignment vertical="center"/>
    </xf>
    <xf numFmtId="3" fontId="8" fillId="6" borderId="119" xfId="0" applyNumberFormat="1" applyFont="1" applyFill="1" applyBorder="1"/>
    <xf numFmtId="3" fontId="6" fillId="6" borderId="74" xfId="0" applyNumberFormat="1" applyFont="1" applyFill="1" applyBorder="1"/>
    <xf numFmtId="3" fontId="76" fillId="12" borderId="11" xfId="0" applyNumberFormat="1" applyFont="1" applyFill="1" applyBorder="1" applyAlignment="1">
      <alignment vertical="center"/>
    </xf>
    <xf numFmtId="3" fontId="36" fillId="15" borderId="52" xfId="0" applyNumberFormat="1" applyFont="1" applyFill="1" applyBorder="1" applyAlignment="1">
      <alignment vertical="center"/>
    </xf>
    <xf numFmtId="3" fontId="8" fillId="6" borderId="74" xfId="0" applyNumberFormat="1" applyFont="1" applyFill="1" applyBorder="1"/>
    <xf numFmtId="3" fontId="76" fillId="12" borderId="11" xfId="0" applyNumberFormat="1" applyFont="1" applyFill="1" applyBorder="1"/>
    <xf numFmtId="3" fontId="76" fillId="12" borderId="21" xfId="0" applyNumberFormat="1" applyFont="1" applyFill="1" applyBorder="1"/>
    <xf numFmtId="0" fontId="65" fillId="0" borderId="129" xfId="0" applyFont="1" applyBorder="1" applyAlignment="1">
      <alignment horizontal="center" vertical="center"/>
    </xf>
    <xf numFmtId="0" fontId="8" fillId="16" borderId="5" xfId="0" applyFont="1" applyFill="1" applyBorder="1"/>
    <xf numFmtId="3" fontId="36" fillId="16" borderId="25" xfId="5" applyNumberFormat="1" applyFont="1" applyFill="1" applyBorder="1" applyAlignment="1">
      <alignment vertical="center"/>
    </xf>
    <xf numFmtId="3" fontId="8" fillId="8" borderId="119" xfId="0" applyNumberFormat="1" applyFont="1" applyFill="1" applyBorder="1"/>
    <xf numFmtId="3" fontId="8" fillId="8" borderId="74" xfId="0" applyNumberFormat="1" applyFont="1" applyFill="1" applyBorder="1"/>
    <xf numFmtId="3" fontId="77" fillId="17" borderId="11" xfId="0" applyNumberFormat="1" applyFont="1" applyFill="1" applyBorder="1"/>
    <xf numFmtId="3" fontId="77" fillId="8" borderId="11" xfId="0" applyNumberFormat="1" applyFont="1" applyFill="1" applyBorder="1"/>
    <xf numFmtId="3" fontId="19" fillId="8" borderId="11" xfId="0" applyNumberFormat="1" applyFont="1" applyFill="1" applyBorder="1"/>
    <xf numFmtId="3" fontId="19" fillId="16" borderId="52" xfId="5" applyNumberFormat="1" applyFont="1" applyFill="1" applyBorder="1"/>
    <xf numFmtId="3" fontId="65" fillId="17" borderId="21" xfId="0" applyNumberFormat="1" applyFont="1" applyFill="1" applyBorder="1"/>
    <xf numFmtId="0" fontId="8" fillId="18" borderId="5" xfId="0" applyFont="1" applyFill="1" applyBorder="1" applyAlignment="1">
      <alignment vertical="center"/>
    </xf>
    <xf numFmtId="3" fontId="36" fillId="18" borderId="25" xfId="0" applyNumberFormat="1" applyFont="1" applyFill="1" applyBorder="1" applyAlignment="1">
      <alignment vertical="center"/>
    </xf>
    <xf numFmtId="3" fontId="6" fillId="11" borderId="19" xfId="0" applyNumberFormat="1" applyFont="1" applyFill="1" applyBorder="1"/>
    <xf numFmtId="3" fontId="6" fillId="11" borderId="119" xfId="0" applyNumberFormat="1" applyFont="1" applyFill="1" applyBorder="1"/>
    <xf numFmtId="3" fontId="6" fillId="11" borderId="74" xfId="0" applyNumberFormat="1" applyFont="1" applyFill="1" applyBorder="1"/>
    <xf numFmtId="3" fontId="76" fillId="18" borderId="52" xfId="0" applyNumberFormat="1" applyFont="1" applyFill="1" applyBorder="1" applyAlignment="1">
      <alignment vertical="top"/>
    </xf>
    <xf numFmtId="3" fontId="76" fillId="2" borderId="11" xfId="0" applyNumberFormat="1" applyFont="1" applyFill="1" applyBorder="1" applyAlignment="1">
      <alignment vertical="top"/>
    </xf>
    <xf numFmtId="3" fontId="36" fillId="18" borderId="52" xfId="0" applyNumberFormat="1" applyFont="1" applyFill="1" applyBorder="1"/>
    <xf numFmtId="3" fontId="8" fillId="18" borderId="25" xfId="0" applyNumberFormat="1" applyFont="1" applyFill="1" applyBorder="1"/>
    <xf numFmtId="3" fontId="38" fillId="0" borderId="180" xfId="4" applyNumberFormat="1" applyFont="1" applyFill="1" applyBorder="1" applyAlignment="1">
      <alignment horizontal="right" vertical="center"/>
    </xf>
    <xf numFmtId="0" fontId="39" fillId="0" borderId="170" xfId="0" applyFont="1" applyBorder="1"/>
    <xf numFmtId="3" fontId="37" fillId="0" borderId="180" xfId="0" applyNumberFormat="1" applyFont="1" applyBorder="1"/>
    <xf numFmtId="3" fontId="8" fillId="0" borderId="180" xfId="0" applyNumberFormat="1" applyFont="1" applyBorder="1" applyAlignment="1">
      <alignment vertical="top"/>
    </xf>
    <xf numFmtId="0" fontId="24" fillId="0" borderId="43" xfId="4" applyFont="1" applyFill="1" applyBorder="1" applyAlignment="1">
      <alignment vertical="center" wrapText="1"/>
    </xf>
    <xf numFmtId="3" fontId="23" fillId="6" borderId="155" xfId="6" applyNumberFormat="1" applyFont="1" applyFill="1" applyBorder="1" applyAlignment="1">
      <alignment horizontal="right" vertical="center"/>
    </xf>
    <xf numFmtId="43" fontId="23" fillId="6" borderId="155" xfId="1" applyFont="1" applyFill="1" applyBorder="1" applyAlignment="1">
      <alignment horizontal="right" vertical="center"/>
    </xf>
    <xf numFmtId="3" fontId="25" fillId="22" borderId="165" xfId="4" applyNumberFormat="1" applyFont="1" applyFill="1" applyBorder="1" applyAlignment="1">
      <alignment horizontal="right" vertical="center"/>
    </xf>
    <xf numFmtId="3" fontId="33" fillId="0" borderId="155" xfId="6" applyNumberFormat="1" applyFont="1" applyFill="1" applyBorder="1" applyAlignment="1">
      <alignment horizontal="right" vertical="center"/>
    </xf>
    <xf numFmtId="43" fontId="33" fillId="0" borderId="155" xfId="1" applyFont="1" applyFill="1" applyBorder="1" applyAlignment="1">
      <alignment horizontal="right" vertical="center"/>
    </xf>
    <xf numFmtId="43" fontId="31" fillId="0" borderId="155" xfId="1" applyFont="1" applyFill="1" applyBorder="1" applyAlignment="1">
      <alignment horizontal="right" vertical="center"/>
    </xf>
    <xf numFmtId="43" fontId="31" fillId="0" borderId="195" xfId="1" applyFont="1" applyFill="1" applyBorder="1" applyAlignment="1">
      <alignment vertical="center"/>
    </xf>
    <xf numFmtId="3" fontId="24" fillId="22" borderId="165" xfId="4" applyNumberFormat="1" applyFont="1" applyFill="1" applyBorder="1" applyAlignment="1">
      <alignment horizontal="right" vertical="center"/>
    </xf>
    <xf numFmtId="3" fontId="32" fillId="0" borderId="165" xfId="6" applyNumberFormat="1" applyFont="1" applyFill="1" applyBorder="1" applyAlignment="1">
      <alignment vertical="center"/>
    </xf>
    <xf numFmtId="3" fontId="25" fillId="6" borderId="165" xfId="4" applyNumberFormat="1" applyFont="1" applyFill="1" applyBorder="1" applyAlignment="1">
      <alignment horizontal="right" vertical="center"/>
    </xf>
    <xf numFmtId="3" fontId="33" fillId="0" borderId="165" xfId="6" applyNumberFormat="1" applyFont="1" applyFill="1" applyBorder="1" applyAlignment="1">
      <alignment vertical="center"/>
    </xf>
    <xf numFmtId="3" fontId="7" fillId="0" borderId="165" xfId="4" applyNumberFormat="1" applyFont="1" applyFill="1" applyBorder="1" applyAlignment="1">
      <alignment horizontal="right" vertical="center"/>
    </xf>
    <xf numFmtId="3" fontId="27" fillId="2" borderId="165" xfId="4" applyNumberFormat="1" applyFont="1" applyFill="1" applyBorder="1" applyAlignment="1">
      <alignment vertical="center"/>
    </xf>
    <xf numFmtId="3" fontId="7" fillId="0" borderId="155" xfId="0" applyNumberFormat="1" applyFont="1" applyFill="1" applyBorder="1" applyAlignment="1">
      <alignment vertical="top"/>
    </xf>
    <xf numFmtId="3" fontId="27" fillId="0" borderId="165" xfId="4" applyNumberFormat="1" applyFont="1" applyFill="1" applyBorder="1" applyAlignment="1">
      <alignment horizontal="right" vertical="center"/>
    </xf>
    <xf numFmtId="3" fontId="31" fillId="0" borderId="165" xfId="4" applyNumberFormat="1" applyFont="1" applyFill="1" applyBorder="1" applyAlignment="1">
      <alignment vertical="center"/>
    </xf>
    <xf numFmtId="3" fontId="31" fillId="23" borderId="190" xfId="4" applyNumberFormat="1" applyFont="1" applyFill="1" applyBorder="1" applyAlignment="1">
      <alignment vertical="center"/>
    </xf>
    <xf numFmtId="0" fontId="23" fillId="0" borderId="157" xfId="0" applyFont="1" applyFill="1" applyBorder="1" applyAlignment="1">
      <alignment horizontal="center" vertical="center" wrapText="1"/>
    </xf>
    <xf numFmtId="3" fontId="31" fillId="0" borderId="155" xfId="4" applyNumberFormat="1" applyFont="1" applyFill="1" applyBorder="1" applyAlignment="1">
      <alignment horizontal="right" vertical="center"/>
    </xf>
    <xf numFmtId="0" fontId="25" fillId="6" borderId="159" xfId="4" applyFont="1" applyFill="1" applyBorder="1" applyAlignment="1">
      <alignment horizontal="center" vertical="center"/>
    </xf>
    <xf numFmtId="0" fontId="7" fillId="0" borderId="160" xfId="4" applyFont="1" applyFill="1" applyBorder="1" applyAlignment="1">
      <alignment vertical="center"/>
    </xf>
    <xf numFmtId="0" fontId="27" fillId="2" borderId="160" xfId="4" applyFont="1" applyFill="1" applyBorder="1" applyAlignment="1">
      <alignment vertical="center"/>
    </xf>
    <xf numFmtId="43" fontId="32" fillId="0" borderId="155" xfId="1" applyFont="1" applyFill="1" applyBorder="1" applyAlignment="1">
      <alignment vertical="center"/>
    </xf>
    <xf numFmtId="3" fontId="27" fillId="2" borderId="154" xfId="4" applyNumberFormat="1" applyFont="1" applyFill="1" applyBorder="1" applyAlignment="1">
      <alignment vertical="center"/>
    </xf>
    <xf numFmtId="43" fontId="7" fillId="0" borderId="164" xfId="1" applyFont="1" applyFill="1" applyBorder="1" applyAlignment="1">
      <alignment horizontal="right" vertical="center"/>
    </xf>
    <xf numFmtId="43" fontId="32" fillId="0" borderId="165" xfId="1" applyFont="1" applyFill="1" applyBorder="1" applyAlignment="1">
      <alignment vertical="center"/>
    </xf>
    <xf numFmtId="43" fontId="7" fillId="0" borderId="72" xfId="1" applyFont="1" applyFill="1" applyBorder="1" applyAlignment="1">
      <alignment horizontal="right" vertical="center"/>
    </xf>
    <xf numFmtId="43" fontId="25" fillId="6" borderId="9" xfId="1" applyFont="1" applyFill="1" applyBorder="1" applyAlignment="1">
      <alignment vertical="center"/>
    </xf>
    <xf numFmtId="3" fontId="25" fillId="6" borderId="165" xfId="4" applyNumberFormat="1" applyFont="1" applyFill="1" applyBorder="1" applyAlignment="1">
      <alignment vertical="center"/>
    </xf>
    <xf numFmtId="43" fontId="25" fillId="6" borderId="165" xfId="1" applyFont="1" applyFill="1" applyBorder="1" applyAlignment="1">
      <alignment vertical="center"/>
    </xf>
    <xf numFmtId="3" fontId="27" fillId="0" borderId="27" xfId="4" applyNumberFormat="1" applyFont="1" applyFill="1" applyBorder="1" applyAlignment="1">
      <alignment vertical="center"/>
    </xf>
    <xf numFmtId="43" fontId="27" fillId="0" borderId="27" xfId="1" applyFont="1" applyFill="1" applyBorder="1" applyAlignment="1">
      <alignment vertical="center"/>
    </xf>
    <xf numFmtId="3" fontId="31" fillId="0" borderId="156" xfId="4" applyNumberFormat="1" applyFont="1" applyFill="1" applyBorder="1" applyAlignment="1">
      <alignment horizontal="right" vertical="center"/>
    </xf>
    <xf numFmtId="43" fontId="33" fillId="0" borderId="165" xfId="1" applyFont="1" applyFill="1" applyBorder="1" applyAlignment="1">
      <alignment vertical="center"/>
    </xf>
    <xf numFmtId="43" fontId="24" fillId="6" borderId="165" xfId="1" applyFont="1" applyFill="1" applyBorder="1" applyAlignment="1">
      <alignment vertical="center"/>
    </xf>
    <xf numFmtId="3" fontId="24" fillId="6" borderId="165" xfId="4" applyNumberFormat="1" applyFont="1" applyFill="1" applyBorder="1" applyAlignment="1">
      <alignment vertical="center"/>
    </xf>
    <xf numFmtId="3" fontId="24" fillId="26" borderId="105" xfId="4" applyNumberFormat="1" applyFont="1" applyFill="1" applyBorder="1" applyAlignment="1">
      <alignment horizontal="center" vertical="center"/>
    </xf>
    <xf numFmtId="3" fontId="32" fillId="0" borderId="9" xfId="6" applyNumberFormat="1" applyFont="1" applyFill="1" applyBorder="1" applyAlignment="1">
      <alignment vertical="center"/>
    </xf>
    <xf numFmtId="43" fontId="32" fillId="0" borderId="9" xfId="1" applyFont="1" applyFill="1" applyBorder="1" applyAlignment="1">
      <alignment vertical="center"/>
    </xf>
    <xf numFmtId="3" fontId="32" fillId="0" borderId="10" xfId="6" applyNumberFormat="1" applyFont="1" applyFill="1" applyBorder="1" applyAlignment="1">
      <alignment vertical="center"/>
    </xf>
    <xf numFmtId="43" fontId="32" fillId="0" borderId="10" xfId="1" applyFont="1" applyFill="1" applyBorder="1" applyAlignment="1">
      <alignment vertical="center"/>
    </xf>
    <xf numFmtId="43" fontId="29" fillId="2" borderId="179" xfId="1" applyFont="1" applyFill="1" applyBorder="1" applyAlignment="1">
      <alignment vertical="center"/>
    </xf>
    <xf numFmtId="43" fontId="31" fillId="0" borderId="179" xfId="1" applyFont="1" applyFill="1" applyBorder="1" applyAlignment="1">
      <alignment vertical="center"/>
    </xf>
    <xf numFmtId="3" fontId="29" fillId="2" borderId="155" xfId="4" applyNumberFormat="1" applyFont="1" applyFill="1" applyBorder="1" applyAlignment="1">
      <alignment vertical="center"/>
    </xf>
    <xf numFmtId="3" fontId="32" fillId="0" borderId="20" xfId="0" applyNumberFormat="1" applyFont="1" applyBorder="1" applyAlignment="1">
      <alignment horizontal="center" vertical="center"/>
    </xf>
    <xf numFmtId="43" fontId="29" fillId="2" borderId="155" xfId="1" applyFont="1" applyFill="1" applyBorder="1" applyAlignment="1">
      <alignment vertical="center"/>
    </xf>
    <xf numFmtId="3" fontId="8" fillId="0" borderId="190" xfId="4" applyNumberFormat="1" applyFont="1" applyFill="1" applyBorder="1" applyAlignment="1">
      <alignment horizontal="right" vertical="center"/>
    </xf>
    <xf numFmtId="3" fontId="8" fillId="0" borderId="132" xfId="4" applyNumberFormat="1" applyFont="1" applyFill="1" applyBorder="1" applyAlignment="1">
      <alignment horizontal="right" vertical="center"/>
    </xf>
    <xf numFmtId="0" fontId="31" fillId="0" borderId="21" xfId="4" applyFont="1" applyFill="1" applyBorder="1" applyAlignment="1">
      <alignment vertical="center"/>
    </xf>
    <xf numFmtId="3" fontId="31" fillId="0" borderId="132" xfId="4" applyNumberFormat="1" applyFont="1" applyFill="1" applyBorder="1" applyAlignment="1">
      <alignment horizontal="right" vertical="center"/>
    </xf>
    <xf numFmtId="0" fontId="24" fillId="8" borderId="180" xfId="4" applyFont="1" applyFill="1" applyBorder="1" applyAlignment="1">
      <alignment vertical="center" wrapText="1"/>
    </xf>
    <xf numFmtId="0" fontId="24" fillId="8" borderId="180" xfId="4" applyFont="1" applyFill="1" applyBorder="1" applyAlignment="1">
      <alignment horizontal="center" vertical="center" wrapText="1"/>
    </xf>
    <xf numFmtId="0" fontId="24" fillId="6" borderId="180" xfId="4" applyFont="1" applyFill="1" applyBorder="1" applyAlignment="1">
      <alignment horizontal="left" vertical="center"/>
    </xf>
    <xf numFmtId="3" fontId="29" fillId="2" borderId="180" xfId="4" applyNumberFormat="1" applyFont="1" applyFill="1" applyBorder="1" applyAlignment="1">
      <alignment vertical="top" wrapText="1"/>
    </xf>
    <xf numFmtId="0" fontId="7" fillId="0" borderId="180" xfId="4" applyFont="1" applyFill="1" applyBorder="1" applyAlignment="1">
      <alignment vertical="top"/>
    </xf>
    <xf numFmtId="0" fontId="29" fillId="2" borderId="180" xfId="4" applyFont="1" applyFill="1" applyBorder="1" applyAlignment="1">
      <alignment vertical="top"/>
    </xf>
    <xf numFmtId="0" fontId="32" fillId="0" borderId="190" xfId="0" applyFont="1" applyBorder="1"/>
    <xf numFmtId="0" fontId="24" fillId="8" borderId="35" xfId="4" applyFont="1" applyFill="1" applyBorder="1" applyAlignment="1">
      <alignment vertical="center" wrapText="1"/>
    </xf>
    <xf numFmtId="0" fontId="24" fillId="8" borderId="35" xfId="4" applyFont="1" applyFill="1" applyBorder="1" applyAlignment="1">
      <alignment horizontal="center" vertical="center" wrapText="1"/>
    </xf>
    <xf numFmtId="3" fontId="24" fillId="22" borderId="35" xfId="4" applyNumberFormat="1" applyFont="1" applyFill="1" applyBorder="1" applyAlignment="1">
      <alignment horizontal="right" vertical="center"/>
    </xf>
    <xf numFmtId="0" fontId="32" fillId="0" borderId="116" xfId="0" applyFont="1" applyBorder="1" applyAlignment="1">
      <alignment vertical="center"/>
    </xf>
    <xf numFmtId="3" fontId="25" fillId="6" borderId="170" xfId="4" applyNumberFormat="1" applyFont="1" applyFill="1" applyBorder="1" applyAlignment="1">
      <alignment horizontal="right" vertical="center"/>
    </xf>
    <xf numFmtId="3" fontId="25" fillId="22" borderId="170" xfId="4" applyNumberFormat="1" applyFont="1" applyFill="1" applyBorder="1" applyAlignment="1">
      <alignment horizontal="right" vertical="center"/>
    </xf>
    <xf numFmtId="3" fontId="32" fillId="0" borderId="170" xfId="6" applyNumberFormat="1" applyFont="1" applyFill="1" applyBorder="1" applyAlignment="1">
      <alignment vertical="center"/>
    </xf>
    <xf numFmtId="3" fontId="24" fillId="6" borderId="180" xfId="4" applyNumberFormat="1" applyFont="1" applyFill="1" applyBorder="1" applyAlignment="1">
      <alignment horizontal="right" vertical="center"/>
    </xf>
    <xf numFmtId="3" fontId="29" fillId="2" borderId="180" xfId="4" applyNumberFormat="1" applyFont="1" applyFill="1" applyBorder="1" applyAlignment="1">
      <alignment vertical="center" wrapText="1"/>
    </xf>
    <xf numFmtId="0" fontId="7" fillId="0" borderId="190" xfId="4" applyFont="1" applyFill="1" applyBorder="1" applyAlignment="1">
      <alignment vertical="center"/>
    </xf>
    <xf numFmtId="0" fontId="7" fillId="0" borderId="174" xfId="4" applyFont="1" applyFill="1" applyBorder="1" applyAlignment="1">
      <alignment vertical="center"/>
    </xf>
    <xf numFmtId="0" fontId="27" fillId="2" borderId="92" xfId="4" applyFont="1" applyFill="1" applyBorder="1" applyAlignment="1">
      <alignment vertical="top"/>
    </xf>
    <xf numFmtId="43" fontId="27" fillId="2" borderId="179" xfId="1" applyFont="1" applyFill="1" applyBorder="1" applyAlignment="1">
      <alignment vertical="top"/>
    </xf>
    <xf numFmtId="3" fontId="31" fillId="2" borderId="9" xfId="0" applyNumberFormat="1" applyFont="1" applyFill="1" applyBorder="1" applyAlignment="1">
      <alignment vertical="top"/>
    </xf>
    <xf numFmtId="43" fontId="27" fillId="2" borderId="9" xfId="1" applyFont="1" applyFill="1" applyBorder="1" applyAlignment="1">
      <alignment vertical="top"/>
    </xf>
    <xf numFmtId="43" fontId="31" fillId="0" borderId="9" xfId="1" applyFont="1" applyFill="1" applyBorder="1" applyAlignment="1">
      <alignment vertical="top"/>
    </xf>
    <xf numFmtId="0" fontId="31" fillId="0" borderId="21" xfId="0" applyFont="1" applyFill="1" applyBorder="1" applyAlignment="1">
      <alignment horizontal="left" vertical="center" wrapText="1"/>
    </xf>
    <xf numFmtId="3" fontId="31" fillId="0" borderId="180" xfId="0" applyNumberFormat="1" applyFont="1" applyFill="1" applyBorder="1" applyAlignment="1">
      <alignment horizontal="right" vertical="center"/>
    </xf>
    <xf numFmtId="3" fontId="25" fillId="25" borderId="10" xfId="0" applyNumberFormat="1" applyFont="1" applyFill="1" applyBorder="1" applyAlignment="1">
      <alignment vertical="top"/>
    </xf>
    <xf numFmtId="43" fontId="31" fillId="0" borderId="13" xfId="1" applyFont="1" applyFill="1" applyBorder="1" applyAlignment="1">
      <alignment horizontal="right" vertical="center"/>
    </xf>
    <xf numFmtId="0" fontId="7" fillId="6" borderId="172" xfId="0" applyFont="1" applyFill="1" applyBorder="1" applyAlignment="1">
      <alignment horizontal="left" vertical="center" wrapText="1"/>
    </xf>
    <xf numFmtId="43" fontId="31" fillId="0" borderId="180" xfId="1" applyFont="1" applyFill="1" applyBorder="1" applyAlignment="1">
      <alignment vertical="top"/>
    </xf>
    <xf numFmtId="0" fontId="27" fillId="2" borderId="163" xfId="4" applyFont="1" applyFill="1" applyBorder="1" applyAlignment="1">
      <alignment vertical="top"/>
    </xf>
    <xf numFmtId="3" fontId="28" fillId="50" borderId="9" xfId="0" applyNumberFormat="1" applyFont="1" applyFill="1" applyBorder="1" applyAlignment="1">
      <alignment horizontal="right"/>
    </xf>
    <xf numFmtId="3" fontId="38" fillId="0" borderId="154" xfId="0" applyNumberFormat="1" applyFont="1" applyFill="1" applyBorder="1" applyAlignment="1">
      <alignment vertical="center"/>
    </xf>
    <xf numFmtId="3" fontId="38" fillId="0" borderId="116" xfId="0" applyNumberFormat="1" applyFont="1" applyFill="1" applyBorder="1" applyAlignment="1">
      <alignment vertical="center"/>
    </xf>
    <xf numFmtId="0" fontId="7" fillId="0" borderId="21" xfId="0" applyFont="1" applyFill="1" applyBorder="1" applyAlignment="1">
      <alignment vertical="center" wrapText="1"/>
    </xf>
    <xf numFmtId="0" fontId="19" fillId="0" borderId="26" xfId="4" applyFont="1" applyFill="1" applyBorder="1" applyAlignment="1">
      <alignment vertical="center" wrapText="1"/>
    </xf>
    <xf numFmtId="3" fontId="7" fillId="0" borderId="35" xfId="0" applyNumberFormat="1" applyFont="1" applyFill="1" applyBorder="1" applyAlignment="1">
      <alignment vertical="center"/>
    </xf>
    <xf numFmtId="3" fontId="24" fillId="22" borderId="13" xfId="0" applyNumberFormat="1" applyFont="1" applyFill="1" applyBorder="1" applyAlignment="1">
      <alignment vertical="center"/>
    </xf>
    <xf numFmtId="0" fontId="17" fillId="2" borderId="43" xfId="0" applyFont="1" applyFill="1" applyBorder="1" applyAlignment="1">
      <alignment vertical="center" wrapText="1"/>
    </xf>
    <xf numFmtId="0" fontId="7" fillId="0" borderId="119" xfId="0" applyFont="1" applyFill="1" applyBorder="1" applyAlignment="1">
      <alignment vertical="center" wrapText="1"/>
    </xf>
    <xf numFmtId="0" fontId="7" fillId="0" borderId="74" xfId="0" applyFont="1" applyFill="1" applyBorder="1" applyAlignment="1">
      <alignment vertical="center" wrapText="1"/>
    </xf>
    <xf numFmtId="0" fontId="19" fillId="0" borderId="66" xfId="4" applyFont="1" applyFill="1" applyBorder="1" applyAlignment="1">
      <alignment vertical="center" wrapText="1"/>
    </xf>
    <xf numFmtId="3" fontId="24" fillId="22" borderId="12" xfId="0" applyNumberFormat="1" applyFont="1" applyFill="1" applyBorder="1" applyAlignment="1">
      <alignment vertical="center"/>
    </xf>
    <xf numFmtId="0" fontId="17" fillId="2" borderId="41" xfId="0" applyFont="1" applyFill="1" applyBorder="1" applyAlignment="1">
      <alignment vertical="center" wrapText="1"/>
    </xf>
    <xf numFmtId="0" fontId="25" fillId="8" borderId="21" xfId="0" applyFont="1" applyFill="1" applyBorder="1" applyAlignment="1">
      <alignment vertical="center" wrapText="1"/>
    </xf>
    <xf numFmtId="3" fontId="31" fillId="8" borderId="7" xfId="0" applyNumberFormat="1" applyFont="1" applyFill="1" applyBorder="1" applyAlignment="1">
      <alignment vertical="top"/>
    </xf>
    <xf numFmtId="3" fontId="31" fillId="8" borderId="8" xfId="0" applyNumberFormat="1" applyFont="1" applyFill="1" applyBorder="1" applyAlignment="1">
      <alignment vertical="top"/>
    </xf>
    <xf numFmtId="0" fontId="31" fillId="8" borderId="8" xfId="0" applyFont="1" applyFill="1" applyBorder="1" applyAlignment="1">
      <alignment vertical="top"/>
    </xf>
    <xf numFmtId="0" fontId="31" fillId="8" borderId="9" xfId="0" applyFont="1" applyFill="1" applyBorder="1" applyAlignment="1">
      <alignment vertical="top"/>
    </xf>
    <xf numFmtId="3" fontId="27" fillId="0" borderId="87" xfId="0" applyNumberFormat="1" applyFont="1" applyFill="1" applyBorder="1" applyAlignment="1">
      <alignment vertical="center"/>
    </xf>
    <xf numFmtId="0" fontId="8" fillId="0" borderId="21" xfId="4" applyFont="1" applyFill="1" applyBorder="1" applyAlignment="1">
      <alignment vertical="center" wrapText="1"/>
    </xf>
    <xf numFmtId="3" fontId="31" fillId="0" borderId="87" xfId="0" applyNumberFormat="1" applyFont="1" applyFill="1" applyBorder="1" applyAlignment="1">
      <alignment vertical="center"/>
    </xf>
    <xf numFmtId="3" fontId="28" fillId="0" borderId="87" xfId="0" applyNumberFormat="1" applyFont="1" applyFill="1" applyBorder="1" applyAlignment="1">
      <alignment vertical="center"/>
    </xf>
    <xf numFmtId="3" fontId="31" fillId="32" borderId="9" xfId="0" applyNumberFormat="1" applyFont="1" applyFill="1" applyBorder="1" applyAlignment="1">
      <alignment vertical="top"/>
    </xf>
    <xf numFmtId="0" fontId="6" fillId="0" borderId="28" xfId="0" applyFont="1" applyFill="1" applyBorder="1" applyAlignment="1">
      <alignment vertical="center" wrapText="1"/>
    </xf>
    <xf numFmtId="3" fontId="27" fillId="32" borderId="89" xfId="0" applyNumberFormat="1" applyFont="1" applyFill="1" applyBorder="1" applyAlignment="1">
      <alignment vertical="top"/>
    </xf>
    <xf numFmtId="0" fontId="31" fillId="0" borderId="93" xfId="0" applyFont="1" applyFill="1" applyBorder="1" applyAlignment="1">
      <alignment horizontal="left" vertical="center" wrapText="1"/>
    </xf>
    <xf numFmtId="3" fontId="31" fillId="32" borderId="13" xfId="0" applyNumberFormat="1" applyFont="1" applyFill="1" applyBorder="1" applyAlignment="1">
      <alignment horizontal="right" vertical="center"/>
    </xf>
    <xf numFmtId="3" fontId="31" fillId="32" borderId="116" xfId="0" applyNumberFormat="1" applyFont="1" applyFill="1" applyBorder="1" applyAlignment="1">
      <alignment horizontal="right" vertical="center"/>
    </xf>
    <xf numFmtId="3" fontId="24" fillId="22" borderId="179" xfId="0" applyNumberFormat="1" applyFont="1" applyFill="1" applyBorder="1" applyAlignment="1">
      <alignment vertical="top"/>
    </xf>
    <xf numFmtId="3" fontId="25" fillId="2" borderId="179" xfId="0" applyNumberFormat="1" applyFont="1" applyFill="1" applyBorder="1" applyAlignment="1">
      <alignment vertical="center"/>
    </xf>
    <xf numFmtId="3" fontId="27" fillId="2" borderId="179" xfId="0" applyNumberFormat="1" applyFont="1" applyFill="1" applyBorder="1" applyAlignment="1">
      <alignment vertical="center"/>
    </xf>
    <xf numFmtId="3" fontId="29" fillId="26" borderId="179" xfId="0" applyNumberFormat="1" applyFont="1" applyFill="1" applyBorder="1" applyAlignment="1">
      <alignment vertical="center"/>
    </xf>
    <xf numFmtId="3" fontId="31" fillId="2" borderId="131" xfId="0" applyNumberFormat="1" applyFont="1" applyFill="1" applyBorder="1" applyAlignment="1">
      <alignment vertical="top"/>
    </xf>
    <xf numFmtId="3" fontId="31" fillId="2" borderId="116" xfId="0" applyNumberFormat="1" applyFont="1" applyFill="1" applyBorder="1" applyAlignment="1">
      <alignment vertical="top"/>
    </xf>
    <xf numFmtId="3" fontId="31" fillId="32" borderId="116" xfId="0" applyNumberFormat="1" applyFont="1" applyFill="1" applyBorder="1" applyAlignment="1">
      <alignment vertical="top"/>
    </xf>
    <xf numFmtId="3" fontId="27" fillId="0" borderId="121" xfId="4" applyNumberFormat="1" applyFont="1" applyFill="1" applyBorder="1" applyAlignment="1">
      <alignment vertical="center" wrapText="1"/>
    </xf>
    <xf numFmtId="0" fontId="32" fillId="0" borderId="121" xfId="0" applyFont="1" applyBorder="1" applyAlignment="1">
      <alignment vertical="center"/>
    </xf>
    <xf numFmtId="0" fontId="25" fillId="6" borderId="165" xfId="4" applyFont="1" applyFill="1" applyBorder="1" applyAlignment="1">
      <alignment horizontal="left" vertical="center"/>
    </xf>
    <xf numFmtId="0" fontId="31" fillId="6" borderId="165" xfId="0" applyFont="1" applyFill="1" applyBorder="1" applyAlignment="1">
      <alignment vertical="top"/>
    </xf>
    <xf numFmtId="3" fontId="25" fillId="6" borderId="165" xfId="0" applyNumberFormat="1" applyFont="1" applyFill="1" applyBorder="1" applyAlignment="1">
      <alignment vertical="top"/>
    </xf>
    <xf numFmtId="3" fontId="25" fillId="22" borderId="165" xfId="0" applyNumberFormat="1" applyFont="1" applyFill="1" applyBorder="1" applyAlignment="1">
      <alignment vertical="top"/>
    </xf>
    <xf numFmtId="3" fontId="27" fillId="0" borderId="165" xfId="4" applyNumberFormat="1" applyFont="1" applyFill="1" applyBorder="1" applyAlignment="1">
      <alignment vertical="top" wrapText="1"/>
    </xf>
    <xf numFmtId="3" fontId="27" fillId="0" borderId="165" xfId="0" applyNumberFormat="1" applyFont="1" applyFill="1" applyBorder="1" applyAlignment="1">
      <alignment vertical="top"/>
    </xf>
    <xf numFmtId="3" fontId="25" fillId="25" borderId="165" xfId="0" applyNumberFormat="1" applyFont="1" applyFill="1" applyBorder="1" applyAlignment="1">
      <alignment vertical="top"/>
    </xf>
    <xf numFmtId="0" fontId="32" fillId="0" borderId="165" xfId="0" applyFont="1" applyBorder="1"/>
    <xf numFmtId="3" fontId="31" fillId="0" borderId="165" xfId="0" applyNumberFormat="1" applyFont="1" applyFill="1" applyBorder="1" applyAlignment="1">
      <alignment vertical="top"/>
    </xf>
    <xf numFmtId="3" fontId="31" fillId="2" borderId="165" xfId="0" applyNumberFormat="1" applyFont="1" applyFill="1" applyBorder="1" applyAlignment="1">
      <alignment vertical="top"/>
    </xf>
    <xf numFmtId="3" fontId="31" fillId="2" borderId="35" xfId="0" applyNumberFormat="1" applyFont="1" applyFill="1" applyBorder="1" applyAlignment="1">
      <alignment vertical="top"/>
    </xf>
    <xf numFmtId="0" fontId="32" fillId="0" borderId="165" xfId="0" applyFont="1" applyBorder="1" applyAlignment="1">
      <alignment vertical="center"/>
    </xf>
    <xf numFmtId="3" fontId="31" fillId="2" borderId="165" xfId="0" applyNumberFormat="1" applyFont="1" applyFill="1" applyBorder="1" applyAlignment="1">
      <alignment vertical="center"/>
    </xf>
    <xf numFmtId="3" fontId="31" fillId="23" borderId="165" xfId="0" applyNumberFormat="1" applyFont="1" applyFill="1" applyBorder="1" applyAlignment="1">
      <alignment vertical="top"/>
    </xf>
    <xf numFmtId="0" fontId="33" fillId="0" borderId="165" xfId="0" applyFont="1" applyBorder="1" applyAlignment="1">
      <alignment vertical="center"/>
    </xf>
    <xf numFmtId="3" fontId="27" fillId="0" borderId="165" xfId="0" applyNumberFormat="1" applyFont="1" applyFill="1" applyBorder="1" applyAlignment="1">
      <alignment vertical="center"/>
    </xf>
    <xf numFmtId="3" fontId="27" fillId="0" borderId="35" xfId="0" applyNumberFormat="1" applyFont="1" applyFill="1" applyBorder="1" applyAlignment="1">
      <alignment vertical="center"/>
    </xf>
    <xf numFmtId="3" fontId="27" fillId="25" borderId="35" xfId="0" applyNumberFormat="1" applyFont="1" applyFill="1" applyBorder="1" applyAlignment="1">
      <alignment horizontal="center" vertical="center"/>
    </xf>
    <xf numFmtId="3" fontId="31" fillId="0" borderId="35" xfId="0" applyNumberFormat="1" applyFont="1" applyFill="1" applyBorder="1" applyAlignment="1">
      <alignment vertical="center"/>
    </xf>
    <xf numFmtId="3" fontId="31" fillId="25" borderId="35" xfId="0" applyNumberFormat="1" applyFont="1" applyFill="1" applyBorder="1" applyAlignment="1">
      <alignment horizontal="center" vertical="center"/>
    </xf>
    <xf numFmtId="0" fontId="31" fillId="6" borderId="165" xfId="0" applyFont="1" applyFill="1" applyBorder="1" applyAlignment="1">
      <alignment vertical="center"/>
    </xf>
    <xf numFmtId="3" fontId="25" fillId="6" borderId="165" xfId="0" applyNumberFormat="1" applyFont="1" applyFill="1" applyBorder="1" applyAlignment="1">
      <alignment vertical="center"/>
    </xf>
    <xf numFmtId="3" fontId="27" fillId="0" borderId="165" xfId="4" applyNumberFormat="1" applyFont="1" applyFill="1" applyBorder="1" applyAlignment="1">
      <alignment vertical="center" wrapText="1"/>
    </xf>
    <xf numFmtId="3" fontId="25" fillId="22" borderId="2" xfId="0" applyNumberFormat="1" applyFont="1" applyFill="1" applyBorder="1" applyAlignment="1">
      <alignment vertical="top"/>
    </xf>
    <xf numFmtId="0" fontId="32" fillId="0" borderId="13" xfId="0" applyFont="1" applyBorder="1" applyAlignment="1">
      <alignment vertical="center"/>
    </xf>
    <xf numFmtId="3" fontId="31" fillId="0" borderId="35" xfId="0" applyNumberFormat="1" applyFont="1" applyFill="1" applyBorder="1" applyAlignment="1">
      <alignment vertical="top"/>
    </xf>
    <xf numFmtId="3" fontId="31" fillId="23" borderId="35" xfId="0" applyNumberFormat="1" applyFont="1" applyFill="1" applyBorder="1" applyAlignment="1">
      <alignment horizontal="center" vertical="top"/>
    </xf>
    <xf numFmtId="3" fontId="27" fillId="2" borderId="121" xfId="4" applyNumberFormat="1" applyFont="1" applyFill="1" applyBorder="1" applyAlignment="1">
      <alignment vertical="center" wrapText="1"/>
    </xf>
    <xf numFmtId="0" fontId="31" fillId="6" borderId="180" xfId="0" applyFont="1" applyFill="1" applyBorder="1" applyAlignment="1">
      <alignment vertical="top"/>
    </xf>
    <xf numFmtId="3" fontId="27" fillId="0" borderId="180" xfId="4" applyNumberFormat="1" applyFont="1" applyFill="1" applyBorder="1" applyAlignment="1">
      <alignment vertical="top" wrapText="1"/>
    </xf>
    <xf numFmtId="0" fontId="32" fillId="0" borderId="180" xfId="0" applyFont="1" applyBorder="1"/>
    <xf numFmtId="3" fontId="31" fillId="2" borderId="180" xfId="0" applyNumberFormat="1" applyFont="1" applyFill="1" applyBorder="1" applyAlignment="1">
      <alignment vertical="top"/>
    </xf>
    <xf numFmtId="0" fontId="32" fillId="0" borderId="180" xfId="0" applyFont="1" applyBorder="1" applyAlignment="1">
      <alignment vertical="center"/>
    </xf>
    <xf numFmtId="3" fontId="31" fillId="2" borderId="180" xfId="0" applyNumberFormat="1" applyFont="1" applyFill="1" applyBorder="1" applyAlignment="1">
      <alignment vertical="center"/>
    </xf>
    <xf numFmtId="0" fontId="33" fillId="0" borderId="180" xfId="0" applyFont="1" applyBorder="1" applyAlignment="1">
      <alignment vertical="center"/>
    </xf>
    <xf numFmtId="0" fontId="31" fillId="6" borderId="180" xfId="0" applyFont="1" applyFill="1" applyBorder="1" applyAlignment="1">
      <alignment vertical="center"/>
    </xf>
    <xf numFmtId="43" fontId="27" fillId="0" borderId="35" xfId="1" applyFont="1" applyFill="1" applyBorder="1" applyAlignment="1">
      <alignment vertical="center"/>
    </xf>
    <xf numFmtId="43" fontId="25" fillId="6" borderId="35" xfId="1" applyFont="1" applyFill="1" applyBorder="1" applyAlignment="1">
      <alignment vertical="center"/>
    </xf>
    <xf numFmtId="3" fontId="31" fillId="0" borderId="197" xfId="4" applyNumberFormat="1" applyFont="1" applyFill="1" applyBorder="1" applyAlignment="1">
      <alignment vertical="center"/>
    </xf>
    <xf numFmtId="43" fontId="31" fillId="0" borderId="197" xfId="1" applyFont="1" applyFill="1" applyBorder="1" applyAlignment="1"/>
    <xf numFmtId="3" fontId="31" fillId="2" borderId="35" xfId="0" applyNumberFormat="1" applyFont="1" applyFill="1" applyBorder="1" applyAlignment="1">
      <alignment vertical="center"/>
    </xf>
    <xf numFmtId="3" fontId="31" fillId="23" borderId="35" xfId="0" applyNumberFormat="1" applyFont="1" applyFill="1" applyBorder="1" applyAlignment="1">
      <alignment vertical="top"/>
    </xf>
    <xf numFmtId="0" fontId="24" fillId="8" borderId="19" xfId="4" applyFont="1" applyFill="1" applyBorder="1" applyAlignment="1">
      <alignment horizontal="left" vertical="center" wrapText="1"/>
    </xf>
    <xf numFmtId="3" fontId="31" fillId="0" borderId="132" xfId="4" applyNumberFormat="1" applyFont="1" applyFill="1" applyBorder="1" applyAlignment="1">
      <alignment vertical="top"/>
    </xf>
    <xf numFmtId="3" fontId="7" fillId="0" borderId="156" xfId="4" applyNumberFormat="1" applyFont="1" applyFill="1" applyBorder="1" applyAlignment="1">
      <alignment vertical="center"/>
    </xf>
    <xf numFmtId="0" fontId="7" fillId="32" borderId="74" xfId="4" applyFont="1" applyFill="1" applyBorder="1" applyAlignment="1">
      <alignment vertical="top"/>
    </xf>
    <xf numFmtId="3" fontId="27" fillId="23" borderId="180" xfId="4" applyNumberFormat="1" applyFont="1" applyFill="1" applyBorder="1" applyAlignment="1">
      <alignment vertical="center"/>
    </xf>
    <xf numFmtId="0" fontId="24" fillId="8" borderId="21" xfId="0" applyFont="1" applyFill="1" applyBorder="1" applyAlignment="1">
      <alignment vertical="center" wrapText="1"/>
    </xf>
    <xf numFmtId="0" fontId="24" fillId="8" borderId="16" xfId="0" applyFont="1" applyFill="1" applyBorder="1" applyAlignment="1">
      <alignment horizontal="center" vertical="center" wrapText="1"/>
    </xf>
    <xf numFmtId="0" fontId="7" fillId="8" borderId="18" xfId="0" applyFont="1" applyFill="1" applyBorder="1" applyAlignment="1">
      <alignment vertical="center"/>
    </xf>
    <xf numFmtId="3" fontId="24" fillId="6" borderId="179" xfId="1" applyNumberFormat="1" applyFont="1" applyFill="1" applyBorder="1" applyAlignment="1">
      <alignment horizontal="right" vertical="center"/>
    </xf>
    <xf numFmtId="3" fontId="27" fillId="0" borderId="176" xfId="1" applyNumberFormat="1" applyFont="1" applyFill="1" applyBorder="1" applyAlignment="1">
      <alignment horizontal="right" vertical="center"/>
    </xf>
    <xf numFmtId="43" fontId="27" fillId="0" borderId="176" xfId="1" applyFont="1" applyFill="1" applyBorder="1" applyAlignment="1">
      <alignment horizontal="right" vertical="center"/>
    </xf>
    <xf numFmtId="43" fontId="31" fillId="0" borderId="179" xfId="1" applyFont="1" applyFill="1" applyBorder="1" applyAlignment="1"/>
    <xf numFmtId="3" fontId="31" fillId="0" borderId="179" xfId="1" applyNumberFormat="1" applyFont="1" applyFill="1" applyBorder="1" applyAlignment="1">
      <alignment horizontal="right"/>
    </xf>
    <xf numFmtId="3" fontId="33" fillId="0" borderId="180" xfId="1" applyNumberFormat="1" applyFont="1" applyFill="1" applyBorder="1" applyAlignment="1">
      <alignment horizontal="right" vertical="center"/>
    </xf>
    <xf numFmtId="43" fontId="31" fillId="0" borderId="171" xfId="4" applyNumberFormat="1" applyFont="1" applyFill="1" applyBorder="1" applyAlignment="1">
      <alignment vertical="center"/>
    </xf>
    <xf numFmtId="0" fontId="28" fillId="0" borderId="183" xfId="4" applyFont="1" applyFill="1" applyBorder="1" applyAlignment="1">
      <alignment horizontal="right" vertical="center"/>
    </xf>
    <xf numFmtId="3" fontId="28" fillId="0" borderId="171" xfId="4" applyNumberFormat="1" applyFont="1" applyFill="1" applyBorder="1" applyAlignment="1">
      <alignment vertical="center"/>
    </xf>
    <xf numFmtId="41" fontId="28" fillId="0" borderId="171" xfId="1" applyNumberFormat="1" applyFont="1" applyFill="1" applyBorder="1" applyAlignment="1"/>
    <xf numFmtId="43" fontId="33" fillId="0" borderId="180" xfId="6" applyNumberFormat="1" applyFont="1" applyFill="1" applyBorder="1" applyAlignment="1">
      <alignment vertical="center"/>
    </xf>
    <xf numFmtId="3" fontId="32" fillId="0" borderId="171" xfId="6" applyNumberFormat="1" applyFont="1" applyFill="1" applyBorder="1" applyAlignment="1">
      <alignment vertical="center"/>
    </xf>
    <xf numFmtId="43" fontId="32" fillId="0" borderId="171" xfId="6" applyNumberFormat="1" applyFont="1" applyFill="1" applyBorder="1" applyAlignment="1">
      <alignment vertical="center"/>
    </xf>
    <xf numFmtId="43" fontId="33" fillId="0" borderId="171" xfId="6" applyNumberFormat="1" applyFont="1" applyFill="1" applyBorder="1" applyAlignment="1">
      <alignment vertical="center"/>
    </xf>
    <xf numFmtId="41" fontId="28" fillId="0" borderId="171" xfId="1" applyNumberFormat="1" applyFont="1" applyFill="1" applyBorder="1" applyAlignment="1">
      <alignment horizontal="right" vertical="center"/>
    </xf>
    <xf numFmtId="3" fontId="28" fillId="0" borderId="171" xfId="4" applyNumberFormat="1" applyFont="1" applyFill="1" applyBorder="1" applyAlignment="1">
      <alignment horizontal="right" vertical="center"/>
    </xf>
    <xf numFmtId="43" fontId="63" fillId="0" borderId="180" xfId="6" applyNumberFormat="1" applyFont="1" applyFill="1" applyBorder="1" applyAlignment="1">
      <alignment vertical="center"/>
    </xf>
    <xf numFmtId="43" fontId="32" fillId="0" borderId="180" xfId="6" applyNumberFormat="1" applyFont="1" applyFill="1" applyBorder="1" applyAlignment="1">
      <alignment vertical="center"/>
    </xf>
    <xf numFmtId="41" fontId="28" fillId="0" borderId="179" xfId="1" applyNumberFormat="1" applyFont="1" applyFill="1" applyBorder="1" applyAlignment="1"/>
    <xf numFmtId="3" fontId="31" fillId="2" borderId="190" xfId="0" applyNumberFormat="1" applyFont="1" applyFill="1" applyBorder="1" applyAlignment="1">
      <alignment vertical="center"/>
    </xf>
    <xf numFmtId="3" fontId="31" fillId="23" borderId="190" xfId="0" applyNumberFormat="1" applyFont="1" applyFill="1" applyBorder="1" applyAlignment="1">
      <alignment vertical="top"/>
    </xf>
    <xf numFmtId="43" fontId="27" fillId="2" borderId="180" xfId="1" applyFont="1" applyFill="1" applyBorder="1" applyAlignment="1">
      <alignment vertical="center"/>
    </xf>
    <xf numFmtId="3" fontId="17" fillId="6" borderId="181" xfId="4" applyNumberFormat="1" applyFont="1" applyFill="1" applyBorder="1" applyAlignment="1">
      <alignment vertical="center"/>
    </xf>
    <xf numFmtId="3" fontId="7" fillId="0" borderId="190" xfId="4" applyNumberFormat="1" applyFont="1" applyFill="1" applyBorder="1" applyAlignment="1"/>
    <xf numFmtId="3" fontId="31" fillId="23" borderId="35" xfId="4" applyNumberFormat="1" applyFont="1" applyFill="1" applyBorder="1" applyAlignment="1">
      <alignment vertical="center"/>
    </xf>
    <xf numFmtId="0" fontId="38" fillId="0" borderId="35" xfId="4" applyFont="1" applyFill="1" applyBorder="1" applyAlignment="1">
      <alignment vertical="top"/>
    </xf>
    <xf numFmtId="3" fontId="63" fillId="0" borderId="35" xfId="6" applyNumberFormat="1" applyFont="1" applyFill="1" applyBorder="1" applyAlignment="1">
      <alignment vertical="center"/>
    </xf>
    <xf numFmtId="3" fontId="38" fillId="0" borderId="35" xfId="4" applyNumberFormat="1" applyFont="1" applyFill="1" applyBorder="1" applyAlignment="1">
      <alignment horizontal="right" vertical="center"/>
    </xf>
    <xf numFmtId="3" fontId="38" fillId="25" borderId="35" xfId="4" applyNumberFormat="1" applyFont="1" applyFill="1" applyBorder="1" applyAlignment="1">
      <alignment horizontal="right" vertical="center"/>
    </xf>
    <xf numFmtId="3" fontId="8" fillId="6" borderId="35" xfId="0" applyNumberFormat="1" applyFont="1" applyFill="1" applyBorder="1"/>
    <xf numFmtId="3" fontId="8" fillId="6" borderId="8" xfId="0" applyNumberFormat="1" applyFont="1" applyFill="1" applyBorder="1"/>
    <xf numFmtId="3" fontId="8" fillId="6" borderId="21" xfId="0" applyNumberFormat="1" applyFont="1" applyFill="1" applyBorder="1"/>
    <xf numFmtId="3" fontId="8" fillId="6" borderId="9" xfId="0" applyNumberFormat="1" applyFont="1" applyFill="1" applyBorder="1"/>
    <xf numFmtId="43" fontId="29" fillId="0" borderId="180" xfId="1" applyFont="1" applyFill="1" applyBorder="1" applyAlignment="1">
      <alignment horizontal="right" vertical="center"/>
    </xf>
    <xf numFmtId="3" fontId="7" fillId="0" borderId="190" xfId="0" applyNumberFormat="1" applyFont="1" applyFill="1" applyBorder="1" applyAlignment="1">
      <alignment vertical="top"/>
    </xf>
    <xf numFmtId="43" fontId="7" fillId="0" borderId="190" xfId="1" applyFont="1" applyFill="1" applyBorder="1" applyAlignment="1">
      <alignment vertical="top"/>
    </xf>
    <xf numFmtId="3" fontId="7" fillId="25" borderId="190" xfId="4" applyNumberFormat="1" applyFont="1" applyFill="1" applyBorder="1" applyAlignment="1">
      <alignment vertical="top"/>
    </xf>
    <xf numFmtId="3" fontId="7" fillId="0" borderId="180" xfId="0" applyNumberFormat="1" applyFont="1" applyFill="1" applyBorder="1" applyAlignment="1">
      <alignment vertical="top"/>
    </xf>
    <xf numFmtId="3" fontId="24" fillId="34" borderId="180" xfId="4" applyNumberFormat="1" applyFont="1" applyFill="1" applyBorder="1" applyAlignment="1">
      <alignment horizontal="center" vertical="center"/>
    </xf>
    <xf numFmtId="3" fontId="7" fillId="0" borderId="188" xfId="4" applyNumberFormat="1" applyFont="1" applyFill="1" applyBorder="1" applyAlignment="1">
      <alignment vertical="top"/>
    </xf>
    <xf numFmtId="0" fontId="37" fillId="0" borderId="180" xfId="0" applyFont="1" applyBorder="1" applyAlignment="1">
      <alignment vertical="center"/>
    </xf>
    <xf numFmtId="0" fontId="39" fillId="0" borderId="180" xfId="0" applyFont="1" applyBorder="1" applyAlignment="1">
      <alignment vertical="center"/>
    </xf>
    <xf numFmtId="0" fontId="25" fillId="0" borderId="24" xfId="0" applyFont="1" applyBorder="1" applyAlignment="1">
      <alignment vertical="top"/>
    </xf>
    <xf numFmtId="0" fontId="21" fillId="0" borderId="24" xfId="0" applyFont="1" applyBorder="1" applyAlignment="1">
      <alignment horizontal="center" vertical="top" wrapText="1"/>
    </xf>
    <xf numFmtId="2" fontId="31" fillId="0" borderId="197" xfId="0" applyNumberFormat="1" applyFont="1" applyFill="1" applyBorder="1" applyAlignment="1">
      <alignment vertical="center"/>
    </xf>
    <xf numFmtId="2" fontId="17" fillId="0" borderId="24" xfId="0" applyNumberFormat="1" applyFont="1" applyBorder="1" applyAlignment="1">
      <alignment vertical="top"/>
    </xf>
    <xf numFmtId="2" fontId="18" fillId="0" borderId="24" xfId="0" applyNumberFormat="1" applyFont="1" applyBorder="1" applyAlignment="1">
      <alignment vertical="top"/>
    </xf>
    <xf numFmtId="2" fontId="18" fillId="0" borderId="24" xfId="0" applyNumberFormat="1" applyFont="1" applyBorder="1" applyAlignment="1">
      <alignment horizontal="center" vertical="top" wrapText="1"/>
    </xf>
    <xf numFmtId="0" fontId="19" fillId="0" borderId="24" xfId="0" applyFont="1" applyBorder="1" applyAlignment="1">
      <alignment vertical="top"/>
    </xf>
    <xf numFmtId="3" fontId="31" fillId="0" borderId="180" xfId="0" applyNumberFormat="1" applyFont="1" applyFill="1" applyBorder="1" applyAlignment="1">
      <alignment horizontal="right"/>
    </xf>
    <xf numFmtId="0" fontId="7" fillId="0" borderId="190" xfId="4" applyFont="1" applyFill="1" applyBorder="1" applyAlignment="1">
      <alignment vertical="top"/>
    </xf>
    <xf numFmtId="3" fontId="27" fillId="23" borderId="180" xfId="4" applyNumberFormat="1" applyFont="1" applyFill="1" applyBorder="1" applyAlignment="1">
      <alignment horizontal="right" vertical="center"/>
    </xf>
    <xf numFmtId="0" fontId="7" fillId="54" borderId="180" xfId="4" applyFont="1" applyFill="1" applyBorder="1" applyAlignment="1">
      <alignment vertical="top"/>
    </xf>
    <xf numFmtId="3" fontId="32" fillId="54" borderId="180" xfId="6" applyNumberFormat="1" applyFont="1" applyFill="1" applyBorder="1" applyAlignment="1">
      <alignment vertical="center"/>
    </xf>
    <xf numFmtId="3" fontId="7" fillId="54" borderId="180" xfId="4" applyNumberFormat="1" applyFont="1" applyFill="1" applyBorder="1" applyAlignment="1">
      <alignment horizontal="right" vertical="center"/>
    </xf>
    <xf numFmtId="3" fontId="31" fillId="54" borderId="180" xfId="4" applyNumberFormat="1" applyFont="1" applyFill="1" applyBorder="1" applyAlignment="1">
      <alignment horizontal="right" vertical="center"/>
    </xf>
    <xf numFmtId="3" fontId="7" fillId="25" borderId="180" xfId="4" applyNumberFormat="1" applyFont="1" applyFill="1" applyBorder="1" applyAlignment="1">
      <alignment horizontal="right" vertical="center"/>
    </xf>
    <xf numFmtId="0" fontId="7" fillId="57" borderId="180" xfId="4" applyFont="1" applyFill="1" applyBorder="1" applyAlignment="1">
      <alignment vertical="top"/>
    </xf>
    <xf numFmtId="3" fontId="32" fillId="57" borderId="180" xfId="6" applyNumberFormat="1" applyFont="1" applyFill="1" applyBorder="1" applyAlignment="1">
      <alignment vertical="center"/>
    </xf>
    <xf numFmtId="3" fontId="7" fillId="57" borderId="180" xfId="4" applyNumberFormat="1" applyFont="1" applyFill="1" applyBorder="1" applyAlignment="1">
      <alignment horizontal="right" vertical="center"/>
    </xf>
    <xf numFmtId="3" fontId="31" fillId="57" borderId="180" xfId="4" applyNumberFormat="1" applyFont="1" applyFill="1" applyBorder="1" applyAlignment="1">
      <alignment horizontal="right" vertical="center"/>
    </xf>
    <xf numFmtId="0" fontId="32" fillId="57" borderId="180" xfId="0" applyFont="1" applyFill="1" applyBorder="1" applyAlignment="1">
      <alignment horizontal="center" vertical="center" wrapText="1"/>
    </xf>
    <xf numFmtId="0" fontId="25" fillId="6" borderId="181" xfId="4" applyFont="1" applyFill="1" applyBorder="1" applyAlignment="1">
      <alignment horizontal="center" vertical="center"/>
    </xf>
    <xf numFmtId="3" fontId="32" fillId="0" borderId="197" xfId="6" applyNumberFormat="1" applyFont="1" applyFill="1" applyBorder="1" applyAlignment="1">
      <alignment vertical="center"/>
    </xf>
    <xf numFmtId="0" fontId="65" fillId="0" borderId="188" xfId="0" applyFont="1" applyBorder="1" applyAlignment="1">
      <alignment horizontal="center" vertical="center"/>
    </xf>
    <xf numFmtId="0" fontId="65" fillId="0" borderId="198" xfId="0" applyFont="1" applyBorder="1" applyAlignment="1">
      <alignment horizontal="center" vertical="center"/>
    </xf>
    <xf numFmtId="0" fontId="65" fillId="0" borderId="176" xfId="0" applyFont="1" applyBorder="1" applyAlignment="1">
      <alignment horizontal="center" vertical="center"/>
    </xf>
    <xf numFmtId="0" fontId="65" fillId="0" borderId="176" xfId="0" applyFont="1" applyBorder="1" applyAlignment="1">
      <alignment horizontal="center"/>
    </xf>
    <xf numFmtId="0" fontId="8" fillId="0" borderId="0" xfId="0" applyFont="1" applyBorder="1" applyAlignment="1">
      <alignment vertical="center"/>
    </xf>
    <xf numFmtId="3" fontId="8" fillId="6" borderId="180" xfId="0" applyNumberFormat="1" applyFont="1" applyFill="1" applyBorder="1"/>
    <xf numFmtId="3" fontId="8" fillId="6" borderId="183" xfId="0" applyNumberFormat="1" applyFont="1" applyFill="1" applyBorder="1"/>
    <xf numFmtId="3" fontId="6" fillId="6" borderId="180" xfId="0" applyNumberFormat="1" applyFont="1" applyFill="1" applyBorder="1"/>
    <xf numFmtId="0" fontId="6" fillId="0" borderId="199" xfId="0" applyFont="1" applyFill="1" applyBorder="1" applyAlignment="1">
      <alignment vertical="center" wrapText="1"/>
    </xf>
    <xf numFmtId="0" fontId="31" fillId="50" borderId="199" xfId="4" applyFont="1" applyFill="1" applyBorder="1" applyAlignment="1">
      <alignment horizontal="left" vertical="center"/>
    </xf>
    <xf numFmtId="0" fontId="27" fillId="2" borderId="199" xfId="4" applyFont="1" applyFill="1" applyBorder="1" applyAlignment="1">
      <alignment vertical="top"/>
    </xf>
    <xf numFmtId="3" fontId="27" fillId="0" borderId="155" xfId="0" applyNumberFormat="1" applyFont="1" applyFill="1" applyBorder="1" applyAlignment="1">
      <alignment vertical="top"/>
    </xf>
    <xf numFmtId="3" fontId="27" fillId="25" borderId="165" xfId="0" applyNumberFormat="1" applyFont="1" applyFill="1" applyBorder="1" applyAlignment="1">
      <alignment vertical="top"/>
    </xf>
    <xf numFmtId="0" fontId="25" fillId="0" borderId="0" xfId="0" applyFont="1" applyBorder="1" applyAlignment="1">
      <alignment vertical="center"/>
    </xf>
    <xf numFmtId="0" fontId="18" fillId="0" borderId="180" xfId="0" applyFont="1" applyBorder="1" applyAlignment="1">
      <alignment vertical="center"/>
    </xf>
    <xf numFmtId="3" fontId="8" fillId="0" borderId="180" xfId="0" applyNumberFormat="1" applyFont="1" applyBorder="1" applyAlignment="1">
      <alignment vertical="center"/>
    </xf>
    <xf numFmtId="0" fontId="21" fillId="0" borderId="0" xfId="0" applyFont="1" applyBorder="1" applyAlignment="1">
      <alignment horizontal="center" vertical="center" wrapText="1"/>
    </xf>
    <xf numFmtId="0" fontId="29" fillId="8" borderId="199" xfId="4" applyFont="1" applyFill="1" applyBorder="1" applyAlignment="1">
      <alignment vertical="top"/>
    </xf>
    <xf numFmtId="3" fontId="27" fillId="8" borderId="165" xfId="4" applyNumberFormat="1" applyFont="1" applyFill="1" applyBorder="1" applyAlignment="1">
      <alignment vertical="top"/>
    </xf>
    <xf numFmtId="0" fontId="7" fillId="8" borderId="199" xfId="4" applyFont="1" applyFill="1" applyBorder="1" applyAlignment="1">
      <alignment vertical="top" wrapText="1"/>
    </xf>
    <xf numFmtId="3" fontId="7" fillId="8" borderId="165" xfId="4" applyNumberFormat="1" applyFont="1" applyFill="1" applyBorder="1" applyAlignment="1">
      <alignment vertical="top"/>
    </xf>
    <xf numFmtId="0" fontId="7" fillId="8" borderId="199" xfId="4" applyFont="1" applyFill="1" applyBorder="1" applyAlignment="1">
      <alignment vertical="top"/>
    </xf>
    <xf numFmtId="0" fontId="31" fillId="8" borderId="197" xfId="4" applyFont="1" applyFill="1" applyBorder="1" applyAlignment="1">
      <alignment horizontal="left" vertical="center"/>
    </xf>
    <xf numFmtId="3" fontId="7" fillId="8" borderId="190" xfId="4" applyNumberFormat="1" applyFont="1" applyFill="1" applyBorder="1" applyAlignment="1">
      <alignment vertical="top"/>
    </xf>
    <xf numFmtId="0" fontId="24" fillId="6" borderId="199" xfId="4" applyFont="1" applyFill="1" applyBorder="1" applyAlignment="1">
      <alignment horizontal="left" vertical="center"/>
    </xf>
    <xf numFmtId="3" fontId="24" fillId="22" borderId="165" xfId="4" applyNumberFormat="1" applyFont="1" applyFill="1" applyBorder="1" applyAlignment="1">
      <alignment vertical="center"/>
    </xf>
    <xf numFmtId="0" fontId="29" fillId="0" borderId="199" xfId="4" applyFont="1" applyFill="1" applyBorder="1" applyAlignment="1">
      <alignment vertical="top"/>
    </xf>
    <xf numFmtId="3" fontId="29" fillId="0" borderId="165" xfId="4" applyNumberFormat="1" applyFont="1" applyFill="1" applyBorder="1" applyAlignment="1">
      <alignment horizontal="right" vertical="center"/>
    </xf>
    <xf numFmtId="3" fontId="29" fillId="25" borderId="165" xfId="4" applyNumberFormat="1" applyFont="1" applyFill="1" applyBorder="1" applyAlignment="1">
      <alignment horizontal="right" vertical="center"/>
    </xf>
    <xf numFmtId="0" fontId="7" fillId="0" borderId="199" xfId="4" applyFont="1" applyFill="1" applyBorder="1" applyAlignment="1">
      <alignment vertical="top"/>
    </xf>
    <xf numFmtId="3" fontId="7" fillId="0" borderId="165" xfId="4" applyNumberFormat="1" applyFont="1" applyFill="1" applyBorder="1" applyAlignment="1"/>
    <xf numFmtId="3" fontId="7" fillId="0" borderId="165" xfId="4" applyNumberFormat="1" applyFont="1" applyFill="1" applyBorder="1" applyAlignment="1">
      <alignment vertical="top"/>
    </xf>
    <xf numFmtId="3" fontId="7" fillId="25" borderId="165" xfId="4" applyNumberFormat="1" applyFont="1" applyFill="1" applyBorder="1" applyAlignment="1">
      <alignment vertical="center"/>
    </xf>
    <xf numFmtId="0" fontId="7" fillId="32" borderId="199" xfId="4" applyFont="1" applyFill="1" applyBorder="1" applyAlignment="1">
      <alignment vertical="top"/>
    </xf>
    <xf numFmtId="0" fontId="29" fillId="0" borderId="199" xfId="4" applyFont="1" applyFill="1" applyBorder="1" applyAlignment="1">
      <alignment horizontal="left" vertical="center"/>
    </xf>
    <xf numFmtId="0" fontId="29" fillId="8" borderId="181" xfId="4" applyFont="1" applyFill="1" applyBorder="1" applyAlignment="1">
      <alignment vertical="center"/>
    </xf>
    <xf numFmtId="3" fontId="29" fillId="23" borderId="165" xfId="4" applyNumberFormat="1" applyFont="1" applyFill="1" applyBorder="1" applyAlignment="1">
      <alignment vertical="center"/>
    </xf>
    <xf numFmtId="3" fontId="31" fillId="23" borderId="165" xfId="4" applyNumberFormat="1" applyFont="1" applyFill="1" applyBorder="1" applyAlignment="1">
      <alignment horizontal="right" vertical="center"/>
    </xf>
    <xf numFmtId="3" fontId="7" fillId="8" borderId="181" xfId="4" applyNumberFormat="1" applyFont="1" applyFill="1" applyBorder="1" applyAlignment="1">
      <alignment vertical="center" wrapText="1"/>
    </xf>
    <xf numFmtId="3" fontId="27" fillId="23" borderId="165" xfId="4" applyNumberFormat="1" applyFont="1" applyFill="1" applyBorder="1" applyAlignment="1">
      <alignment vertical="center"/>
    </xf>
    <xf numFmtId="0" fontId="7" fillId="8" borderId="181" xfId="4" applyFont="1" applyFill="1" applyBorder="1" applyAlignment="1">
      <alignment vertical="center" wrapText="1"/>
    </xf>
    <xf numFmtId="0" fontId="7" fillId="8" borderId="199" xfId="4" applyFont="1" applyFill="1" applyBorder="1" applyAlignment="1">
      <alignment vertical="center" wrapText="1"/>
    </xf>
    <xf numFmtId="0" fontId="25" fillId="6" borderId="199" xfId="4" applyFont="1" applyFill="1" applyBorder="1" applyAlignment="1">
      <alignment horizontal="left" vertical="center"/>
    </xf>
    <xf numFmtId="3" fontId="27" fillId="8" borderId="199" xfId="4" applyNumberFormat="1" applyFont="1" applyFill="1" applyBorder="1" applyAlignment="1">
      <alignment vertical="center" wrapText="1"/>
    </xf>
    <xf numFmtId="3" fontId="27" fillId="8" borderId="181" xfId="4" applyNumberFormat="1" applyFont="1" applyFill="1" applyBorder="1" applyAlignment="1">
      <alignment vertical="center" wrapText="1"/>
    </xf>
    <xf numFmtId="0" fontId="27" fillId="8" borderId="199" xfId="4" applyFont="1" applyFill="1" applyBorder="1" applyAlignment="1">
      <alignment vertical="center"/>
    </xf>
    <xf numFmtId="0" fontId="27" fillId="8" borderId="181" xfId="4" applyFont="1" applyFill="1" applyBorder="1" applyAlignment="1">
      <alignment vertical="center"/>
    </xf>
    <xf numFmtId="0" fontId="7" fillId="8" borderId="181" xfId="4" applyFont="1" applyFill="1" applyBorder="1" applyAlignment="1">
      <alignment vertical="center"/>
    </xf>
    <xf numFmtId="3" fontId="7" fillId="8" borderId="165" xfId="4" applyNumberFormat="1" applyFont="1" applyFill="1" applyBorder="1" applyAlignment="1">
      <alignment vertical="center"/>
    </xf>
    <xf numFmtId="0" fontId="18" fillId="8" borderId="41" xfId="4" applyFont="1" applyFill="1" applyBorder="1" applyAlignment="1">
      <alignment vertical="center" wrapText="1"/>
    </xf>
    <xf numFmtId="0" fontId="17" fillId="13" borderId="5" xfId="4" applyFont="1" applyFill="1" applyBorder="1" applyAlignment="1">
      <alignment horizontal="center" vertical="center"/>
    </xf>
    <xf numFmtId="0" fontId="24" fillId="13" borderId="45" xfId="4" applyFont="1" applyFill="1" applyBorder="1" applyAlignment="1">
      <alignment vertical="center" wrapText="1"/>
    </xf>
    <xf numFmtId="0" fontId="24" fillId="13" borderId="14" xfId="4" applyFont="1" applyFill="1" applyBorder="1" applyAlignment="1">
      <alignment vertical="center" wrapText="1"/>
    </xf>
    <xf numFmtId="0" fontId="7" fillId="13" borderId="3" xfId="4" applyFont="1" applyFill="1" applyBorder="1" applyAlignment="1">
      <alignment horizontal="right" vertical="center"/>
    </xf>
    <xf numFmtId="3" fontId="7" fillId="13" borderId="2" xfId="4" applyNumberFormat="1" applyFont="1" applyFill="1" applyBorder="1" applyAlignment="1">
      <alignment horizontal="right" vertical="center"/>
    </xf>
    <xf numFmtId="3" fontId="7" fillId="24" borderId="76" xfId="4" applyNumberFormat="1" applyFont="1" applyFill="1" applyBorder="1" applyAlignment="1">
      <alignment horizontal="right" vertical="center"/>
    </xf>
    <xf numFmtId="3" fontId="7" fillId="24" borderId="68" xfId="4" applyNumberFormat="1" applyFont="1" applyFill="1" applyBorder="1" applyAlignment="1">
      <alignment horizontal="right" vertical="center"/>
    </xf>
    <xf numFmtId="3" fontId="18" fillId="13" borderId="42" xfId="4" applyNumberFormat="1" applyFont="1" applyFill="1" applyBorder="1" applyAlignment="1">
      <alignment horizontal="center" vertical="center"/>
    </xf>
    <xf numFmtId="3" fontId="29" fillId="13" borderId="181" xfId="4" applyNumberFormat="1" applyFont="1" applyFill="1" applyBorder="1" applyAlignment="1">
      <alignment vertical="center" wrapText="1"/>
    </xf>
    <xf numFmtId="3" fontId="7" fillId="13" borderId="181" xfId="4" applyNumberFormat="1" applyFont="1" applyFill="1" applyBorder="1" applyAlignment="1">
      <alignment vertical="center" wrapText="1"/>
    </xf>
    <xf numFmtId="0" fontId="7" fillId="13" borderId="181" xfId="4" applyFont="1" applyFill="1" applyBorder="1" applyAlignment="1">
      <alignment vertical="center"/>
    </xf>
    <xf numFmtId="0" fontId="29" fillId="13" borderId="181" xfId="4" applyFont="1" applyFill="1" applyBorder="1" applyAlignment="1">
      <alignment vertical="center"/>
    </xf>
    <xf numFmtId="3" fontId="29" fillId="24" borderId="165" xfId="4" applyNumberFormat="1" applyFont="1" applyFill="1" applyBorder="1" applyAlignment="1">
      <alignment horizontal="right" vertical="center"/>
    </xf>
    <xf numFmtId="0" fontId="27" fillId="13" borderId="181" xfId="4" applyFont="1" applyFill="1" applyBorder="1" applyAlignment="1">
      <alignment vertical="center"/>
    </xf>
    <xf numFmtId="3" fontId="32" fillId="13" borderId="197" xfId="6" applyNumberFormat="1" applyFont="1" applyFill="1" applyBorder="1" applyAlignment="1">
      <alignment vertical="center"/>
    </xf>
    <xf numFmtId="2" fontId="22" fillId="0" borderId="0" xfId="0" applyNumberFormat="1" applyFont="1" applyBorder="1" applyAlignment="1">
      <alignment horizontal="center" vertical="center" wrapText="1"/>
    </xf>
    <xf numFmtId="3" fontId="7" fillId="23" borderId="165" xfId="0" applyNumberFormat="1" applyFont="1" applyFill="1" applyBorder="1" applyAlignment="1">
      <alignment vertical="center"/>
    </xf>
    <xf numFmtId="2" fontId="7" fillId="28" borderId="181" xfId="0" applyNumberFormat="1" applyFont="1" applyFill="1" applyBorder="1" applyAlignment="1">
      <alignment vertical="center" wrapText="1"/>
    </xf>
    <xf numFmtId="2" fontId="24" fillId="8" borderId="125" xfId="0" applyNumberFormat="1" applyFont="1" applyFill="1" applyBorder="1" applyAlignment="1">
      <alignment vertical="center"/>
    </xf>
    <xf numFmtId="3" fontId="29" fillId="8" borderId="165" xfId="0" applyNumberFormat="1" applyFont="1" applyFill="1" applyBorder="1" applyAlignment="1">
      <alignment vertical="center"/>
    </xf>
    <xf numFmtId="3" fontId="29" fillId="23" borderId="165" xfId="0" applyNumberFormat="1" applyFont="1" applyFill="1" applyBorder="1" applyAlignment="1">
      <alignment vertical="center"/>
    </xf>
    <xf numFmtId="3" fontId="31" fillId="8" borderId="9" xfId="0" applyNumberFormat="1" applyFont="1" applyFill="1" applyBorder="1" applyAlignment="1">
      <alignment vertical="center"/>
    </xf>
    <xf numFmtId="2" fontId="17" fillId="32" borderId="25" xfId="0" applyNumberFormat="1" applyFont="1" applyFill="1" applyBorder="1" applyAlignment="1">
      <alignment vertical="center"/>
    </xf>
    <xf numFmtId="2" fontId="18" fillId="32" borderId="67" xfId="0" applyNumberFormat="1" applyFont="1" applyFill="1" applyBorder="1" applyAlignment="1">
      <alignment horizontal="center" vertical="center" wrapText="1"/>
    </xf>
    <xf numFmtId="2" fontId="18" fillId="32" borderId="0" xfId="0" applyNumberFormat="1" applyFont="1" applyFill="1" applyBorder="1" applyAlignment="1">
      <alignment vertical="center"/>
    </xf>
    <xf numFmtId="3" fontId="29" fillId="8" borderId="155" xfId="0" applyNumberFormat="1" applyFont="1" applyFill="1" applyBorder="1" applyAlignment="1">
      <alignment vertical="center"/>
    </xf>
    <xf numFmtId="3" fontId="31" fillId="8" borderId="165" xfId="0" applyNumberFormat="1" applyFont="1" applyFill="1" applyBorder="1" applyAlignment="1">
      <alignment vertical="center"/>
    </xf>
    <xf numFmtId="3" fontId="31" fillId="8" borderId="155" xfId="0" applyNumberFormat="1" applyFont="1" applyFill="1" applyBorder="1" applyAlignment="1">
      <alignment vertical="center"/>
    </xf>
    <xf numFmtId="3" fontId="31" fillId="8" borderId="190" xfId="0" applyNumberFormat="1" applyFont="1" applyFill="1" applyBorder="1" applyAlignment="1">
      <alignment vertical="center"/>
    </xf>
    <xf numFmtId="3" fontId="31" fillId="8" borderId="197" xfId="0" applyNumberFormat="1" applyFont="1" applyFill="1" applyBorder="1" applyAlignment="1">
      <alignment vertical="center"/>
    </xf>
    <xf numFmtId="3" fontId="27" fillId="2" borderId="199" xfId="4" applyNumberFormat="1" applyFont="1" applyFill="1" applyBorder="1" applyAlignment="1">
      <alignment vertical="center" wrapText="1"/>
    </xf>
    <xf numFmtId="0" fontId="31" fillId="0" borderId="199" xfId="4" applyFont="1" applyFill="1" applyBorder="1" applyAlignment="1">
      <alignment vertical="center"/>
    </xf>
    <xf numFmtId="0" fontId="27" fillId="2" borderId="199" xfId="4" applyFont="1" applyFill="1" applyBorder="1" applyAlignment="1">
      <alignment vertical="center"/>
    </xf>
    <xf numFmtId="43" fontId="31" fillId="0" borderId="197" xfId="1" applyFont="1" applyFill="1" applyBorder="1" applyAlignment="1">
      <alignment horizontal="right" vertical="center"/>
    </xf>
    <xf numFmtId="0" fontId="7" fillId="0" borderId="199" xfId="4" applyFont="1" applyFill="1" applyBorder="1" applyAlignment="1">
      <alignment horizontal="left" vertical="center"/>
    </xf>
    <xf numFmtId="3" fontId="24" fillId="22" borderId="155" xfId="4" applyNumberFormat="1" applyFont="1" applyFill="1" applyBorder="1" applyAlignment="1">
      <alignment horizontal="right" vertical="center"/>
    </xf>
    <xf numFmtId="0" fontId="7" fillId="0" borderId="129" xfId="4" applyFont="1" applyFill="1" applyBorder="1" applyAlignment="1">
      <alignment horizontal="left" vertical="center"/>
    </xf>
    <xf numFmtId="3" fontId="31" fillId="0" borderId="197" xfId="4" applyNumberFormat="1" applyFont="1" applyFill="1" applyBorder="1" applyAlignment="1">
      <alignment horizontal="right" vertical="center"/>
    </xf>
    <xf numFmtId="3" fontId="31" fillId="25" borderId="197" xfId="4" applyNumberFormat="1" applyFont="1" applyFill="1" applyBorder="1" applyAlignment="1">
      <alignment horizontal="right" vertical="center"/>
    </xf>
    <xf numFmtId="0" fontId="25" fillId="2" borderId="5" xfId="0" applyFont="1" applyFill="1" applyBorder="1" applyAlignment="1">
      <alignment horizontal="center" vertical="top"/>
    </xf>
    <xf numFmtId="9" fontId="25" fillId="2" borderId="21" xfId="2" applyFont="1" applyFill="1" applyBorder="1" applyAlignment="1">
      <alignment horizontal="center" vertical="top"/>
    </xf>
    <xf numFmtId="0" fontId="21" fillId="2" borderId="181" xfId="0" applyFont="1" applyFill="1" applyBorder="1" applyAlignment="1">
      <alignment horizontal="center" vertical="top"/>
    </xf>
    <xf numFmtId="0" fontId="21" fillId="2" borderId="165" xfId="0" applyFont="1" applyFill="1" applyBorder="1" applyAlignment="1">
      <alignment horizontal="center" vertical="top"/>
    </xf>
    <xf numFmtId="0" fontId="21" fillId="2" borderId="165" xfId="0" quotePrefix="1" applyFont="1" applyFill="1" applyBorder="1" applyAlignment="1">
      <alignment horizontal="center" vertical="top"/>
    </xf>
    <xf numFmtId="0" fontId="21" fillId="26" borderId="165" xfId="0" quotePrefix="1" applyFont="1" applyFill="1" applyBorder="1" applyAlignment="1">
      <alignment horizontal="center" vertical="top"/>
    </xf>
    <xf numFmtId="0" fontId="21" fillId="2" borderId="175" xfId="0" quotePrefix="1" applyFont="1" applyFill="1" applyBorder="1" applyAlignment="1">
      <alignment horizontal="center" vertical="top"/>
    </xf>
    <xf numFmtId="0" fontId="25" fillId="8" borderId="26" xfId="0" applyFont="1" applyFill="1" applyBorder="1" applyAlignment="1">
      <alignment vertical="center"/>
    </xf>
    <xf numFmtId="3" fontId="27" fillId="23" borderId="165" xfId="4" applyNumberFormat="1" applyFont="1" applyFill="1" applyBorder="1" applyAlignment="1">
      <alignment vertical="top"/>
    </xf>
    <xf numFmtId="3" fontId="7" fillId="23" borderId="165" xfId="4" applyNumberFormat="1" applyFont="1" applyFill="1" applyBorder="1" applyAlignment="1">
      <alignment vertical="top"/>
    </xf>
    <xf numFmtId="0" fontId="18" fillId="0" borderId="124" xfId="4" applyFont="1" applyFill="1" applyBorder="1" applyAlignment="1">
      <alignment horizontal="center" vertical="center" wrapText="1"/>
    </xf>
    <xf numFmtId="3" fontId="24" fillId="6" borderId="181" xfId="4" applyNumberFormat="1" applyFont="1" applyFill="1" applyBorder="1" applyAlignment="1">
      <alignment vertical="center"/>
    </xf>
    <xf numFmtId="3" fontId="25" fillId="6" borderId="163" xfId="4" applyNumberFormat="1" applyFont="1" applyFill="1" applyBorder="1" applyAlignment="1">
      <alignment vertical="center"/>
    </xf>
    <xf numFmtId="3" fontId="25" fillId="22" borderId="165" xfId="4" applyNumberFormat="1" applyFont="1" applyFill="1" applyBorder="1" applyAlignment="1">
      <alignment vertical="center"/>
    </xf>
    <xf numFmtId="3" fontId="29" fillId="0" borderId="158" xfId="4" applyNumberFormat="1" applyFont="1" applyFill="1" applyBorder="1" applyAlignment="1">
      <alignment horizontal="right" vertical="center"/>
    </xf>
    <xf numFmtId="3" fontId="27" fillId="25" borderId="165" xfId="4" applyNumberFormat="1" applyFont="1" applyFill="1" applyBorder="1" applyAlignment="1">
      <alignment horizontal="right" vertical="center"/>
    </xf>
    <xf numFmtId="0" fontId="7" fillId="0" borderId="199" xfId="4" applyFont="1" applyFill="1" applyBorder="1" applyAlignment="1"/>
    <xf numFmtId="3" fontId="31" fillId="0" borderId="158" xfId="4" applyNumberFormat="1" applyFont="1" applyFill="1" applyBorder="1" applyAlignment="1"/>
    <xf numFmtId="3" fontId="31" fillId="0" borderId="165" xfId="4" applyNumberFormat="1" applyFont="1" applyFill="1" applyBorder="1" applyAlignment="1"/>
    <xf numFmtId="3" fontId="29" fillId="0" borderId="163" xfId="4" applyNumberFormat="1" applyFont="1" applyFill="1" applyBorder="1" applyAlignment="1">
      <alignment horizontal="right" vertical="center"/>
    </xf>
    <xf numFmtId="3" fontId="31" fillId="0" borderId="165" xfId="4" applyNumberFormat="1" applyFont="1" applyFill="1" applyBorder="1" applyAlignment="1">
      <alignment horizontal="right" vertical="center"/>
    </xf>
    <xf numFmtId="3" fontId="31" fillId="0" borderId="158" xfId="4" applyNumberFormat="1" applyFont="1" applyFill="1" applyBorder="1" applyAlignment="1">
      <alignment horizontal="right" vertical="center"/>
    </xf>
    <xf numFmtId="3" fontId="7" fillId="0" borderId="158" xfId="4" applyNumberFormat="1" applyFont="1" applyFill="1" applyBorder="1" applyAlignment="1">
      <alignment horizontal="right" vertical="center"/>
    </xf>
    <xf numFmtId="3" fontId="24" fillId="6" borderId="163" xfId="4" applyNumberFormat="1" applyFont="1" applyFill="1" applyBorder="1" applyAlignment="1">
      <alignment vertical="center"/>
    </xf>
    <xf numFmtId="3" fontId="31" fillId="0" borderId="190" xfId="4" applyNumberFormat="1" applyFont="1" applyFill="1" applyBorder="1" applyAlignment="1">
      <alignment vertical="top"/>
    </xf>
    <xf numFmtId="0" fontId="24" fillId="0" borderId="11" xfId="4" applyFont="1" applyFill="1" applyBorder="1" applyAlignment="1">
      <alignment vertical="center"/>
    </xf>
    <xf numFmtId="0" fontId="18" fillId="0" borderId="43" xfId="4" applyFont="1" applyFill="1" applyBorder="1" applyAlignment="1">
      <alignment vertical="center" wrapText="1"/>
    </xf>
    <xf numFmtId="43" fontId="7" fillId="23" borderId="98" xfId="1" applyFont="1" applyFill="1" applyBorder="1" applyAlignment="1">
      <alignment horizontal="center" vertical="center"/>
    </xf>
    <xf numFmtId="3" fontId="8" fillId="0" borderId="190" xfId="0" applyNumberFormat="1" applyFont="1" applyFill="1" applyBorder="1" applyAlignment="1">
      <alignment vertical="center" wrapText="1"/>
    </xf>
    <xf numFmtId="0" fontId="23" fillId="0" borderId="43" xfId="0" applyFont="1" applyFill="1" applyBorder="1" applyAlignment="1">
      <alignment vertical="center" wrapText="1"/>
    </xf>
    <xf numFmtId="0" fontId="23" fillId="0" borderId="41" xfId="0" applyFont="1" applyFill="1" applyBorder="1" applyAlignment="1">
      <alignment vertical="center" wrapText="1"/>
    </xf>
    <xf numFmtId="0" fontId="38" fillId="0" borderId="180" xfId="4" applyFont="1" applyFill="1" applyBorder="1" applyAlignment="1">
      <alignment vertical="top"/>
    </xf>
    <xf numFmtId="3" fontId="63" fillId="0" borderId="180" xfId="6" applyNumberFormat="1" applyFont="1" applyFill="1" applyBorder="1" applyAlignment="1">
      <alignment vertical="center"/>
    </xf>
    <xf numFmtId="0" fontId="29" fillId="2" borderId="184" xfId="4" applyFont="1" applyFill="1" applyBorder="1" applyAlignment="1">
      <alignment vertical="center"/>
    </xf>
    <xf numFmtId="43" fontId="25" fillId="6" borderId="155" xfId="1" applyFont="1" applyFill="1" applyBorder="1" applyAlignment="1">
      <alignment horizontal="right" vertical="center"/>
    </xf>
    <xf numFmtId="43" fontId="31" fillId="0" borderId="156" xfId="1" applyFont="1" applyFill="1" applyBorder="1" applyAlignment="1">
      <alignment vertical="center"/>
    </xf>
    <xf numFmtId="0" fontId="31" fillId="0" borderId="129" xfId="4" applyFont="1" applyFill="1" applyBorder="1" applyAlignment="1">
      <alignment vertical="center"/>
    </xf>
    <xf numFmtId="43" fontId="31" fillId="0" borderId="165" xfId="1" applyFont="1" applyFill="1" applyBorder="1" applyAlignment="1">
      <alignment vertical="center"/>
    </xf>
    <xf numFmtId="3" fontId="24" fillId="32" borderId="155" xfId="4" applyNumberFormat="1" applyFont="1" applyFill="1" applyBorder="1" applyAlignment="1">
      <alignment vertical="center"/>
    </xf>
    <xf numFmtId="43" fontId="24" fillId="32" borderId="155" xfId="1" applyFont="1" applyFill="1" applyBorder="1" applyAlignment="1">
      <alignment vertical="center"/>
    </xf>
    <xf numFmtId="3" fontId="25" fillId="6" borderId="179" xfId="1" applyNumberFormat="1" applyFont="1" applyFill="1" applyBorder="1" applyAlignment="1">
      <alignment vertical="top"/>
    </xf>
    <xf numFmtId="3" fontId="27" fillId="2" borderId="179" xfId="1" applyNumberFormat="1" applyFont="1" applyFill="1" applyBorder="1" applyAlignment="1">
      <alignment vertical="top"/>
    </xf>
    <xf numFmtId="3" fontId="31" fillId="0" borderId="9" xfId="1" applyNumberFormat="1" applyFont="1" applyFill="1" applyBorder="1" applyAlignment="1">
      <alignment vertical="top"/>
    </xf>
    <xf numFmtId="3" fontId="27" fillId="0" borderId="179" xfId="1" applyNumberFormat="1" applyFont="1" applyFill="1" applyBorder="1" applyAlignment="1">
      <alignment vertical="top"/>
    </xf>
    <xf numFmtId="3" fontId="31" fillId="0" borderId="13" xfId="1" applyNumberFormat="1" applyFont="1" applyFill="1" applyBorder="1" applyAlignment="1">
      <alignment horizontal="right" vertical="center"/>
    </xf>
    <xf numFmtId="3" fontId="31" fillId="0" borderId="190" xfId="1" applyNumberFormat="1" applyFont="1" applyFill="1" applyBorder="1" applyAlignment="1">
      <alignment horizontal="right" vertical="center"/>
    </xf>
    <xf numFmtId="3" fontId="25" fillId="32" borderId="155" xfId="0" applyNumberFormat="1" applyFont="1" applyFill="1" applyBorder="1" applyAlignment="1">
      <alignment vertical="top"/>
    </xf>
    <xf numFmtId="3" fontId="31" fillId="22" borderId="165" xfId="0" applyNumberFormat="1" applyFont="1" applyFill="1" applyBorder="1" applyAlignment="1">
      <alignment vertical="top"/>
    </xf>
    <xf numFmtId="3" fontId="25" fillId="32" borderId="9" xfId="0" applyNumberFormat="1" applyFont="1" applyFill="1" applyBorder="1" applyAlignment="1">
      <alignment vertical="top"/>
    </xf>
    <xf numFmtId="3" fontId="31" fillId="32" borderId="155" xfId="0" applyNumberFormat="1" applyFont="1" applyFill="1" applyBorder="1" applyAlignment="1">
      <alignment vertical="top"/>
    </xf>
    <xf numFmtId="3" fontId="27" fillId="32" borderId="155" xfId="0" applyNumberFormat="1" applyFont="1" applyFill="1" applyBorder="1" applyAlignment="1">
      <alignment vertical="top"/>
    </xf>
    <xf numFmtId="3" fontId="31" fillId="32" borderId="197" xfId="4" applyNumberFormat="1" applyFont="1" applyFill="1" applyBorder="1" applyAlignment="1"/>
    <xf numFmtId="3" fontId="31" fillId="32" borderId="190" xfId="0" applyNumberFormat="1" applyFont="1" applyFill="1" applyBorder="1" applyAlignment="1">
      <alignment horizontal="right" vertical="center"/>
    </xf>
    <xf numFmtId="0" fontId="18" fillId="0" borderId="0" xfId="0" applyFont="1" applyBorder="1" applyAlignment="1">
      <alignment vertical="top"/>
    </xf>
    <xf numFmtId="3" fontId="7" fillId="23" borderId="158" xfId="4" applyNumberFormat="1" applyFont="1" applyFill="1" applyBorder="1" applyAlignment="1">
      <alignment horizontal="right" vertical="center"/>
    </xf>
    <xf numFmtId="3" fontId="7" fillId="0" borderId="190" xfId="4" applyNumberFormat="1" applyFont="1" applyFill="1" applyBorder="1" applyAlignment="1">
      <alignment vertical="center"/>
    </xf>
    <xf numFmtId="3" fontId="29" fillId="0" borderId="122" xfId="4" applyNumberFormat="1" applyFont="1" applyFill="1" applyBorder="1" applyAlignment="1">
      <alignment horizontal="right" vertical="center"/>
    </xf>
    <xf numFmtId="3" fontId="29" fillId="0" borderId="121" xfId="4" applyNumberFormat="1" applyFont="1" applyFill="1" applyBorder="1" applyAlignment="1">
      <alignment horizontal="right" vertical="center"/>
    </xf>
    <xf numFmtId="3" fontId="29" fillId="25" borderId="121" xfId="4" applyNumberFormat="1" applyFont="1" applyFill="1" applyBorder="1" applyAlignment="1">
      <alignment horizontal="right" vertical="center"/>
    </xf>
    <xf numFmtId="3" fontId="31" fillId="0" borderId="120" xfId="4" applyNumberFormat="1" applyFont="1" applyFill="1" applyBorder="1" applyAlignment="1">
      <alignment horizontal="right" vertical="center"/>
    </xf>
    <xf numFmtId="3" fontId="7" fillId="0" borderId="35" xfId="112" applyNumberFormat="1" applyFont="1" applyFill="1" applyBorder="1" applyAlignment="1">
      <alignment vertical="center"/>
    </xf>
    <xf numFmtId="3" fontId="7" fillId="23" borderId="2" xfId="112" applyNumberFormat="1" applyFont="1" applyFill="1" applyBorder="1" applyAlignment="1">
      <alignment vertical="center"/>
    </xf>
    <xf numFmtId="3" fontId="29" fillId="2" borderId="121" xfId="4" applyNumberFormat="1" applyFont="1" applyFill="1" applyBorder="1" applyAlignment="1">
      <alignment horizontal="right" vertical="center"/>
    </xf>
    <xf numFmtId="3" fontId="29" fillId="0" borderId="123" xfId="4" applyNumberFormat="1" applyFont="1" applyFill="1" applyBorder="1" applyAlignment="1">
      <alignment horizontal="right" vertical="center"/>
    </xf>
    <xf numFmtId="3" fontId="29" fillId="0" borderId="120" xfId="4" applyNumberFormat="1" applyFont="1" applyFill="1" applyBorder="1" applyAlignment="1">
      <alignment horizontal="right" vertical="center"/>
    </xf>
    <xf numFmtId="0" fontId="4" fillId="0" borderId="116" xfId="112" applyFont="1" applyBorder="1" applyAlignment="1">
      <alignment vertical="center"/>
    </xf>
    <xf numFmtId="0" fontId="24" fillId="6" borderId="184" xfId="4" applyFont="1" applyFill="1" applyBorder="1" applyAlignment="1">
      <alignment horizontal="left" vertical="center"/>
    </xf>
    <xf numFmtId="3" fontId="25" fillId="6" borderId="179" xfId="4" applyNumberFormat="1" applyFont="1" applyFill="1" applyBorder="1" applyAlignment="1">
      <alignment vertical="center"/>
    </xf>
    <xf numFmtId="3" fontId="24" fillId="22" borderId="180" xfId="4" applyNumberFormat="1" applyFont="1" applyFill="1" applyBorder="1" applyAlignment="1">
      <alignment vertical="center"/>
    </xf>
    <xf numFmtId="3" fontId="27" fillId="0" borderId="179" xfId="4" applyNumberFormat="1" applyFont="1" applyFill="1" applyBorder="1" applyAlignment="1">
      <alignment vertical="center"/>
    </xf>
    <xf numFmtId="3" fontId="29" fillId="0" borderId="179" xfId="4" applyNumberFormat="1" applyFont="1" applyFill="1" applyBorder="1" applyAlignment="1">
      <alignment vertical="center"/>
    </xf>
    <xf numFmtId="3" fontId="27" fillId="25" borderId="179" xfId="4" applyNumberFormat="1" applyFont="1" applyFill="1" applyBorder="1" applyAlignment="1">
      <alignment vertical="center"/>
    </xf>
    <xf numFmtId="0" fontId="7" fillId="0" borderId="21" xfId="0" applyFont="1" applyFill="1" applyBorder="1" applyAlignment="1">
      <alignment vertical="center"/>
    </xf>
    <xf numFmtId="3" fontId="7" fillId="0" borderId="179" xfId="4" applyNumberFormat="1" applyFont="1" applyFill="1" applyBorder="1" applyAlignment="1">
      <alignment vertical="center"/>
    </xf>
    <xf numFmtId="0" fontId="28" fillId="0" borderId="184" xfId="4" applyFont="1" applyFill="1" applyBorder="1" applyAlignment="1">
      <alignment vertical="center"/>
    </xf>
    <xf numFmtId="3" fontId="28" fillId="0" borderId="179" xfId="4" applyNumberFormat="1" applyFont="1" applyFill="1" applyBorder="1" applyAlignment="1">
      <alignment horizontal="right" vertical="center"/>
    </xf>
    <xf numFmtId="3" fontId="28" fillId="25" borderId="179" xfId="4" applyNumberFormat="1" applyFont="1" applyFill="1" applyBorder="1" applyAlignment="1">
      <alignment horizontal="right" vertical="center"/>
    </xf>
    <xf numFmtId="3" fontId="28" fillId="0" borderId="180" xfId="4" applyNumberFormat="1" applyFont="1" applyFill="1" applyBorder="1" applyAlignment="1">
      <alignment horizontal="right" vertical="center"/>
    </xf>
    <xf numFmtId="0" fontId="31" fillId="0" borderId="177" xfId="4" applyFont="1" applyFill="1" applyBorder="1" applyAlignment="1">
      <alignment vertical="center"/>
    </xf>
    <xf numFmtId="3" fontId="31" fillId="0" borderId="176" xfId="4" applyNumberFormat="1" applyFont="1" applyFill="1" applyBorder="1" applyAlignment="1">
      <alignment horizontal="right" vertical="center"/>
    </xf>
    <xf numFmtId="3" fontId="27" fillId="2" borderId="20" xfId="4" applyNumberFormat="1" applyFont="1" applyFill="1" applyBorder="1" applyAlignment="1">
      <alignment horizontal="center" vertical="center" wrapText="1"/>
    </xf>
    <xf numFmtId="3" fontId="28" fillId="25" borderId="171" xfId="4" applyNumberFormat="1" applyFont="1" applyFill="1" applyBorder="1" applyAlignment="1">
      <alignment horizontal="right" vertical="center"/>
    </xf>
    <xf numFmtId="3" fontId="39" fillId="0" borderId="0" xfId="0" applyNumberFormat="1" applyFont="1" applyBorder="1" applyAlignment="1">
      <alignment vertical="center"/>
    </xf>
    <xf numFmtId="0" fontId="39" fillId="0" borderId="0" xfId="0" applyFont="1" applyBorder="1" applyAlignment="1">
      <alignment vertical="center"/>
    </xf>
    <xf numFmtId="3" fontId="33" fillId="0" borderId="179" xfId="114" applyNumberFormat="1" applyFont="1" applyFill="1" applyBorder="1" applyAlignment="1">
      <alignment vertical="center"/>
    </xf>
    <xf numFmtId="3" fontId="33" fillId="0" borderId="180" xfId="114" applyNumberFormat="1" applyFont="1" applyFill="1" applyBorder="1" applyAlignment="1">
      <alignment vertical="center"/>
    </xf>
    <xf numFmtId="0" fontId="4" fillId="0" borderId="180" xfId="112" applyFont="1" applyBorder="1" applyAlignment="1">
      <alignment vertical="center"/>
    </xf>
    <xf numFmtId="0" fontId="24" fillId="32" borderId="21" xfId="4" applyFont="1" applyFill="1" applyBorder="1" applyAlignment="1">
      <alignment horizontal="left" vertical="center"/>
    </xf>
    <xf numFmtId="3" fontId="27" fillId="32" borderId="9" xfId="4" applyNumberFormat="1" applyFont="1" applyFill="1" applyBorder="1" applyAlignment="1">
      <alignment vertical="center"/>
    </xf>
    <xf numFmtId="3" fontId="27" fillId="32" borderId="35" xfId="4" applyNumberFormat="1" applyFont="1" applyFill="1" applyBorder="1" applyAlignment="1">
      <alignment vertical="center"/>
    </xf>
    <xf numFmtId="43" fontId="25" fillId="6" borderId="155" xfId="1" applyFont="1" applyFill="1" applyBorder="1" applyAlignment="1">
      <alignment vertical="center"/>
    </xf>
    <xf numFmtId="3" fontId="24" fillId="22" borderId="154" xfId="4" applyNumberFormat="1" applyFont="1" applyFill="1" applyBorder="1" applyAlignment="1">
      <alignment vertical="center"/>
    </xf>
    <xf numFmtId="3" fontId="29" fillId="0" borderId="155" xfId="4" applyNumberFormat="1" applyFont="1" applyFill="1" applyBorder="1" applyAlignment="1">
      <alignment vertical="center"/>
    </xf>
    <xf numFmtId="43" fontId="29" fillId="0" borderId="155" xfId="1" applyFont="1" applyFill="1" applyBorder="1" applyAlignment="1">
      <alignment vertical="center"/>
    </xf>
    <xf numFmtId="3" fontId="27" fillId="25" borderId="155" xfId="4" applyNumberFormat="1" applyFont="1" applyFill="1" applyBorder="1" applyAlignment="1">
      <alignment vertical="center"/>
    </xf>
    <xf numFmtId="43" fontId="29" fillId="0" borderId="155" xfId="1" applyFont="1" applyFill="1" applyBorder="1" applyAlignment="1">
      <alignment horizontal="right" vertical="center"/>
    </xf>
    <xf numFmtId="3" fontId="31" fillId="0" borderId="164" xfId="4" applyNumberFormat="1" applyFont="1" applyFill="1" applyBorder="1" applyAlignment="1">
      <alignment horizontal="right" vertical="center"/>
    </xf>
    <xf numFmtId="43" fontId="28" fillId="0" borderId="155" xfId="1" applyFont="1" applyFill="1" applyBorder="1" applyAlignment="1">
      <alignment horizontal="right" vertical="center"/>
    </xf>
    <xf numFmtId="43" fontId="27" fillId="0" borderId="155" xfId="1" applyFont="1" applyFill="1" applyBorder="1" applyAlignment="1">
      <alignment horizontal="right" vertical="center"/>
    </xf>
    <xf numFmtId="43" fontId="31" fillId="0" borderId="164" xfId="1" applyFont="1" applyFill="1" applyBorder="1" applyAlignment="1">
      <alignment horizontal="right" vertical="center"/>
    </xf>
    <xf numFmtId="3" fontId="71" fillId="2" borderId="0" xfId="0" applyNumberFormat="1" applyFont="1" applyFill="1" applyBorder="1" applyAlignment="1">
      <alignment horizontal="center" vertical="center"/>
    </xf>
    <xf numFmtId="1" fontId="62" fillId="13" borderId="0" xfId="0" applyNumberFormat="1" applyFont="1" applyFill="1" applyBorder="1" applyAlignment="1">
      <alignment horizontal="center" vertical="center" wrapText="1"/>
    </xf>
    <xf numFmtId="3" fontId="7" fillId="13" borderId="179" xfId="4" applyNumberFormat="1" applyFont="1" applyFill="1" applyBorder="1" applyAlignment="1">
      <alignment horizontal="right" vertical="center"/>
    </xf>
    <xf numFmtId="3" fontId="31" fillId="25" borderId="171" xfId="4" applyNumberFormat="1" applyFont="1" applyFill="1" applyBorder="1" applyAlignment="1">
      <alignment horizontal="right" vertical="center"/>
    </xf>
    <xf numFmtId="3" fontId="25" fillId="26" borderId="24" xfId="4" applyNumberFormat="1" applyFont="1" applyFill="1" applyBorder="1" applyAlignment="1">
      <alignment horizontal="center" vertical="center"/>
    </xf>
    <xf numFmtId="0" fontId="27" fillId="13" borderId="199" xfId="4" applyFont="1" applyFill="1" applyBorder="1" applyAlignment="1">
      <alignment vertical="center"/>
    </xf>
    <xf numFmtId="3" fontId="27" fillId="13" borderId="179" xfId="4" applyNumberFormat="1" applyFont="1" applyFill="1" applyBorder="1" applyAlignment="1">
      <alignment horizontal="right" vertical="center"/>
    </xf>
    <xf numFmtId="3" fontId="7" fillId="13" borderId="9" xfId="4" applyNumberFormat="1" applyFont="1" applyFill="1" applyBorder="1" applyAlignment="1">
      <alignment horizontal="right" vertical="center"/>
    </xf>
    <xf numFmtId="43" fontId="31" fillId="0" borderId="63" xfId="1" applyFont="1" applyFill="1" applyBorder="1" applyAlignment="1">
      <alignment vertical="center"/>
    </xf>
    <xf numFmtId="0" fontId="7" fillId="8" borderId="43" xfId="4" applyFont="1" applyFill="1" applyBorder="1" applyAlignment="1">
      <alignment horizontal="center" vertical="center"/>
    </xf>
    <xf numFmtId="0" fontId="25" fillId="32" borderId="12" xfId="4" applyFont="1" applyFill="1" applyBorder="1" applyAlignment="1">
      <alignment horizontal="center" vertical="center" wrapText="1"/>
    </xf>
    <xf numFmtId="3" fontId="23" fillId="6" borderId="99" xfId="6" applyNumberFormat="1" applyFont="1" applyFill="1" applyBorder="1" applyAlignment="1">
      <alignment horizontal="right" vertical="center"/>
    </xf>
    <xf numFmtId="43" fontId="23" fillId="6" borderId="99" xfId="1" applyFont="1" applyFill="1" applyBorder="1" applyAlignment="1">
      <alignment horizontal="right" vertical="center"/>
    </xf>
    <xf numFmtId="3" fontId="33" fillId="0" borderId="99" xfId="6" applyNumberFormat="1" applyFont="1" applyFill="1" applyBorder="1" applyAlignment="1">
      <alignment horizontal="right" vertical="center"/>
    </xf>
    <xf numFmtId="43" fontId="33" fillId="0" borderId="99" xfId="1" applyFont="1" applyFill="1" applyBorder="1" applyAlignment="1">
      <alignment horizontal="right" vertical="center"/>
    </xf>
    <xf numFmtId="43" fontId="31" fillId="0" borderId="99" xfId="1" applyFont="1" applyFill="1" applyBorder="1" applyAlignment="1">
      <alignment horizontal="right" vertical="center"/>
    </xf>
    <xf numFmtId="3" fontId="31" fillId="0" borderId="99" xfId="4" applyNumberFormat="1" applyFont="1" applyFill="1" applyBorder="1" applyAlignment="1">
      <alignment horizontal="right" vertical="center"/>
    </xf>
    <xf numFmtId="3" fontId="33" fillId="0" borderId="99" xfId="6" applyNumberFormat="1" applyFont="1" applyFill="1" applyBorder="1" applyAlignment="1">
      <alignment vertical="center"/>
    </xf>
    <xf numFmtId="43" fontId="33" fillId="0" borderId="99" xfId="1" applyFont="1" applyFill="1" applyBorder="1" applyAlignment="1">
      <alignment vertical="center"/>
    </xf>
    <xf numFmtId="0" fontId="31" fillId="0" borderId="108" xfId="4" applyFont="1" applyFill="1" applyBorder="1" applyAlignment="1">
      <alignment vertical="center"/>
    </xf>
    <xf numFmtId="3" fontId="24" fillId="6" borderId="99" xfId="4" applyNumberFormat="1" applyFont="1" applyFill="1" applyBorder="1" applyAlignment="1">
      <alignment vertical="center"/>
    </xf>
    <xf numFmtId="43" fontId="24" fillId="6" borderId="99" xfId="1" applyFont="1" applyFill="1" applyBorder="1" applyAlignment="1">
      <alignment vertical="center"/>
    </xf>
    <xf numFmtId="3" fontId="27" fillId="2" borderId="99" xfId="4" applyNumberFormat="1" applyFont="1" applyFill="1" applyBorder="1" applyAlignment="1">
      <alignment vertical="center"/>
    </xf>
    <xf numFmtId="43" fontId="29" fillId="2" borderId="99" xfId="1" applyFont="1" applyFill="1" applyBorder="1" applyAlignment="1">
      <alignment vertical="center"/>
    </xf>
    <xf numFmtId="3" fontId="29" fillId="2" borderId="99" xfId="4" applyNumberFormat="1" applyFont="1" applyFill="1" applyBorder="1" applyAlignment="1">
      <alignment vertical="center"/>
    </xf>
    <xf numFmtId="0" fontId="17" fillId="8" borderId="125" xfId="4" applyFont="1" applyFill="1" applyBorder="1" applyAlignment="1">
      <alignment vertical="top"/>
    </xf>
    <xf numFmtId="0" fontId="27" fillId="50" borderId="154" xfId="4" applyFont="1" applyFill="1" applyBorder="1" applyAlignment="1">
      <alignment horizontal="left" vertical="center"/>
    </xf>
    <xf numFmtId="3" fontId="27" fillId="50" borderId="154" xfId="4" applyNumberFormat="1" applyFont="1" applyFill="1" applyBorder="1" applyAlignment="1">
      <alignment horizontal="right" vertical="center"/>
    </xf>
    <xf numFmtId="3" fontId="27" fillId="21" borderId="154" xfId="4" applyNumberFormat="1" applyFont="1" applyFill="1" applyBorder="1" applyAlignment="1">
      <alignment horizontal="right" vertical="center"/>
    </xf>
    <xf numFmtId="0" fontId="18" fillId="8" borderId="157" xfId="4" applyFont="1" applyFill="1" applyBorder="1" applyAlignment="1">
      <alignment horizontal="center" vertical="top"/>
    </xf>
    <xf numFmtId="0" fontId="17" fillId="8" borderId="6" xfId="4" applyFont="1" applyFill="1" applyBorder="1" applyAlignment="1">
      <alignment vertical="top"/>
    </xf>
    <xf numFmtId="0" fontId="27" fillId="50" borderId="154" xfId="0" applyFont="1" applyFill="1" applyBorder="1" applyAlignment="1">
      <alignment horizontal="left" vertical="top"/>
    </xf>
    <xf numFmtId="0" fontId="28" fillId="50" borderId="154" xfId="0" quotePrefix="1" applyFont="1" applyFill="1" applyBorder="1" applyAlignment="1">
      <alignment horizontal="center" vertical="top"/>
    </xf>
    <xf numFmtId="3" fontId="27" fillId="50" borderId="154" xfId="0" quotePrefix="1" applyNumberFormat="1" applyFont="1" applyFill="1" applyBorder="1" applyAlignment="1">
      <alignment horizontal="right" vertical="top"/>
    </xf>
    <xf numFmtId="3" fontId="18" fillId="8" borderId="157" xfId="4" applyNumberFormat="1" applyFont="1" applyFill="1" applyBorder="1" applyAlignment="1">
      <alignment horizontal="center" vertical="top"/>
    </xf>
    <xf numFmtId="3" fontId="29" fillId="8" borderId="154" xfId="4" applyNumberFormat="1" applyFont="1" applyFill="1" applyBorder="1" applyAlignment="1">
      <alignment vertical="top" wrapText="1"/>
    </xf>
    <xf numFmtId="3" fontId="29" fillId="8" borderId="154" xfId="4" applyNumberFormat="1" applyFont="1" applyFill="1" applyBorder="1" applyAlignment="1">
      <alignment horizontal="right" vertical="center"/>
    </xf>
    <xf numFmtId="3" fontId="29" fillId="23" borderId="154" xfId="4" applyNumberFormat="1" applyFont="1" applyFill="1" applyBorder="1" applyAlignment="1">
      <alignment horizontal="right" vertical="center"/>
    </xf>
    <xf numFmtId="3" fontId="7" fillId="8" borderId="154" xfId="4" applyNumberFormat="1" applyFont="1" applyFill="1" applyBorder="1" applyAlignment="1">
      <alignment vertical="top" wrapText="1"/>
    </xf>
    <xf numFmtId="3" fontId="32" fillId="8" borderId="154" xfId="0" applyNumberFormat="1" applyFont="1" applyFill="1" applyBorder="1"/>
    <xf numFmtId="0" fontId="7" fillId="8" borderId="154" xfId="4" applyFont="1" applyFill="1" applyBorder="1" applyAlignment="1">
      <alignment vertical="top" wrapText="1"/>
    </xf>
    <xf numFmtId="3" fontId="7" fillId="23" borderId="154" xfId="4" applyNumberFormat="1" applyFont="1" applyFill="1" applyBorder="1" applyAlignment="1">
      <alignment horizontal="right" vertical="center"/>
    </xf>
    <xf numFmtId="0" fontId="7" fillId="8" borderId="180" xfId="4" applyFont="1" applyFill="1" applyBorder="1" applyAlignment="1">
      <alignment vertical="top" wrapText="1"/>
    </xf>
    <xf numFmtId="3" fontId="7" fillId="8" borderId="180" xfId="4" applyNumberFormat="1" applyFont="1" applyFill="1" applyBorder="1" applyAlignment="1">
      <alignment vertical="top" wrapText="1"/>
    </xf>
    <xf numFmtId="3" fontId="7" fillId="23" borderId="180" xfId="4" applyNumberFormat="1" applyFont="1" applyFill="1" applyBorder="1" applyAlignment="1">
      <alignment horizontal="right" vertical="center"/>
    </xf>
    <xf numFmtId="0" fontId="18" fillId="8" borderId="175" xfId="4" applyFont="1" applyFill="1" applyBorder="1" applyAlignment="1">
      <alignment horizontal="center" vertical="top"/>
    </xf>
    <xf numFmtId="0" fontId="29" fillId="8" borderId="154" xfId="4" applyFont="1" applyFill="1" applyBorder="1" applyAlignment="1">
      <alignment vertical="top"/>
    </xf>
    <xf numFmtId="0" fontId="7" fillId="8" borderId="163" xfId="4" applyFont="1" applyFill="1" applyBorder="1" applyAlignment="1">
      <alignment vertical="top" wrapText="1"/>
    </xf>
    <xf numFmtId="3" fontId="31" fillId="8" borderId="154" xfId="4" applyNumberFormat="1" applyFont="1" applyFill="1" applyBorder="1" applyAlignment="1">
      <alignment horizontal="right" vertical="center"/>
    </xf>
    <xf numFmtId="3" fontId="7" fillId="8" borderId="158" xfId="4" applyNumberFormat="1" applyFont="1" applyFill="1" applyBorder="1" applyAlignment="1">
      <alignment vertical="top" wrapText="1"/>
    </xf>
    <xf numFmtId="3" fontId="32" fillId="8" borderId="154" xfId="6" applyNumberFormat="1" applyFont="1" applyFill="1" applyBorder="1" applyAlignment="1">
      <alignment vertical="center"/>
    </xf>
    <xf numFmtId="0" fontId="25" fillId="6" borderId="158" xfId="4" applyFont="1" applyFill="1" applyBorder="1" applyAlignment="1">
      <alignment horizontal="left" vertical="center"/>
    </xf>
    <xf numFmtId="3" fontId="29" fillId="8" borderId="158" xfId="4" applyNumberFormat="1" applyFont="1" applyFill="1" applyBorder="1" applyAlignment="1">
      <alignment vertical="top" wrapText="1"/>
    </xf>
    <xf numFmtId="3" fontId="27" fillId="8" borderId="154" xfId="4" applyNumberFormat="1" applyFont="1" applyFill="1" applyBorder="1" applyAlignment="1">
      <alignment vertical="top" wrapText="1"/>
    </xf>
    <xf numFmtId="3" fontId="33" fillId="8" borderId="154" xfId="6" applyNumberFormat="1" applyFont="1" applyFill="1" applyBorder="1" applyAlignment="1">
      <alignment vertical="center"/>
    </xf>
    <xf numFmtId="0" fontId="7" fillId="8" borderId="158" xfId="4" applyFont="1" applyFill="1" applyBorder="1" applyAlignment="1">
      <alignment vertical="top" wrapText="1"/>
    </xf>
    <xf numFmtId="0" fontId="7" fillId="8" borderId="154" xfId="4" applyFont="1" applyFill="1" applyBorder="1" applyAlignment="1">
      <alignment horizontal="left" vertical="center"/>
    </xf>
    <xf numFmtId="0" fontId="17" fillId="8" borderId="6" xfId="4" applyFont="1" applyFill="1" applyBorder="1" applyAlignment="1">
      <alignment vertical="center"/>
    </xf>
    <xf numFmtId="0" fontId="27" fillId="8" borderId="158" xfId="4" applyFont="1" applyFill="1" applyBorder="1" applyAlignment="1">
      <alignment vertical="center"/>
    </xf>
    <xf numFmtId="0" fontId="27" fillId="8" borderId="154" xfId="4" applyFont="1" applyFill="1" applyBorder="1" applyAlignment="1">
      <alignment vertical="center"/>
    </xf>
    <xf numFmtId="0" fontId="18" fillId="8" borderId="157" xfId="4" applyFont="1" applyFill="1" applyBorder="1" applyAlignment="1">
      <alignment horizontal="center" vertical="center"/>
    </xf>
    <xf numFmtId="3" fontId="32" fillId="8" borderId="164" xfId="6" applyNumberFormat="1" applyFont="1" applyFill="1" applyBorder="1" applyAlignment="1">
      <alignment vertical="center"/>
    </xf>
    <xf numFmtId="0" fontId="18" fillId="8" borderId="124" xfId="4" applyFont="1" applyFill="1" applyBorder="1" applyAlignment="1">
      <alignment horizontal="center" vertical="center"/>
    </xf>
    <xf numFmtId="0" fontId="17" fillId="8" borderId="22" xfId="4" applyFont="1" applyFill="1" applyBorder="1" applyAlignment="1">
      <alignment vertical="top"/>
    </xf>
    <xf numFmtId="0" fontId="7" fillId="8" borderId="116" xfId="4" applyFont="1" applyFill="1" applyBorder="1" applyAlignment="1">
      <alignment vertical="center"/>
    </xf>
    <xf numFmtId="3" fontId="32" fillId="8" borderId="116" xfId="6" applyNumberFormat="1" applyFont="1" applyFill="1" applyBorder="1" applyAlignment="1">
      <alignment vertical="center"/>
    </xf>
    <xf numFmtId="3" fontId="18" fillId="8" borderId="117" xfId="4" applyNumberFormat="1" applyFont="1" applyFill="1" applyBorder="1" applyAlignment="1">
      <alignment horizontal="center" vertical="top"/>
    </xf>
    <xf numFmtId="0" fontId="37" fillId="0" borderId="98" xfId="0" applyFont="1" applyBorder="1" applyAlignment="1">
      <alignment wrapText="1"/>
    </xf>
    <xf numFmtId="0" fontId="7" fillId="6" borderId="123" xfId="0" applyFont="1" applyFill="1" applyBorder="1" applyAlignment="1">
      <alignment vertical="top"/>
    </xf>
    <xf numFmtId="43" fontId="25" fillId="6" borderId="123" xfId="1" applyFont="1" applyFill="1" applyBorder="1" applyAlignment="1"/>
    <xf numFmtId="3" fontId="29" fillId="2" borderId="119" xfId="4" applyNumberFormat="1" applyFont="1" applyFill="1" applyBorder="1" applyAlignment="1">
      <alignment vertical="top" wrapText="1"/>
    </xf>
    <xf numFmtId="3" fontId="27" fillId="2" borderId="154" xfId="0" applyNumberFormat="1" applyFont="1" applyFill="1" applyBorder="1" applyAlignment="1"/>
    <xf numFmtId="43" fontId="27" fillId="2" borderId="154" xfId="1" applyFont="1" applyFill="1" applyBorder="1" applyAlignment="1"/>
    <xf numFmtId="43" fontId="27" fillId="2" borderId="123" xfId="1" applyFont="1" applyFill="1" applyBorder="1" applyAlignment="1"/>
    <xf numFmtId="3" fontId="27" fillId="25" borderId="157" xfId="0" applyNumberFormat="1" applyFont="1" applyFill="1" applyBorder="1" applyAlignment="1"/>
    <xf numFmtId="43" fontId="31" fillId="0" borderId="154" xfId="1" applyFont="1" applyFill="1" applyBorder="1" applyAlignment="1">
      <alignment vertical="top"/>
    </xf>
    <xf numFmtId="43" fontId="31" fillId="0" borderId="123" xfId="1" applyFont="1" applyFill="1" applyBorder="1" applyAlignment="1">
      <alignment vertical="top"/>
    </xf>
    <xf numFmtId="0" fontId="7" fillId="0" borderId="119" xfId="0" applyFont="1" applyFill="1" applyBorder="1" applyAlignment="1">
      <alignment vertical="top" wrapText="1"/>
    </xf>
    <xf numFmtId="43" fontId="31" fillId="0" borderId="122" xfId="1" applyFont="1" applyFill="1" applyBorder="1" applyAlignment="1">
      <alignment vertical="top"/>
    </xf>
    <xf numFmtId="43" fontId="31" fillId="0" borderId="156" xfId="1" applyFont="1" applyFill="1" applyBorder="1" applyAlignment="1">
      <alignment vertical="top"/>
    </xf>
    <xf numFmtId="43" fontId="0" fillId="0" borderId="8" xfId="1" applyFont="1" applyBorder="1"/>
    <xf numFmtId="43" fontId="0" fillId="0" borderId="9" xfId="1" applyFont="1" applyBorder="1"/>
    <xf numFmtId="43" fontId="0" fillId="0" borderId="35" xfId="1" applyFont="1" applyBorder="1"/>
    <xf numFmtId="3" fontId="31" fillId="25" borderId="43" xfId="0" applyNumberFormat="1" applyFont="1" applyFill="1" applyBorder="1" applyAlignment="1">
      <alignment horizontal="center" vertical="top"/>
    </xf>
    <xf numFmtId="0" fontId="7" fillId="6" borderId="20" xfId="0" applyFont="1" applyFill="1" applyBorder="1" applyAlignment="1">
      <alignment vertical="top"/>
    </xf>
    <xf numFmtId="43" fontId="25" fillId="22" borderId="46" xfId="1" applyFont="1" applyFill="1" applyBorder="1" applyAlignment="1">
      <alignment horizontal="center" vertical="center"/>
    </xf>
    <xf numFmtId="43" fontId="27" fillId="2" borderId="123" xfId="1" applyFont="1" applyFill="1" applyBorder="1" applyAlignment="1">
      <alignment vertical="center"/>
    </xf>
    <xf numFmtId="43" fontId="31" fillId="0" borderId="131" xfId="1" applyFont="1" applyFill="1" applyBorder="1" applyAlignment="1">
      <alignment vertical="top"/>
    </xf>
    <xf numFmtId="3" fontId="7" fillId="8" borderId="17" xfId="0" applyNumberFormat="1" applyFont="1" applyFill="1" applyBorder="1" applyAlignment="1">
      <alignment vertical="top"/>
    </xf>
    <xf numFmtId="0" fontId="4" fillId="0" borderId="0" xfId="0" applyFont="1" applyAlignment="1">
      <alignment vertical="center"/>
    </xf>
    <xf numFmtId="0" fontId="7" fillId="0" borderId="118" xfId="4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0" xfId="0" applyFont="1" applyAlignment="1">
      <alignment horizontal="left" vertical="center"/>
    </xf>
    <xf numFmtId="3" fontId="4" fillId="0" borderId="0" xfId="0" applyNumberFormat="1" applyFont="1" applyAlignment="1">
      <alignment vertical="center"/>
    </xf>
    <xf numFmtId="3" fontId="4" fillId="0" borderId="170" xfId="0" applyNumberFormat="1" applyFont="1" applyBorder="1" applyAlignment="1">
      <alignment vertical="center"/>
    </xf>
    <xf numFmtId="3" fontId="31" fillId="0" borderId="0" xfId="0" applyNumberFormat="1" applyFont="1" applyFill="1" applyBorder="1" applyAlignment="1">
      <alignment vertical="center"/>
    </xf>
    <xf numFmtId="0" fontId="27" fillId="50" borderId="11" xfId="0" applyFont="1" applyFill="1" applyBorder="1" applyAlignment="1">
      <alignment horizontal="left" vertical="center"/>
    </xf>
    <xf numFmtId="0" fontId="29" fillId="8" borderId="21" xfId="4" applyFont="1" applyFill="1" applyBorder="1" applyAlignment="1">
      <alignment vertical="center"/>
    </xf>
    <xf numFmtId="0" fontId="7" fillId="8" borderId="21" xfId="4" applyFont="1" applyFill="1" applyBorder="1" applyAlignment="1">
      <alignment vertical="center"/>
    </xf>
    <xf numFmtId="0" fontId="7" fillId="8" borderId="74" xfId="4" applyFont="1" applyFill="1" applyBorder="1" applyAlignment="1">
      <alignment vertical="center" wrapText="1"/>
    </xf>
    <xf numFmtId="0" fontId="7" fillId="8" borderId="37" xfId="4" applyFont="1" applyFill="1" applyBorder="1" applyAlignment="1">
      <alignment vertical="center"/>
    </xf>
    <xf numFmtId="3" fontId="7" fillId="8" borderId="190" xfId="4" applyNumberFormat="1" applyFont="1" applyFill="1" applyBorder="1" applyAlignment="1">
      <alignment vertical="center"/>
    </xf>
    <xf numFmtId="3" fontId="0" fillId="0" borderId="0" xfId="0" applyNumberFormat="1" applyFont="1" applyFill="1" applyBorder="1" applyAlignment="1">
      <alignment vertical="top"/>
    </xf>
    <xf numFmtId="3" fontId="23" fillId="0" borderId="181" xfId="0" applyNumberFormat="1" applyFont="1" applyBorder="1" applyAlignment="1">
      <alignment horizontal="center" vertical="center" wrapText="1"/>
    </xf>
    <xf numFmtId="3" fontId="31" fillId="51" borderId="180" xfId="0" applyNumberFormat="1" applyFont="1" applyFill="1" applyBorder="1" applyAlignment="1">
      <alignment vertical="top"/>
    </xf>
    <xf numFmtId="3" fontId="31" fillId="51" borderId="179" xfId="0" applyNumberFormat="1" applyFont="1" applyFill="1" applyBorder="1" applyAlignment="1">
      <alignment vertical="top"/>
    </xf>
    <xf numFmtId="0" fontId="31" fillId="6" borderId="176" xfId="0" applyFont="1" applyFill="1" applyBorder="1" applyAlignment="1">
      <alignment vertical="center"/>
    </xf>
    <xf numFmtId="3" fontId="25" fillId="6" borderId="176" xfId="0" applyNumberFormat="1" applyFont="1" applyFill="1" applyBorder="1" applyAlignment="1">
      <alignment vertical="center"/>
    </xf>
    <xf numFmtId="3" fontId="31" fillId="0" borderId="23" xfId="4" applyNumberFormat="1" applyFont="1" applyFill="1" applyBorder="1" applyAlignment="1">
      <alignment vertical="center"/>
    </xf>
    <xf numFmtId="3" fontId="31" fillId="28" borderId="39" xfId="0" applyNumberFormat="1" applyFont="1" applyFill="1" applyBorder="1" applyAlignment="1">
      <alignment vertical="center"/>
    </xf>
    <xf numFmtId="3" fontId="32" fillId="8" borderId="50" xfId="6" applyNumberFormat="1" applyFont="1" applyFill="1" applyBorder="1" applyAlignment="1">
      <alignment vertical="center"/>
    </xf>
    <xf numFmtId="3" fontId="31" fillId="23" borderId="39" xfId="4" applyNumberFormat="1" applyFont="1" applyFill="1" applyBorder="1" applyAlignment="1">
      <alignment vertical="center"/>
    </xf>
    <xf numFmtId="0" fontId="25" fillId="6" borderId="84" xfId="4" applyFont="1" applyFill="1" applyBorder="1" applyAlignment="1">
      <alignment horizontal="left" vertical="center"/>
    </xf>
    <xf numFmtId="0" fontId="25" fillId="6" borderId="38" xfId="4" applyFont="1" applyFill="1" applyBorder="1" applyAlignment="1">
      <alignment horizontal="left" vertical="center"/>
    </xf>
    <xf numFmtId="3" fontId="24" fillId="6" borderId="39" xfId="4" applyNumberFormat="1" applyFont="1" applyFill="1" applyBorder="1" applyAlignment="1">
      <alignment vertical="center"/>
    </xf>
    <xf numFmtId="3" fontId="29" fillId="8" borderId="84" xfId="4" applyNumberFormat="1" applyFont="1" applyFill="1" applyBorder="1" applyAlignment="1">
      <alignment vertical="center" wrapText="1"/>
    </xf>
    <xf numFmtId="3" fontId="32" fillId="8" borderId="38" xfId="6" applyNumberFormat="1" applyFont="1" applyFill="1" applyBorder="1" applyAlignment="1">
      <alignment vertical="center"/>
    </xf>
    <xf numFmtId="3" fontId="33" fillId="8" borderId="50" xfId="6" applyNumberFormat="1" applyFont="1" applyFill="1" applyBorder="1" applyAlignment="1">
      <alignment vertical="center"/>
    </xf>
    <xf numFmtId="3" fontId="7" fillId="8" borderId="84" xfId="4" applyNumberFormat="1" applyFont="1" applyFill="1" applyBorder="1" applyAlignment="1">
      <alignment vertical="center" wrapText="1"/>
    </xf>
    <xf numFmtId="0" fontId="17" fillId="28" borderId="25" xfId="0" applyFont="1" applyFill="1" applyBorder="1" applyAlignment="1">
      <alignment vertical="center"/>
    </xf>
    <xf numFmtId="0" fontId="17" fillId="8" borderId="52" xfId="4" applyFont="1" applyFill="1" applyBorder="1" applyAlignment="1">
      <alignment horizontal="center" vertical="center"/>
    </xf>
    <xf numFmtId="43" fontId="7" fillId="0" borderId="197" xfId="1" applyFont="1" applyFill="1" applyBorder="1" applyAlignment="1">
      <alignment horizontal="right" vertical="center"/>
    </xf>
    <xf numFmtId="0" fontId="7" fillId="8" borderId="199" xfId="4" applyFont="1" applyFill="1" applyBorder="1" applyAlignment="1">
      <alignment vertical="center"/>
    </xf>
    <xf numFmtId="3" fontId="31" fillId="28" borderId="190" xfId="0" applyNumberFormat="1" applyFont="1" applyFill="1" applyBorder="1" applyAlignment="1">
      <alignment vertical="center"/>
    </xf>
    <xf numFmtId="0" fontId="31" fillId="8" borderId="21" xfId="4" applyFont="1" applyFill="1" applyBorder="1" applyAlignment="1">
      <alignment vertical="center"/>
    </xf>
    <xf numFmtId="3" fontId="31" fillId="28" borderId="35" xfId="0" applyNumberFormat="1" applyFont="1" applyFill="1" applyBorder="1" applyAlignment="1">
      <alignment vertical="center"/>
    </xf>
    <xf numFmtId="3" fontId="32" fillId="8" borderId="9" xfId="6" applyNumberFormat="1" applyFont="1" applyFill="1" applyBorder="1" applyAlignment="1">
      <alignment vertical="center"/>
    </xf>
    <xf numFmtId="3" fontId="27" fillId="8" borderId="35" xfId="0" applyNumberFormat="1" applyFont="1" applyFill="1" applyBorder="1" applyAlignment="1">
      <alignment vertical="center"/>
    </xf>
    <xf numFmtId="3" fontId="27" fillId="25" borderId="9" xfId="4" applyNumberFormat="1" applyFont="1" applyFill="1" applyBorder="1" applyAlignment="1">
      <alignment horizontal="right" vertical="center"/>
    </xf>
    <xf numFmtId="0" fontId="25" fillId="6" borderId="52" xfId="4" applyFont="1" applyFill="1" applyBorder="1" applyAlignment="1">
      <alignment horizontal="left" vertical="center"/>
    </xf>
    <xf numFmtId="0" fontId="25" fillId="6" borderId="50" xfId="4" applyFont="1" applyFill="1" applyBorder="1" applyAlignment="1">
      <alignment horizontal="left" vertical="center"/>
    </xf>
    <xf numFmtId="3" fontId="24" fillId="29" borderId="39" xfId="0" applyNumberFormat="1" applyFont="1" applyFill="1" applyBorder="1" applyAlignment="1">
      <alignment vertical="center"/>
    </xf>
    <xf numFmtId="3" fontId="25" fillId="22" borderId="39" xfId="0" applyNumberFormat="1" applyFont="1" applyFill="1" applyBorder="1" applyAlignment="1">
      <alignment vertical="center"/>
    </xf>
    <xf numFmtId="0" fontId="18" fillId="0" borderId="24" xfId="112" applyFont="1" applyBorder="1" applyAlignment="1">
      <alignment horizontal="center" vertical="center" wrapText="1"/>
    </xf>
    <xf numFmtId="0" fontId="18" fillId="0" borderId="51" xfId="112" applyFont="1" applyBorder="1" applyAlignment="1">
      <alignment horizontal="center" vertical="center" wrapText="1"/>
    </xf>
    <xf numFmtId="0" fontId="18" fillId="0" borderId="3" xfId="112" applyFont="1" applyBorder="1" applyAlignment="1">
      <alignment horizontal="center" vertical="center" wrapText="1"/>
    </xf>
    <xf numFmtId="0" fontId="21" fillId="0" borderId="51" xfId="0" applyFont="1" applyBorder="1" applyAlignment="1">
      <alignment horizontal="center" vertical="top" wrapText="1"/>
    </xf>
    <xf numFmtId="0" fontId="21" fillId="0" borderId="3" xfId="0" applyFont="1" applyBorder="1" applyAlignment="1">
      <alignment horizontal="center" vertical="top" wrapText="1"/>
    </xf>
    <xf numFmtId="0" fontId="21" fillId="0" borderId="24" xfId="0" applyFont="1" applyBorder="1" applyAlignment="1">
      <alignment horizontal="center" vertical="top"/>
    </xf>
    <xf numFmtId="0" fontId="21" fillId="0" borderId="51" xfId="0" applyFont="1" applyBorder="1" applyAlignment="1">
      <alignment horizontal="center" vertical="top"/>
    </xf>
    <xf numFmtId="0" fontId="21" fillId="0" borderId="3" xfId="0" applyFont="1" applyBorder="1" applyAlignment="1">
      <alignment horizontal="center" vertical="top"/>
    </xf>
    <xf numFmtId="0" fontId="26" fillId="0" borderId="40" xfId="0" applyFont="1" applyBorder="1" applyAlignment="1"/>
    <xf numFmtId="0" fontId="26" fillId="0" borderId="42" xfId="0" applyFont="1" applyBorder="1" applyAlignment="1"/>
    <xf numFmtId="2" fontId="18" fillId="0" borderId="51" xfId="0" applyNumberFormat="1" applyFont="1" applyBorder="1" applyAlignment="1">
      <alignment horizontal="center" vertical="top" wrapText="1"/>
    </xf>
    <xf numFmtId="2" fontId="18" fillId="0" borderId="3" xfId="0" applyNumberFormat="1" applyFont="1" applyBorder="1" applyAlignment="1">
      <alignment horizontal="center" vertical="top" wrapText="1"/>
    </xf>
    <xf numFmtId="0" fontId="8" fillId="0" borderId="51" xfId="0" applyFont="1" applyBorder="1"/>
    <xf numFmtId="0" fontId="18" fillId="0" borderId="24" xfId="112" applyFont="1" applyBorder="1" applyAlignment="1">
      <alignment vertical="center"/>
    </xf>
    <xf numFmtId="0" fontId="18" fillId="0" borderId="51" xfId="112" applyFont="1" applyBorder="1" applyAlignment="1">
      <alignment vertical="center"/>
    </xf>
    <xf numFmtId="0" fontId="18" fillId="0" borderId="3" xfId="112" applyFont="1" applyBorder="1" applyAlignment="1">
      <alignment vertical="center"/>
    </xf>
    <xf numFmtId="0" fontId="18" fillId="0" borderId="24" xfId="0" applyFont="1" applyBorder="1" applyAlignment="1">
      <alignment vertical="center"/>
    </xf>
    <xf numFmtId="0" fontId="18" fillId="0" borderId="51" xfId="0" applyFont="1" applyBorder="1" applyAlignment="1">
      <alignment vertical="center"/>
    </xf>
    <xf numFmtId="0" fontId="18" fillId="0" borderId="3" xfId="0" applyFont="1" applyBorder="1" applyAlignment="1">
      <alignment vertical="center"/>
    </xf>
    <xf numFmtId="0" fontId="21" fillId="0" borderId="51" xfId="0" applyFont="1" applyBorder="1" applyAlignment="1">
      <alignment vertical="top"/>
    </xf>
    <xf numFmtId="2" fontId="18" fillId="0" borderId="51" xfId="0" applyNumberFormat="1" applyFont="1" applyBorder="1" applyAlignment="1">
      <alignment vertical="top"/>
    </xf>
    <xf numFmtId="2" fontId="18" fillId="0" borderId="3" xfId="0" applyNumberFormat="1" applyFont="1" applyBorder="1" applyAlignment="1">
      <alignment vertical="top"/>
    </xf>
    <xf numFmtId="0" fontId="18" fillId="0" borderId="24" xfId="0" applyFont="1" applyBorder="1" applyAlignment="1">
      <alignment horizontal="center" vertical="center" wrapText="1"/>
    </xf>
    <xf numFmtId="0" fontId="18" fillId="0" borderId="5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7" fillId="0" borderId="24" xfId="112" applyFont="1" applyBorder="1" applyAlignment="1">
      <alignment vertical="center"/>
    </xf>
    <xf numFmtId="0" fontId="17" fillId="0" borderId="51" xfId="112" applyFont="1" applyBorder="1" applyAlignment="1">
      <alignment vertical="center"/>
    </xf>
    <xf numFmtId="0" fontId="17" fillId="0" borderId="3" xfId="112" applyFont="1" applyBorder="1" applyAlignment="1">
      <alignment vertical="center"/>
    </xf>
    <xf numFmtId="0" fontId="17" fillId="0" borderId="24" xfId="0" applyFont="1" applyBorder="1" applyAlignment="1">
      <alignment vertical="center"/>
    </xf>
    <xf numFmtId="0" fontId="17" fillId="0" borderId="51" xfId="0" applyFont="1" applyBorder="1" applyAlignment="1">
      <alignment vertical="center"/>
    </xf>
    <xf numFmtId="0" fontId="17" fillId="0" borderId="3" xfId="0" applyFont="1" applyBorder="1" applyAlignment="1">
      <alignment vertical="center"/>
    </xf>
    <xf numFmtId="0" fontId="25" fillId="0" borderId="51" xfId="0" applyFont="1" applyBorder="1" applyAlignment="1">
      <alignment vertical="top"/>
    </xf>
    <xf numFmtId="0" fontId="25" fillId="0" borderId="3" xfId="0" applyFont="1" applyBorder="1" applyAlignment="1">
      <alignment vertical="top"/>
    </xf>
    <xf numFmtId="0" fontId="20" fillId="0" borderId="24" xfId="0" applyFont="1" applyBorder="1" applyAlignment="1">
      <alignment vertical="top"/>
    </xf>
    <xf numFmtId="0" fontId="20" fillId="0" borderId="51" xfId="0" applyFont="1" applyBorder="1" applyAlignment="1">
      <alignment vertical="top"/>
    </xf>
    <xf numFmtId="0" fontId="20" fillId="0" borderId="3" xfId="0" applyFont="1" applyBorder="1" applyAlignment="1">
      <alignment vertical="top"/>
    </xf>
    <xf numFmtId="0" fontId="19" fillId="0" borderId="51" xfId="0" applyFont="1" applyBorder="1" applyAlignment="1">
      <alignment vertical="top"/>
    </xf>
    <xf numFmtId="0" fontId="19" fillId="0" borderId="3" xfId="0" applyFont="1" applyBorder="1" applyAlignment="1">
      <alignment vertical="top"/>
    </xf>
    <xf numFmtId="2" fontId="17" fillId="0" borderId="51" xfId="0" applyNumberFormat="1" applyFont="1" applyBorder="1" applyAlignment="1">
      <alignment vertical="top"/>
    </xf>
    <xf numFmtId="2" fontId="17" fillId="0" borderId="3" xfId="0" applyNumberFormat="1" applyFont="1" applyBorder="1" applyAlignment="1">
      <alignment vertical="top"/>
    </xf>
    <xf numFmtId="3" fontId="7" fillId="8" borderId="133" xfId="4" applyNumberFormat="1" applyFont="1" applyFill="1" applyBorder="1" applyAlignment="1">
      <alignment vertical="center" wrapText="1"/>
    </xf>
    <xf numFmtId="3" fontId="32" fillId="8" borderId="197" xfId="6" applyNumberFormat="1" applyFont="1" applyFill="1" applyBorder="1" applyAlignment="1">
      <alignment vertical="center"/>
    </xf>
    <xf numFmtId="0" fontId="21" fillId="0" borderId="77" xfId="0" applyFont="1" applyBorder="1" applyAlignment="1">
      <alignment horizontal="center" vertical="top" wrapText="1"/>
    </xf>
    <xf numFmtId="0" fontId="8" fillId="17" borderId="51" xfId="0" applyFont="1" applyFill="1" applyBorder="1" applyAlignment="1">
      <alignment horizontal="right"/>
    </xf>
    <xf numFmtId="0" fontId="36" fillId="0" borderId="50" xfId="0" applyFont="1" applyBorder="1" applyAlignment="1">
      <alignment horizontal="center" vertical="center"/>
    </xf>
    <xf numFmtId="0" fontId="36" fillId="18" borderId="51" xfId="0" applyFont="1" applyFill="1" applyBorder="1" applyAlignment="1">
      <alignment horizontal="center" vertical="center"/>
    </xf>
    <xf numFmtId="0" fontId="76" fillId="0" borderId="51" xfId="0" applyFont="1" applyBorder="1" applyAlignment="1">
      <alignment horizontal="right"/>
    </xf>
    <xf numFmtId="3" fontId="27" fillId="2" borderId="45" xfId="4" applyNumberFormat="1" applyFont="1" applyFill="1" applyBorder="1" applyAlignment="1">
      <alignment vertical="center" wrapText="1"/>
    </xf>
    <xf numFmtId="3" fontId="27" fillId="2" borderId="19" xfId="4" applyNumberFormat="1" applyFont="1" applyFill="1" applyBorder="1" applyAlignment="1">
      <alignment vertical="center" wrapText="1"/>
    </xf>
    <xf numFmtId="43" fontId="31" fillId="0" borderId="197" xfId="1" applyFont="1" applyFill="1" applyBorder="1" applyAlignment="1">
      <alignment vertical="center"/>
    </xf>
    <xf numFmtId="43" fontId="8" fillId="11" borderId="3" xfId="1" applyFont="1" applyFill="1" applyBorder="1"/>
    <xf numFmtId="0" fontId="7" fillId="8" borderId="52" xfId="4" applyFont="1" applyFill="1" applyBorder="1" applyAlignment="1">
      <alignment vertical="top"/>
    </xf>
    <xf numFmtId="0" fontId="24" fillId="8" borderId="52" xfId="4" applyFont="1" applyFill="1" applyBorder="1" applyAlignment="1">
      <alignment horizontal="right" vertical="top"/>
    </xf>
    <xf numFmtId="0" fontId="7" fillId="8" borderId="84" xfId="4" applyFont="1" applyFill="1" applyBorder="1" applyAlignment="1">
      <alignment vertical="top"/>
    </xf>
    <xf numFmtId="0" fontId="7" fillId="8" borderId="84" xfId="4" applyFont="1" applyFill="1" applyBorder="1" applyAlignment="1">
      <alignment vertical="center"/>
    </xf>
    <xf numFmtId="0" fontId="7" fillId="8" borderId="1" xfId="4" applyFont="1" applyFill="1" applyBorder="1" applyAlignment="1">
      <alignment vertical="top"/>
    </xf>
    <xf numFmtId="2" fontId="17" fillId="8" borderId="52" xfId="0" applyNumberFormat="1" applyFont="1" applyFill="1" applyBorder="1" applyAlignment="1">
      <alignment vertical="top"/>
    </xf>
    <xf numFmtId="2" fontId="17" fillId="8" borderId="52" xfId="0" applyNumberFormat="1" applyFont="1" applyFill="1" applyBorder="1" applyAlignment="1">
      <alignment vertical="center"/>
    </xf>
    <xf numFmtId="2" fontId="35" fillId="8" borderId="5" xfId="0" applyNumberFormat="1" applyFont="1" applyFill="1" applyBorder="1" applyAlignment="1">
      <alignment vertical="top"/>
    </xf>
    <xf numFmtId="0" fontId="57" fillId="0" borderId="51" xfId="0" applyFont="1" applyFill="1" applyBorder="1" applyAlignment="1">
      <alignment vertical="top"/>
    </xf>
    <xf numFmtId="0" fontId="19" fillId="0" borderId="3" xfId="0" applyFont="1" applyBorder="1" applyAlignment="1">
      <alignment horizontal="center" vertical="top"/>
    </xf>
    <xf numFmtId="0" fontId="60" fillId="13" borderId="22" xfId="0" applyFont="1" applyFill="1" applyBorder="1" applyAlignment="1">
      <alignment vertical="center"/>
    </xf>
    <xf numFmtId="0" fontId="74" fillId="13" borderId="51" xfId="4" applyFont="1" applyFill="1" applyBorder="1" applyAlignment="1">
      <alignment horizontal="center" vertical="center"/>
    </xf>
    <xf numFmtId="0" fontId="66" fillId="13" borderId="51" xfId="4" applyFont="1" applyFill="1" applyBorder="1" applyAlignment="1">
      <alignment horizontal="left" vertical="center"/>
    </xf>
    <xf numFmtId="0" fontId="66" fillId="0" borderId="51" xfId="4" applyFont="1" applyFill="1" applyBorder="1" applyAlignment="1">
      <alignment horizontal="left" vertical="center"/>
    </xf>
    <xf numFmtId="0" fontId="66" fillId="0" borderId="38" xfId="4" applyFont="1" applyFill="1" applyBorder="1" applyAlignment="1">
      <alignment horizontal="left" vertical="center"/>
    </xf>
    <xf numFmtId="0" fontId="7" fillId="0" borderId="51" xfId="0" applyFont="1" applyFill="1" applyBorder="1" applyAlignment="1">
      <alignment vertical="center" wrapText="1"/>
    </xf>
    <xf numFmtId="0" fontId="8" fillId="0" borderId="51" xfId="0" applyFont="1" applyFill="1" applyBorder="1" applyAlignment="1">
      <alignment vertical="center" wrapText="1"/>
    </xf>
    <xf numFmtId="0" fontId="7" fillId="0" borderId="3" xfId="0" applyFont="1" applyFill="1" applyBorder="1" applyAlignment="1">
      <alignment vertical="center" wrapText="1"/>
    </xf>
    <xf numFmtId="3" fontId="62" fillId="0" borderId="24" xfId="0" applyNumberFormat="1" applyFont="1" applyFill="1" applyBorder="1" applyAlignment="1">
      <alignment vertical="center" wrapText="1"/>
    </xf>
    <xf numFmtId="3" fontId="62" fillId="0" borderId="39" xfId="0" applyNumberFormat="1" applyFont="1" applyFill="1" applyBorder="1" applyAlignment="1">
      <alignment vertical="center" wrapText="1"/>
    </xf>
    <xf numFmtId="2" fontId="27" fillId="50" borderId="38" xfId="4" applyNumberFormat="1" applyFont="1" applyFill="1" applyBorder="1" applyAlignment="1">
      <alignment horizontal="left" vertical="center"/>
    </xf>
    <xf numFmtId="3" fontId="72" fillId="2" borderId="24" xfId="0" applyNumberFormat="1" applyFont="1" applyFill="1" applyBorder="1" applyAlignment="1">
      <alignment vertical="center"/>
    </xf>
    <xf numFmtId="3" fontId="27" fillId="25" borderId="7" xfId="0" applyNumberFormat="1" applyFont="1" applyFill="1" applyBorder="1" applyAlignment="1">
      <alignment horizontal="center" vertical="top"/>
    </xf>
    <xf numFmtId="3" fontId="31" fillId="25" borderId="7" xfId="0" applyNumberFormat="1" applyFont="1" applyFill="1" applyBorder="1" applyAlignment="1">
      <alignment horizontal="center" vertical="center"/>
    </xf>
    <xf numFmtId="3" fontId="25" fillId="22" borderId="69" xfId="0" applyNumberFormat="1" applyFont="1" applyFill="1" applyBorder="1" applyAlignment="1">
      <alignment vertical="center"/>
    </xf>
    <xf numFmtId="3" fontId="31" fillId="25" borderId="31" xfId="4" applyNumberFormat="1" applyFont="1" applyFill="1" applyBorder="1" applyAlignment="1">
      <alignment horizontal="right" vertical="center"/>
    </xf>
    <xf numFmtId="3" fontId="7" fillId="23" borderId="76" xfId="0" applyNumberFormat="1" applyFont="1" applyFill="1" applyBorder="1" applyAlignment="1">
      <alignment vertical="center"/>
    </xf>
    <xf numFmtId="3" fontId="27" fillId="21" borderId="7" xfId="4" applyNumberFormat="1" applyFont="1" applyFill="1" applyBorder="1" applyAlignment="1">
      <alignment horizontal="right" vertical="center"/>
    </xf>
    <xf numFmtId="3" fontId="27" fillId="21" borderId="69" xfId="4" applyNumberFormat="1" applyFont="1" applyFill="1" applyBorder="1" applyAlignment="1">
      <alignment horizontal="right" vertical="center"/>
    </xf>
    <xf numFmtId="3" fontId="27" fillId="23" borderId="69" xfId="4" applyNumberFormat="1" applyFont="1" applyFill="1" applyBorder="1" applyAlignment="1">
      <alignment vertical="top"/>
    </xf>
    <xf numFmtId="3" fontId="7" fillId="25" borderId="69" xfId="4" applyNumberFormat="1" applyFont="1" applyFill="1" applyBorder="1" applyAlignment="1">
      <alignment vertical="top"/>
    </xf>
    <xf numFmtId="3" fontId="28" fillId="55" borderId="7" xfId="0" applyNumberFormat="1" applyFont="1" applyFill="1" applyBorder="1" applyAlignment="1">
      <alignment vertical="center"/>
    </xf>
    <xf numFmtId="2" fontId="25" fillId="23" borderId="31" xfId="0" applyNumberFormat="1" applyFont="1" applyFill="1" applyBorder="1" applyAlignment="1">
      <alignment vertical="center"/>
    </xf>
    <xf numFmtId="2" fontId="25" fillId="23" borderId="31" xfId="0" applyNumberFormat="1" applyFont="1" applyFill="1" applyBorder="1" applyAlignment="1">
      <alignment horizontal="center" vertical="center"/>
    </xf>
    <xf numFmtId="2" fontId="25" fillId="23" borderId="69" xfId="0" applyNumberFormat="1" applyFont="1" applyFill="1" applyBorder="1" applyAlignment="1">
      <alignment horizontal="center" vertical="center"/>
    </xf>
    <xf numFmtId="2" fontId="25" fillId="22" borderId="7" xfId="0" applyNumberFormat="1" applyFont="1" applyFill="1" applyBorder="1" applyAlignment="1">
      <alignment vertical="top"/>
    </xf>
    <xf numFmtId="3" fontId="37" fillId="0" borderId="69" xfId="0" applyNumberFormat="1" applyFont="1" applyBorder="1" applyAlignment="1">
      <alignment vertical="top"/>
    </xf>
    <xf numFmtId="3" fontId="24" fillId="22" borderId="7" xfId="4" applyNumberFormat="1" applyFont="1" applyFill="1" applyBorder="1" applyAlignment="1">
      <alignment horizontal="right" vertical="center"/>
    </xf>
    <xf numFmtId="3" fontId="27" fillId="25" borderId="69" xfId="4" applyNumberFormat="1" applyFont="1" applyFill="1" applyBorder="1" applyAlignment="1">
      <alignment horizontal="right" vertical="center"/>
    </xf>
    <xf numFmtId="3" fontId="24" fillId="22" borderId="69" xfId="4" applyNumberFormat="1" applyFont="1" applyFill="1" applyBorder="1" applyAlignment="1">
      <alignment horizontal="right" vertical="center"/>
    </xf>
    <xf numFmtId="0" fontId="18" fillId="0" borderId="84" xfId="112" applyFont="1" applyBorder="1" applyAlignment="1">
      <alignment horizontal="center" vertical="center" wrapText="1"/>
    </xf>
    <xf numFmtId="0" fontId="18" fillId="0" borderId="1" xfId="112" applyFont="1" applyBorder="1" applyAlignment="1">
      <alignment horizontal="center" vertical="center" wrapText="1"/>
    </xf>
    <xf numFmtId="3" fontId="18" fillId="8" borderId="52" xfId="4" applyNumberFormat="1" applyFont="1" applyFill="1" applyBorder="1" applyAlignment="1">
      <alignment vertical="top" wrapText="1"/>
    </xf>
    <xf numFmtId="3" fontId="18" fillId="8" borderId="52" xfId="4" applyNumberFormat="1" applyFont="1" applyFill="1" applyBorder="1" applyAlignment="1">
      <alignment vertical="center" wrapText="1"/>
    </xf>
    <xf numFmtId="3" fontId="18" fillId="8" borderId="5" xfId="4" applyNumberFormat="1" applyFont="1" applyFill="1" applyBorder="1" applyAlignment="1">
      <alignment vertical="top" wrapText="1"/>
    </xf>
    <xf numFmtId="2" fontId="20" fillId="8" borderId="52" xfId="0" applyNumberFormat="1" applyFont="1" applyFill="1" applyBorder="1" applyAlignment="1">
      <alignment horizontal="center" vertical="center" wrapText="1"/>
    </xf>
    <xf numFmtId="2" fontId="35" fillId="8" borderId="5" xfId="0" applyNumberFormat="1" applyFont="1" applyFill="1" applyBorder="1" applyAlignment="1">
      <alignment horizontal="center" vertical="center" wrapText="1"/>
    </xf>
    <xf numFmtId="3" fontId="37" fillId="0" borderId="38" xfId="0" applyNumberFormat="1" applyFont="1" applyBorder="1" applyAlignment="1">
      <alignment vertical="top"/>
    </xf>
    <xf numFmtId="0" fontId="39" fillId="0" borderId="52" xfId="0" applyFont="1" applyBorder="1" applyAlignment="1">
      <alignment horizontal="center" vertical="center" wrapText="1"/>
    </xf>
    <xf numFmtId="0" fontId="20" fillId="0" borderId="52" xfId="4" applyFont="1" applyFill="1" applyBorder="1" applyAlignment="1">
      <alignment horizontal="center" vertical="center" wrapText="1"/>
    </xf>
    <xf numFmtId="0" fontId="72" fillId="2" borderId="66" xfId="0" applyFont="1" applyFill="1" applyBorder="1" applyAlignment="1">
      <alignment vertical="center"/>
    </xf>
    <xf numFmtId="0" fontId="72" fillId="2" borderId="84" xfId="0" applyFont="1" applyFill="1" applyBorder="1" applyAlignment="1">
      <alignment vertical="center"/>
    </xf>
    <xf numFmtId="0" fontId="8" fillId="0" borderId="84" xfId="0" applyFont="1" applyFill="1" applyBorder="1" applyAlignment="1">
      <alignment vertical="center"/>
    </xf>
    <xf numFmtId="0" fontId="8" fillId="0" borderId="1" xfId="0" applyFont="1" applyFill="1" applyBorder="1" applyAlignment="1">
      <alignment vertical="center"/>
    </xf>
    <xf numFmtId="0" fontId="18" fillId="0" borderId="66" xfId="112" applyFont="1" applyBorder="1" applyAlignment="1">
      <alignment horizontal="center" vertical="center" wrapText="1"/>
    </xf>
    <xf numFmtId="3" fontId="24" fillId="6" borderId="23" xfId="4" applyNumberFormat="1" applyFont="1" applyFill="1" applyBorder="1" applyAlignment="1">
      <alignment vertical="center"/>
    </xf>
    <xf numFmtId="2" fontId="17" fillId="8" borderId="25" xfId="0" applyNumberFormat="1" applyFont="1" applyFill="1" applyBorder="1" applyAlignment="1">
      <alignment vertical="top"/>
    </xf>
    <xf numFmtId="2" fontId="27" fillId="21" borderId="72" xfId="4" applyNumberFormat="1" applyFont="1" applyFill="1" applyBorder="1" applyAlignment="1">
      <alignment horizontal="right" vertical="center"/>
    </xf>
    <xf numFmtId="0" fontId="39" fillId="0" borderId="22" xfId="0" applyFont="1" applyFill="1" applyBorder="1" applyAlignment="1">
      <alignment vertical="center"/>
    </xf>
    <xf numFmtId="0" fontId="74" fillId="2" borderId="66" xfId="0" applyFont="1" applyFill="1" applyBorder="1" applyAlignment="1">
      <alignment vertical="center"/>
    </xf>
    <xf numFmtId="0" fontId="4" fillId="0" borderId="35" xfId="0" applyFont="1" applyBorder="1" applyAlignment="1">
      <alignment vertical="center"/>
    </xf>
    <xf numFmtId="0" fontId="4" fillId="0" borderId="35" xfId="0" applyFont="1" applyBorder="1"/>
    <xf numFmtId="3" fontId="25" fillId="22" borderId="7" xfId="0" applyNumberFormat="1" applyFont="1" applyFill="1" applyBorder="1" applyAlignment="1">
      <alignment vertical="center"/>
    </xf>
    <xf numFmtId="0" fontId="39" fillId="0" borderId="14" xfId="0" applyFont="1" applyFill="1" applyBorder="1" applyAlignment="1">
      <alignment vertical="center"/>
    </xf>
    <xf numFmtId="0" fontId="18" fillId="0" borderId="26" xfId="112" applyFont="1" applyBorder="1" applyAlignment="1">
      <alignment horizontal="center" vertical="center" wrapText="1"/>
    </xf>
    <xf numFmtId="0" fontId="25" fillId="6" borderId="11" xfId="4" applyFont="1" applyFill="1" applyBorder="1" applyAlignment="1">
      <alignment horizontal="left" vertical="center"/>
    </xf>
    <xf numFmtId="43" fontId="31" fillId="25" borderId="13" xfId="1" applyFont="1" applyFill="1" applyBorder="1" applyAlignment="1">
      <alignment vertical="top"/>
    </xf>
    <xf numFmtId="2" fontId="27" fillId="50" borderId="65" xfId="0" applyNumberFormat="1" applyFont="1" applyFill="1" applyBorder="1" applyAlignment="1">
      <alignment horizontal="left" vertical="top"/>
    </xf>
    <xf numFmtId="2" fontId="28" fillId="50" borderId="6" xfId="0" quotePrefix="1" applyNumberFormat="1" applyFont="1" applyFill="1" applyBorder="1" applyAlignment="1">
      <alignment horizontal="center" vertical="top"/>
    </xf>
    <xf numFmtId="2" fontId="27" fillId="50" borderId="27" xfId="0" quotePrefix="1" applyNumberFormat="1" applyFont="1" applyFill="1" applyBorder="1" applyAlignment="1">
      <alignment horizontal="right" vertical="top"/>
    </xf>
    <xf numFmtId="2" fontId="27" fillId="21" borderId="10" xfId="4" applyNumberFormat="1" applyFont="1" applyFill="1" applyBorder="1" applyAlignment="1">
      <alignment horizontal="right" vertical="center"/>
    </xf>
    <xf numFmtId="3" fontId="33" fillId="25" borderId="13" xfId="6" applyNumberFormat="1" applyFont="1" applyFill="1" applyBorder="1" applyAlignment="1">
      <alignment vertical="center"/>
    </xf>
    <xf numFmtId="0" fontId="7" fillId="0" borderId="11" xfId="4" applyFont="1" applyFill="1" applyBorder="1" applyAlignment="1">
      <alignment vertical="center"/>
    </xf>
    <xf numFmtId="0" fontId="39" fillId="0" borderId="6" xfId="0" applyFont="1" applyFill="1" applyBorder="1" applyAlignment="1">
      <alignment vertical="center"/>
    </xf>
    <xf numFmtId="3" fontId="75" fillId="0" borderId="13" xfId="0" applyNumberFormat="1" applyFont="1" applyFill="1" applyBorder="1" applyAlignment="1">
      <alignment vertical="center" wrapText="1"/>
    </xf>
    <xf numFmtId="3" fontId="73" fillId="0" borderId="10" xfId="0" applyNumberFormat="1" applyFont="1" applyFill="1" applyBorder="1" applyAlignment="1">
      <alignment vertical="center" wrapText="1"/>
    </xf>
    <xf numFmtId="0" fontId="74" fillId="2" borderId="26" xfId="0" applyFont="1" applyFill="1" applyBorder="1" applyAlignment="1">
      <alignment vertical="center"/>
    </xf>
    <xf numFmtId="3" fontId="18" fillId="8" borderId="25" xfId="4" applyNumberFormat="1" applyFont="1" applyFill="1" applyBorder="1" applyAlignment="1">
      <alignment vertical="top" wrapText="1"/>
    </xf>
    <xf numFmtId="3" fontId="25" fillId="25" borderId="35" xfId="0" applyNumberFormat="1" applyFont="1" applyFill="1" applyBorder="1" applyAlignment="1">
      <alignment vertical="top"/>
    </xf>
    <xf numFmtId="2" fontId="31" fillId="8" borderId="21" xfId="0" applyNumberFormat="1" applyFont="1" applyFill="1" applyBorder="1" applyAlignment="1">
      <alignment vertical="top"/>
    </xf>
    <xf numFmtId="2" fontId="31" fillId="8" borderId="9" xfId="0" applyNumberFormat="1" applyFont="1" applyFill="1" applyBorder="1" applyAlignment="1">
      <alignment vertical="top"/>
    </xf>
    <xf numFmtId="0" fontId="37" fillId="0" borderId="0" xfId="0" applyFont="1" applyBorder="1" applyAlignment="1">
      <alignment vertical="center"/>
    </xf>
    <xf numFmtId="0" fontId="4" fillId="0" borderId="0" xfId="0" applyFont="1" applyBorder="1"/>
    <xf numFmtId="3" fontId="4" fillId="0" borderId="0" xfId="0" applyNumberFormat="1" applyFont="1" applyBorder="1"/>
    <xf numFmtId="3" fontId="33" fillId="0" borderId="0" xfId="6" applyNumberFormat="1" applyFont="1" applyFill="1" applyBorder="1" applyAlignment="1">
      <alignment vertical="center"/>
    </xf>
    <xf numFmtId="3" fontId="31" fillId="0" borderId="0" xfId="4" applyNumberFormat="1" applyFont="1" applyFill="1" applyBorder="1" applyAlignment="1">
      <alignment vertical="center"/>
    </xf>
    <xf numFmtId="0" fontId="40" fillId="2" borderId="0" xfId="0" applyFont="1" applyFill="1" applyBorder="1" applyAlignment="1">
      <alignment vertical="center"/>
    </xf>
    <xf numFmtId="0" fontId="59" fillId="2" borderId="0" xfId="0" applyFont="1" applyFill="1" applyBorder="1" applyAlignment="1">
      <alignment vertical="center"/>
    </xf>
    <xf numFmtId="0" fontId="59" fillId="36" borderId="0" xfId="0" applyFont="1" applyFill="1" applyBorder="1" applyAlignment="1">
      <alignment vertical="center"/>
    </xf>
    <xf numFmtId="0" fontId="59" fillId="2" borderId="0" xfId="0" applyFont="1" applyFill="1" applyBorder="1" applyAlignment="1">
      <alignment horizontal="center" vertical="center" wrapText="1"/>
    </xf>
    <xf numFmtId="0" fontId="25" fillId="6" borderId="0" xfId="4" applyFont="1" applyFill="1" applyBorder="1" applyAlignment="1">
      <alignment horizontal="left" vertical="center"/>
    </xf>
    <xf numFmtId="0" fontId="31" fillId="50" borderId="0" xfId="4" applyFont="1" applyFill="1" applyBorder="1" applyAlignment="1">
      <alignment horizontal="left" vertical="center"/>
    </xf>
    <xf numFmtId="3" fontId="31" fillId="50" borderId="0" xfId="0" applyNumberFormat="1" applyFont="1" applyFill="1" applyBorder="1" applyAlignment="1">
      <alignment vertical="top"/>
    </xf>
    <xf numFmtId="43" fontId="28" fillId="25" borderId="0" xfId="1" applyFont="1" applyFill="1" applyBorder="1" applyAlignment="1">
      <alignment vertical="center"/>
    </xf>
    <xf numFmtId="2" fontId="17" fillId="8" borderId="0" xfId="0" applyNumberFormat="1" applyFont="1" applyFill="1" applyBorder="1" applyAlignment="1">
      <alignment vertical="top"/>
    </xf>
    <xf numFmtId="2" fontId="25" fillId="6" borderId="0" xfId="4" applyNumberFormat="1" applyFont="1" applyFill="1" applyBorder="1" applyAlignment="1">
      <alignment horizontal="left" vertical="center"/>
    </xf>
    <xf numFmtId="2" fontId="25" fillId="6" borderId="0" xfId="0" applyNumberFormat="1" applyFont="1" applyFill="1" applyBorder="1" applyAlignment="1">
      <alignment vertical="top"/>
    </xf>
    <xf numFmtId="2" fontId="25" fillId="22" borderId="0" xfId="0" applyNumberFormat="1" applyFont="1" applyFill="1" applyBorder="1" applyAlignment="1">
      <alignment vertical="top"/>
    </xf>
    <xf numFmtId="2" fontId="27" fillId="8" borderId="0" xfId="4" applyNumberFormat="1" applyFont="1" applyFill="1" applyBorder="1" applyAlignment="1">
      <alignment vertical="top"/>
    </xf>
    <xf numFmtId="2" fontId="27" fillId="8" borderId="0" xfId="0" applyNumberFormat="1" applyFont="1" applyFill="1" applyBorder="1" applyAlignment="1">
      <alignment vertical="top"/>
    </xf>
    <xf numFmtId="2" fontId="27" fillId="23" borderId="0" xfId="0" applyNumberFormat="1" applyFont="1" applyFill="1" applyBorder="1" applyAlignment="1">
      <alignment vertical="top"/>
    </xf>
    <xf numFmtId="3" fontId="28" fillId="23" borderId="0" xfId="4" applyNumberFormat="1" applyFont="1" applyFill="1" applyBorder="1" applyAlignment="1">
      <alignment horizontal="right" vertical="center"/>
    </xf>
    <xf numFmtId="0" fontId="24" fillId="6" borderId="0" xfId="4" applyFont="1" applyFill="1" applyBorder="1" applyAlignment="1">
      <alignment horizontal="left" vertical="center"/>
    </xf>
    <xf numFmtId="0" fontId="24" fillId="8" borderId="0" xfId="4" applyFont="1" applyFill="1" applyBorder="1" applyAlignment="1">
      <alignment vertical="center" wrapText="1"/>
    </xf>
    <xf numFmtId="0" fontId="24" fillId="8" borderId="0" xfId="4" applyFont="1" applyFill="1" applyBorder="1" applyAlignment="1">
      <alignment horizontal="center" vertical="center" wrapText="1"/>
    </xf>
    <xf numFmtId="3" fontId="25" fillId="8" borderId="0" xfId="4" applyNumberFormat="1" applyFont="1" applyFill="1" applyBorder="1" applyAlignment="1">
      <alignment vertical="center"/>
    </xf>
    <xf numFmtId="3" fontId="25" fillId="8" borderId="0" xfId="4" applyNumberFormat="1" applyFont="1" applyFill="1" applyBorder="1" applyAlignment="1">
      <alignment horizontal="right" vertical="center"/>
    </xf>
    <xf numFmtId="3" fontId="25" fillId="23" borderId="0" xfId="4" applyNumberFormat="1" applyFont="1" applyFill="1" applyBorder="1" applyAlignment="1">
      <alignment horizontal="right" vertical="center"/>
    </xf>
    <xf numFmtId="0" fontId="18" fillId="0" borderId="0" xfId="4" applyFont="1" applyFill="1" applyBorder="1" applyAlignment="1">
      <alignment vertical="center" wrapText="1"/>
    </xf>
    <xf numFmtId="3" fontId="25" fillId="6" borderId="0" xfId="4" applyNumberFormat="1" applyFont="1" applyFill="1" applyBorder="1" applyAlignment="1">
      <alignment horizontal="right" vertical="center"/>
    </xf>
    <xf numFmtId="3" fontId="25" fillId="22" borderId="0" xfId="4" applyNumberFormat="1" applyFont="1" applyFill="1" applyBorder="1" applyAlignment="1">
      <alignment horizontal="right" vertical="center"/>
    </xf>
    <xf numFmtId="0" fontId="39" fillId="0" borderId="0" xfId="0" applyFont="1" applyFill="1" applyBorder="1" applyAlignment="1">
      <alignment vertical="center"/>
    </xf>
    <xf numFmtId="3" fontId="75" fillId="0" borderId="0" xfId="0" applyNumberFormat="1" applyFont="1" applyFill="1" applyBorder="1" applyAlignment="1">
      <alignment vertical="center" wrapText="1"/>
    </xf>
    <xf numFmtId="3" fontId="73" fillId="0" borderId="0" xfId="0" applyNumberFormat="1" applyFont="1" applyFill="1" applyBorder="1" applyAlignment="1">
      <alignment vertical="center" wrapText="1"/>
    </xf>
    <xf numFmtId="0" fontId="74" fillId="2" borderId="0" xfId="0" applyFont="1" applyFill="1" applyBorder="1" applyAlignment="1">
      <alignment vertical="center"/>
    </xf>
    <xf numFmtId="0" fontId="66" fillId="13" borderId="0" xfId="4" applyFont="1" applyFill="1" applyBorder="1" applyAlignment="1">
      <alignment horizontal="left" vertical="center"/>
    </xf>
    <xf numFmtId="0" fontId="31" fillId="6" borderId="200" xfId="0" applyFont="1" applyFill="1" applyBorder="1" applyAlignment="1">
      <alignment vertical="center"/>
    </xf>
    <xf numFmtId="43" fontId="25" fillId="6" borderId="179" xfId="1" applyFont="1" applyFill="1" applyBorder="1" applyAlignment="1">
      <alignment vertical="center"/>
    </xf>
    <xf numFmtId="3" fontId="27" fillId="0" borderId="179" xfId="0" applyNumberFormat="1" applyFont="1" applyFill="1" applyBorder="1" applyAlignment="1">
      <alignment vertical="center"/>
    </xf>
    <xf numFmtId="43" fontId="27" fillId="0" borderId="179" xfId="1" applyFont="1" applyFill="1" applyBorder="1" applyAlignment="1">
      <alignment vertical="center"/>
    </xf>
    <xf numFmtId="0" fontId="63" fillId="53" borderId="199" xfId="0" applyFont="1" applyFill="1" applyBorder="1"/>
    <xf numFmtId="3" fontId="28" fillId="55" borderId="12" xfId="0" applyNumberFormat="1" applyFont="1" applyFill="1" applyBorder="1" applyAlignment="1">
      <alignment vertical="center"/>
    </xf>
    <xf numFmtId="2" fontId="27" fillId="21" borderId="12" xfId="4" applyNumberFormat="1" applyFont="1" applyFill="1" applyBorder="1" applyAlignment="1">
      <alignment horizontal="right" vertical="center"/>
    </xf>
    <xf numFmtId="0" fontId="25" fillId="6" borderId="200" xfId="4" applyFont="1" applyFill="1" applyBorder="1" applyAlignment="1">
      <alignment horizontal="left" vertical="center"/>
    </xf>
    <xf numFmtId="0" fontId="25" fillId="6" borderId="67" xfId="4" applyFont="1" applyFill="1" applyBorder="1" applyAlignment="1">
      <alignment horizontal="left" vertical="center"/>
    </xf>
    <xf numFmtId="0" fontId="33" fillId="0" borderId="23" xfId="0" applyFont="1" applyBorder="1" applyAlignment="1">
      <alignment vertical="center"/>
    </xf>
    <xf numFmtId="2" fontId="27" fillId="50" borderId="67" xfId="4" applyNumberFormat="1" applyFont="1" applyFill="1" applyBorder="1" applyAlignment="1">
      <alignment horizontal="left" vertical="center"/>
    </xf>
    <xf numFmtId="0" fontId="7" fillId="0" borderId="12" xfId="4" applyFont="1" applyFill="1" applyBorder="1" applyAlignment="1">
      <alignment vertical="top"/>
    </xf>
    <xf numFmtId="0" fontId="29" fillId="2" borderId="25" xfId="4" applyFont="1" applyFill="1" applyBorder="1" applyAlignment="1">
      <alignment vertical="center"/>
    </xf>
    <xf numFmtId="3" fontId="62" fillId="0" borderId="12" xfId="0" applyNumberFormat="1" applyFont="1" applyFill="1" applyBorder="1" applyAlignment="1">
      <alignment vertical="center" wrapText="1"/>
    </xf>
    <xf numFmtId="0" fontId="63" fillId="51" borderId="199" xfId="0" applyFont="1" applyFill="1" applyBorder="1" applyAlignment="1">
      <alignment vertical="center"/>
    </xf>
    <xf numFmtId="2" fontId="27" fillId="50" borderId="184" xfId="4" applyNumberFormat="1" applyFont="1" applyFill="1" applyBorder="1" applyAlignment="1">
      <alignment horizontal="left" vertical="center"/>
    </xf>
    <xf numFmtId="3" fontId="62" fillId="0" borderId="8" xfId="0" applyNumberFormat="1" applyFont="1" applyFill="1" applyBorder="1" applyAlignment="1">
      <alignment vertical="center" wrapText="1"/>
    </xf>
    <xf numFmtId="3" fontId="31" fillId="23" borderId="12" xfId="4" applyNumberFormat="1" applyFont="1" applyFill="1" applyBorder="1" applyAlignment="1">
      <alignment vertical="center"/>
    </xf>
    <xf numFmtId="3" fontId="27" fillId="0" borderId="12" xfId="0" applyNumberFormat="1" applyFont="1" applyFill="1" applyBorder="1" applyAlignment="1">
      <alignment vertical="center"/>
    </xf>
    <xf numFmtId="3" fontId="28" fillId="54" borderId="23" xfId="0" applyNumberFormat="1" applyFont="1" applyFill="1" applyBorder="1" applyAlignment="1">
      <alignment vertical="top"/>
    </xf>
    <xf numFmtId="2" fontId="27" fillId="50" borderId="23" xfId="4" applyNumberFormat="1" applyFont="1" applyFill="1" applyBorder="1" applyAlignment="1">
      <alignment horizontal="right" vertical="center"/>
    </xf>
    <xf numFmtId="3" fontId="28" fillId="23" borderId="12" xfId="4" applyNumberFormat="1" applyFont="1" applyFill="1" applyBorder="1" applyAlignment="1">
      <alignment horizontal="right" vertical="center"/>
    </xf>
    <xf numFmtId="3" fontId="27" fillId="2" borderId="23" xfId="4" applyNumberFormat="1" applyFont="1" applyFill="1" applyBorder="1" applyAlignment="1">
      <alignment vertical="center"/>
    </xf>
    <xf numFmtId="3" fontId="62" fillId="0" borderId="72" xfId="0" applyNumberFormat="1" applyFont="1" applyFill="1" applyBorder="1" applyAlignment="1">
      <alignment vertical="center" wrapText="1"/>
    </xf>
    <xf numFmtId="3" fontId="28" fillId="51" borderId="35" xfId="0" applyNumberFormat="1" applyFont="1" applyFill="1" applyBorder="1" applyAlignment="1">
      <alignment vertical="center"/>
    </xf>
    <xf numFmtId="2" fontId="27" fillId="50" borderId="179" xfId="4" applyNumberFormat="1" applyFont="1" applyFill="1" applyBorder="1" applyAlignment="1">
      <alignment horizontal="right" vertical="center"/>
    </xf>
    <xf numFmtId="3" fontId="72" fillId="2" borderId="8" xfId="0" applyNumberFormat="1" applyFont="1" applyFill="1" applyBorder="1" applyAlignment="1">
      <alignment vertical="center"/>
    </xf>
    <xf numFmtId="3" fontId="74" fillId="2" borderId="8" xfId="0" applyNumberFormat="1" applyFont="1" applyFill="1" applyBorder="1" applyAlignment="1">
      <alignment vertical="center"/>
    </xf>
    <xf numFmtId="0" fontId="38" fillId="0" borderId="24" xfId="0" applyFont="1" applyFill="1" applyBorder="1" applyAlignment="1">
      <alignment vertical="top"/>
    </xf>
    <xf numFmtId="3" fontId="37" fillId="0" borderId="35" xfId="0" applyNumberFormat="1" applyFont="1" applyBorder="1"/>
    <xf numFmtId="0" fontId="7" fillId="8" borderId="25" xfId="4" applyFont="1" applyFill="1" applyBorder="1" applyAlignment="1">
      <alignment vertical="top"/>
    </xf>
    <xf numFmtId="3" fontId="31" fillId="0" borderId="35" xfId="4" applyNumberFormat="1" applyFont="1" applyFill="1" applyBorder="1" applyAlignment="1">
      <alignment vertical="center"/>
    </xf>
    <xf numFmtId="2" fontId="7" fillId="23" borderId="13" xfId="0" applyNumberFormat="1" applyFont="1" applyFill="1" applyBorder="1" applyAlignment="1">
      <alignment vertical="top"/>
    </xf>
    <xf numFmtId="2" fontId="7" fillId="23" borderId="10" xfId="0" applyNumberFormat="1" applyFont="1" applyFill="1" applyBorder="1" applyAlignment="1">
      <alignment vertical="top"/>
    </xf>
    <xf numFmtId="0" fontId="7" fillId="0" borderId="35" xfId="4" applyFont="1" applyFill="1" applyBorder="1" applyAlignment="1">
      <alignment vertical="top"/>
    </xf>
    <xf numFmtId="3" fontId="32" fillId="0" borderId="35" xfId="6" applyNumberFormat="1" applyFont="1" applyFill="1" applyBorder="1" applyAlignment="1">
      <alignment vertical="center"/>
    </xf>
    <xf numFmtId="0" fontId="7" fillId="0" borderId="21" xfId="4" applyFont="1" applyFill="1" applyBorder="1" applyAlignment="1">
      <alignment vertical="center"/>
    </xf>
    <xf numFmtId="3" fontId="31" fillId="25" borderId="9" xfId="4" applyNumberFormat="1" applyFont="1" applyFill="1" applyBorder="1" applyAlignment="1">
      <alignment horizontal="right" vertical="center"/>
    </xf>
    <xf numFmtId="3" fontId="31" fillId="25" borderId="8" xfId="4" applyNumberFormat="1" applyFont="1" applyFill="1" applyBorder="1" applyAlignment="1">
      <alignment horizontal="right" vertical="center"/>
    </xf>
    <xf numFmtId="0" fontId="29" fillId="8" borderId="0" xfId="0" applyFont="1" applyFill="1" applyBorder="1" applyAlignment="1">
      <alignment vertical="top"/>
    </xf>
    <xf numFmtId="3" fontId="27" fillId="50" borderId="0" xfId="4" applyNumberFormat="1" applyFont="1" applyFill="1" applyBorder="1" applyAlignment="1">
      <alignment horizontal="right" vertical="center"/>
    </xf>
    <xf numFmtId="43" fontId="27" fillId="50" borderId="0" xfId="1" applyFont="1" applyFill="1" applyBorder="1" applyAlignment="1">
      <alignment horizontal="right" vertical="center"/>
    </xf>
    <xf numFmtId="3" fontId="27" fillId="21" borderId="0" xfId="4" applyNumberFormat="1" applyFont="1" applyFill="1" applyBorder="1" applyAlignment="1">
      <alignment horizontal="right" vertical="center"/>
    </xf>
    <xf numFmtId="3" fontId="18" fillId="8" borderId="0" xfId="4" applyNumberFormat="1" applyFont="1" applyFill="1" applyBorder="1" applyAlignment="1">
      <alignment vertical="top" wrapText="1"/>
    </xf>
    <xf numFmtId="3" fontId="27" fillId="25" borderId="0" xfId="0" applyNumberFormat="1" applyFont="1" applyFill="1" applyBorder="1" applyAlignment="1">
      <alignment vertical="top"/>
    </xf>
    <xf numFmtId="2" fontId="31" fillId="8" borderId="0" xfId="0" applyNumberFormat="1" applyFont="1" applyFill="1" applyBorder="1" applyAlignment="1">
      <alignment vertical="top"/>
    </xf>
    <xf numFmtId="2" fontId="25" fillId="23" borderId="0" xfId="0" applyNumberFormat="1" applyFont="1" applyFill="1" applyBorder="1" applyAlignment="1">
      <alignment horizontal="center" vertical="top"/>
    </xf>
    <xf numFmtId="3" fontId="29" fillId="2" borderId="0" xfId="4" applyNumberFormat="1" applyFont="1" applyFill="1" applyBorder="1" applyAlignment="1">
      <alignment vertical="top" wrapText="1"/>
    </xf>
    <xf numFmtId="3" fontId="29" fillId="2" borderId="0" xfId="4" applyNumberFormat="1" applyFont="1" applyFill="1" applyBorder="1" applyAlignment="1">
      <alignment vertical="center" wrapText="1"/>
    </xf>
    <xf numFmtId="3" fontId="25" fillId="22" borderId="183" xfId="0" applyNumberFormat="1" applyFont="1" applyFill="1" applyBorder="1" applyAlignment="1">
      <alignment vertical="center"/>
    </xf>
    <xf numFmtId="3" fontId="27" fillId="25" borderId="183" xfId="4" applyNumberFormat="1" applyFont="1" applyFill="1" applyBorder="1" applyAlignment="1">
      <alignment horizontal="right" vertical="center"/>
    </xf>
    <xf numFmtId="3" fontId="31" fillId="23" borderId="188" xfId="4" applyNumberFormat="1" applyFont="1" applyFill="1" applyBorder="1" applyAlignment="1">
      <alignment vertical="center"/>
    </xf>
    <xf numFmtId="3" fontId="25" fillId="22" borderId="188" xfId="4" applyNumberFormat="1" applyFont="1" applyFill="1" applyBorder="1" applyAlignment="1">
      <alignment horizontal="right" vertical="center"/>
    </xf>
    <xf numFmtId="3" fontId="31" fillId="23" borderId="7" xfId="4" applyNumberFormat="1" applyFont="1" applyFill="1" applyBorder="1" applyAlignment="1">
      <alignment vertical="center"/>
    </xf>
    <xf numFmtId="3" fontId="27" fillId="25" borderId="8" xfId="4" applyNumberFormat="1" applyFont="1" applyFill="1" applyBorder="1" applyAlignment="1">
      <alignment horizontal="right" vertical="center"/>
    </xf>
    <xf numFmtId="2" fontId="24" fillId="2" borderId="8" xfId="0" applyNumberFormat="1" applyFont="1" applyFill="1" applyBorder="1" applyAlignment="1">
      <alignment horizontal="left" vertical="top" wrapText="1"/>
    </xf>
    <xf numFmtId="2" fontId="27" fillId="21" borderId="7" xfId="4" applyNumberFormat="1" applyFont="1" applyFill="1" applyBorder="1" applyAlignment="1">
      <alignment horizontal="right" vertical="center"/>
    </xf>
    <xf numFmtId="0" fontId="74" fillId="2" borderId="8" xfId="0" applyFont="1" applyFill="1" applyBorder="1" applyAlignment="1">
      <alignment vertical="center"/>
    </xf>
    <xf numFmtId="3" fontId="31" fillId="23" borderId="0" xfId="4" applyNumberFormat="1" applyFont="1" applyFill="1" applyBorder="1" applyAlignment="1">
      <alignment vertical="center"/>
    </xf>
    <xf numFmtId="3" fontId="27" fillId="23" borderId="188" xfId="0" applyNumberFormat="1" applyFont="1" applyFill="1" applyBorder="1" applyAlignment="1">
      <alignment vertical="center"/>
    </xf>
    <xf numFmtId="3" fontId="31" fillId="25" borderId="183" xfId="4" applyNumberFormat="1" applyFont="1" applyFill="1" applyBorder="1" applyAlignment="1">
      <alignment horizontal="right" vertical="center"/>
    </xf>
    <xf numFmtId="3" fontId="31" fillId="23" borderId="188" xfId="0" applyNumberFormat="1" applyFont="1" applyFill="1" applyBorder="1" applyAlignment="1">
      <alignment vertical="center"/>
    </xf>
    <xf numFmtId="3" fontId="25" fillId="22" borderId="188" xfId="0" applyNumberFormat="1" applyFont="1" applyFill="1" applyBorder="1" applyAlignment="1">
      <alignment vertical="top"/>
    </xf>
    <xf numFmtId="3" fontId="25" fillId="25" borderId="188" xfId="0" applyNumberFormat="1" applyFont="1" applyFill="1" applyBorder="1" applyAlignment="1">
      <alignment vertical="top"/>
    </xf>
    <xf numFmtId="3" fontId="25" fillId="22" borderId="183" xfId="0" applyNumberFormat="1" applyFont="1" applyFill="1" applyBorder="1" applyAlignment="1">
      <alignment vertical="top"/>
    </xf>
    <xf numFmtId="3" fontId="31" fillId="25" borderId="188" xfId="0" applyNumberFormat="1" applyFont="1" applyFill="1" applyBorder="1" applyAlignment="1">
      <alignment vertical="top"/>
    </xf>
    <xf numFmtId="3" fontId="27" fillId="25" borderId="188" xfId="4" applyNumberFormat="1" applyFont="1" applyFill="1" applyBorder="1" applyAlignment="1">
      <alignment horizontal="right" vertical="center"/>
    </xf>
    <xf numFmtId="3" fontId="28" fillId="23" borderId="188" xfId="4" applyNumberFormat="1" applyFont="1" applyFill="1" applyBorder="1" applyAlignment="1">
      <alignment horizontal="right" vertical="center"/>
    </xf>
    <xf numFmtId="3" fontId="33" fillId="25" borderId="188" xfId="6" applyNumberFormat="1" applyFont="1" applyFill="1" applyBorder="1" applyAlignment="1">
      <alignment vertical="center"/>
    </xf>
    <xf numFmtId="0" fontId="34" fillId="0" borderId="64" xfId="0" applyFont="1" applyFill="1" applyBorder="1" applyAlignment="1">
      <alignment vertical="center"/>
    </xf>
    <xf numFmtId="0" fontId="18" fillId="0" borderId="39" xfId="4" applyFont="1" applyFill="1" applyBorder="1" applyAlignment="1">
      <alignment vertical="center" wrapText="1"/>
    </xf>
    <xf numFmtId="0" fontId="8" fillId="0" borderId="176" xfId="0" applyFont="1" applyFill="1" applyBorder="1" applyAlignment="1">
      <alignment vertical="center"/>
    </xf>
    <xf numFmtId="0" fontId="8" fillId="0" borderId="13" xfId="0" applyFont="1" applyFill="1" applyBorder="1" applyAlignment="1">
      <alignment vertical="center"/>
    </xf>
    <xf numFmtId="0" fontId="72" fillId="0" borderId="13" xfId="0" applyFont="1" applyFill="1" applyBorder="1" applyAlignment="1">
      <alignment vertical="center"/>
    </xf>
    <xf numFmtId="0" fontId="72" fillId="2" borderId="13" xfId="0" applyFont="1" applyFill="1" applyBorder="1" applyAlignment="1">
      <alignment vertical="center"/>
    </xf>
    <xf numFmtId="0" fontId="72" fillId="2" borderId="12" xfId="0" applyFont="1" applyFill="1" applyBorder="1" applyAlignment="1">
      <alignment vertical="center"/>
    </xf>
    <xf numFmtId="0" fontId="72" fillId="2" borderId="39" xfId="0" applyFont="1" applyFill="1" applyBorder="1" applyAlignment="1">
      <alignment vertical="center"/>
    </xf>
    <xf numFmtId="0" fontId="72" fillId="2" borderId="68" xfId="0" applyFont="1" applyFill="1" applyBorder="1" applyAlignment="1">
      <alignment vertical="center"/>
    </xf>
    <xf numFmtId="0" fontId="72" fillId="2" borderId="190" xfId="0" applyFont="1" applyFill="1" applyBorder="1" applyAlignment="1">
      <alignment vertical="center"/>
    </xf>
    <xf numFmtId="3" fontId="62" fillId="0" borderId="76" xfId="0" applyNumberFormat="1" applyFont="1" applyFill="1" applyBorder="1" applyAlignment="1">
      <alignment vertical="center" wrapText="1"/>
    </xf>
    <xf numFmtId="3" fontId="31" fillId="0" borderId="171" xfId="0" applyNumberFormat="1" applyFont="1" applyFill="1" applyBorder="1" applyAlignment="1">
      <alignment vertical="center"/>
    </xf>
    <xf numFmtId="2" fontId="26" fillId="0" borderId="15" xfId="0" applyNumberFormat="1" applyFont="1" applyBorder="1" applyAlignment="1">
      <alignment horizontal="center" vertical="center" wrapText="1"/>
    </xf>
    <xf numFmtId="2" fontId="18" fillId="2" borderId="12" xfId="0" applyNumberFormat="1" applyFont="1" applyFill="1" applyBorder="1" applyAlignment="1">
      <alignment vertical="top"/>
    </xf>
    <xf numFmtId="0" fontId="74" fillId="2" borderId="190" xfId="0" applyFont="1" applyFill="1" applyBorder="1" applyAlignment="1">
      <alignment vertical="center"/>
    </xf>
    <xf numFmtId="3" fontId="74" fillId="2" borderId="15" xfId="0" applyNumberFormat="1" applyFont="1" applyFill="1" applyBorder="1" applyAlignment="1">
      <alignment vertical="center"/>
    </xf>
    <xf numFmtId="0" fontId="74" fillId="2" borderId="12" xfId="0" applyFont="1" applyFill="1" applyBorder="1" applyAlignment="1">
      <alignment vertical="center"/>
    </xf>
    <xf numFmtId="0" fontId="74" fillId="2" borderId="68" xfId="0" applyFont="1" applyFill="1" applyBorder="1" applyAlignment="1">
      <alignment vertical="center"/>
    </xf>
    <xf numFmtId="0" fontId="26" fillId="0" borderId="11" xfId="0" applyFont="1" applyBorder="1" applyAlignment="1">
      <alignment horizontal="center" vertical="center"/>
    </xf>
    <xf numFmtId="0" fontId="26" fillId="0" borderId="25" xfId="0" applyFont="1" applyBorder="1" applyAlignment="1">
      <alignment horizontal="center" vertical="center"/>
    </xf>
    <xf numFmtId="0" fontId="23" fillId="0" borderId="12" xfId="6" applyFont="1" applyBorder="1" applyAlignment="1">
      <alignment horizontal="center" vertical="center"/>
    </xf>
    <xf numFmtId="0" fontId="13" fillId="2" borderId="0" xfId="0" applyFont="1" applyFill="1" applyBorder="1" applyAlignment="1">
      <alignment horizontal="left" vertical="center" wrapText="1"/>
    </xf>
    <xf numFmtId="0" fontId="24" fillId="2" borderId="15" xfId="0" applyFont="1" applyFill="1" applyBorder="1" applyAlignment="1">
      <alignment horizontal="center" vertical="center" wrapText="1"/>
    </xf>
    <xf numFmtId="3" fontId="25" fillId="22" borderId="35" xfId="0" applyNumberFormat="1" applyFont="1" applyFill="1" applyBorder="1" applyAlignment="1">
      <alignment horizontal="center" vertical="center"/>
    </xf>
    <xf numFmtId="0" fontId="7" fillId="0" borderId="20" xfId="0" applyFont="1" applyFill="1" applyBorder="1" applyAlignment="1">
      <alignment horizontal="center" vertical="center" wrapText="1"/>
    </xf>
    <xf numFmtId="0" fontId="17" fillId="2" borderId="11" xfId="0" applyFont="1" applyFill="1" applyBorder="1" applyAlignment="1">
      <alignment horizontal="center" vertical="center"/>
    </xf>
    <xf numFmtId="0" fontId="32" fillId="0" borderId="179" xfId="0" applyFont="1" applyBorder="1" applyAlignment="1">
      <alignment vertical="center"/>
    </xf>
    <xf numFmtId="3" fontId="31" fillId="0" borderId="176" xfId="0" applyNumberFormat="1" applyFont="1" applyFill="1" applyBorder="1" applyAlignment="1">
      <alignment vertical="top"/>
    </xf>
    <xf numFmtId="3" fontId="31" fillId="2" borderId="176" xfId="0" applyNumberFormat="1" applyFont="1" applyFill="1" applyBorder="1" applyAlignment="1">
      <alignment vertical="center"/>
    </xf>
    <xf numFmtId="3" fontId="31" fillId="2" borderId="13" xfId="0" applyNumberFormat="1" applyFont="1" applyFill="1" applyBorder="1" applyAlignment="1">
      <alignment vertical="center"/>
    </xf>
    <xf numFmtId="3" fontId="31" fillId="23" borderId="13" xfId="0" applyNumberFormat="1" applyFont="1" applyFill="1" applyBorder="1" applyAlignment="1">
      <alignment vertical="top"/>
    </xf>
    <xf numFmtId="3" fontId="27" fillId="0" borderId="68" xfId="0" applyNumberFormat="1" applyFont="1" applyFill="1" applyBorder="1" applyAlignment="1">
      <alignment vertical="center"/>
    </xf>
    <xf numFmtId="3" fontId="27" fillId="25" borderId="68" xfId="0" applyNumberFormat="1" applyFont="1" applyFill="1" applyBorder="1" applyAlignment="1">
      <alignment horizontal="center" vertical="center"/>
    </xf>
    <xf numFmtId="3" fontId="27" fillId="25" borderId="76" xfId="0" applyNumberFormat="1" applyFont="1" applyFill="1" applyBorder="1" applyAlignment="1">
      <alignment horizontal="center" vertical="center"/>
    </xf>
    <xf numFmtId="3" fontId="33" fillId="0" borderId="68" xfId="6" applyNumberFormat="1" applyFont="1" applyFill="1" applyBorder="1" applyAlignment="1">
      <alignment vertical="center"/>
    </xf>
    <xf numFmtId="3" fontId="25" fillId="22" borderId="171" xfId="4" applyNumberFormat="1" applyFont="1" applyFill="1" applyBorder="1" applyAlignment="1">
      <alignment horizontal="right" vertical="center"/>
    </xf>
    <xf numFmtId="3" fontId="27" fillId="25" borderId="35" xfId="4" applyNumberFormat="1" applyFont="1" applyFill="1" applyBorder="1" applyAlignment="1">
      <alignment horizontal="right" vertical="center"/>
    </xf>
    <xf numFmtId="3" fontId="28" fillId="23" borderId="35" xfId="4" applyNumberFormat="1" applyFont="1" applyFill="1" applyBorder="1" applyAlignment="1">
      <alignment horizontal="right" vertical="center"/>
    </xf>
    <xf numFmtId="3" fontId="31" fillId="0" borderId="176" xfId="4" applyNumberFormat="1" applyFont="1" applyFill="1" applyBorder="1" applyAlignment="1">
      <alignment vertical="center"/>
    </xf>
    <xf numFmtId="3" fontId="31" fillId="0" borderId="12" xfId="4" applyNumberFormat="1" applyFont="1" applyFill="1" applyBorder="1" applyAlignment="1">
      <alignment vertical="center"/>
    </xf>
    <xf numFmtId="3" fontId="27" fillId="0" borderId="7" xfId="0" applyNumberFormat="1" applyFont="1" applyFill="1" applyBorder="1" applyAlignment="1">
      <alignment vertical="top"/>
    </xf>
    <xf numFmtId="3" fontId="27" fillId="25" borderId="35" xfId="0" applyNumberFormat="1" applyFont="1" applyFill="1" applyBorder="1" applyAlignment="1">
      <alignment vertical="top"/>
    </xf>
    <xf numFmtId="43" fontId="28" fillId="25" borderId="27" xfId="1" applyFont="1" applyFill="1" applyBorder="1" applyAlignment="1">
      <alignment vertical="center"/>
    </xf>
    <xf numFmtId="0" fontId="31" fillId="0" borderId="199" xfId="0" applyFont="1" applyFill="1" applyBorder="1" applyAlignment="1">
      <alignment vertical="top"/>
    </xf>
    <xf numFmtId="0" fontId="31" fillId="0" borderId="199" xfId="0" applyFont="1" applyFill="1" applyBorder="1" applyAlignment="1">
      <alignment horizontal="left" vertical="center" wrapText="1"/>
    </xf>
    <xf numFmtId="0" fontId="63" fillId="52" borderId="199" xfId="0" applyFont="1" applyFill="1" applyBorder="1"/>
    <xf numFmtId="0" fontId="39" fillId="54" borderId="199" xfId="0" applyFont="1" applyFill="1" applyBorder="1"/>
    <xf numFmtId="0" fontId="8" fillId="0" borderId="199" xfId="0" applyFont="1" applyFill="1" applyBorder="1" applyAlignment="1">
      <alignment vertical="center" wrapText="1"/>
    </xf>
    <xf numFmtId="3" fontId="28" fillId="55" borderId="179" xfId="0" applyNumberFormat="1" applyFont="1" applyFill="1" applyBorder="1" applyAlignment="1">
      <alignment vertical="center"/>
    </xf>
    <xf numFmtId="3" fontId="28" fillId="55" borderId="180" xfId="0" applyNumberFormat="1" applyFont="1" applyFill="1" applyBorder="1" applyAlignment="1">
      <alignment vertical="center"/>
    </xf>
    <xf numFmtId="43" fontId="31" fillId="25" borderId="180" xfId="1" applyFont="1" applyFill="1" applyBorder="1" applyAlignment="1">
      <alignment vertical="top"/>
    </xf>
    <xf numFmtId="3" fontId="31" fillId="0" borderId="7" xfId="4" applyNumberFormat="1" applyFont="1" applyFill="1" applyBorder="1" applyAlignment="1">
      <alignment vertical="center"/>
    </xf>
    <xf numFmtId="3" fontId="28" fillId="50" borderId="10" xfId="0" applyNumberFormat="1" applyFont="1" applyFill="1" applyBorder="1" applyAlignment="1">
      <alignment vertical="top"/>
    </xf>
    <xf numFmtId="3" fontId="25" fillId="32" borderId="180" xfId="0" applyNumberFormat="1" applyFont="1" applyFill="1" applyBorder="1" applyAlignment="1">
      <alignment vertical="top"/>
    </xf>
    <xf numFmtId="3" fontId="28" fillId="52" borderId="180" xfId="0" applyNumberFormat="1" applyFont="1" applyFill="1" applyBorder="1" applyAlignment="1">
      <alignment vertical="top"/>
    </xf>
    <xf numFmtId="3" fontId="28" fillId="53" borderId="180" xfId="0" applyNumberFormat="1" applyFont="1" applyFill="1" applyBorder="1" applyAlignment="1">
      <alignment vertical="top"/>
    </xf>
    <xf numFmtId="3" fontId="28" fillId="54" borderId="180" xfId="0" applyNumberFormat="1" applyFont="1" applyFill="1" applyBorder="1" applyAlignment="1">
      <alignment vertical="top"/>
    </xf>
    <xf numFmtId="0" fontId="23" fillId="6" borderId="179" xfId="0" applyFont="1" applyFill="1" applyBorder="1" applyAlignment="1">
      <alignment horizontal="center" vertical="center"/>
    </xf>
    <xf numFmtId="0" fontId="25" fillId="6" borderId="176" xfId="4" applyFont="1" applyFill="1" applyBorder="1" applyAlignment="1">
      <alignment horizontal="left" vertical="center"/>
    </xf>
    <xf numFmtId="3" fontId="27" fillId="2" borderId="180" xfId="4" applyNumberFormat="1" applyFont="1" applyFill="1" applyBorder="1" applyAlignment="1">
      <alignment vertical="top" wrapText="1"/>
    </xf>
    <xf numFmtId="0" fontId="31" fillId="0" borderId="180" xfId="4" applyFont="1" applyFill="1" applyBorder="1" applyAlignment="1">
      <alignment vertical="center"/>
    </xf>
    <xf numFmtId="3" fontId="25" fillId="25" borderId="183" xfId="0" applyNumberFormat="1" applyFont="1" applyFill="1" applyBorder="1" applyAlignment="1">
      <alignment vertical="top"/>
    </xf>
    <xf numFmtId="3" fontId="25" fillId="25" borderId="179" xfId="0" applyNumberFormat="1" applyFont="1" applyFill="1" applyBorder="1" applyAlignment="1">
      <alignment vertical="top"/>
    </xf>
    <xf numFmtId="0" fontId="23" fillId="6" borderId="8" xfId="0" applyFont="1" applyFill="1" applyBorder="1" applyAlignment="1">
      <alignment horizontal="center" vertical="center"/>
    </xf>
    <xf numFmtId="3" fontId="25" fillId="22" borderId="8" xfId="0" applyNumberFormat="1" applyFont="1" applyFill="1" applyBorder="1" applyAlignment="1">
      <alignment vertical="center"/>
    </xf>
    <xf numFmtId="3" fontId="25" fillId="22" borderId="9" xfId="0" applyNumberFormat="1" applyFont="1" applyFill="1" applyBorder="1" applyAlignment="1">
      <alignment vertical="center"/>
    </xf>
    <xf numFmtId="0" fontId="31" fillId="8" borderId="180" xfId="0" applyFont="1" applyFill="1" applyBorder="1" applyAlignment="1">
      <alignment vertical="top"/>
    </xf>
    <xf numFmtId="3" fontId="31" fillId="8" borderId="180" xfId="0" applyNumberFormat="1" applyFont="1" applyFill="1" applyBorder="1" applyAlignment="1">
      <alignment vertical="top"/>
    </xf>
    <xf numFmtId="3" fontId="27" fillId="2" borderId="21" xfId="4" applyNumberFormat="1" applyFont="1" applyFill="1" applyBorder="1" applyAlignment="1">
      <alignment vertical="center" wrapText="1"/>
    </xf>
    <xf numFmtId="0" fontId="80" fillId="6" borderId="0" xfId="4" applyFont="1" applyFill="1" applyBorder="1" applyAlignment="1">
      <alignment horizontal="left" vertical="center"/>
    </xf>
    <xf numFmtId="3" fontId="33" fillId="0" borderId="7" xfId="6" applyNumberFormat="1" applyFont="1" applyFill="1" applyBorder="1" applyAlignment="1">
      <alignment vertical="center"/>
    </xf>
    <xf numFmtId="43" fontId="33" fillId="0" borderId="35" xfId="1" applyFont="1" applyFill="1" applyBorder="1" applyAlignment="1">
      <alignment vertical="center"/>
    </xf>
    <xf numFmtId="3" fontId="31" fillId="0" borderId="132" xfId="4" applyNumberFormat="1" applyFont="1" applyFill="1" applyBorder="1" applyAlignment="1">
      <alignment vertical="center"/>
    </xf>
    <xf numFmtId="3" fontId="25" fillId="6" borderId="7" xfId="4" applyNumberFormat="1" applyFont="1" applyFill="1" applyBorder="1" applyAlignment="1">
      <alignment vertical="center"/>
    </xf>
    <xf numFmtId="3" fontId="80" fillId="6" borderId="35" xfId="4" applyNumberFormat="1" applyFont="1" applyFill="1" applyBorder="1" applyAlignment="1">
      <alignment vertical="center"/>
    </xf>
    <xf numFmtId="0" fontId="7" fillId="0" borderId="187" xfId="4" applyFont="1" applyFill="1" applyBorder="1" applyAlignment="1">
      <alignment vertical="center"/>
    </xf>
    <xf numFmtId="43" fontId="7" fillId="0" borderId="9" xfId="1" applyFont="1" applyFill="1" applyBorder="1" applyAlignment="1">
      <alignment horizontal="right" vertical="center"/>
    </xf>
    <xf numFmtId="0" fontId="32" fillId="0" borderId="176" xfId="0" applyFont="1" applyBorder="1" applyAlignment="1">
      <alignment vertical="center"/>
    </xf>
    <xf numFmtId="0" fontId="33" fillId="0" borderId="68" xfId="0" applyFont="1" applyBorder="1" applyAlignment="1">
      <alignment vertical="center"/>
    </xf>
    <xf numFmtId="0" fontId="7" fillId="8" borderId="65" xfId="4" applyFont="1" applyFill="1" applyBorder="1" applyAlignment="1">
      <alignment vertical="center"/>
    </xf>
    <xf numFmtId="3" fontId="31" fillId="28" borderId="176" xfId="0" applyNumberFormat="1" applyFont="1" applyFill="1" applyBorder="1" applyAlignment="1">
      <alignment vertical="center"/>
    </xf>
    <xf numFmtId="43" fontId="31" fillId="28" borderId="176" xfId="1" applyFont="1" applyFill="1" applyBorder="1" applyAlignment="1">
      <alignment vertical="center"/>
    </xf>
    <xf numFmtId="3" fontId="27" fillId="25" borderId="183" xfId="0" applyNumberFormat="1" applyFont="1" applyFill="1" applyBorder="1" applyAlignment="1">
      <alignment vertical="center"/>
    </xf>
    <xf numFmtId="3" fontId="31" fillId="25" borderId="118" xfId="4" applyNumberFormat="1" applyFont="1" applyFill="1" applyBorder="1" applyAlignment="1">
      <alignment horizontal="right" vertical="center"/>
    </xf>
    <xf numFmtId="0" fontId="27" fillId="2" borderId="82" xfId="4" applyFont="1" applyFill="1" applyBorder="1" applyAlignment="1">
      <alignment vertical="top"/>
    </xf>
    <xf numFmtId="0" fontId="7" fillId="0" borderId="180" xfId="4" applyFont="1" applyFill="1" applyBorder="1" applyAlignment="1">
      <alignment vertical="center"/>
    </xf>
    <xf numFmtId="43" fontId="24" fillId="8" borderId="18" xfId="1" applyFont="1" applyFill="1" applyBorder="1" applyAlignment="1">
      <alignment horizontal="right" vertical="center"/>
    </xf>
    <xf numFmtId="3" fontId="24" fillId="8" borderId="18" xfId="4" applyNumberFormat="1" applyFont="1" applyFill="1" applyBorder="1" applyAlignment="1">
      <alignment horizontal="right" vertical="center"/>
    </xf>
    <xf numFmtId="3" fontId="33" fillId="8" borderId="76" xfId="6" applyNumberFormat="1" applyFont="1" applyFill="1" applyBorder="1" applyAlignment="1">
      <alignment horizontal="right" vertical="center"/>
    </xf>
    <xf numFmtId="3" fontId="24" fillId="8" borderId="76" xfId="0" applyNumberFormat="1" applyFont="1" applyFill="1" applyBorder="1" applyAlignment="1">
      <alignment vertical="center"/>
    </xf>
    <xf numFmtId="3" fontId="24" fillId="8" borderId="18" xfId="0" applyNumberFormat="1" applyFont="1" applyFill="1" applyBorder="1" applyAlignment="1">
      <alignment vertical="center"/>
    </xf>
    <xf numFmtId="3" fontId="24" fillId="8" borderId="17" xfId="0" applyNumberFormat="1" applyFont="1" applyFill="1" applyBorder="1" applyAlignment="1">
      <alignment vertical="center"/>
    </xf>
    <xf numFmtId="3" fontId="7" fillId="8" borderId="18" xfId="4" applyNumberFormat="1" applyFont="1" applyFill="1" applyBorder="1" applyAlignment="1">
      <alignment horizontal="right" vertical="center"/>
    </xf>
    <xf numFmtId="43" fontId="23" fillId="6" borderId="9" xfId="1" applyFont="1" applyFill="1" applyBorder="1" applyAlignment="1">
      <alignment horizontal="right" vertical="center"/>
    </xf>
    <xf numFmtId="3" fontId="25" fillId="8" borderId="76" xfId="4" applyNumberFormat="1" applyFont="1" applyFill="1" applyBorder="1" applyAlignment="1">
      <alignment vertical="center"/>
    </xf>
    <xf numFmtId="3" fontId="25" fillId="8" borderId="18" xfId="4" applyNumberFormat="1" applyFont="1" applyFill="1" applyBorder="1" applyAlignment="1">
      <alignment horizontal="right" vertical="center"/>
    </xf>
    <xf numFmtId="3" fontId="25" fillId="8" borderId="17" xfId="4" applyNumberFormat="1" applyFont="1" applyFill="1" applyBorder="1" applyAlignment="1">
      <alignment horizontal="right" vertical="center"/>
    </xf>
    <xf numFmtId="3" fontId="32" fillId="0" borderId="176" xfId="6" applyNumberFormat="1" applyFont="1" applyFill="1" applyBorder="1" applyAlignment="1">
      <alignment vertical="center"/>
    </xf>
    <xf numFmtId="0" fontId="25" fillId="8" borderId="76" xfId="0" applyFont="1" applyFill="1" applyBorder="1" applyAlignment="1">
      <alignment horizontal="center" vertical="center" wrapText="1"/>
    </xf>
    <xf numFmtId="3" fontId="25" fillId="8" borderId="18" xfId="0" applyNumberFormat="1" applyFont="1" applyFill="1" applyBorder="1" applyAlignment="1">
      <alignment vertical="top"/>
    </xf>
    <xf numFmtId="3" fontId="31" fillId="0" borderId="15" xfId="4" applyNumberFormat="1" applyFont="1" applyFill="1" applyBorder="1" applyAlignment="1">
      <alignment vertical="center"/>
    </xf>
    <xf numFmtId="0" fontId="31" fillId="8" borderId="18" xfId="0" applyFont="1" applyFill="1" applyBorder="1" applyAlignment="1">
      <alignment vertical="top"/>
    </xf>
    <xf numFmtId="0" fontId="25" fillId="8" borderId="7" xfId="0" applyFont="1" applyFill="1" applyBorder="1" applyAlignment="1">
      <alignment horizontal="center" vertical="center" wrapText="1"/>
    </xf>
    <xf numFmtId="0" fontId="24" fillId="8" borderId="1" xfId="0" applyFont="1" applyFill="1" applyBorder="1" applyAlignment="1">
      <alignment horizontal="center" vertical="center" wrapText="1"/>
    </xf>
    <xf numFmtId="3" fontId="7" fillId="8" borderId="18" xfId="0" applyNumberFormat="1" applyFont="1" applyFill="1" applyBorder="1" applyAlignment="1">
      <alignment vertical="center"/>
    </xf>
    <xf numFmtId="0" fontId="7" fillId="8" borderId="17" xfId="0" applyFont="1" applyFill="1" applyBorder="1" applyAlignment="1">
      <alignment vertical="center"/>
    </xf>
    <xf numFmtId="3" fontId="24" fillId="8" borderId="183" xfId="4" applyNumberFormat="1" applyFont="1" applyFill="1" applyBorder="1" applyAlignment="1">
      <alignment horizontal="center" vertical="center"/>
    </xf>
    <xf numFmtId="3" fontId="24" fillId="8" borderId="18" xfId="4" applyNumberFormat="1" applyFont="1" applyFill="1" applyBorder="1" applyAlignment="1">
      <alignment horizontal="center" vertical="center"/>
    </xf>
    <xf numFmtId="0" fontId="18" fillId="8" borderId="18" xfId="0" applyFont="1" applyFill="1" applyBorder="1" applyAlignment="1">
      <alignment vertical="center"/>
    </xf>
    <xf numFmtId="0" fontId="18" fillId="8" borderId="17" xfId="0" applyFont="1" applyFill="1" applyBorder="1" applyAlignment="1">
      <alignment vertical="center"/>
    </xf>
    <xf numFmtId="43" fontId="7" fillId="8" borderId="18" xfId="1" applyFont="1" applyFill="1" applyBorder="1" applyAlignment="1">
      <alignment vertical="center"/>
    </xf>
    <xf numFmtId="3" fontId="24" fillId="8" borderId="76" xfId="4" applyNumberFormat="1" applyFont="1" applyFill="1" applyBorder="1" applyAlignment="1">
      <alignment vertical="center"/>
    </xf>
    <xf numFmtId="3" fontId="24" fillId="8" borderId="18" xfId="4" applyNumberFormat="1" applyFont="1" applyFill="1" applyBorder="1" applyAlignment="1">
      <alignment vertical="center"/>
    </xf>
    <xf numFmtId="0" fontId="7" fillId="8" borderId="18" xfId="112" applyFont="1" applyFill="1" applyBorder="1" applyAlignment="1">
      <alignment vertical="center"/>
    </xf>
    <xf numFmtId="3" fontId="7" fillId="8" borderId="18" xfId="112" applyNumberFormat="1" applyFont="1" applyFill="1" applyBorder="1" applyAlignment="1">
      <alignment vertical="center"/>
    </xf>
    <xf numFmtId="3" fontId="7" fillId="8" borderId="17" xfId="112" applyNumberFormat="1" applyFont="1" applyFill="1" applyBorder="1" applyAlignment="1">
      <alignment vertical="center"/>
    </xf>
    <xf numFmtId="43" fontId="8" fillId="0" borderId="29" xfId="1" applyFont="1" applyFill="1" applyBorder="1" applyAlignment="1">
      <alignment vertical="center" wrapText="1"/>
    </xf>
    <xf numFmtId="3" fontId="6" fillId="3" borderId="82" xfId="0" applyNumberFormat="1" applyFont="1" applyFill="1" applyBorder="1" applyAlignment="1">
      <alignment horizontal="right" vertical="center" wrapText="1"/>
    </xf>
    <xf numFmtId="3" fontId="6" fillId="3" borderId="21" xfId="0" applyNumberFormat="1" applyFont="1" applyFill="1" applyBorder="1" applyAlignment="1">
      <alignment horizontal="right" vertical="center" wrapText="1"/>
    </xf>
    <xf numFmtId="3" fontId="33" fillId="0" borderId="180" xfId="1" applyNumberFormat="1" applyFont="1" applyFill="1" applyBorder="1" applyAlignment="1">
      <alignment vertical="center"/>
    </xf>
    <xf numFmtId="3" fontId="7" fillId="0" borderId="180" xfId="1" applyNumberFormat="1" applyFont="1" applyFill="1" applyBorder="1" applyAlignment="1">
      <alignment horizontal="right" vertical="center"/>
    </xf>
    <xf numFmtId="43" fontId="18" fillId="8" borderId="18" xfId="1" applyFont="1" applyFill="1" applyBorder="1" applyAlignment="1">
      <alignment vertical="center"/>
    </xf>
    <xf numFmtId="3" fontId="18" fillId="8" borderId="18" xfId="0" applyNumberFormat="1" applyFont="1" applyFill="1" applyBorder="1" applyAlignment="1">
      <alignment vertical="center"/>
    </xf>
    <xf numFmtId="0" fontId="27" fillId="50" borderId="130" xfId="4" applyFont="1" applyFill="1" applyBorder="1" applyAlignment="1">
      <alignment horizontal="left" vertical="center"/>
    </xf>
    <xf numFmtId="0" fontId="27" fillId="50" borderId="121" xfId="4" applyFont="1" applyFill="1" applyBorder="1" applyAlignment="1">
      <alignment horizontal="left" vertical="center"/>
    </xf>
    <xf numFmtId="3" fontId="27" fillId="50" borderId="123" xfId="4" applyNumberFormat="1" applyFont="1" applyFill="1" applyBorder="1" applyAlignment="1">
      <alignment horizontal="right" vertical="center"/>
    </xf>
    <xf numFmtId="0" fontId="27" fillId="50" borderId="10" xfId="4" applyFont="1" applyFill="1" applyBorder="1" applyAlignment="1">
      <alignment horizontal="left" vertical="center"/>
    </xf>
    <xf numFmtId="0" fontId="27" fillId="50" borderId="13" xfId="4" applyFont="1" applyFill="1" applyBorder="1" applyAlignment="1">
      <alignment horizontal="left" vertical="center"/>
    </xf>
    <xf numFmtId="0" fontId="27" fillId="50" borderId="72" xfId="0" applyFont="1" applyFill="1" applyBorder="1" applyAlignment="1">
      <alignment horizontal="left" vertical="top"/>
    </xf>
    <xf numFmtId="0" fontId="28" fillId="50" borderId="12" xfId="0" quotePrefix="1" applyFont="1" applyFill="1" applyBorder="1" applyAlignment="1">
      <alignment horizontal="center" vertical="top"/>
    </xf>
    <xf numFmtId="0" fontId="27" fillId="8" borderId="121" xfId="4" applyFont="1" applyFill="1" applyBorder="1" applyAlignment="1">
      <alignment vertical="center"/>
    </xf>
    <xf numFmtId="3" fontId="27" fillId="8" borderId="121" xfId="0" applyNumberFormat="1" applyFont="1" applyFill="1" applyBorder="1" applyAlignment="1">
      <alignment vertical="top"/>
    </xf>
    <xf numFmtId="3" fontId="27" fillId="23" borderId="121" xfId="0" applyNumberFormat="1" applyFont="1" applyFill="1" applyBorder="1" applyAlignment="1">
      <alignment vertical="top"/>
    </xf>
    <xf numFmtId="0" fontId="31" fillId="8" borderId="121" xfId="0" applyFont="1" applyFill="1" applyBorder="1" applyAlignment="1">
      <alignment vertical="top"/>
    </xf>
    <xf numFmtId="3" fontId="31" fillId="8" borderId="121" xfId="0" applyNumberFormat="1" applyFont="1" applyFill="1" applyBorder="1" applyAlignment="1">
      <alignment vertical="top"/>
    </xf>
    <xf numFmtId="3" fontId="28" fillId="23" borderId="121" xfId="0" applyNumberFormat="1" applyFont="1" applyFill="1" applyBorder="1" applyAlignment="1">
      <alignment horizontal="center" vertical="top"/>
    </xf>
    <xf numFmtId="3" fontId="27" fillId="23" borderId="121" xfId="0" applyNumberFormat="1" applyFont="1" applyFill="1" applyBorder="1" applyAlignment="1">
      <alignment horizontal="center" vertical="top"/>
    </xf>
    <xf numFmtId="0" fontId="31" fillId="8" borderId="121" xfId="4" applyFont="1" applyFill="1" applyBorder="1" applyAlignment="1">
      <alignment vertical="center"/>
    </xf>
    <xf numFmtId="3" fontId="31" fillId="23" borderId="121" xfId="0" applyNumberFormat="1" applyFont="1" applyFill="1" applyBorder="1" applyAlignment="1">
      <alignment horizontal="center" vertical="top"/>
    </xf>
    <xf numFmtId="0" fontId="31" fillId="8" borderId="35" xfId="4" applyFont="1" applyFill="1" applyBorder="1" applyAlignment="1">
      <alignment vertical="center"/>
    </xf>
    <xf numFmtId="0" fontId="27" fillId="8" borderId="35" xfId="4" applyFont="1" applyFill="1" applyBorder="1" applyAlignment="1">
      <alignment vertical="center"/>
    </xf>
    <xf numFmtId="3" fontId="27" fillId="8" borderId="35" xfId="0" applyNumberFormat="1" applyFont="1" applyFill="1" applyBorder="1" applyAlignment="1">
      <alignment vertical="top"/>
    </xf>
    <xf numFmtId="0" fontId="31" fillId="8" borderId="116" xfId="4" applyFont="1" applyFill="1" applyBorder="1" applyAlignment="1">
      <alignment vertical="center"/>
    </xf>
    <xf numFmtId="0" fontId="31" fillId="0" borderId="180" xfId="0" applyFont="1" applyFill="1" applyBorder="1" applyAlignment="1">
      <alignment horizontal="left" vertical="center" wrapText="1"/>
    </xf>
    <xf numFmtId="3" fontId="25" fillId="8" borderId="76" xfId="0" applyNumberFormat="1" applyFont="1" applyFill="1" applyBorder="1" applyAlignment="1">
      <alignment vertical="top"/>
    </xf>
    <xf numFmtId="3" fontId="25" fillId="8" borderId="18" xfId="0" applyNumberFormat="1" applyFont="1" applyFill="1" applyBorder="1" applyAlignment="1">
      <alignment vertical="center"/>
    </xf>
    <xf numFmtId="3" fontId="25" fillId="8" borderId="17" xfId="0" applyNumberFormat="1" applyFont="1" applyFill="1" applyBorder="1" applyAlignment="1">
      <alignment vertical="top"/>
    </xf>
    <xf numFmtId="3" fontId="25" fillId="23" borderId="44" xfId="0" applyNumberFormat="1" applyFont="1" applyFill="1" applyBorder="1" applyAlignment="1">
      <alignment vertical="top"/>
    </xf>
    <xf numFmtId="0" fontId="7" fillId="6" borderId="179" xfId="0" applyFont="1" applyFill="1" applyBorder="1" applyAlignment="1">
      <alignment vertical="top"/>
    </xf>
    <xf numFmtId="3" fontId="25" fillId="6" borderId="180" xfId="0" applyNumberFormat="1" applyFont="1" applyFill="1" applyBorder="1" applyAlignment="1"/>
    <xf numFmtId="43" fontId="25" fillId="6" borderId="180" xfId="1" applyFont="1" applyFill="1" applyBorder="1" applyAlignment="1"/>
    <xf numFmtId="3" fontId="25" fillId="22" borderId="175" xfId="0" applyNumberFormat="1" applyFont="1" applyFill="1" applyBorder="1" applyAlignment="1"/>
    <xf numFmtId="3" fontId="29" fillId="2" borderId="199" xfId="4" applyNumberFormat="1" applyFont="1" applyFill="1" applyBorder="1" applyAlignment="1">
      <alignment vertical="top" wrapText="1"/>
    </xf>
    <xf numFmtId="3" fontId="27" fillId="2" borderId="180" xfId="0" applyNumberFormat="1" applyFont="1" applyFill="1" applyBorder="1" applyAlignment="1"/>
    <xf numFmtId="43" fontId="27" fillId="2" borderId="180" xfId="1" applyFont="1" applyFill="1" applyBorder="1" applyAlignment="1"/>
    <xf numFmtId="3" fontId="27" fillId="2" borderId="35" xfId="0" applyNumberFormat="1" applyFont="1" applyFill="1" applyBorder="1" applyAlignment="1">
      <alignment vertical="center"/>
    </xf>
    <xf numFmtId="3" fontId="27" fillId="25" borderId="175" xfId="0" applyNumberFormat="1" applyFont="1" applyFill="1" applyBorder="1" applyAlignment="1"/>
    <xf numFmtId="0" fontId="7" fillId="0" borderId="199" xfId="0" applyFont="1" applyFill="1" applyBorder="1" applyAlignment="1">
      <alignment vertical="center"/>
    </xf>
    <xf numFmtId="0" fontId="7" fillId="0" borderId="199" xfId="0" applyFont="1" applyFill="1" applyBorder="1" applyAlignment="1">
      <alignment vertical="top"/>
    </xf>
    <xf numFmtId="43" fontId="31" fillId="0" borderId="180" xfId="1" applyFont="1" applyFill="1" applyBorder="1" applyAlignment="1"/>
    <xf numFmtId="3" fontId="31" fillId="25" borderId="175" xfId="0" applyNumberFormat="1" applyFont="1" applyFill="1" applyBorder="1" applyAlignment="1">
      <alignment horizontal="center" vertical="top"/>
    </xf>
    <xf numFmtId="0" fontId="7" fillId="0" borderId="199" xfId="0" applyFont="1" applyFill="1" applyBorder="1" applyAlignment="1">
      <alignment horizontal="left" vertical="center"/>
    </xf>
    <xf numFmtId="3" fontId="31" fillId="25" borderId="175" xfId="0" applyNumberFormat="1" applyFont="1" applyFill="1" applyBorder="1" applyAlignment="1">
      <alignment vertical="top"/>
    </xf>
    <xf numFmtId="43" fontId="0" fillId="0" borderId="180" xfId="1" applyFont="1" applyBorder="1"/>
    <xf numFmtId="3" fontId="27" fillId="23" borderId="175" xfId="0" applyNumberFormat="1" applyFont="1" applyFill="1" applyBorder="1" applyAlignment="1"/>
    <xf numFmtId="3" fontId="31" fillId="25" borderId="186" xfId="0" applyNumberFormat="1" applyFont="1" applyFill="1" applyBorder="1" applyAlignment="1">
      <alignment vertical="top"/>
    </xf>
    <xf numFmtId="43" fontId="31" fillId="0" borderId="190" xfId="1" applyFont="1" applyFill="1" applyBorder="1" applyAlignment="1"/>
    <xf numFmtId="3" fontId="31" fillId="25" borderId="117" xfId="0" applyNumberFormat="1" applyFont="1" applyFill="1" applyBorder="1" applyAlignment="1">
      <alignment vertical="top"/>
    </xf>
    <xf numFmtId="0" fontId="24" fillId="8" borderId="154" xfId="4" applyFont="1" applyFill="1" applyBorder="1" applyAlignment="1">
      <alignment vertical="center" wrapText="1"/>
    </xf>
    <xf numFmtId="0" fontId="24" fillId="8" borderId="154" xfId="4" applyFont="1" applyFill="1" applyBorder="1" applyAlignment="1">
      <alignment horizontal="center" vertical="center" wrapText="1"/>
    </xf>
    <xf numFmtId="0" fontId="28" fillId="0" borderId="154" xfId="4" applyFont="1" applyFill="1" applyBorder="1" applyAlignment="1">
      <alignment vertical="center"/>
    </xf>
    <xf numFmtId="43" fontId="28" fillId="0" borderId="154" xfId="1" applyFont="1" applyFill="1" applyBorder="1" applyAlignment="1">
      <alignment horizontal="right" vertical="center"/>
    </xf>
    <xf numFmtId="3" fontId="28" fillId="0" borderId="154" xfId="4" applyNumberFormat="1" applyFont="1" applyFill="1" applyBorder="1" applyAlignment="1">
      <alignment horizontal="right" vertical="center"/>
    </xf>
    <xf numFmtId="0" fontId="29" fillId="2" borderId="154" xfId="4" applyFont="1" applyFill="1" applyBorder="1" applyAlignment="1">
      <alignment vertical="center"/>
    </xf>
    <xf numFmtId="0" fontId="23" fillId="0" borderId="43" xfId="0" applyFont="1" applyBorder="1" applyAlignment="1">
      <alignment vertical="center" wrapText="1"/>
    </xf>
    <xf numFmtId="43" fontId="31" fillId="0" borderId="29" xfId="1" applyFont="1" applyFill="1" applyBorder="1" applyAlignment="1">
      <alignment vertical="center"/>
    </xf>
    <xf numFmtId="0" fontId="7" fillId="0" borderId="116" xfId="4" applyFont="1" applyFill="1" applyBorder="1" applyAlignment="1">
      <alignment vertical="center"/>
    </xf>
    <xf numFmtId="0" fontId="23" fillId="0" borderId="41" xfId="0" applyFont="1" applyBorder="1" applyAlignment="1">
      <alignment vertical="center" wrapText="1"/>
    </xf>
    <xf numFmtId="0" fontId="31" fillId="0" borderId="36" xfId="4" applyFont="1" applyFill="1" applyBorder="1" applyAlignment="1">
      <alignment horizontal="left" vertical="center"/>
    </xf>
    <xf numFmtId="0" fontId="7" fillId="0" borderId="36" xfId="4" applyFont="1" applyFill="1" applyBorder="1" applyAlignment="1">
      <alignment vertical="center"/>
    </xf>
    <xf numFmtId="0" fontId="24" fillId="6" borderId="181" xfId="4" applyFont="1" applyFill="1" applyBorder="1" applyAlignment="1">
      <alignment horizontal="left" vertical="center"/>
    </xf>
    <xf numFmtId="3" fontId="29" fillId="2" borderId="199" xfId="4" applyNumberFormat="1" applyFont="1" applyFill="1" applyBorder="1" applyAlignment="1">
      <alignment vertical="center" wrapText="1"/>
    </xf>
    <xf numFmtId="0" fontId="7" fillId="0" borderId="199" xfId="4" applyFont="1" applyFill="1" applyBorder="1" applyAlignment="1">
      <alignment vertical="center"/>
    </xf>
    <xf numFmtId="43" fontId="7" fillId="0" borderId="165" xfId="1" applyFont="1" applyFill="1" applyBorder="1" applyAlignment="1">
      <alignment vertical="center"/>
    </xf>
    <xf numFmtId="0" fontId="24" fillId="6" borderId="159" xfId="4" applyFont="1" applyFill="1" applyBorder="1" applyAlignment="1">
      <alignment horizontal="left" vertical="center"/>
    </xf>
    <xf numFmtId="43" fontId="7" fillId="0" borderId="154" xfId="1" applyFont="1" applyFill="1" applyBorder="1" applyAlignment="1">
      <alignment vertical="center"/>
    </xf>
    <xf numFmtId="43" fontId="7" fillId="0" borderId="180" xfId="1" applyFont="1" applyFill="1" applyBorder="1" applyAlignment="1">
      <alignment vertical="center"/>
    </xf>
    <xf numFmtId="0" fontId="7" fillId="0" borderId="194" xfId="4" applyFont="1" applyFill="1" applyBorder="1" applyAlignment="1">
      <alignment vertical="center"/>
    </xf>
    <xf numFmtId="3" fontId="24" fillId="6" borderId="183" xfId="4" applyNumberFormat="1" applyFont="1" applyFill="1" applyBorder="1" applyAlignment="1">
      <alignment horizontal="right" vertical="center"/>
    </xf>
    <xf numFmtId="3" fontId="29" fillId="0" borderId="174" xfId="4" applyNumberFormat="1" applyFont="1" applyFill="1" applyBorder="1" applyAlignment="1">
      <alignment horizontal="right" vertical="center"/>
    </xf>
    <xf numFmtId="43" fontId="7" fillId="0" borderId="165" xfId="1" applyFont="1" applyFill="1" applyBorder="1" applyAlignment="1">
      <alignment horizontal="right" vertical="center"/>
    </xf>
    <xf numFmtId="43" fontId="31" fillId="0" borderId="191" xfId="1" applyFont="1" applyFill="1" applyBorder="1" applyAlignment="1">
      <alignment vertical="center"/>
    </xf>
    <xf numFmtId="3" fontId="29" fillId="2" borderId="9" xfId="4" applyNumberFormat="1" applyFont="1" applyFill="1" applyBorder="1" applyAlignment="1">
      <alignment vertical="center"/>
    </xf>
    <xf numFmtId="43" fontId="31" fillId="0" borderId="195" xfId="1" applyFont="1" applyFill="1" applyBorder="1" applyAlignment="1">
      <alignment horizontal="right" vertical="center"/>
    </xf>
    <xf numFmtId="0" fontId="4" fillId="0" borderId="26" xfId="0" applyFont="1" applyBorder="1" applyAlignment="1">
      <alignment vertical="center"/>
    </xf>
    <xf numFmtId="0" fontId="4" fillId="0" borderId="82" xfId="0" applyFont="1" applyBorder="1" applyAlignment="1">
      <alignment vertical="center"/>
    </xf>
    <xf numFmtId="0" fontId="4" fillId="0" borderId="66" xfId="0" applyFont="1" applyBorder="1" applyAlignment="1">
      <alignment vertical="center"/>
    </xf>
    <xf numFmtId="0" fontId="4" fillId="0" borderId="25" xfId="0" applyFont="1" applyBorder="1" applyAlignment="1">
      <alignment vertical="center"/>
    </xf>
    <xf numFmtId="43" fontId="31" fillId="0" borderId="171" xfId="1" applyFont="1" applyFill="1" applyBorder="1" applyAlignment="1">
      <alignment vertical="center"/>
    </xf>
    <xf numFmtId="3" fontId="29" fillId="0" borderId="171" xfId="4" applyNumberFormat="1" applyFont="1" applyFill="1" applyBorder="1" applyAlignment="1">
      <alignment horizontal="right" vertical="center"/>
    </xf>
    <xf numFmtId="0" fontId="4" fillId="0" borderId="74" xfId="0" applyFont="1" applyBorder="1" applyAlignment="1">
      <alignment vertical="center"/>
    </xf>
    <xf numFmtId="0" fontId="24" fillId="8" borderId="18" xfId="0" applyFont="1" applyFill="1" applyBorder="1" applyAlignment="1">
      <alignment horizontal="center" vertical="center" wrapText="1"/>
    </xf>
    <xf numFmtId="3" fontId="7" fillId="23" borderId="18" xfId="0" applyNumberFormat="1" applyFont="1" applyFill="1" applyBorder="1" applyAlignment="1">
      <alignment vertical="center"/>
    </xf>
    <xf numFmtId="3" fontId="7" fillId="23" borderId="17" xfId="0" applyNumberFormat="1" applyFont="1" applyFill="1" applyBorder="1" applyAlignment="1">
      <alignment vertical="center"/>
    </xf>
    <xf numFmtId="3" fontId="25" fillId="22" borderId="7" xfId="4" applyNumberFormat="1" applyFont="1" applyFill="1" applyBorder="1" applyAlignment="1">
      <alignment horizontal="right" vertical="center"/>
    </xf>
    <xf numFmtId="0" fontId="4" fillId="0" borderId="11" xfId="0" applyFont="1" applyBorder="1" applyAlignment="1">
      <alignment vertical="center"/>
    </xf>
    <xf numFmtId="0" fontId="25" fillId="6" borderId="179" xfId="4" applyFont="1" applyFill="1" applyBorder="1" applyAlignment="1">
      <alignment horizontal="left" vertical="center"/>
    </xf>
    <xf numFmtId="3" fontId="24" fillId="32" borderId="179" xfId="4" applyNumberFormat="1" applyFont="1" applyFill="1" applyBorder="1" applyAlignment="1">
      <alignment vertical="center"/>
    </xf>
    <xf numFmtId="3" fontId="31" fillId="2" borderId="199" xfId="4" applyNumberFormat="1" applyFont="1" applyFill="1" applyBorder="1" applyAlignment="1">
      <alignment vertical="center" wrapText="1"/>
    </xf>
    <xf numFmtId="3" fontId="31" fillId="32" borderId="179" xfId="4" applyNumberFormat="1" applyFont="1" applyFill="1" applyBorder="1" applyAlignment="1">
      <alignment vertical="center"/>
    </xf>
    <xf numFmtId="166" fontId="24" fillId="6" borderId="179" xfId="1" applyNumberFormat="1" applyFont="1" applyFill="1" applyBorder="1" applyAlignment="1">
      <alignment vertical="center"/>
    </xf>
    <xf numFmtId="3" fontId="7" fillId="0" borderId="171" xfId="1" applyNumberFormat="1" applyFont="1" applyFill="1" applyBorder="1" applyAlignment="1">
      <alignment horizontal="right" vertical="center"/>
    </xf>
    <xf numFmtId="0" fontId="4" fillId="0" borderId="24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3" fontId="25" fillId="8" borderId="76" xfId="4" applyNumberFormat="1" applyFont="1" applyFill="1" applyBorder="1" applyAlignment="1">
      <alignment horizontal="center" vertical="center"/>
    </xf>
    <xf numFmtId="0" fontId="4" fillId="0" borderId="81" xfId="0" applyFont="1" applyBorder="1" applyAlignment="1">
      <alignment vertical="center"/>
    </xf>
    <xf numFmtId="0" fontId="4" fillId="0" borderId="170" xfId="0" applyFont="1" applyBorder="1"/>
    <xf numFmtId="3" fontId="4" fillId="0" borderId="170" xfId="0" applyNumberFormat="1" applyFont="1" applyBorder="1"/>
    <xf numFmtId="0" fontId="4" fillId="0" borderId="0" xfId="0" applyFont="1" applyFill="1" applyBorder="1"/>
    <xf numFmtId="3" fontId="4" fillId="0" borderId="0" xfId="0" applyNumberFormat="1" applyFont="1" applyFill="1" applyBorder="1"/>
    <xf numFmtId="0" fontId="4" fillId="0" borderId="6" xfId="0" applyFont="1" applyBorder="1" applyAlignment="1">
      <alignment wrapText="1" shrinkToFit="1"/>
    </xf>
    <xf numFmtId="0" fontId="4" fillId="0" borderId="22" xfId="0" applyFont="1" applyBorder="1" applyAlignment="1"/>
    <xf numFmtId="0" fontId="4" fillId="0" borderId="180" xfId="0" applyFont="1" applyBorder="1"/>
    <xf numFmtId="0" fontId="4" fillId="0" borderId="180" xfId="0" applyFont="1" applyBorder="1" applyAlignment="1">
      <alignment vertical="center"/>
    </xf>
    <xf numFmtId="3" fontId="4" fillId="0" borderId="180" xfId="0" applyNumberFormat="1" applyFont="1" applyBorder="1"/>
    <xf numFmtId="3" fontId="27" fillId="25" borderId="121" xfId="0" applyNumberFormat="1" applyFont="1" applyFill="1" applyBorder="1" applyAlignment="1">
      <alignment vertical="top"/>
    </xf>
    <xf numFmtId="0" fontId="31" fillId="0" borderId="121" xfId="0" applyFont="1" applyFill="1" applyBorder="1" applyAlignment="1">
      <alignment vertical="top" wrapText="1"/>
    </xf>
    <xf numFmtId="0" fontId="32" fillId="0" borderId="121" xfId="0" applyFont="1" applyBorder="1"/>
    <xf numFmtId="3" fontId="25" fillId="0" borderId="35" xfId="0" applyNumberFormat="1" applyFont="1" applyFill="1" applyBorder="1" applyAlignment="1">
      <alignment vertical="top"/>
    </xf>
    <xf numFmtId="0" fontId="31" fillId="2" borderId="121" xfId="4" applyFont="1" applyFill="1" applyBorder="1" applyAlignment="1">
      <alignment vertical="center"/>
    </xf>
    <xf numFmtId="0" fontId="23" fillId="6" borderId="121" xfId="0" applyFont="1" applyFill="1" applyBorder="1" applyAlignment="1">
      <alignment horizontal="center" vertical="center"/>
    </xf>
    <xf numFmtId="0" fontId="27" fillId="2" borderId="35" xfId="4" applyFont="1" applyFill="1" applyBorder="1" applyAlignment="1">
      <alignment vertical="center"/>
    </xf>
    <xf numFmtId="0" fontId="31" fillId="2" borderId="116" xfId="4" applyFont="1" applyFill="1" applyBorder="1" applyAlignment="1">
      <alignment vertical="center"/>
    </xf>
    <xf numFmtId="3" fontId="31" fillId="0" borderId="12" xfId="0" applyNumberFormat="1" applyFont="1" applyFill="1" applyBorder="1" applyAlignment="1">
      <alignment vertical="top"/>
    </xf>
    <xf numFmtId="3" fontId="31" fillId="2" borderId="121" xfId="0" applyNumberFormat="1" applyFont="1" applyFill="1" applyBorder="1" applyAlignment="1">
      <alignment vertical="top"/>
    </xf>
    <xf numFmtId="3" fontId="31" fillId="2" borderId="121" xfId="0" applyNumberFormat="1" applyFont="1" applyFill="1" applyBorder="1" applyAlignment="1">
      <alignment vertical="center"/>
    </xf>
    <xf numFmtId="0" fontId="27" fillId="0" borderId="121" xfId="0" applyFont="1" applyFill="1" applyBorder="1" applyAlignment="1">
      <alignment vertical="center" wrapText="1"/>
    </xf>
    <xf numFmtId="3" fontId="27" fillId="0" borderId="121" xfId="0" applyNumberFormat="1" applyFont="1" applyFill="1" applyBorder="1" applyAlignment="1">
      <alignment vertical="center"/>
    </xf>
    <xf numFmtId="0" fontId="31" fillId="0" borderId="121" xfId="0" applyFont="1" applyFill="1" applyBorder="1" applyAlignment="1">
      <alignment vertical="center" wrapText="1"/>
    </xf>
    <xf numFmtId="3" fontId="31" fillId="25" borderId="188" xfId="0" applyNumberFormat="1" applyFont="1" applyFill="1" applyBorder="1" applyAlignment="1">
      <alignment horizontal="center" vertical="top"/>
    </xf>
    <xf numFmtId="3" fontId="25" fillId="2" borderId="121" xfId="0" applyNumberFormat="1" applyFont="1" applyFill="1" applyBorder="1" applyAlignment="1">
      <alignment vertical="top"/>
    </xf>
    <xf numFmtId="0" fontId="27" fillId="0" borderId="121" xfId="0" applyFont="1" applyFill="1" applyBorder="1" applyAlignment="1">
      <alignment vertical="top" wrapText="1"/>
    </xf>
    <xf numFmtId="0" fontId="31" fillId="0" borderId="116" xfId="4" applyFont="1" applyFill="1" applyBorder="1" applyAlignment="1">
      <alignment vertical="center"/>
    </xf>
    <xf numFmtId="0" fontId="25" fillId="8" borderId="35" xfId="0" applyFont="1" applyFill="1" applyBorder="1" applyAlignment="1">
      <alignment vertical="center" wrapText="1"/>
    </xf>
    <xf numFmtId="3" fontId="27" fillId="0" borderId="121" xfId="4" applyNumberFormat="1" applyFont="1" applyFill="1" applyBorder="1" applyAlignment="1">
      <alignment vertical="top" wrapText="1"/>
    </xf>
    <xf numFmtId="0" fontId="33" fillId="0" borderId="121" xfId="0" applyFont="1" applyBorder="1" applyAlignment="1">
      <alignment vertical="center"/>
    </xf>
    <xf numFmtId="0" fontId="31" fillId="6" borderId="121" xfId="0" applyFont="1" applyFill="1" applyBorder="1" applyAlignment="1">
      <alignment vertical="center"/>
    </xf>
    <xf numFmtId="3" fontId="25" fillId="6" borderId="121" xfId="0" applyNumberFormat="1" applyFont="1" applyFill="1" applyBorder="1" applyAlignment="1">
      <alignment vertical="center"/>
    </xf>
    <xf numFmtId="3" fontId="27" fillId="2" borderId="121" xfId="0" applyNumberFormat="1" applyFont="1" applyFill="1" applyBorder="1" applyAlignment="1">
      <alignment vertical="center"/>
    </xf>
    <xf numFmtId="3" fontId="28" fillId="51" borderId="9" xfId="0" applyNumberFormat="1" applyFont="1" applyFill="1" applyBorder="1" applyAlignment="1">
      <alignment vertical="center"/>
    </xf>
    <xf numFmtId="3" fontId="28" fillId="2" borderId="197" xfId="0" applyNumberFormat="1" applyFont="1" applyFill="1" applyBorder="1" applyAlignment="1">
      <alignment vertical="top"/>
    </xf>
    <xf numFmtId="3" fontId="7" fillId="22" borderId="98" xfId="0" applyNumberFormat="1" applyFont="1" applyFill="1" applyBorder="1" applyAlignment="1">
      <alignment horizontal="right" vertical="center"/>
    </xf>
    <xf numFmtId="0" fontId="25" fillId="8" borderId="20" xfId="0" applyFont="1" applyFill="1" applyBorder="1" applyAlignment="1">
      <alignment horizontal="center" vertical="center" wrapText="1"/>
    </xf>
    <xf numFmtId="0" fontId="62" fillId="6" borderId="28" xfId="4" applyFont="1" applyFill="1" applyBorder="1" applyAlignment="1">
      <alignment horizontal="left" vertical="center"/>
    </xf>
    <xf numFmtId="3" fontId="60" fillId="22" borderId="87" xfId="0" applyNumberFormat="1" applyFont="1" applyFill="1" applyBorder="1" applyAlignment="1">
      <alignment horizontal="right" vertical="center"/>
    </xf>
    <xf numFmtId="3" fontId="7" fillId="22" borderId="190" xfId="0" applyNumberFormat="1" applyFont="1" applyFill="1" applyBorder="1" applyAlignment="1">
      <alignment horizontal="right" vertical="center"/>
    </xf>
    <xf numFmtId="3" fontId="27" fillId="22" borderId="87" xfId="0" applyNumberFormat="1" applyFont="1" applyFill="1" applyBorder="1" applyAlignment="1">
      <alignment horizontal="right" vertical="center"/>
    </xf>
    <xf numFmtId="3" fontId="27" fillId="22" borderId="39" xfId="0" applyNumberFormat="1" applyFont="1" applyFill="1" applyBorder="1" applyAlignment="1">
      <alignment horizontal="right" vertical="center"/>
    </xf>
    <xf numFmtId="0" fontId="17" fillId="2" borderId="40" xfId="0" applyFont="1" applyFill="1" applyBorder="1" applyAlignment="1">
      <alignment vertical="center" wrapText="1"/>
    </xf>
    <xf numFmtId="3" fontId="7" fillId="22" borderId="39" xfId="0" applyNumberFormat="1" applyFont="1" applyFill="1" applyBorder="1" applyAlignment="1">
      <alignment horizontal="right" vertical="center"/>
    </xf>
    <xf numFmtId="3" fontId="28" fillId="0" borderId="87" xfId="0" applyNumberFormat="1" applyFont="1" applyFill="1" applyBorder="1" applyAlignment="1">
      <alignment vertical="top"/>
    </xf>
    <xf numFmtId="0" fontId="7" fillId="0" borderId="93" xfId="0" applyFont="1" applyFill="1" applyBorder="1" applyAlignment="1">
      <alignment vertical="center" wrapText="1"/>
    </xf>
    <xf numFmtId="3" fontId="28" fillId="0" borderId="190" xfId="0" applyNumberFormat="1" applyFont="1" applyFill="1" applyBorder="1" applyAlignment="1">
      <alignment vertical="center"/>
    </xf>
    <xf numFmtId="3" fontId="28" fillId="0" borderId="190" xfId="0" applyNumberFormat="1" applyFont="1" applyFill="1" applyBorder="1" applyAlignment="1">
      <alignment vertical="top"/>
    </xf>
    <xf numFmtId="0" fontId="7" fillId="6" borderId="16" xfId="0" applyFont="1" applyFill="1" applyBorder="1" applyAlignment="1">
      <alignment horizontal="left" vertical="center" wrapText="1"/>
    </xf>
    <xf numFmtId="3" fontId="25" fillId="6" borderId="17" xfId="0" applyNumberFormat="1" applyFont="1" applyFill="1" applyBorder="1" applyAlignment="1">
      <alignment vertical="center"/>
    </xf>
    <xf numFmtId="0" fontId="17" fillId="0" borderId="26" xfId="0" applyFont="1" applyFill="1" applyBorder="1" applyAlignment="1">
      <alignment horizontal="center" vertical="center"/>
    </xf>
    <xf numFmtId="0" fontId="17" fillId="2" borderId="40" xfId="0" applyFont="1" applyFill="1" applyBorder="1" applyAlignment="1">
      <alignment horizontal="center" vertical="center" wrapText="1"/>
    </xf>
    <xf numFmtId="3" fontId="28" fillId="0" borderId="47" xfId="0" applyNumberFormat="1" applyFont="1" applyFill="1" applyBorder="1" applyAlignment="1">
      <alignment vertical="center"/>
    </xf>
    <xf numFmtId="3" fontId="28" fillId="0" borderId="47" xfId="0" applyNumberFormat="1" applyFont="1" applyFill="1" applyBorder="1" applyAlignment="1">
      <alignment vertical="top"/>
    </xf>
    <xf numFmtId="0" fontId="4" fillId="0" borderId="24" xfId="0" applyFont="1" applyBorder="1"/>
    <xf numFmtId="0" fontId="4" fillId="0" borderId="0" xfId="0" applyFont="1" applyBorder="1" applyAlignment="1">
      <alignment vertical="top"/>
    </xf>
    <xf numFmtId="0" fontId="4" fillId="0" borderId="0" xfId="0" applyFont="1" applyBorder="1" applyAlignment="1">
      <alignment horizontal="center" vertical="top" wrapText="1"/>
    </xf>
    <xf numFmtId="3" fontId="4" fillId="0" borderId="0" xfId="0" applyNumberFormat="1" applyFont="1" applyBorder="1" applyAlignment="1">
      <alignment vertical="top"/>
    </xf>
    <xf numFmtId="0" fontId="4" fillId="0" borderId="24" xfId="0" applyFont="1" applyBorder="1" applyAlignment="1">
      <alignment vertical="top"/>
    </xf>
    <xf numFmtId="0" fontId="4" fillId="0" borderId="24" xfId="0" applyFont="1" applyBorder="1" applyAlignment="1">
      <alignment horizontal="center" vertical="top" wrapText="1"/>
    </xf>
    <xf numFmtId="0" fontId="4" fillId="0" borderId="51" xfId="0" applyFont="1" applyBorder="1" applyAlignment="1">
      <alignment vertical="top"/>
    </xf>
    <xf numFmtId="0" fontId="4" fillId="0" borderId="51" xfId="0" applyFont="1" applyBorder="1" applyAlignment="1">
      <alignment horizontal="center" vertical="top" wrapText="1"/>
    </xf>
    <xf numFmtId="0" fontId="4" fillId="0" borderId="3" xfId="0" applyFont="1" applyBorder="1" applyAlignment="1">
      <alignment vertical="top"/>
    </xf>
    <xf numFmtId="0" fontId="4" fillId="0" borderId="3" xfId="0" applyFont="1" applyBorder="1" applyAlignment="1">
      <alignment horizontal="center" vertical="top" wrapText="1"/>
    </xf>
    <xf numFmtId="0" fontId="34" fillId="0" borderId="39" xfId="0" applyFont="1" applyFill="1" applyBorder="1" applyAlignment="1">
      <alignment vertical="top"/>
    </xf>
    <xf numFmtId="3" fontId="27" fillId="50" borderId="68" xfId="4" applyNumberFormat="1" applyFont="1" applyFill="1" applyBorder="1" applyAlignment="1">
      <alignment horizontal="right" vertical="center"/>
    </xf>
    <xf numFmtId="3" fontId="27" fillId="21" borderId="76" xfId="4" applyNumberFormat="1" applyFont="1" applyFill="1" applyBorder="1" applyAlignment="1">
      <alignment horizontal="right" vertical="center"/>
    </xf>
    <xf numFmtId="3" fontId="27" fillId="50" borderId="35" xfId="4" applyNumberFormat="1" applyFont="1" applyFill="1" applyBorder="1" applyAlignment="1">
      <alignment horizontal="right" vertical="center"/>
    </xf>
    <xf numFmtId="0" fontId="17" fillId="28" borderId="25" xfId="0" applyFont="1" applyFill="1" applyBorder="1" applyAlignment="1">
      <alignment vertical="top"/>
    </xf>
    <xf numFmtId="3" fontId="7" fillId="23" borderId="69" xfId="0" applyNumberFormat="1" applyFont="1" applyFill="1" applyBorder="1" applyAlignment="1">
      <alignment vertical="center"/>
    </xf>
    <xf numFmtId="3" fontId="24" fillId="22" borderId="31" xfId="0" applyNumberFormat="1" applyFont="1" applyFill="1" applyBorder="1" applyAlignment="1">
      <alignment vertical="top"/>
    </xf>
    <xf numFmtId="3" fontId="29" fillId="26" borderId="31" xfId="0" applyNumberFormat="1" applyFont="1" applyFill="1" applyBorder="1" applyAlignment="1">
      <alignment vertical="center"/>
    </xf>
    <xf numFmtId="2" fontId="4" fillId="0" borderId="3" xfId="0" applyNumberFormat="1" applyFont="1" applyBorder="1" applyAlignment="1">
      <alignment horizontal="center" vertical="center"/>
    </xf>
    <xf numFmtId="2" fontId="4" fillId="0" borderId="11" xfId="0" applyNumberFormat="1" applyFont="1" applyBorder="1"/>
    <xf numFmtId="2" fontId="4" fillId="0" borderId="180" xfId="0" applyNumberFormat="1" applyFont="1" applyBorder="1"/>
    <xf numFmtId="2" fontId="4" fillId="0" borderId="180" xfId="0" applyNumberFormat="1" applyFont="1" applyBorder="1" applyAlignment="1">
      <alignment vertical="center"/>
    </xf>
    <xf numFmtId="2" fontId="4" fillId="0" borderId="51" xfId="0" applyNumberFormat="1" applyFont="1" applyBorder="1"/>
    <xf numFmtId="2" fontId="4" fillId="0" borderId="3" xfId="0" applyNumberFormat="1" applyFont="1" applyBorder="1"/>
    <xf numFmtId="0" fontId="4" fillId="0" borderId="0" xfId="0" applyFont="1" applyFill="1" applyBorder="1" applyAlignment="1">
      <alignment vertical="top"/>
    </xf>
    <xf numFmtId="3" fontId="25" fillId="23" borderId="2" xfId="0" applyNumberFormat="1" applyFont="1" applyFill="1" applyBorder="1" applyAlignment="1">
      <alignment vertical="top"/>
    </xf>
    <xf numFmtId="0" fontId="7" fillId="6" borderId="181" xfId="0" applyFont="1" applyFill="1" applyBorder="1" applyAlignment="1">
      <alignment vertical="top"/>
    </xf>
    <xf numFmtId="43" fontId="25" fillId="6" borderId="183" xfId="1" applyFont="1" applyFill="1" applyBorder="1" applyAlignment="1"/>
    <xf numFmtId="3" fontId="25" fillId="22" borderId="188" xfId="0" applyNumberFormat="1" applyFont="1" applyFill="1" applyBorder="1" applyAlignment="1"/>
    <xf numFmtId="43" fontId="27" fillId="2" borderId="183" xfId="1" applyFont="1" applyFill="1" applyBorder="1" applyAlignment="1">
      <alignment vertical="center"/>
    </xf>
    <xf numFmtId="3" fontId="27" fillId="23" borderId="188" xfId="0" applyNumberFormat="1" applyFont="1" applyFill="1" applyBorder="1" applyAlignment="1"/>
    <xf numFmtId="43" fontId="31" fillId="0" borderId="183" xfId="1" applyFont="1" applyFill="1" applyBorder="1" applyAlignment="1">
      <alignment vertical="center"/>
    </xf>
    <xf numFmtId="0" fontId="7" fillId="0" borderId="25" xfId="0" applyFont="1" applyFill="1" applyBorder="1" applyAlignment="1">
      <alignment vertical="center"/>
    </xf>
    <xf numFmtId="3" fontId="31" fillId="0" borderId="12" xfId="0" applyNumberFormat="1" applyFont="1" applyFill="1" applyBorder="1" applyAlignment="1">
      <alignment vertical="center"/>
    </xf>
    <xf numFmtId="43" fontId="31" fillId="0" borderId="118" xfId="1" applyFont="1" applyFill="1" applyBorder="1" applyAlignment="1">
      <alignment vertical="center"/>
    </xf>
    <xf numFmtId="3" fontId="31" fillId="25" borderId="132" xfId="0" applyNumberFormat="1" applyFont="1" applyFill="1" applyBorder="1" applyAlignment="1">
      <alignment vertical="top"/>
    </xf>
    <xf numFmtId="0" fontId="24" fillId="8" borderId="5" xfId="0" applyFont="1" applyFill="1" applyBorder="1" applyAlignment="1">
      <alignment vertical="top" wrapText="1"/>
    </xf>
    <xf numFmtId="3" fontId="31" fillId="23" borderId="45" xfId="0" applyNumberFormat="1" applyFont="1" applyFill="1" applyBorder="1" applyAlignment="1"/>
    <xf numFmtId="3" fontId="31" fillId="23" borderId="18" xfId="0" applyNumberFormat="1" applyFont="1" applyFill="1" applyBorder="1" applyAlignment="1"/>
    <xf numFmtId="0" fontId="7" fillId="6" borderId="159" xfId="0" applyFont="1" applyFill="1" applyBorder="1" applyAlignment="1">
      <alignment vertical="top"/>
    </xf>
    <xf numFmtId="3" fontId="25" fillId="6" borderId="165" xfId="0" applyNumberFormat="1" applyFont="1" applyFill="1" applyBorder="1" applyAlignment="1"/>
    <xf numFmtId="3" fontId="25" fillId="22" borderId="160" xfId="0" applyNumberFormat="1" applyFont="1" applyFill="1" applyBorder="1" applyAlignment="1"/>
    <xf numFmtId="3" fontId="25" fillId="22" borderId="183" xfId="0" applyNumberFormat="1" applyFont="1" applyFill="1" applyBorder="1" applyAlignment="1"/>
    <xf numFmtId="3" fontId="27" fillId="23" borderId="157" xfId="0" applyNumberFormat="1" applyFont="1" applyFill="1" applyBorder="1" applyAlignment="1"/>
    <xf numFmtId="3" fontId="31" fillId="0" borderId="116" xfId="4" applyNumberFormat="1" applyFont="1" applyFill="1" applyBorder="1" applyAlignment="1"/>
    <xf numFmtId="3" fontId="25" fillId="22" borderId="69" xfId="0" applyNumberFormat="1" applyFont="1" applyFill="1" applyBorder="1" applyAlignment="1"/>
    <xf numFmtId="3" fontId="27" fillId="23" borderId="69" xfId="0" applyNumberFormat="1" applyFont="1" applyFill="1" applyBorder="1" applyAlignment="1"/>
    <xf numFmtId="43" fontId="31" fillId="0" borderId="123" xfId="1" applyFont="1" applyFill="1" applyBorder="1" applyAlignment="1"/>
    <xf numFmtId="43" fontId="31" fillId="0" borderId="116" xfId="1" applyFont="1" applyFill="1" applyBorder="1" applyAlignment="1"/>
    <xf numFmtId="3" fontId="31" fillId="23" borderId="133" xfId="0" applyNumberFormat="1" applyFont="1" applyFill="1" applyBorder="1" applyAlignment="1"/>
    <xf numFmtId="3" fontId="25" fillId="23" borderId="0" xfId="0" applyNumberFormat="1" applyFont="1" applyFill="1" applyBorder="1" applyAlignment="1">
      <alignment vertical="top"/>
    </xf>
    <xf numFmtId="0" fontId="7" fillId="6" borderId="200" xfId="0" applyFont="1" applyFill="1" applyBorder="1" applyAlignment="1">
      <alignment vertical="top"/>
    </xf>
    <xf numFmtId="3" fontId="25" fillId="6" borderId="170" xfId="0" applyNumberFormat="1" applyFont="1" applyFill="1" applyBorder="1" applyAlignment="1"/>
    <xf numFmtId="43" fontId="25" fillId="6" borderId="170" xfId="1" applyFont="1" applyFill="1" applyBorder="1" applyAlignment="1"/>
    <xf numFmtId="3" fontId="25" fillId="22" borderId="201" xfId="0" applyNumberFormat="1" applyFont="1" applyFill="1" applyBorder="1" applyAlignment="1"/>
    <xf numFmtId="3" fontId="25" fillId="22" borderId="7" xfId="0" applyNumberFormat="1" applyFont="1" applyFill="1" applyBorder="1" applyAlignment="1"/>
    <xf numFmtId="3" fontId="27" fillId="2" borderId="170" xfId="0" applyNumberFormat="1" applyFont="1" applyFill="1" applyBorder="1" applyAlignment="1">
      <alignment vertical="center"/>
    </xf>
    <xf numFmtId="43" fontId="27" fillId="2" borderId="170" xfId="1" applyFont="1" applyFill="1" applyBorder="1" applyAlignment="1">
      <alignment vertical="center"/>
    </xf>
    <xf numFmtId="3" fontId="27" fillId="23" borderId="201" xfId="0" applyNumberFormat="1" applyFont="1" applyFill="1" applyBorder="1" applyAlignment="1"/>
    <xf numFmtId="3" fontId="27" fillId="23" borderId="7" xfId="0" applyNumberFormat="1" applyFont="1" applyFill="1" applyBorder="1" applyAlignment="1"/>
    <xf numFmtId="43" fontId="31" fillId="0" borderId="23" xfId="1" applyFont="1" applyFill="1" applyBorder="1" applyAlignment="1"/>
    <xf numFmtId="43" fontId="31" fillId="0" borderId="12" xfId="1" applyFont="1" applyFill="1" applyBorder="1" applyAlignment="1">
      <alignment vertical="center"/>
    </xf>
    <xf numFmtId="43" fontId="31" fillId="0" borderId="23" xfId="1" applyFont="1" applyFill="1" applyBorder="1" applyAlignment="1">
      <alignment vertical="center"/>
    </xf>
    <xf numFmtId="3" fontId="31" fillId="25" borderId="41" xfId="0" applyNumberFormat="1" applyFont="1" applyFill="1" applyBorder="1" applyAlignment="1">
      <alignment vertical="top"/>
    </xf>
    <xf numFmtId="3" fontId="31" fillId="25" borderId="72" xfId="0" applyNumberFormat="1" applyFont="1" applyFill="1" applyBorder="1" applyAlignment="1">
      <alignment vertical="top"/>
    </xf>
    <xf numFmtId="0" fontId="4" fillId="0" borderId="66" xfId="0" applyFont="1" applyBorder="1" applyAlignment="1">
      <alignment horizontal="center" vertical="top" wrapText="1"/>
    </xf>
    <xf numFmtId="0" fontId="4" fillId="0" borderId="84" xfId="0" applyFont="1" applyBorder="1" applyAlignment="1">
      <alignment horizontal="center" vertical="top" wrapText="1"/>
    </xf>
    <xf numFmtId="0" fontId="4" fillId="0" borderId="154" xfId="0" applyFont="1" applyBorder="1" applyAlignment="1">
      <alignment horizontal="center" vertical="top"/>
    </xf>
    <xf numFmtId="0" fontId="4" fillId="0" borderId="69" xfId="0" applyFont="1" applyBorder="1" applyAlignment="1">
      <alignment horizontal="center" vertical="top"/>
    </xf>
    <xf numFmtId="0" fontId="4" fillId="0" borderId="38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 wrapText="1"/>
    </xf>
    <xf numFmtId="0" fontId="4" fillId="0" borderId="51" xfId="0" applyFont="1" applyFill="1" applyBorder="1" applyAlignment="1">
      <alignment horizontal="center" vertical="top" wrapText="1"/>
    </xf>
    <xf numFmtId="0" fontId="4" fillId="0" borderId="3" xfId="0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horizontal="center" vertical="top" wrapText="1"/>
    </xf>
    <xf numFmtId="0" fontId="4" fillId="0" borderId="64" xfId="0" applyFont="1" applyBorder="1" applyAlignment="1">
      <alignment horizontal="center" vertical="top" wrapText="1"/>
    </xf>
    <xf numFmtId="0" fontId="4" fillId="0" borderId="65" xfId="0" applyFont="1" applyBorder="1" applyAlignment="1">
      <alignment horizontal="center" vertical="top" wrapText="1"/>
    </xf>
    <xf numFmtId="0" fontId="4" fillId="0" borderId="67" xfId="0" applyFont="1" applyBorder="1" applyAlignment="1">
      <alignment horizontal="center" vertical="top" wrapText="1"/>
    </xf>
    <xf numFmtId="0" fontId="4" fillId="0" borderId="0" xfId="0" applyFont="1"/>
    <xf numFmtId="3" fontId="4" fillId="0" borderId="0" xfId="0" applyNumberFormat="1" applyFont="1"/>
    <xf numFmtId="3" fontId="4" fillId="0" borderId="8" xfId="0" applyNumberFormat="1" applyFont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4" fillId="2" borderId="24" xfId="0" applyFont="1" applyFill="1" applyBorder="1" applyAlignment="1">
      <alignment vertical="center"/>
    </xf>
    <xf numFmtId="0" fontId="4" fillId="2" borderId="51" xfId="0" applyFont="1" applyFill="1" applyBorder="1" applyAlignment="1">
      <alignment vertical="center"/>
    </xf>
    <xf numFmtId="3" fontId="76" fillId="8" borderId="11" xfId="0" applyNumberFormat="1" applyFont="1" applyFill="1" applyBorder="1"/>
    <xf numFmtId="0" fontId="36" fillId="15" borderId="51" xfId="0" applyFont="1" applyFill="1" applyBorder="1" applyAlignment="1">
      <alignment horizontal="center" wrapText="1"/>
    </xf>
    <xf numFmtId="0" fontId="36" fillId="16" borderId="51" xfId="0" applyFont="1" applyFill="1" applyBorder="1" applyAlignment="1">
      <alignment horizontal="center" wrapText="1"/>
    </xf>
    <xf numFmtId="0" fontId="4" fillId="0" borderId="3" xfId="0" applyFont="1" applyBorder="1"/>
    <xf numFmtId="0" fontId="31" fillId="0" borderId="199" xfId="4" applyFont="1" applyFill="1" applyBorder="1" applyAlignment="1">
      <alignment horizontal="left" vertical="center"/>
    </xf>
    <xf numFmtId="3" fontId="7" fillId="0" borderId="165" xfId="0" applyNumberFormat="1" applyFont="1" applyFill="1" applyBorder="1" applyAlignment="1">
      <alignment horizontal="right" vertical="center"/>
    </xf>
    <xf numFmtId="3" fontId="7" fillId="0" borderId="197" xfId="0" applyNumberFormat="1" applyFont="1" applyFill="1" applyBorder="1" applyAlignment="1">
      <alignment horizontal="right" vertical="center"/>
    </xf>
    <xf numFmtId="3" fontId="23" fillId="6" borderId="111" xfId="6" applyNumberFormat="1" applyFont="1" applyFill="1" applyBorder="1" applyAlignment="1">
      <alignment horizontal="right" vertical="center"/>
    </xf>
    <xf numFmtId="43" fontId="23" fillId="6" borderId="111" xfId="1" applyFont="1" applyFill="1" applyBorder="1" applyAlignment="1">
      <alignment horizontal="right" vertical="center"/>
    </xf>
    <xf numFmtId="3" fontId="25" fillId="22" borderId="110" xfId="4" applyNumberFormat="1" applyFont="1" applyFill="1" applyBorder="1" applyAlignment="1">
      <alignment horizontal="right" vertical="center"/>
    </xf>
    <xf numFmtId="3" fontId="23" fillId="6" borderId="9" xfId="6" applyNumberFormat="1" applyFont="1" applyFill="1" applyBorder="1" applyAlignment="1">
      <alignment horizontal="right" vertical="center"/>
    </xf>
    <xf numFmtId="3" fontId="24" fillId="23" borderId="76" xfId="4" applyNumberFormat="1" applyFont="1" applyFill="1" applyBorder="1" applyAlignment="1">
      <alignment horizontal="right" vertical="center"/>
    </xf>
    <xf numFmtId="43" fontId="31" fillId="25" borderId="69" xfId="1" applyFont="1" applyFill="1" applyBorder="1" applyAlignment="1">
      <alignment vertical="top"/>
    </xf>
    <xf numFmtId="43" fontId="31" fillId="25" borderId="188" xfId="1" applyFont="1" applyFill="1" applyBorder="1" applyAlignment="1">
      <alignment vertical="top"/>
    </xf>
    <xf numFmtId="3" fontId="7" fillId="8" borderId="200" xfId="4" applyNumberFormat="1" applyFont="1" applyFill="1" applyBorder="1" applyAlignment="1">
      <alignment vertical="center" wrapText="1"/>
    </xf>
    <xf numFmtId="3" fontId="7" fillId="8" borderId="180" xfId="112" applyNumberFormat="1" applyFont="1" applyFill="1" applyBorder="1" applyAlignment="1">
      <alignment vertical="center"/>
    </xf>
    <xf numFmtId="0" fontId="7" fillId="8" borderId="3" xfId="112" applyFont="1" applyFill="1" applyBorder="1" applyAlignment="1">
      <alignment vertical="center"/>
    </xf>
    <xf numFmtId="3" fontId="7" fillId="8" borderId="76" xfId="112" applyNumberFormat="1" applyFont="1" applyFill="1" applyBorder="1" applyAlignment="1">
      <alignment vertical="center"/>
    </xf>
    <xf numFmtId="0" fontId="18" fillId="0" borderId="42" xfId="112" applyFont="1" applyFill="1" applyBorder="1" applyAlignment="1">
      <alignment vertical="center" wrapText="1"/>
    </xf>
    <xf numFmtId="43" fontId="7" fillId="0" borderId="121" xfId="1" applyFont="1" applyFill="1" applyBorder="1" applyAlignment="1">
      <alignment horizontal="right" vertical="center"/>
    </xf>
    <xf numFmtId="43" fontId="7" fillId="0" borderId="180" xfId="1" applyFont="1" applyFill="1" applyBorder="1" applyAlignment="1">
      <alignment horizontal="right" vertical="center"/>
    </xf>
    <xf numFmtId="0" fontId="4" fillId="0" borderId="27" xfId="112" applyFont="1" applyBorder="1" applyAlignment="1">
      <alignment vertical="center"/>
    </xf>
    <xf numFmtId="3" fontId="20" fillId="0" borderId="0" xfId="112" applyNumberFormat="1" applyFont="1" applyBorder="1" applyAlignment="1">
      <alignment vertical="center"/>
    </xf>
    <xf numFmtId="0" fontId="4" fillId="0" borderId="199" xfId="112" applyFont="1" applyBorder="1" applyAlignment="1">
      <alignment vertical="center"/>
    </xf>
    <xf numFmtId="0" fontId="25" fillId="32" borderId="125" xfId="4" applyFont="1" applyFill="1" applyBorder="1" applyAlignment="1">
      <alignment horizontal="left" vertical="center"/>
    </xf>
    <xf numFmtId="3" fontId="7" fillId="0" borderId="170" xfId="4" applyNumberFormat="1" applyFont="1" applyFill="1" applyBorder="1" applyAlignment="1">
      <alignment vertical="center"/>
    </xf>
    <xf numFmtId="43" fontId="31" fillId="32" borderId="123" xfId="1" applyFont="1" applyFill="1" applyBorder="1" applyAlignment="1">
      <alignment vertical="center"/>
    </xf>
    <xf numFmtId="43" fontId="31" fillId="32" borderId="180" xfId="1" applyFont="1" applyFill="1" applyBorder="1" applyAlignment="1">
      <alignment vertical="center"/>
    </xf>
    <xf numFmtId="0" fontId="4" fillId="0" borderId="24" xfId="112" applyFont="1" applyBorder="1" applyAlignment="1">
      <alignment vertical="center"/>
    </xf>
    <xf numFmtId="3" fontId="7" fillId="0" borderId="121" xfId="4" applyNumberFormat="1" applyFont="1" applyFill="1" applyBorder="1" applyAlignment="1">
      <alignment horizontal="right" vertical="center"/>
    </xf>
    <xf numFmtId="3" fontId="31" fillId="32" borderId="123" xfId="4" applyNumberFormat="1" applyFont="1" applyFill="1" applyBorder="1" applyAlignment="1">
      <alignment vertical="center"/>
    </xf>
    <xf numFmtId="3" fontId="31" fillId="32" borderId="180" xfId="4" applyNumberFormat="1" applyFont="1" applyFill="1" applyBorder="1" applyAlignment="1">
      <alignment vertical="center"/>
    </xf>
    <xf numFmtId="3" fontId="24" fillId="32" borderId="180" xfId="4" applyNumberFormat="1" applyFont="1" applyFill="1" applyBorder="1" applyAlignment="1">
      <alignment vertical="center"/>
    </xf>
    <xf numFmtId="3" fontId="31" fillId="0" borderId="116" xfId="112" applyNumberFormat="1" applyFont="1" applyFill="1" applyBorder="1" applyAlignment="1">
      <alignment vertical="center"/>
    </xf>
    <xf numFmtId="0" fontId="24" fillId="8" borderId="82" xfId="0" applyFont="1" applyFill="1" applyBorder="1" applyAlignment="1">
      <alignment horizontal="center" vertical="center" wrapText="1"/>
    </xf>
    <xf numFmtId="167" fontId="7" fillId="8" borderId="8" xfId="2" applyNumberFormat="1" applyFont="1" applyFill="1" applyBorder="1" applyAlignment="1">
      <alignment vertical="center"/>
    </xf>
    <xf numFmtId="3" fontId="7" fillId="8" borderId="8" xfId="0" applyNumberFormat="1" applyFont="1" applyFill="1" applyBorder="1" applyAlignment="1">
      <alignment vertical="center"/>
    </xf>
    <xf numFmtId="0" fontId="7" fillId="8" borderId="8" xfId="0" applyFont="1" applyFill="1" applyBorder="1" applyAlignment="1">
      <alignment vertical="center"/>
    </xf>
    <xf numFmtId="0" fontId="7" fillId="8" borderId="9" xfId="0" applyFont="1" applyFill="1" applyBorder="1" applyAlignment="1">
      <alignment vertical="center"/>
    </xf>
    <xf numFmtId="3" fontId="7" fillId="23" borderId="7" xfId="0" applyNumberFormat="1" applyFont="1" applyFill="1" applyBorder="1" applyAlignment="1">
      <alignment vertical="center"/>
    </xf>
    <xf numFmtId="3" fontId="31" fillId="23" borderId="188" xfId="0" applyNumberFormat="1" applyFont="1" applyFill="1" applyBorder="1" applyAlignment="1">
      <alignment vertical="top"/>
    </xf>
    <xf numFmtId="3" fontId="31" fillId="0" borderId="39" xfId="4" applyNumberFormat="1" applyFont="1" applyFill="1" applyBorder="1" applyAlignment="1">
      <alignment vertical="center"/>
    </xf>
    <xf numFmtId="3" fontId="31" fillId="0" borderId="39" xfId="0" applyNumberFormat="1" applyFont="1" applyFill="1" applyBorder="1" applyAlignment="1">
      <alignment vertical="top"/>
    </xf>
    <xf numFmtId="3" fontId="31" fillId="0" borderId="39" xfId="0" applyNumberFormat="1" applyFont="1" applyFill="1" applyBorder="1" applyAlignment="1">
      <alignment vertical="center"/>
    </xf>
    <xf numFmtId="0" fontId="25" fillId="8" borderId="18" xfId="0" applyFont="1" applyFill="1" applyBorder="1" applyAlignment="1">
      <alignment horizontal="center" vertical="center" wrapText="1"/>
    </xf>
    <xf numFmtId="3" fontId="31" fillId="23" borderId="18" xfId="0" applyNumberFormat="1" applyFont="1" applyFill="1" applyBorder="1" applyAlignment="1">
      <alignment vertical="top"/>
    </xf>
    <xf numFmtId="3" fontId="31" fillId="23" borderId="17" xfId="0" applyNumberFormat="1" applyFont="1" applyFill="1" applyBorder="1" applyAlignment="1">
      <alignment vertical="top"/>
    </xf>
    <xf numFmtId="3" fontId="25" fillId="2" borderId="180" xfId="0" applyNumberFormat="1" applyFont="1" applyFill="1" applyBorder="1" applyAlignment="1">
      <alignment vertical="top"/>
    </xf>
    <xf numFmtId="0" fontId="20" fillId="2" borderId="66" xfId="0" applyFont="1" applyFill="1" applyBorder="1" applyAlignment="1">
      <alignment vertical="center" wrapText="1"/>
    </xf>
    <xf numFmtId="0" fontId="32" fillId="0" borderId="25" xfId="0" applyFont="1" applyBorder="1" applyAlignment="1">
      <alignment vertical="center"/>
    </xf>
    <xf numFmtId="0" fontId="23" fillId="0" borderId="23" xfId="0" applyFont="1" applyBorder="1" applyAlignment="1">
      <alignment vertical="center"/>
    </xf>
    <xf numFmtId="0" fontId="21" fillId="0" borderId="72" xfId="0" applyFont="1" applyFill="1" applyBorder="1" applyAlignment="1">
      <alignment vertical="center" wrapText="1"/>
    </xf>
    <xf numFmtId="3" fontId="25" fillId="25" borderId="23" xfId="0" applyNumberFormat="1" applyFont="1" applyFill="1" applyBorder="1" applyAlignment="1">
      <alignment vertical="center"/>
    </xf>
    <xf numFmtId="0" fontId="36" fillId="18" borderId="3" xfId="0" applyFont="1" applyFill="1" applyBorder="1" applyAlignment="1">
      <alignment horizontal="center" vertical="center"/>
    </xf>
    <xf numFmtId="0" fontId="36" fillId="18" borderId="24" xfId="0" applyFont="1" applyFill="1" applyBorder="1" applyAlignment="1">
      <alignment horizontal="right"/>
    </xf>
    <xf numFmtId="0" fontId="7" fillId="11" borderId="180" xfId="0" applyFont="1" applyFill="1" applyBorder="1" applyAlignment="1">
      <alignment vertical="center" wrapText="1"/>
    </xf>
    <xf numFmtId="0" fontId="36" fillId="18" borderId="3" xfId="0" applyFont="1" applyFill="1" applyBorder="1" applyAlignment="1">
      <alignment horizontal="center"/>
    </xf>
    <xf numFmtId="3" fontId="6" fillId="11" borderId="35" xfId="0" applyNumberFormat="1" applyFont="1" applyFill="1" applyBorder="1"/>
    <xf numFmtId="3" fontId="6" fillId="11" borderId="180" xfId="0" applyNumberFormat="1" applyFont="1" applyFill="1" applyBorder="1"/>
    <xf numFmtId="3" fontId="6" fillId="11" borderId="8" xfId="0" applyNumberFormat="1" applyFont="1" applyFill="1" applyBorder="1"/>
    <xf numFmtId="3" fontId="6" fillId="11" borderId="46" xfId="0" applyNumberFormat="1" applyFont="1" applyFill="1" applyBorder="1"/>
    <xf numFmtId="3" fontId="6" fillId="11" borderId="201" xfId="0" applyNumberFormat="1" applyFont="1" applyFill="1" applyBorder="1"/>
    <xf numFmtId="3" fontId="6" fillId="11" borderId="21" xfId="0" applyNumberFormat="1" applyFont="1" applyFill="1" applyBorder="1"/>
    <xf numFmtId="3" fontId="6" fillId="11" borderId="9" xfId="0" applyNumberFormat="1" applyFont="1" applyFill="1" applyBorder="1"/>
    <xf numFmtId="43" fontId="31" fillId="0" borderId="10" xfId="1" applyFont="1" applyFill="1" applyBorder="1" applyAlignment="1">
      <alignment vertical="center"/>
    </xf>
    <xf numFmtId="3" fontId="27" fillId="0" borderId="180" xfId="4" applyNumberFormat="1" applyFont="1" applyFill="1" applyBorder="1" applyAlignment="1">
      <alignment vertical="center"/>
    </xf>
    <xf numFmtId="3" fontId="6" fillId="6" borderId="35" xfId="0" applyNumberFormat="1" applyFont="1" applyFill="1" applyBorder="1"/>
    <xf numFmtId="0" fontId="7" fillId="6" borderId="200" xfId="0" applyFont="1" applyFill="1" applyBorder="1" applyAlignment="1">
      <alignment vertical="center" wrapText="1"/>
    </xf>
    <xf numFmtId="3" fontId="8" fillId="6" borderId="199" xfId="0" applyNumberFormat="1" applyFont="1" applyFill="1" applyBorder="1"/>
    <xf numFmtId="0" fontId="7" fillId="8" borderId="22" xfId="0" applyFont="1" applyFill="1" applyBorder="1" applyAlignment="1">
      <alignment vertical="center" wrapText="1"/>
    </xf>
    <xf numFmtId="0" fontId="7" fillId="8" borderId="200" xfId="0" applyFont="1" applyFill="1" applyBorder="1" applyAlignment="1">
      <alignment vertical="center" wrapText="1"/>
    </xf>
    <xf numFmtId="3" fontId="8" fillId="8" borderId="180" xfId="0" applyNumberFormat="1" applyFont="1" applyFill="1" applyBorder="1"/>
    <xf numFmtId="3" fontId="8" fillId="8" borderId="190" xfId="0" applyNumberFormat="1" applyFont="1" applyFill="1" applyBorder="1"/>
    <xf numFmtId="3" fontId="25" fillId="22" borderId="10" xfId="0" applyNumberFormat="1" applyFont="1" applyFill="1" applyBorder="1" applyAlignment="1">
      <alignment horizontal="center" vertical="top"/>
    </xf>
    <xf numFmtId="3" fontId="27" fillId="25" borderId="180" xfId="0" applyNumberFormat="1" applyFont="1" applyFill="1" applyBorder="1" applyAlignment="1">
      <alignment horizontal="center" vertical="top"/>
    </xf>
    <xf numFmtId="3" fontId="31" fillId="25" borderId="180" xfId="0" applyNumberFormat="1" applyFont="1" applyFill="1" applyBorder="1" applyAlignment="1">
      <alignment horizontal="center" vertical="top"/>
    </xf>
    <xf numFmtId="3" fontId="60" fillId="0" borderId="180" xfId="0" applyNumberFormat="1" applyFont="1" applyBorder="1"/>
    <xf numFmtId="3" fontId="28" fillId="0" borderId="63" xfId="4" applyNumberFormat="1" applyFont="1" applyFill="1" applyBorder="1" applyAlignment="1">
      <alignment vertical="center"/>
    </xf>
    <xf numFmtId="3" fontId="28" fillId="0" borderId="180" xfId="0" applyNumberFormat="1" applyFont="1" applyFill="1" applyBorder="1" applyAlignment="1">
      <alignment vertical="top"/>
    </xf>
    <xf numFmtId="3" fontId="39" fillId="0" borderId="180" xfId="0" applyNumberFormat="1" applyFont="1" applyBorder="1"/>
    <xf numFmtId="3" fontId="28" fillId="0" borderId="12" xfId="0" applyNumberFormat="1" applyFont="1" applyFill="1" applyBorder="1" applyAlignment="1">
      <alignment vertical="top"/>
    </xf>
    <xf numFmtId="3" fontId="39" fillId="0" borderId="190" xfId="0" applyNumberFormat="1" applyFont="1" applyBorder="1"/>
    <xf numFmtId="3" fontId="8" fillId="51" borderId="30" xfId="0" applyNumberFormat="1" applyFont="1" applyFill="1" applyBorder="1"/>
    <xf numFmtId="3" fontId="6" fillId="51" borderId="30" xfId="0" applyNumberFormat="1" applyFont="1" applyFill="1" applyBorder="1"/>
    <xf numFmtId="3" fontId="8" fillId="51" borderId="35" xfId="0" applyNumberFormat="1" applyFont="1" applyFill="1" applyBorder="1"/>
    <xf numFmtId="3" fontId="24" fillId="22" borderId="68" xfId="0" applyNumberFormat="1" applyFont="1" applyFill="1" applyBorder="1" applyAlignment="1">
      <alignment vertical="top"/>
    </xf>
    <xf numFmtId="0" fontId="7" fillId="23" borderId="68" xfId="0" applyFont="1" applyFill="1" applyBorder="1" applyAlignment="1">
      <alignment vertical="top"/>
    </xf>
    <xf numFmtId="0" fontId="31" fillId="6" borderId="179" xfId="0" applyFont="1" applyFill="1" applyBorder="1" applyAlignment="1">
      <alignment vertical="top"/>
    </xf>
    <xf numFmtId="3" fontId="27" fillId="26" borderId="179" xfId="0" applyNumberFormat="1" applyFont="1" applyFill="1" applyBorder="1" applyAlignment="1">
      <alignment vertical="center"/>
    </xf>
    <xf numFmtId="3" fontId="28" fillId="2" borderId="190" xfId="0" applyNumberFormat="1" applyFont="1" applyFill="1" applyBorder="1" applyAlignment="1">
      <alignment vertical="top"/>
    </xf>
    <xf numFmtId="3" fontId="31" fillId="0" borderId="197" xfId="0" applyNumberFormat="1" applyFont="1" applyFill="1" applyBorder="1" applyAlignment="1">
      <alignment vertical="center"/>
    </xf>
    <xf numFmtId="3" fontId="31" fillId="32" borderId="190" xfId="0" applyNumberFormat="1" applyFont="1" applyFill="1" applyBorder="1" applyAlignment="1">
      <alignment vertical="top"/>
    </xf>
    <xf numFmtId="3" fontId="31" fillId="25" borderId="190" xfId="0" applyNumberFormat="1" applyFont="1" applyFill="1" applyBorder="1" applyAlignment="1">
      <alignment vertical="top"/>
    </xf>
    <xf numFmtId="0" fontId="60" fillId="13" borderId="202" xfId="0" applyFont="1" applyFill="1" applyBorder="1" applyAlignment="1">
      <alignment vertical="center"/>
    </xf>
    <xf numFmtId="0" fontId="60" fillId="13" borderId="200" xfId="0" applyFont="1" applyFill="1" applyBorder="1" applyAlignment="1">
      <alignment vertical="center"/>
    </xf>
    <xf numFmtId="0" fontId="60" fillId="13" borderId="20" xfId="0" applyFont="1" applyFill="1" applyBorder="1" applyAlignment="1">
      <alignment vertical="center"/>
    </xf>
    <xf numFmtId="0" fontId="66" fillId="13" borderId="203" xfId="4" applyFont="1" applyFill="1" applyBorder="1" applyAlignment="1">
      <alignment horizontal="left" vertical="center"/>
    </xf>
    <xf numFmtId="43" fontId="28" fillId="23" borderId="188" xfId="1" applyFont="1" applyFill="1" applyBorder="1" applyAlignment="1">
      <alignment horizontal="right" vertical="center"/>
    </xf>
    <xf numFmtId="0" fontId="24" fillId="8" borderId="68" xfId="4" applyFont="1" applyFill="1" applyBorder="1" applyAlignment="1">
      <alignment vertical="center" wrapText="1"/>
    </xf>
    <xf numFmtId="3" fontId="25" fillId="23" borderId="7" xfId="0" applyNumberFormat="1" applyFont="1" applyFill="1" applyBorder="1" applyAlignment="1"/>
    <xf numFmtId="3" fontId="18" fillId="8" borderId="42" xfId="4" applyNumberFormat="1" applyFont="1" applyFill="1" applyBorder="1" applyAlignment="1">
      <alignment vertical="top" wrapText="1"/>
    </xf>
    <xf numFmtId="3" fontId="25" fillId="23" borderId="76" xfId="0" applyNumberFormat="1" applyFont="1" applyFill="1" applyBorder="1" applyAlignment="1">
      <alignment vertical="top"/>
    </xf>
    <xf numFmtId="3" fontId="27" fillId="25" borderId="188" xfId="0" applyNumberFormat="1" applyFont="1" applyFill="1" applyBorder="1" applyAlignment="1"/>
    <xf numFmtId="3" fontId="31" fillId="25" borderId="188" xfId="0" applyNumberFormat="1" applyFont="1" applyFill="1" applyBorder="1" applyAlignment="1"/>
    <xf numFmtId="3" fontId="31" fillId="25" borderId="189" xfId="0" applyNumberFormat="1" applyFont="1" applyFill="1" applyBorder="1" applyAlignment="1">
      <alignment vertical="top"/>
    </xf>
    <xf numFmtId="3" fontId="31" fillId="23" borderId="37" xfId="0" applyNumberFormat="1" applyFont="1" applyFill="1" applyBorder="1" applyAlignment="1"/>
    <xf numFmtId="3" fontId="25" fillId="8" borderId="8" xfId="0" applyNumberFormat="1" applyFont="1" applyFill="1" applyBorder="1" applyAlignment="1">
      <alignment vertical="top"/>
    </xf>
    <xf numFmtId="3" fontId="31" fillId="8" borderId="9" xfId="0" applyNumberFormat="1" applyFont="1" applyFill="1" applyBorder="1" applyAlignment="1">
      <alignment vertical="top"/>
    </xf>
    <xf numFmtId="0" fontId="70" fillId="2" borderId="0" xfId="0" applyFont="1" applyFill="1" applyBorder="1" applyAlignment="1">
      <alignment horizontal="center" wrapText="1"/>
    </xf>
    <xf numFmtId="0" fontId="25" fillId="0" borderId="12" xfId="4" applyFont="1" applyBorder="1" applyAlignment="1">
      <alignment horizontal="center" vertical="center" wrapText="1"/>
    </xf>
    <xf numFmtId="3" fontId="18" fillId="0" borderId="43" xfId="4" applyNumberFormat="1" applyFont="1" applyFill="1" applyBorder="1" applyAlignment="1">
      <alignment horizontal="center" vertical="center" wrapText="1"/>
    </xf>
    <xf numFmtId="3" fontId="18" fillId="0" borderId="41" xfId="4" applyNumberFormat="1" applyFont="1" applyFill="1" applyBorder="1" applyAlignment="1">
      <alignment horizontal="center" vertical="center" wrapText="1"/>
    </xf>
    <xf numFmtId="0" fontId="24" fillId="0" borderId="11" xfId="4" applyFont="1" applyFill="1" applyBorder="1" applyAlignment="1">
      <alignment horizontal="center" vertical="center"/>
    </xf>
    <xf numFmtId="0" fontId="24" fillId="0" borderId="25" xfId="4" applyFont="1" applyFill="1" applyBorder="1" applyAlignment="1">
      <alignment horizontal="center" vertical="center"/>
    </xf>
    <xf numFmtId="3" fontId="31" fillId="25" borderId="0" xfId="4" applyNumberFormat="1" applyFont="1" applyFill="1" applyBorder="1" applyAlignment="1">
      <alignment horizontal="center" vertical="center"/>
    </xf>
    <xf numFmtId="0" fontId="23" fillId="0" borderId="6" xfId="0" applyFont="1" applyBorder="1" applyAlignment="1">
      <alignment horizontal="center" vertical="center"/>
    </xf>
    <xf numFmtId="0" fontId="32" fillId="0" borderId="6" xfId="0" applyFont="1" applyBorder="1" applyAlignment="1">
      <alignment horizontal="center" vertical="center"/>
    </xf>
    <xf numFmtId="0" fontId="32" fillId="0" borderId="20" xfId="0" applyFont="1" applyBorder="1" applyAlignment="1">
      <alignment horizontal="center" vertical="center"/>
    </xf>
    <xf numFmtId="3" fontId="18" fillId="0" borderId="46" xfId="4" applyNumberFormat="1" applyFont="1" applyFill="1" applyBorder="1" applyAlignment="1">
      <alignment horizontal="center" vertical="center" wrapText="1"/>
    </xf>
    <xf numFmtId="0" fontId="23" fillId="0" borderId="125" xfId="0" applyFont="1" applyBorder="1" applyAlignment="1">
      <alignment horizontal="center" vertical="center" wrapText="1"/>
    </xf>
    <xf numFmtId="0" fontId="17" fillId="0" borderId="52" xfId="4" applyFont="1" applyFill="1" applyBorder="1" applyAlignment="1">
      <alignment horizontal="center" vertical="center"/>
    </xf>
    <xf numFmtId="0" fontId="22" fillId="0" borderId="40" xfId="0" applyFont="1" applyBorder="1" applyAlignment="1">
      <alignment horizontal="center" vertical="center" wrapText="1"/>
    </xf>
    <xf numFmtId="0" fontId="32" fillId="0" borderId="38" xfId="0" applyFont="1" applyBorder="1" applyAlignment="1">
      <alignment horizontal="center" vertical="center" wrapText="1"/>
    </xf>
    <xf numFmtId="0" fontId="18" fillId="0" borderId="43" xfId="4" applyFont="1" applyFill="1" applyBorder="1" applyAlignment="1">
      <alignment horizontal="center" vertical="center" wrapText="1"/>
    </xf>
    <xf numFmtId="0" fontId="18" fillId="0" borderId="46" xfId="4" applyFont="1" applyFill="1" applyBorder="1" applyAlignment="1">
      <alignment horizontal="center" vertical="center" wrapText="1"/>
    </xf>
    <xf numFmtId="0" fontId="23" fillId="0" borderId="12" xfId="6" applyFont="1" applyBorder="1" applyAlignment="1">
      <alignment horizontal="center" vertical="center"/>
    </xf>
    <xf numFmtId="0" fontId="18" fillId="0" borderId="41" xfId="4" applyFont="1" applyFill="1" applyBorder="1" applyAlignment="1">
      <alignment horizontal="center" vertical="center" wrapText="1"/>
    </xf>
    <xf numFmtId="0" fontId="18" fillId="13" borderId="43" xfId="4" applyFont="1" applyFill="1" applyBorder="1" applyAlignment="1">
      <alignment horizontal="center" vertical="center" wrapText="1"/>
    </xf>
    <xf numFmtId="0" fontId="23" fillId="0" borderId="43" xfId="0" applyFont="1" applyBorder="1" applyAlignment="1">
      <alignment horizontal="center" vertical="center" wrapText="1"/>
    </xf>
    <xf numFmtId="0" fontId="32" fillId="0" borderId="174" xfId="0" applyFont="1" applyFill="1" applyBorder="1" applyAlignment="1">
      <alignment horizontal="center" vertical="center" wrapText="1"/>
    </xf>
    <xf numFmtId="0" fontId="32" fillId="0" borderId="180" xfId="0" applyFont="1" applyFill="1" applyBorder="1" applyAlignment="1">
      <alignment horizontal="center" vertical="center" wrapText="1"/>
    </xf>
    <xf numFmtId="0" fontId="17" fillId="0" borderId="159" xfId="4" applyFont="1" applyFill="1" applyBorder="1" applyAlignment="1">
      <alignment horizontal="center" vertical="center"/>
    </xf>
    <xf numFmtId="0" fontId="32" fillId="0" borderId="154" xfId="0" applyFont="1" applyBorder="1" applyAlignment="1">
      <alignment wrapText="1"/>
    </xf>
    <xf numFmtId="3" fontId="24" fillId="26" borderId="154" xfId="4" applyNumberFormat="1" applyFont="1" applyFill="1" applyBorder="1" applyAlignment="1">
      <alignment horizontal="center" vertical="center"/>
    </xf>
    <xf numFmtId="0" fontId="23" fillId="0" borderId="35" xfId="6" applyFont="1" applyBorder="1" applyAlignment="1">
      <alignment horizontal="center" vertical="center"/>
    </xf>
    <xf numFmtId="0" fontId="23" fillId="0" borderId="43" xfId="0" applyFont="1" applyFill="1" applyBorder="1" applyAlignment="1">
      <alignment horizontal="center" vertical="center" wrapText="1"/>
    </xf>
    <xf numFmtId="0" fontId="23" fillId="0" borderId="20" xfId="0" applyFont="1" applyBorder="1" applyAlignment="1">
      <alignment horizontal="center" vertical="center" wrapText="1"/>
    </xf>
    <xf numFmtId="0" fontId="24" fillId="2" borderId="15" xfId="0" applyFont="1" applyFill="1" applyBorder="1" applyAlignment="1">
      <alignment horizontal="center" vertical="center" wrapText="1"/>
    </xf>
    <xf numFmtId="2" fontId="4" fillId="0" borderId="0" xfId="0" applyNumberFormat="1" applyFont="1" applyBorder="1"/>
    <xf numFmtId="0" fontId="17" fillId="0" borderId="25" xfId="0" applyFont="1" applyFill="1" applyBorder="1" applyAlignment="1">
      <alignment horizontal="center" vertical="center"/>
    </xf>
    <xf numFmtId="0" fontId="17" fillId="0" borderId="11" xfId="0" applyFont="1" applyFill="1" applyBorder="1" applyAlignment="1">
      <alignment horizontal="center" vertical="center"/>
    </xf>
    <xf numFmtId="0" fontId="31" fillId="32" borderId="0" xfId="0" applyFont="1" applyFill="1" applyBorder="1" applyAlignment="1">
      <alignment horizontal="left" vertical="center" wrapText="1"/>
    </xf>
    <xf numFmtId="3" fontId="24" fillId="26" borderId="10" xfId="4" applyNumberFormat="1" applyFont="1" applyFill="1" applyBorder="1" applyAlignment="1">
      <alignment horizontal="center" vertical="center"/>
    </xf>
    <xf numFmtId="3" fontId="24" fillId="26" borderId="72" xfId="4" applyNumberFormat="1" applyFont="1" applyFill="1" applyBorder="1" applyAlignment="1">
      <alignment horizontal="center" vertical="center"/>
    </xf>
    <xf numFmtId="0" fontId="21" fillId="0" borderId="0" xfId="0" applyFont="1" applyBorder="1" applyAlignment="1">
      <alignment horizontal="center" vertical="top"/>
    </xf>
    <xf numFmtId="0" fontId="25" fillId="0" borderId="35" xfId="4" applyFont="1" applyBorder="1" applyAlignment="1">
      <alignment horizontal="center" vertical="center" wrapText="1"/>
    </xf>
    <xf numFmtId="0" fontId="25" fillId="32" borderId="12" xfId="4" applyFont="1" applyFill="1" applyBorder="1" applyAlignment="1">
      <alignment horizontal="center" vertical="center" wrapText="1"/>
    </xf>
    <xf numFmtId="0" fontId="13" fillId="0" borderId="3" xfId="4" applyFont="1" applyFill="1" applyBorder="1" applyAlignment="1">
      <alignment horizontal="left" vertical="center" wrapText="1"/>
    </xf>
    <xf numFmtId="0" fontId="4" fillId="0" borderId="0" xfId="0" applyFont="1" applyBorder="1" applyAlignment="1">
      <alignment vertical="center"/>
    </xf>
    <xf numFmtId="3" fontId="31" fillId="8" borderId="76" xfId="0" applyNumberFormat="1" applyFont="1" applyFill="1" applyBorder="1" applyAlignment="1">
      <alignment vertical="center"/>
    </xf>
    <xf numFmtId="43" fontId="31" fillId="8" borderId="18" xfId="1" applyFont="1" applyFill="1" applyBorder="1" applyAlignment="1">
      <alignment vertical="center"/>
    </xf>
    <xf numFmtId="0" fontId="31" fillId="8" borderId="18" xfId="0" applyFont="1" applyFill="1" applyBorder="1" applyAlignment="1">
      <alignment vertical="center"/>
    </xf>
    <xf numFmtId="0" fontId="31" fillId="8" borderId="17" xfId="0" applyFont="1" applyFill="1" applyBorder="1" applyAlignment="1">
      <alignment vertical="center"/>
    </xf>
    <xf numFmtId="0" fontId="7" fillId="23" borderId="76" xfId="0" applyFont="1" applyFill="1" applyBorder="1" applyAlignment="1">
      <alignment vertical="center"/>
    </xf>
    <xf numFmtId="3" fontId="25" fillId="22" borderId="0" xfId="0" applyNumberFormat="1" applyFont="1" applyFill="1" applyBorder="1" applyAlignment="1">
      <alignment vertical="center"/>
    </xf>
    <xf numFmtId="43" fontId="27" fillId="0" borderId="180" xfId="1" applyFont="1" applyFill="1" applyBorder="1" applyAlignment="1">
      <alignment vertical="center"/>
    </xf>
    <xf numFmtId="3" fontId="27" fillId="25" borderId="8" xfId="0" applyNumberFormat="1" applyFont="1" applyFill="1" applyBorder="1" applyAlignment="1">
      <alignment vertical="center"/>
    </xf>
    <xf numFmtId="3" fontId="31" fillId="25" borderId="190" xfId="4" applyNumberFormat="1" applyFont="1" applyFill="1" applyBorder="1" applyAlignment="1">
      <alignment horizontal="right" vertical="center"/>
    </xf>
    <xf numFmtId="3" fontId="31" fillId="25" borderId="24" xfId="4" applyNumberFormat="1" applyFont="1" applyFill="1" applyBorder="1" applyAlignment="1">
      <alignment horizontal="right" vertical="center"/>
    </xf>
    <xf numFmtId="0" fontId="18" fillId="0" borderId="42" xfId="0" applyFont="1" applyFill="1" applyBorder="1" applyAlignment="1">
      <alignment vertical="center" wrapText="1"/>
    </xf>
    <xf numFmtId="3" fontId="31" fillId="0" borderId="171" xfId="4" applyNumberFormat="1" applyFont="1" applyFill="1" applyBorder="1" applyAlignment="1">
      <alignment horizontal="right" vertical="center"/>
    </xf>
    <xf numFmtId="0" fontId="28" fillId="60" borderId="183" xfId="4" applyFont="1" applyFill="1" applyBorder="1" applyAlignment="1">
      <alignment horizontal="right" vertical="center"/>
    </xf>
    <xf numFmtId="3" fontId="31" fillId="60" borderId="171" xfId="4" applyNumberFormat="1" applyFont="1" applyFill="1" applyBorder="1" applyAlignment="1">
      <alignment vertical="center"/>
    </xf>
    <xf numFmtId="3" fontId="28" fillId="60" borderId="171" xfId="4" applyNumberFormat="1" applyFont="1" applyFill="1" applyBorder="1" applyAlignment="1">
      <alignment vertical="center"/>
    </xf>
    <xf numFmtId="3" fontId="28" fillId="60" borderId="171" xfId="4" applyNumberFormat="1" applyFont="1" applyFill="1" applyBorder="1" applyAlignment="1">
      <alignment horizontal="right" vertical="center"/>
    </xf>
    <xf numFmtId="3" fontId="28" fillId="23" borderId="179" xfId="4" applyNumberFormat="1" applyFont="1" applyFill="1" applyBorder="1" applyAlignment="1">
      <alignment vertical="center"/>
    </xf>
    <xf numFmtId="0" fontId="28" fillId="52" borderId="183" xfId="4" applyFont="1" applyFill="1" applyBorder="1" applyAlignment="1">
      <alignment horizontal="right" vertical="center"/>
    </xf>
    <xf numFmtId="3" fontId="31" fillId="52" borderId="171" xfId="4" applyNumberFormat="1" applyFont="1" applyFill="1" applyBorder="1" applyAlignment="1">
      <alignment vertical="center"/>
    </xf>
    <xf numFmtId="3" fontId="28" fillId="52" borderId="171" xfId="4" applyNumberFormat="1" applyFont="1" applyFill="1" applyBorder="1" applyAlignment="1">
      <alignment vertical="center"/>
    </xf>
    <xf numFmtId="3" fontId="28" fillId="52" borderId="171" xfId="4" applyNumberFormat="1" applyFont="1" applyFill="1" applyBorder="1" applyAlignment="1">
      <alignment horizontal="right" vertical="center"/>
    </xf>
    <xf numFmtId="3" fontId="31" fillId="23" borderId="176" xfId="4" applyNumberFormat="1" applyFont="1" applyFill="1" applyBorder="1" applyAlignment="1">
      <alignment vertical="center"/>
    </xf>
    <xf numFmtId="0" fontId="24" fillId="8" borderId="26" xfId="0" applyFont="1" applyFill="1" applyBorder="1" applyAlignment="1">
      <alignment horizontal="center" vertical="center" wrapText="1"/>
    </xf>
    <xf numFmtId="0" fontId="20" fillId="6" borderId="200" xfId="4" applyFont="1" applyFill="1" applyBorder="1" applyAlignment="1">
      <alignment horizontal="left" vertical="center"/>
    </xf>
    <xf numFmtId="43" fontId="29" fillId="0" borderId="171" xfId="1" applyFont="1" applyFill="1" applyBorder="1" applyAlignment="1">
      <alignment horizontal="right" vertical="center"/>
    </xf>
    <xf numFmtId="0" fontId="28" fillId="52" borderId="183" xfId="4" quotePrefix="1" applyFont="1" applyFill="1" applyBorder="1" applyAlignment="1">
      <alignment horizontal="right" vertical="center"/>
    </xf>
    <xf numFmtId="0" fontId="28" fillId="57" borderId="183" xfId="4" quotePrefix="1" applyFont="1" applyFill="1" applyBorder="1" applyAlignment="1">
      <alignment horizontal="right" vertical="center"/>
    </xf>
    <xf numFmtId="0" fontId="7" fillId="0" borderId="8" xfId="4" applyFont="1" applyFill="1" applyBorder="1" applyAlignment="1">
      <alignment vertical="center"/>
    </xf>
    <xf numFmtId="3" fontId="7" fillId="0" borderId="27" xfId="4" applyNumberFormat="1" applyFont="1" applyFill="1" applyBorder="1" applyAlignment="1">
      <alignment horizontal="right" vertical="center"/>
    </xf>
    <xf numFmtId="43" fontId="31" fillId="57" borderId="179" xfId="1" applyFont="1" applyFill="1" applyBorder="1" applyAlignment="1"/>
    <xf numFmtId="43" fontId="31" fillId="52" borderId="179" xfId="1" applyFont="1" applyFill="1" applyBorder="1" applyAlignment="1"/>
    <xf numFmtId="3" fontId="7" fillId="23" borderId="76" xfId="4" applyNumberFormat="1" applyFont="1" applyFill="1" applyBorder="1" applyAlignment="1">
      <alignment horizontal="right" vertical="center"/>
    </xf>
    <xf numFmtId="3" fontId="7" fillId="0" borderId="190" xfId="4" applyNumberFormat="1" applyFont="1" applyFill="1" applyBorder="1" applyAlignment="1">
      <alignment vertical="top"/>
    </xf>
    <xf numFmtId="0" fontId="24" fillId="8" borderId="199" xfId="4" applyFont="1" applyFill="1" applyBorder="1" applyAlignment="1">
      <alignment horizontal="left" vertical="center" wrapText="1"/>
    </xf>
    <xf numFmtId="0" fontId="4" fillId="0" borderId="121" xfId="0" applyFont="1" applyBorder="1"/>
    <xf numFmtId="0" fontId="4" fillId="0" borderId="116" xfId="0" applyFont="1" applyBorder="1"/>
    <xf numFmtId="0" fontId="31" fillId="0" borderId="121" xfId="4" applyFont="1" applyFill="1" applyBorder="1" applyAlignment="1">
      <alignment vertical="center"/>
    </xf>
    <xf numFmtId="0" fontId="63" fillId="0" borderId="35" xfId="0" quotePrefix="1" applyFont="1" applyBorder="1" applyAlignment="1">
      <alignment vertical="center"/>
    </xf>
    <xf numFmtId="0" fontId="4" fillId="0" borderId="43" xfId="0" applyFont="1" applyBorder="1"/>
    <xf numFmtId="0" fontId="4" fillId="0" borderId="190" xfId="0" applyFont="1" applyBorder="1"/>
    <xf numFmtId="0" fontId="31" fillId="0" borderId="180" xfId="0" applyFont="1" applyFill="1" applyBorder="1" applyAlignment="1">
      <alignment vertical="top" wrapText="1"/>
    </xf>
    <xf numFmtId="0" fontId="27" fillId="0" borderId="180" xfId="0" applyFont="1" applyFill="1" applyBorder="1" applyAlignment="1">
      <alignment vertical="top" wrapText="1"/>
    </xf>
    <xf numFmtId="0" fontId="31" fillId="0" borderId="190" xfId="4" applyFont="1" applyFill="1" applyBorder="1" applyAlignment="1">
      <alignment vertical="center"/>
    </xf>
    <xf numFmtId="0" fontId="31" fillId="6" borderId="28" xfId="0" applyFont="1" applyFill="1" applyBorder="1" applyAlignment="1">
      <alignment vertical="top"/>
    </xf>
    <xf numFmtId="3" fontId="25" fillId="22" borderId="89" xfId="0" applyNumberFormat="1" applyFont="1" applyFill="1" applyBorder="1" applyAlignment="1">
      <alignment vertical="top"/>
    </xf>
    <xf numFmtId="3" fontId="28" fillId="2" borderId="9" xfId="0" applyNumberFormat="1" applyFont="1" applyFill="1" applyBorder="1" applyAlignment="1">
      <alignment vertical="top"/>
    </xf>
    <xf numFmtId="3" fontId="31" fillId="0" borderId="121" xfId="0" applyNumberFormat="1" applyFont="1" applyFill="1" applyBorder="1" applyAlignment="1">
      <alignment horizontal="right" vertical="center"/>
    </xf>
    <xf numFmtId="0" fontId="28" fillId="0" borderId="129" xfId="0" applyFont="1" applyFill="1" applyBorder="1" applyAlignment="1">
      <alignment vertical="top"/>
    </xf>
    <xf numFmtId="3" fontId="31" fillId="0" borderId="156" xfId="0" applyNumberFormat="1" applyFont="1" applyFill="1" applyBorder="1" applyAlignment="1">
      <alignment horizontal="right" vertical="center"/>
    </xf>
    <xf numFmtId="3" fontId="31" fillId="25" borderId="164" xfId="0" applyNumberFormat="1" applyFont="1" applyFill="1" applyBorder="1" applyAlignment="1">
      <alignment vertical="top"/>
    </xf>
    <xf numFmtId="0" fontId="28" fillId="0" borderId="21" xfId="0" applyFont="1" applyFill="1" applyBorder="1" applyAlignment="1">
      <alignment vertical="top"/>
    </xf>
    <xf numFmtId="3" fontId="28" fillId="0" borderId="9" xfId="0" applyNumberFormat="1" applyFont="1" applyFill="1" applyBorder="1" applyAlignment="1">
      <alignment horizontal="right" vertical="center"/>
    </xf>
    <xf numFmtId="3" fontId="28" fillId="25" borderId="35" xfId="0" applyNumberFormat="1" applyFont="1" applyFill="1" applyBorder="1" applyAlignment="1">
      <alignment vertical="top"/>
    </xf>
    <xf numFmtId="3" fontId="28" fillId="0" borderId="155" xfId="0" applyNumberFormat="1" applyFont="1" applyFill="1" applyBorder="1" applyAlignment="1">
      <alignment horizontal="right" vertical="center"/>
    </xf>
    <xf numFmtId="3" fontId="28" fillId="25" borderId="121" xfId="0" applyNumberFormat="1" applyFont="1" applyFill="1" applyBorder="1" applyAlignment="1">
      <alignment vertical="top"/>
    </xf>
    <xf numFmtId="0" fontId="25" fillId="8" borderId="1" xfId="0" applyFont="1" applyFill="1" applyBorder="1" applyAlignment="1">
      <alignment horizontal="center" vertical="center" wrapText="1"/>
    </xf>
    <xf numFmtId="3" fontId="25" fillId="6" borderId="173" xfId="0" applyNumberFormat="1" applyFont="1" applyFill="1" applyBorder="1" applyAlignment="1">
      <alignment vertical="top"/>
    </xf>
    <xf numFmtId="43" fontId="25" fillId="6" borderId="173" xfId="1" applyFont="1" applyFill="1" applyBorder="1" applyAlignment="1">
      <alignment vertical="top"/>
    </xf>
    <xf numFmtId="3" fontId="25" fillId="22" borderId="173" xfId="0" applyNumberFormat="1" applyFont="1" applyFill="1" applyBorder="1" applyAlignment="1">
      <alignment vertical="top"/>
    </xf>
    <xf numFmtId="43" fontId="31" fillId="2" borderId="9" xfId="1" applyFont="1" applyFill="1" applyBorder="1" applyAlignment="1">
      <alignment vertical="top"/>
    </xf>
    <xf numFmtId="0" fontId="31" fillId="0" borderId="21" xfId="0" applyFont="1" applyFill="1" applyBorder="1" applyAlignment="1">
      <alignment vertical="center"/>
    </xf>
    <xf numFmtId="3" fontId="28" fillId="2" borderId="179" xfId="0" applyNumberFormat="1" applyFont="1" applyFill="1" applyBorder="1" applyAlignment="1">
      <alignment vertical="center"/>
    </xf>
    <xf numFmtId="3" fontId="31" fillId="0" borderId="9" xfId="0" applyNumberFormat="1" applyFont="1" applyFill="1" applyBorder="1" applyAlignment="1">
      <alignment vertical="center"/>
    </xf>
    <xf numFmtId="43" fontId="31" fillId="0" borderId="9" xfId="1" applyFont="1" applyFill="1" applyBorder="1" applyAlignment="1">
      <alignment vertical="center"/>
    </xf>
    <xf numFmtId="3" fontId="31" fillId="25" borderId="121" xfId="0" applyNumberFormat="1" applyFont="1" applyFill="1" applyBorder="1" applyAlignment="1">
      <alignment vertical="center"/>
    </xf>
    <xf numFmtId="0" fontId="31" fillId="0" borderId="11" xfId="4" applyFont="1" applyFill="1" applyBorder="1" applyAlignment="1">
      <alignment vertical="center"/>
    </xf>
    <xf numFmtId="3" fontId="31" fillId="0" borderId="35" xfId="0" applyNumberFormat="1" applyFont="1" applyFill="1" applyBorder="1" applyAlignment="1">
      <alignment horizontal="right" vertical="center"/>
    </xf>
    <xf numFmtId="43" fontId="31" fillId="0" borderId="35" xfId="1" applyFont="1" applyFill="1" applyBorder="1" applyAlignment="1">
      <alignment horizontal="right" vertical="center"/>
    </xf>
    <xf numFmtId="3" fontId="31" fillId="0" borderId="9" xfId="0" applyNumberFormat="1" applyFont="1" applyFill="1" applyBorder="1" applyAlignment="1">
      <alignment horizontal="right" vertical="center"/>
    </xf>
    <xf numFmtId="43" fontId="31" fillId="0" borderId="27" xfId="1" applyFont="1" applyFill="1" applyBorder="1" applyAlignment="1">
      <alignment horizontal="right" vertical="center"/>
    </xf>
    <xf numFmtId="3" fontId="4" fillId="0" borderId="0" xfId="0" applyNumberFormat="1" applyFont="1" applyBorder="1" applyAlignment="1">
      <alignment wrapText="1"/>
    </xf>
    <xf numFmtId="3" fontId="4" fillId="0" borderId="26" xfId="0" applyNumberFormat="1" applyFont="1" applyBorder="1" applyAlignment="1">
      <alignment wrapText="1"/>
    </xf>
    <xf numFmtId="0" fontId="66" fillId="6" borderId="161" xfId="4" applyFont="1" applyFill="1" applyBorder="1" applyAlignment="1">
      <alignment horizontal="left" vertical="center"/>
    </xf>
    <xf numFmtId="3" fontId="24" fillId="6" borderId="170" xfId="0" applyNumberFormat="1" applyFont="1" applyFill="1" applyBorder="1" applyAlignment="1">
      <alignment vertical="center"/>
    </xf>
    <xf numFmtId="3" fontId="24" fillId="6" borderId="154" xfId="0" applyNumberFormat="1" applyFont="1" applyFill="1" applyBorder="1" applyAlignment="1">
      <alignment vertical="center"/>
    </xf>
    <xf numFmtId="3" fontId="24" fillId="22" borderId="35" xfId="0" applyNumberFormat="1" applyFont="1" applyFill="1" applyBorder="1" applyAlignment="1">
      <alignment vertical="center"/>
    </xf>
    <xf numFmtId="3" fontId="29" fillId="0" borderId="170" xfId="0" applyNumberFormat="1" applyFont="1" applyFill="1" applyBorder="1" applyAlignment="1">
      <alignment vertical="center"/>
    </xf>
    <xf numFmtId="3" fontId="29" fillId="0" borderId="154" xfId="0" applyNumberFormat="1" applyFont="1" applyFill="1" applyBorder="1" applyAlignment="1">
      <alignment vertical="center"/>
    </xf>
    <xf numFmtId="3" fontId="29" fillId="25" borderId="154" xfId="0" applyNumberFormat="1" applyFont="1" applyFill="1" applyBorder="1" applyAlignment="1">
      <alignment vertical="top"/>
    </xf>
    <xf numFmtId="0" fontId="8" fillId="0" borderId="119" xfId="0" applyFont="1" applyFill="1" applyBorder="1" applyAlignment="1">
      <alignment vertical="center" wrapText="1"/>
    </xf>
    <xf numFmtId="3" fontId="7" fillId="0" borderId="164" xfId="4" applyNumberFormat="1" applyFont="1" applyFill="1" applyBorder="1" applyAlignment="1">
      <alignment vertical="center"/>
    </xf>
    <xf numFmtId="3" fontId="38" fillId="2" borderId="123" xfId="0" applyNumberFormat="1" applyFont="1" applyFill="1" applyBorder="1" applyAlignment="1">
      <alignment vertical="top"/>
    </xf>
    <xf numFmtId="3" fontId="7" fillId="25" borderId="121" xfId="0" applyNumberFormat="1" applyFont="1" applyFill="1" applyBorder="1" applyAlignment="1">
      <alignment vertical="top"/>
    </xf>
    <xf numFmtId="3" fontId="7" fillId="0" borderId="155" xfId="4" applyNumberFormat="1" applyFont="1" applyFill="1" applyBorder="1" applyAlignment="1">
      <alignment vertical="center"/>
    </xf>
    <xf numFmtId="0" fontId="29" fillId="2" borderId="119" xfId="4" applyFont="1" applyFill="1" applyBorder="1" applyAlignment="1">
      <alignment vertical="top"/>
    </xf>
    <xf numFmtId="3" fontId="29" fillId="0" borderId="170" xfId="0" applyNumberFormat="1" applyFont="1" applyFill="1" applyBorder="1" applyAlignment="1">
      <alignment horizontal="right" vertical="center"/>
    </xf>
    <xf numFmtId="3" fontId="29" fillId="0" borderId="154" xfId="0" applyNumberFormat="1" applyFont="1" applyFill="1" applyBorder="1" applyAlignment="1">
      <alignment horizontal="right" vertical="center"/>
    </xf>
    <xf numFmtId="3" fontId="38" fillId="0" borderId="170" xfId="0" applyNumberFormat="1" applyFont="1" applyFill="1" applyBorder="1" applyAlignment="1">
      <alignment vertical="center"/>
    </xf>
    <xf numFmtId="3" fontId="7" fillId="25" borderId="121" xfId="0" applyNumberFormat="1" applyFont="1" applyFill="1" applyBorder="1" applyAlignment="1">
      <alignment vertical="center"/>
    </xf>
    <xf numFmtId="3" fontId="38" fillId="0" borderId="164" xfId="0" applyNumberFormat="1" applyFont="1" applyFill="1" applyBorder="1" applyAlignment="1">
      <alignment vertical="center"/>
    </xf>
    <xf numFmtId="3" fontId="7" fillId="0" borderId="154" xfId="0" applyNumberFormat="1" applyFont="1" applyFill="1" applyBorder="1" applyAlignment="1">
      <alignment vertical="center"/>
    </xf>
    <xf numFmtId="3" fontId="7" fillId="0" borderId="116" xfId="4" applyNumberFormat="1" applyFont="1" applyFill="1" applyBorder="1" applyAlignment="1">
      <alignment vertical="center"/>
    </xf>
    <xf numFmtId="0" fontId="25" fillId="8" borderId="82" xfId="0" applyFont="1" applyFill="1" applyBorder="1" applyAlignment="1">
      <alignment horizontal="center" vertical="center" wrapText="1"/>
    </xf>
    <xf numFmtId="0" fontId="7" fillId="23" borderId="35" xfId="0" applyFont="1" applyFill="1" applyBorder="1" applyAlignment="1">
      <alignment vertical="top"/>
    </xf>
    <xf numFmtId="0" fontId="62" fillId="6" borderId="20" xfId="4" applyFont="1" applyFill="1" applyBorder="1" applyAlignment="1">
      <alignment horizontal="left" vertical="center"/>
    </xf>
    <xf numFmtId="3" fontId="31" fillId="0" borderId="89" xfId="0" applyNumberFormat="1" applyFont="1" applyFill="1" applyBorder="1" applyAlignment="1">
      <alignment vertical="top"/>
    </xf>
    <xf numFmtId="3" fontId="31" fillId="0" borderId="96" xfId="0" applyNumberFormat="1" applyFont="1" applyFill="1" applyBorder="1" applyAlignment="1">
      <alignment vertical="center"/>
    </xf>
    <xf numFmtId="3" fontId="31" fillId="22" borderId="35" xfId="0" applyNumberFormat="1" applyFont="1" applyFill="1" applyBorder="1" applyAlignment="1">
      <alignment vertical="center"/>
    </xf>
    <xf numFmtId="3" fontId="28" fillId="0" borderId="89" xfId="0" applyNumberFormat="1" applyFont="1" applyFill="1" applyBorder="1" applyAlignment="1">
      <alignment vertical="top"/>
    </xf>
    <xf numFmtId="3" fontId="28" fillId="0" borderId="96" xfId="0" applyNumberFormat="1" applyFont="1" applyFill="1" applyBorder="1" applyAlignment="1">
      <alignment vertical="center"/>
    </xf>
    <xf numFmtId="3" fontId="28" fillId="22" borderId="35" xfId="0" applyNumberFormat="1" applyFont="1" applyFill="1" applyBorder="1" applyAlignment="1">
      <alignment vertical="center"/>
    </xf>
    <xf numFmtId="3" fontId="27" fillId="22" borderId="35" xfId="0" applyNumberFormat="1" applyFont="1" applyFill="1" applyBorder="1" applyAlignment="1">
      <alignment vertical="center"/>
    </xf>
    <xf numFmtId="0" fontId="7" fillId="0" borderId="32" xfId="4" applyFont="1" applyFill="1" applyBorder="1" applyAlignment="1">
      <alignment vertical="top"/>
    </xf>
    <xf numFmtId="0" fontId="7" fillId="0" borderId="32" xfId="0" applyFont="1" applyFill="1" applyBorder="1" applyAlignment="1">
      <alignment vertical="center" wrapText="1"/>
    </xf>
    <xf numFmtId="3" fontId="25" fillId="6" borderId="99" xfId="0" applyNumberFormat="1" applyFont="1" applyFill="1" applyBorder="1" applyAlignment="1">
      <alignment vertical="center"/>
    </xf>
    <xf numFmtId="3" fontId="27" fillId="0" borderId="98" xfId="0" applyNumberFormat="1" applyFont="1" applyFill="1" applyBorder="1" applyAlignment="1">
      <alignment vertical="center"/>
    </xf>
    <xf numFmtId="3" fontId="27" fillId="0" borderId="98" xfId="0" applyNumberFormat="1" applyFont="1" applyFill="1" applyBorder="1" applyAlignment="1">
      <alignment vertical="top"/>
    </xf>
    <xf numFmtId="3" fontId="31" fillId="0" borderId="98" xfId="0" applyNumberFormat="1" applyFont="1" applyFill="1" applyBorder="1" applyAlignment="1">
      <alignment vertical="center"/>
    </xf>
    <xf numFmtId="3" fontId="28" fillId="0" borderId="98" xfId="0" applyNumberFormat="1" applyFont="1" applyFill="1" applyBorder="1" applyAlignment="1">
      <alignment vertical="center"/>
    </xf>
    <xf numFmtId="3" fontId="25" fillId="0" borderId="98" xfId="0" applyNumberFormat="1" applyFont="1" applyFill="1" applyBorder="1" applyAlignment="1">
      <alignment vertical="center"/>
    </xf>
    <xf numFmtId="3" fontId="25" fillId="0" borderId="98" xfId="0" applyNumberFormat="1" applyFont="1" applyFill="1" applyBorder="1" applyAlignment="1">
      <alignment vertical="top"/>
    </xf>
    <xf numFmtId="0" fontId="17" fillId="0" borderId="21" xfId="0" applyFont="1" applyFill="1" applyBorder="1" applyAlignment="1">
      <alignment horizontal="center" vertical="center"/>
    </xf>
    <xf numFmtId="0" fontId="7" fillId="0" borderId="102" xfId="0" applyFont="1" applyFill="1" applyBorder="1" applyAlignment="1">
      <alignment vertical="center" wrapText="1"/>
    </xf>
    <xf numFmtId="3" fontId="28" fillId="0" borderId="97" xfId="0" applyNumberFormat="1" applyFont="1" applyFill="1" applyBorder="1" applyAlignment="1">
      <alignment vertical="center"/>
    </xf>
    <xf numFmtId="3" fontId="28" fillId="0" borderId="97" xfId="0" applyNumberFormat="1" applyFont="1" applyFill="1" applyBorder="1" applyAlignment="1">
      <alignment vertical="top"/>
    </xf>
    <xf numFmtId="0" fontId="24" fillId="8" borderId="32" xfId="0" applyFont="1" applyFill="1" applyBorder="1" applyAlignment="1">
      <alignment vertical="center" wrapText="1"/>
    </xf>
    <xf numFmtId="0" fontId="24" fillId="8" borderId="109" xfId="0" applyFont="1" applyFill="1" applyBorder="1" applyAlignment="1">
      <alignment horizontal="center" vertical="center" wrapText="1"/>
    </xf>
    <xf numFmtId="3" fontId="7" fillId="8" borderId="106" xfId="0" applyNumberFormat="1" applyFont="1" applyFill="1" applyBorder="1" applyAlignment="1">
      <alignment vertical="top"/>
    </xf>
    <xf numFmtId="3" fontId="7" fillId="8" borderId="104" xfId="0" applyNumberFormat="1" applyFont="1" applyFill="1" applyBorder="1" applyAlignment="1">
      <alignment vertical="top"/>
    </xf>
    <xf numFmtId="0" fontId="7" fillId="8" borderId="104" xfId="0" applyFont="1" applyFill="1" applyBorder="1" applyAlignment="1">
      <alignment vertical="top"/>
    </xf>
    <xf numFmtId="0" fontId="7" fillId="8" borderId="99" xfId="0" applyFont="1" applyFill="1" applyBorder="1" applyAlignment="1">
      <alignment vertical="top"/>
    </xf>
    <xf numFmtId="3" fontId="24" fillId="22" borderId="98" xfId="0" applyNumberFormat="1" applyFont="1" applyFill="1" applyBorder="1" applyAlignment="1">
      <alignment horizontal="center" vertical="center"/>
    </xf>
    <xf numFmtId="0" fontId="66" fillId="6" borderId="100" xfId="4" applyFont="1" applyFill="1" applyBorder="1" applyAlignment="1">
      <alignment horizontal="left" vertical="center"/>
    </xf>
    <xf numFmtId="3" fontId="24" fillId="6" borderId="9" xfId="0" applyNumberFormat="1" applyFont="1" applyFill="1" applyBorder="1" applyAlignment="1">
      <alignment vertical="center"/>
    </xf>
    <xf numFmtId="3" fontId="29" fillId="0" borderId="98" xfId="0" applyNumberFormat="1" applyFont="1" applyFill="1" applyBorder="1" applyAlignment="1">
      <alignment vertical="center"/>
    </xf>
    <xf numFmtId="3" fontId="29" fillId="0" borderId="98" xfId="0" applyNumberFormat="1" applyFont="1" applyFill="1" applyBorder="1" applyAlignment="1">
      <alignment vertical="top"/>
    </xf>
    <xf numFmtId="3" fontId="24" fillId="22" borderId="98" xfId="0" applyNumberFormat="1" applyFont="1" applyFill="1" applyBorder="1" applyAlignment="1">
      <alignment horizontal="right" vertical="center"/>
    </xf>
    <xf numFmtId="3" fontId="7" fillId="0" borderId="98" xfId="0" applyNumberFormat="1" applyFont="1" applyFill="1" applyBorder="1" applyAlignment="1">
      <alignment vertical="center"/>
    </xf>
    <xf numFmtId="3" fontId="7" fillId="0" borderId="98" xfId="0" applyNumberFormat="1" applyFont="1" applyFill="1" applyBorder="1" applyAlignment="1">
      <alignment vertical="top"/>
    </xf>
    <xf numFmtId="3" fontId="38" fillId="0" borderId="98" xfId="0" applyNumberFormat="1" applyFont="1" applyFill="1" applyBorder="1" applyAlignment="1">
      <alignment vertical="center"/>
    </xf>
    <xf numFmtId="3" fontId="38" fillId="0" borderId="98" xfId="0" applyNumberFormat="1" applyFont="1" applyFill="1" applyBorder="1" applyAlignment="1">
      <alignment vertical="top"/>
    </xf>
    <xf numFmtId="0" fontId="17" fillId="0" borderId="84" xfId="0" applyFont="1" applyFill="1" applyBorder="1" applyAlignment="1">
      <alignment horizontal="center" vertical="center"/>
    </xf>
    <xf numFmtId="0" fontId="7" fillId="0" borderId="101" xfId="0" applyFont="1" applyFill="1" applyBorder="1" applyAlignment="1">
      <alignment horizontal="center" vertical="center" wrapText="1"/>
    </xf>
    <xf numFmtId="3" fontId="31" fillId="8" borderId="106" xfId="0" applyNumberFormat="1" applyFont="1" applyFill="1" applyBorder="1" applyAlignment="1">
      <alignment vertical="top"/>
    </xf>
    <xf numFmtId="3" fontId="31" fillId="8" borderId="104" xfId="0" applyNumberFormat="1" applyFont="1" applyFill="1" applyBorder="1" applyAlignment="1">
      <alignment vertical="top"/>
    </xf>
    <xf numFmtId="0" fontId="31" fillId="8" borderId="104" xfId="0" applyFont="1" applyFill="1" applyBorder="1" applyAlignment="1">
      <alignment vertical="top"/>
    </xf>
    <xf numFmtId="0" fontId="31" fillId="8" borderId="99" xfId="0" applyFont="1" applyFill="1" applyBorder="1" applyAlignment="1">
      <alignment vertical="top"/>
    </xf>
    <xf numFmtId="3" fontId="25" fillId="22" borderId="98" xfId="0" applyNumberFormat="1" applyFont="1" applyFill="1" applyBorder="1" applyAlignment="1">
      <alignment horizontal="center" vertical="center"/>
    </xf>
    <xf numFmtId="0" fontId="25" fillId="6" borderId="25" xfId="4" applyFont="1" applyFill="1" applyBorder="1" applyAlignment="1">
      <alignment horizontal="left" vertical="center"/>
    </xf>
    <xf numFmtId="0" fontId="62" fillId="6" borderId="100" xfId="4" applyFont="1" applyFill="1" applyBorder="1" applyAlignment="1">
      <alignment horizontal="left" vertical="center"/>
    </xf>
    <xf numFmtId="3" fontId="25" fillId="22" borderId="35" xfId="0" applyNumberFormat="1" applyFont="1" applyFill="1" applyBorder="1" applyAlignment="1">
      <alignment horizontal="right" vertical="center"/>
    </xf>
    <xf numFmtId="3" fontId="25" fillId="22" borderId="98" xfId="0" applyNumberFormat="1" applyFont="1" applyFill="1" applyBorder="1" applyAlignment="1">
      <alignment horizontal="right" vertical="center"/>
    </xf>
    <xf numFmtId="0" fontId="8" fillId="0" borderId="21" xfId="0" applyFont="1" applyBorder="1" applyAlignment="1">
      <alignment vertical="center" wrapText="1"/>
    </xf>
    <xf numFmtId="3" fontId="28" fillId="0" borderId="98" xfId="0" applyNumberFormat="1" applyFont="1" applyFill="1" applyBorder="1" applyAlignment="1">
      <alignment vertical="top"/>
    </xf>
    <xf numFmtId="3" fontId="28" fillId="22" borderId="98" xfId="0" applyNumberFormat="1" applyFont="1" applyFill="1" applyBorder="1" applyAlignment="1">
      <alignment horizontal="right" vertical="center"/>
    </xf>
    <xf numFmtId="3" fontId="31" fillId="22" borderId="98" xfId="0" applyNumberFormat="1" applyFont="1" applyFill="1" applyBorder="1" applyAlignment="1">
      <alignment horizontal="right" vertical="center"/>
    </xf>
    <xf numFmtId="0" fontId="7" fillId="0" borderId="32" xfId="0" applyFont="1" applyBorder="1" applyAlignment="1">
      <alignment vertical="center" wrapText="1"/>
    </xf>
    <xf numFmtId="3" fontId="31" fillId="0" borderId="47" xfId="0" applyNumberFormat="1" applyFont="1" applyFill="1" applyBorder="1" applyAlignment="1">
      <alignment vertical="center"/>
    </xf>
    <xf numFmtId="3" fontId="31" fillId="0" borderId="70" xfId="0" applyNumberFormat="1" applyFont="1" applyFill="1" applyBorder="1" applyAlignment="1">
      <alignment vertical="top"/>
    </xf>
    <xf numFmtId="0" fontId="7" fillId="0" borderId="25" xfId="0" applyFont="1" applyBorder="1" applyAlignment="1">
      <alignment vertical="center" wrapText="1"/>
    </xf>
    <xf numFmtId="0" fontId="7" fillId="0" borderId="22" xfId="0" applyFont="1" applyBorder="1" applyAlignment="1">
      <alignment vertical="center" wrapText="1"/>
    </xf>
    <xf numFmtId="3" fontId="28" fillId="0" borderId="12" xfId="0" applyNumberFormat="1" applyFont="1" applyFill="1" applyBorder="1" applyAlignment="1">
      <alignment vertical="center"/>
    </xf>
    <xf numFmtId="3" fontId="28" fillId="0" borderId="23" xfId="0" applyNumberFormat="1" applyFont="1" applyFill="1" applyBorder="1" applyAlignment="1">
      <alignment vertical="top"/>
    </xf>
    <xf numFmtId="3" fontId="28" fillId="0" borderId="72" xfId="0" applyNumberFormat="1" applyFont="1" applyFill="1" applyBorder="1" applyAlignment="1">
      <alignment vertical="center"/>
    </xf>
    <xf numFmtId="3" fontId="25" fillId="22" borderId="12" xfId="0" applyNumberFormat="1" applyFont="1" applyFill="1" applyBorder="1" applyAlignment="1">
      <alignment vertical="center"/>
    </xf>
    <xf numFmtId="0" fontId="4" fillId="0" borderId="66" xfId="0" applyFont="1" applyBorder="1" applyAlignment="1">
      <alignment horizontal="center" vertical="center"/>
    </xf>
    <xf numFmtId="3" fontId="24" fillId="6" borderId="179" xfId="0" applyNumberFormat="1" applyFont="1" applyFill="1" applyBorder="1" applyAlignment="1">
      <alignment vertical="top"/>
    </xf>
    <xf numFmtId="3" fontId="29" fillId="2" borderId="180" xfId="0" applyNumberFormat="1" applyFont="1" applyFill="1" applyBorder="1" applyAlignment="1">
      <alignment vertical="center"/>
    </xf>
    <xf numFmtId="3" fontId="24" fillId="2" borderId="179" xfId="0" applyNumberFormat="1" applyFont="1" applyFill="1" applyBorder="1" applyAlignment="1">
      <alignment vertical="center"/>
    </xf>
    <xf numFmtId="3" fontId="29" fillId="2" borderId="179" xfId="0" applyNumberFormat="1" applyFont="1" applyFill="1" applyBorder="1" applyAlignment="1">
      <alignment vertical="center"/>
    </xf>
    <xf numFmtId="3" fontId="29" fillId="32" borderId="179" xfId="0" applyNumberFormat="1" applyFont="1" applyFill="1" applyBorder="1" applyAlignment="1">
      <alignment vertical="center"/>
    </xf>
    <xf numFmtId="0" fontId="7" fillId="2" borderId="199" xfId="0" applyFont="1" applyFill="1" applyBorder="1" applyAlignment="1">
      <alignment vertical="center"/>
    </xf>
    <xf numFmtId="3" fontId="7" fillId="0" borderId="180" xfId="4" applyNumberFormat="1" applyFont="1" applyFill="1" applyBorder="1" applyAlignment="1">
      <alignment vertical="center"/>
    </xf>
    <xf numFmtId="3" fontId="7" fillId="2" borderId="179" xfId="0" applyNumberFormat="1" applyFont="1" applyFill="1" applyBorder="1" applyAlignment="1">
      <alignment vertical="top"/>
    </xf>
    <xf numFmtId="3" fontId="7" fillId="2" borderId="180" xfId="0" applyNumberFormat="1" applyFont="1" applyFill="1" applyBorder="1" applyAlignment="1">
      <alignment vertical="top"/>
    </xf>
    <xf numFmtId="3" fontId="7" fillId="32" borderId="180" xfId="0" applyNumberFormat="1" applyFont="1" applyFill="1" applyBorder="1" applyAlignment="1">
      <alignment vertical="top"/>
    </xf>
    <xf numFmtId="3" fontId="7" fillId="25" borderId="180" xfId="0" applyNumberFormat="1" applyFont="1" applyFill="1" applyBorder="1" applyAlignment="1">
      <alignment vertical="top"/>
    </xf>
    <xf numFmtId="0" fontId="38" fillId="56" borderId="21" xfId="0" applyFont="1" applyFill="1" applyBorder="1" applyAlignment="1">
      <alignment horizontal="right" vertical="top"/>
    </xf>
    <xf numFmtId="3" fontId="7" fillId="56" borderId="171" xfId="4" applyNumberFormat="1" applyFont="1" applyFill="1" applyBorder="1" applyAlignment="1">
      <alignment vertical="center"/>
    </xf>
    <xf numFmtId="3" fontId="38" fillId="56" borderId="179" xfId="0" applyNumberFormat="1" applyFont="1" applyFill="1" applyBorder="1" applyAlignment="1">
      <alignment vertical="top"/>
    </xf>
    <xf numFmtId="3" fontId="7" fillId="56" borderId="9" xfId="0" applyNumberFormat="1" applyFont="1" applyFill="1" applyBorder="1" applyAlignment="1">
      <alignment vertical="top"/>
    </xf>
    <xf numFmtId="3" fontId="38" fillId="56" borderId="9" xfId="0" applyNumberFormat="1" applyFont="1" applyFill="1" applyBorder="1" applyAlignment="1">
      <alignment vertical="top"/>
    </xf>
    <xf numFmtId="3" fontId="7" fillId="25" borderId="176" xfId="0" applyNumberFormat="1" applyFont="1" applyFill="1" applyBorder="1" applyAlignment="1">
      <alignment vertical="top"/>
    </xf>
    <xf numFmtId="0" fontId="38" fillId="59" borderId="25" xfId="0" applyFont="1" applyFill="1" applyBorder="1" applyAlignment="1">
      <alignment horizontal="right" vertical="top"/>
    </xf>
    <xf numFmtId="3" fontId="7" fillId="59" borderId="190" xfId="4" applyNumberFormat="1" applyFont="1" applyFill="1" applyBorder="1" applyAlignment="1">
      <alignment vertical="center"/>
    </xf>
    <xf numFmtId="3" fontId="38" fillId="59" borderId="197" xfId="0" applyNumberFormat="1" applyFont="1" applyFill="1" applyBorder="1" applyAlignment="1">
      <alignment vertical="top"/>
    </xf>
    <xf numFmtId="3" fontId="7" fillId="59" borderId="23" xfId="0" applyNumberFormat="1" applyFont="1" applyFill="1" applyBorder="1" applyAlignment="1">
      <alignment vertical="top"/>
    </xf>
    <xf numFmtId="3" fontId="38" fillId="59" borderId="23" xfId="0" applyNumberFormat="1" applyFont="1" applyFill="1" applyBorder="1" applyAlignment="1">
      <alignment vertical="top"/>
    </xf>
    <xf numFmtId="3" fontId="7" fillId="25" borderId="12" xfId="0" applyNumberFormat="1" applyFont="1" applyFill="1" applyBorder="1" applyAlignment="1">
      <alignment vertical="top"/>
    </xf>
    <xf numFmtId="3" fontId="7" fillId="25" borderId="190" xfId="0" applyNumberFormat="1" applyFont="1" applyFill="1" applyBorder="1" applyAlignment="1">
      <alignment vertical="top"/>
    </xf>
    <xf numFmtId="0" fontId="4" fillId="0" borderId="74" xfId="0" applyFont="1" applyBorder="1"/>
    <xf numFmtId="43" fontId="4" fillId="0" borderId="190" xfId="1" applyFont="1" applyBorder="1"/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top"/>
    </xf>
    <xf numFmtId="0" fontId="4" fillId="0" borderId="98" xfId="0" applyFont="1" applyBorder="1"/>
    <xf numFmtId="0" fontId="4" fillId="0" borderId="99" xfId="0" applyFont="1" applyBorder="1"/>
    <xf numFmtId="0" fontId="4" fillId="0" borderId="123" xfId="0" applyFont="1" applyBorder="1"/>
    <xf numFmtId="3" fontId="4" fillId="0" borderId="123" xfId="0" applyNumberFormat="1" applyFont="1" applyBorder="1"/>
    <xf numFmtId="3" fontId="4" fillId="0" borderId="98" xfId="0" applyNumberFormat="1" applyFont="1" applyBorder="1"/>
    <xf numFmtId="3" fontId="4" fillId="0" borderId="179" xfId="0" applyNumberFormat="1" applyFont="1" applyBorder="1"/>
    <xf numFmtId="3" fontId="4" fillId="51" borderId="123" xfId="0" applyNumberFormat="1" applyFont="1" applyFill="1" applyBorder="1"/>
    <xf numFmtId="0" fontId="4" fillId="0" borderId="123" xfId="0" applyFont="1" applyBorder="1" applyAlignment="1">
      <alignment vertical="center"/>
    </xf>
    <xf numFmtId="0" fontId="4" fillId="0" borderId="98" xfId="0" applyFont="1" applyBorder="1" applyAlignment="1">
      <alignment vertical="center"/>
    </xf>
    <xf numFmtId="0" fontId="4" fillId="0" borderId="112" xfId="0" applyFont="1" applyBorder="1" applyAlignment="1">
      <alignment vertical="center"/>
    </xf>
    <xf numFmtId="3" fontId="4" fillId="0" borderId="123" xfId="0" applyNumberFormat="1" applyFont="1" applyBorder="1" applyAlignment="1">
      <alignment vertical="center"/>
    </xf>
    <xf numFmtId="3" fontId="4" fillId="0" borderId="98" xfId="0" applyNumberFormat="1" applyFont="1" applyBorder="1" applyAlignment="1">
      <alignment vertical="center"/>
    </xf>
    <xf numFmtId="0" fontId="4" fillId="0" borderId="115" xfId="0" applyFont="1" applyBorder="1" applyAlignment="1">
      <alignment vertical="center"/>
    </xf>
    <xf numFmtId="0" fontId="4" fillId="0" borderId="113" xfId="0" applyFont="1" applyBorder="1"/>
    <xf numFmtId="4" fontId="4" fillId="0" borderId="123" xfId="0" applyNumberFormat="1" applyFont="1" applyBorder="1"/>
    <xf numFmtId="0" fontId="4" fillId="0" borderId="98" xfId="0" applyFont="1" applyFill="1" applyBorder="1"/>
    <xf numFmtId="0" fontId="4" fillId="0" borderId="179" xfId="0" applyFont="1" applyBorder="1"/>
    <xf numFmtId="0" fontId="4" fillId="0" borderId="174" xfId="0" applyFont="1" applyBorder="1"/>
    <xf numFmtId="0" fontId="4" fillId="32" borderId="180" xfId="0" applyFont="1" applyFill="1" applyBorder="1"/>
    <xf numFmtId="3" fontId="4" fillId="32" borderId="180" xfId="0" applyNumberFormat="1" applyFont="1" applyFill="1" applyBorder="1"/>
    <xf numFmtId="3" fontId="4" fillId="0" borderId="165" xfId="0" applyNumberFormat="1" applyFont="1" applyBorder="1"/>
    <xf numFmtId="0" fontId="4" fillId="0" borderId="165" xfId="0" applyFont="1" applyBorder="1"/>
    <xf numFmtId="0" fontId="4" fillId="0" borderId="197" xfId="0" applyFont="1" applyBorder="1"/>
    <xf numFmtId="0" fontId="4" fillId="0" borderId="50" xfId="0" applyFont="1" applyBorder="1"/>
    <xf numFmtId="0" fontId="4" fillId="0" borderId="39" xfId="0" applyFont="1" applyBorder="1"/>
    <xf numFmtId="0" fontId="4" fillId="0" borderId="68" xfId="0" applyFont="1" applyBorder="1"/>
    <xf numFmtId="0" fontId="4" fillId="0" borderId="17" xfId="0" applyFont="1" applyBorder="1"/>
    <xf numFmtId="0" fontId="4" fillId="0" borderId="64" xfId="0" applyFont="1" applyBorder="1" applyAlignment="1">
      <alignment vertical="center"/>
    </xf>
    <xf numFmtId="0" fontId="4" fillId="2" borderId="0" xfId="0" applyFont="1" applyFill="1" applyAlignment="1">
      <alignment vertical="center"/>
    </xf>
    <xf numFmtId="0" fontId="4" fillId="0" borderId="0" xfId="0" applyFont="1" applyFill="1" applyBorder="1" applyAlignment="1">
      <alignment vertical="center"/>
    </xf>
    <xf numFmtId="0" fontId="25" fillId="8" borderId="19" xfId="4" applyFont="1" applyFill="1" applyBorder="1" applyAlignment="1">
      <alignment vertical="center" wrapText="1"/>
    </xf>
    <xf numFmtId="3" fontId="4" fillId="2" borderId="0" xfId="0" applyNumberFormat="1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3" fontId="29" fillId="2" borderId="160" xfId="4" applyNumberFormat="1" applyFont="1" applyFill="1" applyBorder="1" applyAlignment="1">
      <alignment vertical="center" wrapText="1"/>
    </xf>
    <xf numFmtId="3" fontId="24" fillId="23" borderId="75" xfId="4" applyNumberFormat="1" applyFont="1" applyFill="1" applyBorder="1" applyAlignment="1">
      <alignment horizontal="right" vertical="center"/>
    </xf>
    <xf numFmtId="0" fontId="24" fillId="6" borderId="20" xfId="4" applyFont="1" applyFill="1" applyBorder="1" applyAlignment="1">
      <alignment horizontal="left" vertical="center"/>
    </xf>
    <xf numFmtId="3" fontId="24" fillId="22" borderId="174" xfId="4" applyNumberFormat="1" applyFont="1" applyFill="1" applyBorder="1" applyAlignment="1">
      <alignment horizontal="right" vertical="center"/>
    </xf>
    <xf numFmtId="3" fontId="7" fillId="25" borderId="155" xfId="4" applyNumberFormat="1" applyFont="1" applyFill="1" applyBorder="1" applyAlignment="1">
      <alignment horizontal="right" vertical="center"/>
    </xf>
    <xf numFmtId="0" fontId="29" fillId="2" borderId="199" xfId="4" applyFont="1" applyFill="1" applyBorder="1" applyAlignment="1">
      <alignment vertical="center"/>
    </xf>
    <xf numFmtId="0" fontId="24" fillId="6" borderId="114" xfId="4" applyFont="1" applyFill="1" applyBorder="1" applyAlignment="1">
      <alignment horizontal="left" vertical="center"/>
    </xf>
    <xf numFmtId="0" fontId="31" fillId="0" borderId="160" xfId="4" applyFont="1" applyFill="1" applyBorder="1" applyAlignment="1">
      <alignment vertical="center"/>
    </xf>
    <xf numFmtId="0" fontId="31" fillId="2" borderId="21" xfId="4" applyFont="1" applyFill="1" applyBorder="1" applyAlignment="1">
      <alignment vertical="center"/>
    </xf>
    <xf numFmtId="3" fontId="4" fillId="0" borderId="0" xfId="0" applyNumberFormat="1" applyFont="1" applyFill="1" applyAlignment="1">
      <alignment vertical="center"/>
    </xf>
    <xf numFmtId="0" fontId="4" fillId="0" borderId="52" xfId="0" applyFont="1" applyBorder="1" applyAlignment="1">
      <alignment horizontal="center" vertical="center"/>
    </xf>
    <xf numFmtId="3" fontId="31" fillId="25" borderId="156" xfId="4" applyNumberFormat="1" applyFont="1" applyFill="1" applyBorder="1" applyAlignment="1">
      <alignment horizontal="right" vertical="center"/>
    </xf>
    <xf numFmtId="3" fontId="18" fillId="0" borderId="43" xfId="4" applyNumberFormat="1" applyFont="1" applyFill="1" applyBorder="1" applyAlignment="1">
      <alignment vertical="center" wrapText="1"/>
    </xf>
    <xf numFmtId="3" fontId="18" fillId="0" borderId="41" xfId="4" applyNumberFormat="1" applyFont="1" applyFill="1" applyBorder="1" applyAlignment="1">
      <alignment vertical="center" wrapText="1"/>
    </xf>
    <xf numFmtId="3" fontId="7" fillId="0" borderId="171" xfId="4" applyNumberFormat="1" applyFont="1" applyFill="1" applyBorder="1" applyAlignment="1">
      <alignment vertical="center"/>
    </xf>
    <xf numFmtId="0" fontId="7" fillId="32" borderId="21" xfId="4" applyFont="1" applyFill="1" applyBorder="1" applyAlignment="1">
      <alignment horizontal="left" vertical="center"/>
    </xf>
    <xf numFmtId="3" fontId="29" fillId="2" borderId="187" xfId="4" applyNumberFormat="1" applyFont="1" applyFill="1" applyBorder="1" applyAlignment="1">
      <alignment vertical="center" wrapText="1"/>
    </xf>
    <xf numFmtId="3" fontId="29" fillId="0" borderId="180" xfId="4" applyNumberFormat="1" applyFont="1" applyFill="1" applyBorder="1" applyAlignment="1">
      <alignment vertical="center"/>
    </xf>
    <xf numFmtId="3" fontId="7" fillId="0" borderId="10" xfId="4" applyNumberFormat="1" applyFont="1" applyFill="1" applyBorder="1" applyAlignment="1">
      <alignment vertical="center"/>
    </xf>
    <xf numFmtId="3" fontId="63" fillId="8" borderId="76" xfId="6" applyNumberFormat="1" applyFont="1" applyFill="1" applyBorder="1" applyAlignment="1">
      <alignment vertical="center"/>
    </xf>
    <xf numFmtId="3" fontId="24" fillId="6" borderId="179" xfId="0" applyNumberFormat="1" applyFont="1" applyFill="1" applyBorder="1" applyAlignment="1">
      <alignment horizontal="right" vertical="center"/>
    </xf>
    <xf numFmtId="43" fontId="24" fillId="8" borderId="17" xfId="1" applyFont="1" applyFill="1" applyBorder="1" applyAlignment="1">
      <alignment horizontal="right" vertical="center"/>
    </xf>
    <xf numFmtId="3" fontId="31" fillId="0" borderId="13" xfId="4" applyNumberFormat="1" applyFont="1" applyFill="1" applyBorder="1" applyAlignment="1">
      <alignment horizontal="right" vertical="center"/>
    </xf>
    <xf numFmtId="3" fontId="31" fillId="0" borderId="27" xfId="4" applyNumberFormat="1" applyFont="1" applyFill="1" applyBorder="1" applyAlignment="1">
      <alignment horizontal="right" vertical="center"/>
    </xf>
    <xf numFmtId="3" fontId="23" fillId="6" borderId="180" xfId="6" applyNumberFormat="1" applyFont="1" applyFill="1" applyBorder="1" applyAlignment="1">
      <alignment horizontal="right" vertical="center"/>
    </xf>
    <xf numFmtId="43" fontId="23" fillId="6" borderId="180" xfId="1" applyFont="1" applyFill="1" applyBorder="1" applyAlignment="1">
      <alignment horizontal="right" vertical="center"/>
    </xf>
    <xf numFmtId="3" fontId="31" fillId="2" borderId="129" xfId="4" applyNumberFormat="1" applyFont="1" applyFill="1" applyBorder="1" applyAlignment="1">
      <alignment vertical="center" wrapText="1"/>
    </xf>
    <xf numFmtId="43" fontId="33" fillId="0" borderId="156" xfId="1" applyFont="1" applyFill="1" applyBorder="1" applyAlignment="1">
      <alignment horizontal="right" vertical="center"/>
    </xf>
    <xf numFmtId="3" fontId="31" fillId="0" borderId="116" xfId="4" applyNumberFormat="1" applyFont="1" applyFill="1" applyBorder="1" applyAlignment="1">
      <alignment horizontal="right" vertical="center"/>
    </xf>
    <xf numFmtId="43" fontId="31" fillId="0" borderId="191" xfId="1" applyFont="1" applyFill="1" applyBorder="1" applyAlignment="1">
      <alignment horizontal="right" vertical="center"/>
    </xf>
    <xf numFmtId="3" fontId="24" fillId="6" borderId="174" xfId="4" applyNumberFormat="1" applyFont="1" applyFill="1" applyBorder="1" applyAlignment="1">
      <alignment vertical="center"/>
    </xf>
    <xf numFmtId="3" fontId="31" fillId="0" borderId="131" xfId="4" applyNumberFormat="1" applyFont="1" applyFill="1" applyBorder="1" applyAlignment="1">
      <alignment horizontal="right" vertical="center"/>
    </xf>
    <xf numFmtId="0" fontId="34" fillId="2" borderId="24" xfId="0" applyFont="1" applyFill="1" applyBorder="1" applyAlignment="1">
      <alignment vertical="center"/>
    </xf>
    <xf numFmtId="0" fontId="34" fillId="0" borderId="24" xfId="0" applyFont="1" applyFill="1" applyBorder="1" applyAlignment="1">
      <alignment vertical="center"/>
    </xf>
    <xf numFmtId="0" fontId="34" fillId="0" borderId="0" xfId="0" applyFont="1" applyFill="1" applyBorder="1" applyAlignment="1">
      <alignment vertical="center"/>
    </xf>
    <xf numFmtId="3" fontId="25" fillId="2" borderId="35" xfId="4" applyNumberFormat="1" applyFont="1" applyFill="1" applyBorder="1" applyAlignment="1">
      <alignment horizontal="center" vertical="center" wrapText="1"/>
    </xf>
    <xf numFmtId="3" fontId="25" fillId="2" borderId="180" xfId="4" applyNumberFormat="1" applyFont="1" applyFill="1" applyBorder="1" applyAlignment="1">
      <alignment vertical="center" wrapText="1"/>
    </xf>
    <xf numFmtId="3" fontId="20" fillId="2" borderId="35" xfId="4" applyNumberFormat="1" applyFont="1" applyFill="1" applyBorder="1" applyAlignment="1">
      <alignment vertical="center" wrapText="1"/>
    </xf>
    <xf numFmtId="0" fontId="19" fillId="2" borderId="15" xfId="0" applyFont="1" applyFill="1" applyBorder="1" applyAlignment="1">
      <alignment horizontal="center" vertical="center" wrapText="1"/>
    </xf>
    <xf numFmtId="0" fontId="25" fillId="0" borderId="12" xfId="4" applyFont="1" applyBorder="1" applyAlignment="1">
      <alignment horizontal="center" vertical="center" wrapText="1"/>
    </xf>
    <xf numFmtId="3" fontId="25" fillId="2" borderId="20" xfId="4" applyNumberFormat="1" applyFont="1" applyFill="1" applyBorder="1" applyAlignment="1">
      <alignment horizontal="center" vertical="center" wrapText="1"/>
    </xf>
    <xf numFmtId="0" fontId="18" fillId="0" borderId="43" xfId="0" applyFont="1" applyFill="1" applyBorder="1" applyAlignment="1">
      <alignment horizontal="center" vertical="center" wrapText="1"/>
    </xf>
    <xf numFmtId="0" fontId="4" fillId="0" borderId="25" xfId="0" applyFont="1" applyBorder="1" applyAlignment="1">
      <alignment vertical="center"/>
    </xf>
    <xf numFmtId="0" fontId="22" fillId="0" borderId="43" xfId="0" applyFont="1" applyBorder="1" applyAlignment="1">
      <alignment vertical="center" wrapText="1"/>
    </xf>
    <xf numFmtId="0" fontId="4" fillId="0" borderId="0" xfId="0" applyFont="1" applyBorder="1" applyAlignment="1">
      <alignment vertical="center"/>
    </xf>
    <xf numFmtId="3" fontId="38" fillId="2" borderId="123" xfId="0" applyNumberFormat="1" applyFont="1" applyFill="1" applyBorder="1" applyAlignment="1">
      <alignment vertical="center"/>
    </xf>
    <xf numFmtId="0" fontId="21" fillId="2" borderId="200" xfId="0" applyFont="1" applyFill="1" applyBorder="1" applyAlignment="1">
      <alignment horizontal="center" vertical="top"/>
    </xf>
    <xf numFmtId="0" fontId="21" fillId="2" borderId="180" xfId="0" applyFont="1" applyFill="1" applyBorder="1" applyAlignment="1">
      <alignment horizontal="center" vertical="top"/>
    </xf>
    <xf numFmtId="0" fontId="21" fillId="2" borderId="180" xfId="0" quotePrefix="1" applyFont="1" applyFill="1" applyBorder="1" applyAlignment="1">
      <alignment horizontal="center" vertical="top"/>
    </xf>
    <xf numFmtId="3" fontId="29" fillId="8" borderId="183" xfId="4" applyNumberFormat="1" applyFont="1" applyFill="1" applyBorder="1" applyAlignment="1">
      <alignment vertical="center" wrapText="1"/>
    </xf>
    <xf numFmtId="3" fontId="27" fillId="8" borderId="200" xfId="0" applyNumberFormat="1" applyFont="1" applyFill="1" applyBorder="1" applyAlignment="1">
      <alignment vertical="center"/>
    </xf>
    <xf numFmtId="3" fontId="7" fillId="8" borderId="200" xfId="0" applyNumberFormat="1" applyFont="1" applyFill="1" applyBorder="1" applyAlignment="1">
      <alignment vertical="center"/>
    </xf>
    <xf numFmtId="3" fontId="32" fillId="8" borderId="200" xfId="6" applyNumberFormat="1" applyFont="1" applyFill="1" applyBorder="1" applyAlignment="1">
      <alignment vertical="center"/>
    </xf>
    <xf numFmtId="3" fontId="7" fillId="23" borderId="180" xfId="4" applyNumberFormat="1" applyFont="1" applyFill="1" applyBorder="1" applyAlignment="1">
      <alignment vertical="center"/>
    </xf>
    <xf numFmtId="3" fontId="33" fillId="8" borderId="179" xfId="6" applyNumberFormat="1" applyFont="1" applyFill="1" applyBorder="1" applyAlignment="1">
      <alignment vertical="center"/>
    </xf>
    <xf numFmtId="3" fontId="7" fillId="8" borderId="118" xfId="4" applyNumberFormat="1" applyFont="1" applyFill="1" applyBorder="1" applyAlignment="1">
      <alignment vertical="center" wrapText="1"/>
    </xf>
    <xf numFmtId="43" fontId="31" fillId="52" borderId="171" xfId="1" applyFont="1" applyFill="1" applyBorder="1" applyAlignment="1"/>
    <xf numFmtId="3" fontId="31" fillId="52" borderId="171" xfId="4" applyNumberFormat="1" applyFont="1" applyFill="1" applyBorder="1" applyAlignment="1">
      <alignment horizontal="right" vertical="center"/>
    </xf>
    <xf numFmtId="3" fontId="31" fillId="57" borderId="171" xfId="4" applyNumberFormat="1" applyFont="1" applyFill="1" applyBorder="1" applyAlignment="1">
      <alignment vertical="center"/>
    </xf>
    <xf numFmtId="43" fontId="31" fillId="57" borderId="171" xfId="1" applyFont="1" applyFill="1" applyBorder="1" applyAlignment="1"/>
    <xf numFmtId="3" fontId="28" fillId="57" borderId="171" xfId="4" applyNumberFormat="1" applyFont="1" applyFill="1" applyBorder="1" applyAlignment="1">
      <alignment horizontal="right" vertical="center"/>
    </xf>
    <xf numFmtId="3" fontId="7" fillId="57" borderId="171" xfId="4" applyNumberFormat="1" applyFont="1" applyFill="1" applyBorder="1" applyAlignment="1">
      <alignment horizontal="right" vertical="center"/>
    </xf>
    <xf numFmtId="41" fontId="31" fillId="52" borderId="171" xfId="1" applyNumberFormat="1" applyFont="1" applyFill="1" applyBorder="1" applyAlignment="1"/>
    <xf numFmtId="3" fontId="7" fillId="52" borderId="171" xfId="4" applyNumberFormat="1" applyFont="1" applyFill="1" applyBorder="1" applyAlignment="1">
      <alignment horizontal="right" vertical="center"/>
    </xf>
    <xf numFmtId="43" fontId="33" fillId="52" borderId="180" xfId="6" applyNumberFormat="1" applyFont="1" applyFill="1" applyBorder="1" applyAlignment="1">
      <alignment vertical="center"/>
    </xf>
    <xf numFmtId="0" fontId="28" fillId="57" borderId="183" xfId="4" applyFont="1" applyFill="1" applyBorder="1" applyAlignment="1">
      <alignment horizontal="right" vertical="center"/>
    </xf>
    <xf numFmtId="41" fontId="31" fillId="57" borderId="171" xfId="1" applyNumberFormat="1" applyFont="1" applyFill="1" applyBorder="1" applyAlignment="1"/>
    <xf numFmtId="43" fontId="7" fillId="57" borderId="171" xfId="4" applyNumberFormat="1" applyFont="1" applyFill="1" applyBorder="1" applyAlignment="1">
      <alignment horizontal="right" vertical="center"/>
    </xf>
    <xf numFmtId="43" fontId="33" fillId="57" borderId="180" xfId="6" applyNumberFormat="1" applyFont="1" applyFill="1" applyBorder="1" applyAlignment="1">
      <alignment vertical="center"/>
    </xf>
    <xf numFmtId="0" fontId="4" fillId="0" borderId="199" xfId="0" applyFont="1" applyBorder="1" applyAlignment="1">
      <alignment vertical="center"/>
    </xf>
    <xf numFmtId="3" fontId="28" fillId="52" borderId="199" xfId="4" applyNumberFormat="1" applyFont="1" applyFill="1" applyBorder="1" applyAlignment="1">
      <alignment horizontal="right" vertical="center" wrapText="1"/>
    </xf>
    <xf numFmtId="41" fontId="31" fillId="52" borderId="171" xfId="1" applyNumberFormat="1" applyFont="1" applyFill="1" applyBorder="1" applyAlignment="1">
      <alignment horizontal="right" vertical="center"/>
    </xf>
    <xf numFmtId="43" fontId="32" fillId="52" borderId="180" xfId="6" applyNumberFormat="1" applyFont="1" applyFill="1" applyBorder="1" applyAlignment="1">
      <alignment vertical="center"/>
    </xf>
    <xf numFmtId="0" fontId="39" fillId="57" borderId="199" xfId="0" applyFont="1" applyFill="1" applyBorder="1" applyAlignment="1">
      <alignment horizontal="right" vertical="center"/>
    </xf>
    <xf numFmtId="41" fontId="31" fillId="57" borderId="179" xfId="1" applyNumberFormat="1" applyFont="1" applyFill="1" applyBorder="1" applyAlignment="1"/>
    <xf numFmtId="43" fontId="7" fillId="57" borderId="180" xfId="4" applyNumberFormat="1" applyFont="1" applyFill="1" applyBorder="1" applyAlignment="1">
      <alignment horizontal="right" vertical="center"/>
    </xf>
    <xf numFmtId="43" fontId="32" fillId="57" borderId="180" xfId="6" applyNumberFormat="1" applyFont="1" applyFill="1" applyBorder="1" applyAlignment="1">
      <alignment vertical="center"/>
    </xf>
    <xf numFmtId="3" fontId="31" fillId="0" borderId="197" xfId="1" applyNumberFormat="1" applyFont="1" applyFill="1" applyBorder="1" applyAlignment="1">
      <alignment horizontal="right"/>
    </xf>
    <xf numFmtId="3" fontId="28" fillId="2" borderId="199" xfId="4" applyNumberFormat="1" applyFont="1" applyFill="1" applyBorder="1" applyAlignment="1">
      <alignment horizontal="right" vertical="center" wrapText="1"/>
    </xf>
    <xf numFmtId="0" fontId="39" fillId="0" borderId="199" xfId="0" applyFont="1" applyBorder="1" applyAlignment="1">
      <alignment horizontal="right" vertical="center"/>
    </xf>
    <xf numFmtId="41" fontId="27" fillId="0" borderId="171" xfId="4" applyNumberFormat="1" applyFont="1" applyFill="1" applyBorder="1" applyAlignment="1">
      <alignment horizontal="right" vertical="center"/>
    </xf>
    <xf numFmtId="41" fontId="7" fillId="0" borderId="171" xfId="4" applyNumberFormat="1" applyFont="1" applyFill="1" applyBorder="1" applyAlignment="1">
      <alignment horizontal="right" vertical="center"/>
    </xf>
    <xf numFmtId="3" fontId="32" fillId="8" borderId="180" xfId="6" applyNumberFormat="1" applyFont="1" applyFill="1" applyBorder="1" applyAlignment="1">
      <alignment vertical="center"/>
    </xf>
    <xf numFmtId="3" fontId="7" fillId="0" borderId="197" xfId="4" applyNumberFormat="1" applyFont="1" applyFill="1" applyBorder="1" applyAlignment="1">
      <alignment horizontal="right" vertical="center"/>
    </xf>
    <xf numFmtId="3" fontId="25" fillId="6" borderId="200" xfId="4" applyNumberFormat="1" applyFont="1" applyFill="1" applyBorder="1" applyAlignment="1">
      <alignment vertical="center"/>
    </xf>
    <xf numFmtId="3" fontId="24" fillId="22" borderId="76" xfId="4" applyNumberFormat="1" applyFont="1" applyFill="1" applyBorder="1" applyAlignment="1">
      <alignment horizontal="right" vertical="center"/>
    </xf>
    <xf numFmtId="0" fontId="82" fillId="2" borderId="0" xfId="0" applyFont="1" applyFill="1" applyAlignment="1">
      <alignment vertical="center"/>
    </xf>
    <xf numFmtId="0" fontId="78" fillId="2" borderId="0" xfId="0" applyFont="1" applyFill="1" applyAlignment="1">
      <alignment vertical="center"/>
    </xf>
    <xf numFmtId="3" fontId="25" fillId="2" borderId="13" xfId="4" applyNumberFormat="1" applyFont="1" applyFill="1" applyBorder="1" applyAlignment="1">
      <alignment horizontal="center" vertical="center" wrapText="1"/>
    </xf>
    <xf numFmtId="3" fontId="20" fillId="2" borderId="176" xfId="4" applyNumberFormat="1" applyFont="1" applyFill="1" applyBorder="1" applyAlignment="1">
      <alignment vertical="center" wrapText="1"/>
    </xf>
    <xf numFmtId="3" fontId="25" fillId="2" borderId="13" xfId="4" applyNumberFormat="1" applyFont="1" applyFill="1" applyBorder="1" applyAlignment="1">
      <alignment horizontal="center" vertical="center" wrapText="1"/>
    </xf>
    <xf numFmtId="0" fontId="17" fillId="6" borderId="20" xfId="4" applyFont="1" applyFill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0" fontId="19" fillId="3" borderId="26" xfId="0" applyFont="1" applyFill="1" applyBorder="1" applyAlignment="1">
      <alignment horizontal="center" vertical="center" wrapText="1"/>
    </xf>
    <xf numFmtId="3" fontId="62" fillId="10" borderId="192" xfId="0" applyNumberFormat="1" applyFont="1" applyFill="1" applyBorder="1" applyAlignment="1">
      <alignment horizontal="center" vertical="center" wrapText="1"/>
    </xf>
    <xf numFmtId="0" fontId="4" fillId="10" borderId="26" xfId="0" applyFont="1" applyFill="1" applyBorder="1" applyAlignment="1">
      <alignment horizontal="center" vertical="center" wrapText="1"/>
    </xf>
    <xf numFmtId="0" fontId="4" fillId="10" borderId="66" xfId="0" applyFont="1" applyFill="1" applyBorder="1" applyAlignment="1">
      <alignment horizontal="center" vertical="center" wrapText="1"/>
    </xf>
    <xf numFmtId="0" fontId="19" fillId="3" borderId="5" xfId="0" applyFont="1" applyFill="1" applyBorder="1" applyAlignment="1">
      <alignment horizontal="center" vertical="center" wrapText="1"/>
    </xf>
    <xf numFmtId="0" fontId="19" fillId="3" borderId="11" xfId="0" applyFont="1" applyFill="1" applyBorder="1" applyAlignment="1">
      <alignment horizontal="center" vertical="center" wrapText="1"/>
    </xf>
    <xf numFmtId="3" fontId="62" fillId="10" borderId="185" xfId="0" applyNumberFormat="1" applyFont="1" applyFill="1" applyBorder="1" applyAlignment="1">
      <alignment horizontal="center" vertical="center" wrapText="1"/>
    </xf>
    <xf numFmtId="0" fontId="4" fillId="10" borderId="11" xfId="0" applyFont="1" applyFill="1" applyBorder="1" applyAlignment="1">
      <alignment horizontal="center" vertical="center" wrapText="1"/>
    </xf>
    <xf numFmtId="0" fontId="4" fillId="10" borderId="25" xfId="0" applyFont="1" applyFill="1" applyBorder="1" applyAlignment="1">
      <alignment horizontal="center" vertical="center" wrapText="1"/>
    </xf>
    <xf numFmtId="0" fontId="8" fillId="0" borderId="105" xfId="0" applyFont="1" applyBorder="1" applyAlignment="1">
      <alignment horizontal="center"/>
    </xf>
    <xf numFmtId="0" fontId="8" fillId="0" borderId="103" xfId="0" applyFont="1" applyBorder="1" applyAlignment="1">
      <alignment horizontal="center"/>
    </xf>
    <xf numFmtId="0" fontId="36" fillId="15" borderId="4" xfId="0" applyFont="1" applyFill="1" applyBorder="1" applyAlignment="1">
      <alignment horizontal="center" vertical="center" wrapText="1"/>
    </xf>
    <xf numFmtId="0" fontId="36" fillId="15" borderId="23" xfId="0" applyFont="1" applyFill="1" applyBorder="1" applyAlignment="1">
      <alignment horizontal="center" vertical="center" wrapText="1"/>
    </xf>
    <xf numFmtId="0" fontId="36" fillId="16" borderId="4" xfId="0" applyFont="1" applyFill="1" applyBorder="1" applyAlignment="1">
      <alignment horizontal="center" wrapText="1"/>
    </xf>
    <xf numFmtId="0" fontId="36" fillId="16" borderId="23" xfId="0" applyFont="1" applyFill="1" applyBorder="1" applyAlignment="1">
      <alignment horizontal="center" wrapText="1"/>
    </xf>
    <xf numFmtId="0" fontId="70" fillId="2" borderId="0" xfId="0" applyFont="1" applyFill="1" applyBorder="1" applyAlignment="1">
      <alignment horizontal="center" wrapText="1"/>
    </xf>
    <xf numFmtId="0" fontId="40" fillId="2" borderId="24" xfId="0" applyFont="1" applyFill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72" xfId="0" applyFont="1" applyBorder="1" applyAlignment="1">
      <alignment horizontal="center" vertical="center" wrapText="1"/>
    </xf>
    <xf numFmtId="0" fontId="19" fillId="2" borderId="15" xfId="0" applyFont="1" applyFill="1" applyBorder="1" applyAlignment="1">
      <alignment horizontal="center" vertical="center" wrapText="1"/>
    </xf>
    <xf numFmtId="0" fontId="19" fillId="2" borderId="13" xfId="0" applyFont="1" applyFill="1" applyBorder="1" applyAlignment="1">
      <alignment horizontal="center" vertical="center" wrapText="1"/>
    </xf>
    <xf numFmtId="0" fontId="40" fillId="2" borderId="24" xfId="0" applyFont="1" applyFill="1" applyBorder="1" applyAlignment="1">
      <alignment horizontal="center" vertical="center"/>
    </xf>
    <xf numFmtId="0" fontId="36" fillId="2" borderId="3" xfId="0" applyFont="1" applyFill="1" applyBorder="1" applyAlignment="1">
      <alignment horizontal="center" vertical="center" wrapText="1"/>
    </xf>
    <xf numFmtId="0" fontId="36" fillId="2" borderId="4" xfId="0" applyFont="1" applyFill="1" applyBorder="1" applyAlignment="1">
      <alignment horizontal="center" vertical="center" wrapText="1"/>
    </xf>
    <xf numFmtId="0" fontId="36" fillId="2" borderId="8" xfId="0" applyFont="1" applyFill="1" applyBorder="1" applyAlignment="1">
      <alignment horizontal="center" vertical="center" wrapText="1"/>
    </xf>
    <xf numFmtId="0" fontId="36" fillId="2" borderId="9" xfId="0" applyFont="1" applyFill="1" applyBorder="1" applyAlignment="1">
      <alignment horizontal="center" vertical="center" wrapText="1"/>
    </xf>
    <xf numFmtId="0" fontId="25" fillId="0" borderId="15" xfId="4" applyFont="1" applyBorder="1" applyAlignment="1">
      <alignment horizontal="center" vertical="center" wrapText="1"/>
    </xf>
    <xf numFmtId="0" fontId="25" fillId="0" borderId="13" xfId="4" applyFont="1" applyBorder="1" applyAlignment="1">
      <alignment horizontal="center" vertical="center" wrapText="1"/>
    </xf>
    <xf numFmtId="0" fontId="25" fillId="0" borderId="12" xfId="4" applyFont="1" applyBorder="1" applyAlignment="1">
      <alignment horizontal="center" vertical="center" wrapText="1"/>
    </xf>
    <xf numFmtId="3" fontId="18" fillId="0" borderId="42" xfId="4" applyNumberFormat="1" applyFont="1" applyFill="1" applyBorder="1" applyAlignment="1">
      <alignment horizontal="center" vertical="center" wrapText="1"/>
    </xf>
    <xf numFmtId="3" fontId="18" fillId="0" borderId="43" xfId="4" applyNumberFormat="1" applyFont="1" applyFill="1" applyBorder="1" applyAlignment="1">
      <alignment horizontal="center" vertical="center" wrapText="1"/>
    </xf>
    <xf numFmtId="3" fontId="18" fillId="0" borderId="41" xfId="4" applyNumberFormat="1" applyFont="1" applyFill="1" applyBorder="1" applyAlignment="1">
      <alignment horizontal="center" vertical="center" wrapText="1"/>
    </xf>
    <xf numFmtId="0" fontId="24" fillId="0" borderId="11" xfId="4" applyFont="1" applyFill="1" applyBorder="1" applyAlignment="1">
      <alignment horizontal="center" vertical="center"/>
    </xf>
    <xf numFmtId="0" fontId="24" fillId="0" borderId="25" xfId="4" applyFont="1" applyFill="1" applyBorder="1" applyAlignment="1">
      <alignment horizontal="center" vertical="center"/>
    </xf>
    <xf numFmtId="0" fontId="17" fillId="0" borderId="5" xfId="4" applyFont="1" applyFill="1" applyBorder="1" applyAlignment="1">
      <alignment horizontal="center" vertical="center"/>
    </xf>
    <xf numFmtId="0" fontId="17" fillId="0" borderId="11" xfId="4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3" fontId="24" fillId="26" borderId="61" xfId="4" applyNumberFormat="1" applyFont="1" applyFill="1" applyBorder="1" applyAlignment="1">
      <alignment horizontal="center" vertical="center"/>
    </xf>
    <xf numFmtId="3" fontId="24" fillId="26" borderId="13" xfId="4" applyNumberFormat="1" applyFont="1" applyFill="1" applyBorder="1" applyAlignment="1">
      <alignment horizontal="center" vertical="center"/>
    </xf>
    <xf numFmtId="3" fontId="24" fillId="26" borderId="12" xfId="4" applyNumberFormat="1" applyFont="1" applyFill="1" applyBorder="1" applyAlignment="1">
      <alignment horizontal="center" vertical="center"/>
    </xf>
    <xf numFmtId="3" fontId="24" fillId="26" borderId="176" xfId="4" applyNumberFormat="1" applyFont="1" applyFill="1" applyBorder="1" applyAlignment="1">
      <alignment horizontal="center" vertical="center"/>
    </xf>
    <xf numFmtId="3" fontId="31" fillId="25" borderId="0" xfId="4" applyNumberFormat="1" applyFont="1" applyFill="1" applyBorder="1" applyAlignment="1">
      <alignment horizontal="center" vertical="center"/>
    </xf>
    <xf numFmtId="3" fontId="31" fillId="25" borderId="8" xfId="4" applyNumberFormat="1" applyFont="1" applyFill="1" applyBorder="1" applyAlignment="1">
      <alignment horizontal="center" vertical="center"/>
    </xf>
    <xf numFmtId="3" fontId="25" fillId="2" borderId="178" xfId="4" applyNumberFormat="1" applyFont="1" applyFill="1" applyBorder="1" applyAlignment="1">
      <alignment horizontal="center" vertical="center" wrapText="1"/>
    </xf>
    <xf numFmtId="0" fontId="32" fillId="0" borderId="22" xfId="0" applyFont="1" applyBorder="1" applyAlignment="1">
      <alignment horizontal="center" vertical="center" wrapText="1"/>
    </xf>
    <xf numFmtId="0" fontId="24" fillId="2" borderId="5" xfId="4" applyFont="1" applyFill="1" applyBorder="1" applyAlignment="1">
      <alignment horizontal="center" vertical="center"/>
    </xf>
    <xf numFmtId="0" fontId="24" fillId="2" borderId="11" xfId="4" applyFont="1" applyFill="1" applyBorder="1" applyAlignment="1">
      <alignment horizontal="center" vertical="center"/>
    </xf>
    <xf numFmtId="0" fontId="24" fillId="2" borderId="25" xfId="4" applyFont="1" applyFill="1" applyBorder="1" applyAlignment="1">
      <alignment horizontal="center" vertical="center"/>
    </xf>
    <xf numFmtId="0" fontId="23" fillId="0" borderId="71" xfId="0" applyFont="1" applyBorder="1" applyAlignment="1">
      <alignment horizontal="center" vertical="center"/>
    </xf>
    <xf numFmtId="0" fontId="23" fillId="0" borderId="22" xfId="0" applyFont="1" applyBorder="1" applyAlignment="1">
      <alignment horizontal="center" vertical="center"/>
    </xf>
    <xf numFmtId="3" fontId="25" fillId="25" borderId="61" xfId="4" applyNumberFormat="1" applyFont="1" applyFill="1" applyBorder="1" applyAlignment="1">
      <alignment horizontal="center" vertical="center"/>
    </xf>
    <xf numFmtId="3" fontId="25" fillId="25" borderId="13" xfId="4" applyNumberFormat="1" applyFont="1" applyFill="1" applyBorder="1" applyAlignment="1">
      <alignment horizontal="center" vertical="center"/>
    </xf>
    <xf numFmtId="3" fontId="25" fillId="25" borderId="12" xfId="4" applyNumberFormat="1" applyFont="1" applyFill="1" applyBorder="1" applyAlignment="1">
      <alignment horizontal="center" vertical="center"/>
    </xf>
    <xf numFmtId="0" fontId="23" fillId="0" borderId="6" xfId="0" applyFont="1" applyBorder="1" applyAlignment="1">
      <alignment horizontal="center" vertical="center"/>
    </xf>
    <xf numFmtId="0" fontId="23" fillId="0" borderId="20" xfId="0" applyFont="1" applyBorder="1" applyAlignment="1">
      <alignment horizontal="center" vertical="center"/>
    </xf>
    <xf numFmtId="3" fontId="18" fillId="0" borderId="124" xfId="4" applyNumberFormat="1" applyFont="1" applyFill="1" applyBorder="1" applyAlignment="1">
      <alignment horizontal="center" vertical="center" wrapText="1"/>
    </xf>
    <xf numFmtId="0" fontId="23" fillId="0" borderId="125" xfId="0" applyFont="1" applyBorder="1" applyAlignment="1">
      <alignment horizontal="center" vertical="center"/>
    </xf>
    <xf numFmtId="0" fontId="24" fillId="0" borderId="5" xfId="4" applyFont="1" applyFill="1" applyBorder="1" applyAlignment="1">
      <alignment horizontal="center" vertical="center" wrapText="1"/>
    </xf>
    <xf numFmtId="0" fontId="24" fillId="0" borderId="11" xfId="4" applyFont="1" applyFill="1" applyBorder="1" applyAlignment="1">
      <alignment horizontal="center" vertical="center" wrapText="1"/>
    </xf>
    <xf numFmtId="0" fontId="32" fillId="0" borderId="11" xfId="0" applyFont="1" applyBorder="1" applyAlignment="1">
      <alignment horizontal="center" vertical="center" wrapText="1"/>
    </xf>
    <xf numFmtId="0" fontId="32" fillId="0" borderId="25" xfId="0" applyFont="1" applyBorder="1" applyAlignment="1">
      <alignment horizontal="center" vertical="center" wrapText="1"/>
    </xf>
    <xf numFmtId="0" fontId="18" fillId="0" borderId="42" xfId="4" applyFont="1" applyFill="1" applyBorder="1" applyAlignment="1">
      <alignment horizontal="center" vertical="center" wrapText="1"/>
    </xf>
    <xf numFmtId="0" fontId="22" fillId="0" borderId="43" xfId="0" applyFont="1" applyBorder="1" applyAlignment="1">
      <alignment vertical="center" wrapText="1"/>
    </xf>
    <xf numFmtId="0" fontId="22" fillId="0" borderId="41" xfId="0" applyFont="1" applyBorder="1" applyAlignment="1">
      <alignment vertical="center" wrapText="1"/>
    </xf>
    <xf numFmtId="3" fontId="25" fillId="2" borderId="71" xfId="4" applyNumberFormat="1" applyFont="1" applyFill="1" applyBorder="1" applyAlignment="1">
      <alignment horizontal="center" vertical="center" wrapText="1"/>
    </xf>
    <xf numFmtId="3" fontId="25" fillId="25" borderId="170" xfId="4" applyNumberFormat="1" applyFont="1" applyFill="1" applyBorder="1" applyAlignment="1">
      <alignment horizontal="center" vertical="center"/>
    </xf>
    <xf numFmtId="3" fontId="25" fillId="25" borderId="190" xfId="4" applyNumberFormat="1" applyFont="1" applyFill="1" applyBorder="1" applyAlignment="1">
      <alignment horizontal="center" vertical="center"/>
    </xf>
    <xf numFmtId="3" fontId="25" fillId="2" borderId="159" xfId="4" applyNumberFormat="1" applyFont="1" applyFill="1" applyBorder="1" applyAlignment="1">
      <alignment horizontal="center" vertical="center" wrapText="1"/>
    </xf>
    <xf numFmtId="0" fontId="32" fillId="0" borderId="37" xfId="0" applyFont="1" applyBorder="1" applyAlignment="1">
      <alignment horizontal="center" vertical="center" wrapText="1"/>
    </xf>
    <xf numFmtId="3" fontId="25" fillId="26" borderId="164" xfId="4" applyNumberFormat="1" applyFont="1" applyFill="1" applyBorder="1" applyAlignment="1">
      <alignment horizontal="center" vertical="center"/>
    </xf>
    <xf numFmtId="3" fontId="25" fillId="26" borderId="13" xfId="4" applyNumberFormat="1" applyFont="1" applyFill="1" applyBorder="1" applyAlignment="1">
      <alignment horizontal="center" vertical="center"/>
    </xf>
    <xf numFmtId="3" fontId="25" fillId="26" borderId="12" xfId="4" applyNumberFormat="1" applyFont="1" applyFill="1" applyBorder="1" applyAlignment="1">
      <alignment horizontal="center" vertical="center"/>
    </xf>
    <xf numFmtId="3" fontId="25" fillId="25" borderId="164" xfId="4" applyNumberFormat="1" applyFont="1" applyFill="1" applyBorder="1" applyAlignment="1">
      <alignment horizontal="center" vertical="center"/>
    </xf>
    <xf numFmtId="43" fontId="24" fillId="22" borderId="105" xfId="1" applyFont="1" applyFill="1" applyBorder="1" applyAlignment="1">
      <alignment horizontal="center" vertical="center"/>
    </xf>
    <xf numFmtId="43" fontId="24" fillId="22" borderId="10" xfId="1" applyFont="1" applyFill="1" applyBorder="1" applyAlignment="1">
      <alignment horizontal="center" vertical="center"/>
    </xf>
    <xf numFmtId="43" fontId="24" fillId="22" borderId="72" xfId="1" applyFont="1" applyFill="1" applyBorder="1" applyAlignment="1">
      <alignment horizontal="center" vertical="center"/>
    </xf>
    <xf numFmtId="43" fontId="24" fillId="22" borderId="60" xfId="1" applyFont="1" applyFill="1" applyBorder="1" applyAlignment="1">
      <alignment horizontal="center" vertical="center"/>
    </xf>
    <xf numFmtId="43" fontId="24" fillId="22" borderId="164" xfId="1" applyFont="1" applyFill="1" applyBorder="1" applyAlignment="1">
      <alignment horizontal="center" vertical="center"/>
    </xf>
    <xf numFmtId="43" fontId="24" fillId="22" borderId="13" xfId="1" applyFont="1" applyFill="1" applyBorder="1" applyAlignment="1">
      <alignment horizontal="center" vertical="center"/>
    </xf>
    <xf numFmtId="43" fontId="24" fillId="22" borderId="12" xfId="1" applyFont="1" applyFill="1" applyBorder="1" applyAlignment="1">
      <alignment horizontal="center" vertical="center"/>
    </xf>
    <xf numFmtId="3" fontId="25" fillId="26" borderId="176" xfId="4" applyNumberFormat="1" applyFont="1" applyFill="1" applyBorder="1" applyAlignment="1">
      <alignment horizontal="center" vertical="center"/>
    </xf>
    <xf numFmtId="3" fontId="25" fillId="2" borderId="125" xfId="4" applyNumberFormat="1" applyFont="1" applyFill="1" applyBorder="1" applyAlignment="1">
      <alignment horizontal="center" vertical="center" wrapText="1"/>
    </xf>
    <xf numFmtId="0" fontId="32" fillId="0" borderId="6" xfId="0" applyFont="1" applyBorder="1" applyAlignment="1">
      <alignment horizontal="center" vertical="center"/>
    </xf>
    <xf numFmtId="0" fontId="26" fillId="0" borderId="5" xfId="0" applyFont="1" applyBorder="1" applyAlignment="1">
      <alignment horizontal="center" vertical="center"/>
    </xf>
    <xf numFmtId="0" fontId="26" fillId="0" borderId="11" xfId="0" applyFont="1" applyBorder="1" applyAlignment="1">
      <alignment horizontal="center" vertical="center"/>
    </xf>
    <xf numFmtId="0" fontId="26" fillId="0" borderId="25" xfId="0" applyFont="1" applyBorder="1" applyAlignment="1">
      <alignment horizontal="center" vertical="center"/>
    </xf>
    <xf numFmtId="3" fontId="25" fillId="26" borderId="61" xfId="4" applyNumberFormat="1" applyFont="1" applyFill="1" applyBorder="1" applyAlignment="1">
      <alignment horizontal="center" vertical="center"/>
    </xf>
    <xf numFmtId="3" fontId="25" fillId="2" borderId="6" xfId="4" applyNumberFormat="1" applyFont="1" applyFill="1" applyBorder="1" applyAlignment="1">
      <alignment horizontal="center" vertical="center" wrapText="1"/>
    </xf>
    <xf numFmtId="3" fontId="25" fillId="2" borderId="22" xfId="4" applyNumberFormat="1" applyFont="1" applyFill="1" applyBorder="1" applyAlignment="1">
      <alignment horizontal="center" vertical="center" wrapText="1"/>
    </xf>
    <xf numFmtId="0" fontId="32" fillId="0" borderId="20" xfId="0" applyFont="1" applyBorder="1" applyAlignment="1">
      <alignment horizontal="center" vertical="center"/>
    </xf>
    <xf numFmtId="3" fontId="18" fillId="0" borderId="46" xfId="4" applyNumberFormat="1" applyFont="1" applyFill="1" applyBorder="1" applyAlignment="1">
      <alignment horizontal="center" vertical="center" wrapText="1"/>
    </xf>
    <xf numFmtId="0" fontId="22" fillId="0" borderId="124" xfId="0" applyFont="1" applyBorder="1" applyAlignment="1">
      <alignment horizontal="center" vertical="center" wrapText="1"/>
    </xf>
    <xf numFmtId="0" fontId="22" fillId="0" borderId="43" xfId="0" applyFont="1" applyBorder="1" applyAlignment="1">
      <alignment horizontal="center" vertical="center" wrapText="1"/>
    </xf>
    <xf numFmtId="0" fontId="22" fillId="0" borderId="41" xfId="0" applyFont="1" applyBorder="1" applyAlignment="1">
      <alignment horizontal="center" vertical="center" wrapText="1"/>
    </xf>
    <xf numFmtId="3" fontId="25" fillId="26" borderId="156" xfId="4" applyNumberFormat="1" applyFont="1" applyFill="1" applyBorder="1" applyAlignment="1">
      <alignment horizontal="center" vertical="center"/>
    </xf>
    <xf numFmtId="3" fontId="25" fillId="26" borderId="27" xfId="4" applyNumberFormat="1" applyFont="1" applyFill="1" applyBorder="1" applyAlignment="1">
      <alignment horizontal="center" vertical="center"/>
    </xf>
    <xf numFmtId="3" fontId="25" fillId="26" borderId="23" xfId="4" applyNumberFormat="1" applyFont="1" applyFill="1" applyBorder="1" applyAlignment="1">
      <alignment horizontal="center" vertical="center"/>
    </xf>
    <xf numFmtId="3" fontId="25" fillId="2" borderId="101" xfId="4" applyNumberFormat="1" applyFont="1" applyFill="1" applyBorder="1" applyAlignment="1">
      <alignment horizontal="center" vertical="center" wrapText="1"/>
    </xf>
    <xf numFmtId="3" fontId="18" fillId="27" borderId="42" xfId="4" applyNumberFormat="1" applyFont="1" applyFill="1" applyBorder="1" applyAlignment="1">
      <alignment horizontal="center" vertical="center" wrapText="1"/>
    </xf>
    <xf numFmtId="3" fontId="18" fillId="27" borderId="43" xfId="4" applyNumberFormat="1" applyFont="1" applyFill="1" applyBorder="1" applyAlignment="1">
      <alignment horizontal="center" vertical="center" wrapText="1"/>
    </xf>
    <xf numFmtId="0" fontId="17" fillId="0" borderId="25" xfId="4" applyFont="1" applyFill="1" applyBorder="1" applyAlignment="1">
      <alignment horizontal="center" vertical="center"/>
    </xf>
    <xf numFmtId="3" fontId="24" fillId="2" borderId="178" xfId="4" applyNumberFormat="1" applyFont="1" applyFill="1" applyBorder="1" applyAlignment="1">
      <alignment horizontal="center" vertical="center" wrapText="1"/>
    </xf>
    <xf numFmtId="3" fontId="24" fillId="2" borderId="6" xfId="4" applyNumberFormat="1" applyFont="1" applyFill="1" applyBorder="1" applyAlignment="1">
      <alignment horizontal="center" vertical="center" wrapText="1"/>
    </xf>
    <xf numFmtId="3" fontId="24" fillId="2" borderId="20" xfId="4" applyNumberFormat="1" applyFont="1" applyFill="1" applyBorder="1" applyAlignment="1">
      <alignment horizontal="center" vertical="center" wrapText="1"/>
    </xf>
    <xf numFmtId="0" fontId="22" fillId="0" borderId="186" xfId="0" applyFont="1" applyBorder="1" applyAlignment="1">
      <alignment horizontal="center" vertical="center" wrapText="1"/>
    </xf>
    <xf numFmtId="3" fontId="25" fillId="26" borderId="197" xfId="4" applyNumberFormat="1" applyFont="1" applyFill="1" applyBorder="1" applyAlignment="1">
      <alignment horizontal="center" vertical="center"/>
    </xf>
    <xf numFmtId="3" fontId="25" fillId="26" borderId="50" xfId="4" applyNumberFormat="1" applyFont="1" applyFill="1" applyBorder="1" applyAlignment="1">
      <alignment horizontal="center" vertical="center"/>
    </xf>
    <xf numFmtId="0" fontId="24" fillId="13" borderId="5" xfId="4" applyFont="1" applyFill="1" applyBorder="1" applyAlignment="1">
      <alignment horizontal="center" vertical="center"/>
    </xf>
    <xf numFmtId="0" fontId="24" fillId="13" borderId="11" xfId="4" applyFont="1" applyFill="1" applyBorder="1" applyAlignment="1">
      <alignment horizontal="center" vertical="center"/>
    </xf>
    <xf numFmtId="0" fontId="24" fillId="13" borderId="25" xfId="4" applyFont="1" applyFill="1" applyBorder="1" applyAlignment="1">
      <alignment horizontal="center" vertical="center"/>
    </xf>
    <xf numFmtId="0" fontId="32" fillId="0" borderId="22" xfId="0" applyFont="1" applyBorder="1" applyAlignment="1">
      <alignment horizontal="center" vertical="center"/>
    </xf>
    <xf numFmtId="3" fontId="25" fillId="25" borderId="176" xfId="4" applyNumberFormat="1" applyFont="1" applyFill="1" applyBorder="1" applyAlignment="1">
      <alignment horizontal="center" vertical="center"/>
    </xf>
    <xf numFmtId="0" fontId="23" fillId="0" borderId="125" xfId="0" applyFont="1" applyBorder="1" applyAlignment="1">
      <alignment horizontal="center" vertical="center" wrapText="1"/>
    </xf>
    <xf numFmtId="0" fontId="23" fillId="0" borderId="178" xfId="0" applyFont="1" applyBorder="1" applyAlignment="1">
      <alignment horizontal="center" vertical="center"/>
    </xf>
    <xf numFmtId="0" fontId="17" fillId="0" borderId="52" xfId="4" applyFont="1" applyFill="1" applyBorder="1" applyAlignment="1">
      <alignment horizontal="center" vertical="center"/>
    </xf>
    <xf numFmtId="0" fontId="4" fillId="0" borderId="52" xfId="0" applyFont="1" applyBorder="1" applyAlignment="1">
      <alignment horizontal="center" vertical="center"/>
    </xf>
    <xf numFmtId="0" fontId="32" fillId="0" borderId="6" xfId="0" applyFont="1" applyBorder="1" applyAlignment="1">
      <alignment horizontal="center" vertical="center" wrapText="1"/>
    </xf>
    <xf numFmtId="0" fontId="32" fillId="0" borderId="20" xfId="0" applyFont="1" applyBorder="1" applyAlignment="1">
      <alignment horizontal="center" vertical="center" wrapText="1"/>
    </xf>
    <xf numFmtId="0" fontId="25" fillId="2" borderId="125" xfId="4" applyFont="1" applyFill="1" applyBorder="1" applyAlignment="1">
      <alignment horizontal="center" vertical="center" wrapText="1"/>
    </xf>
    <xf numFmtId="0" fontId="25" fillId="2" borderId="6" xfId="4" applyFont="1" applyFill="1" applyBorder="1" applyAlignment="1">
      <alignment horizontal="center" vertical="center" wrapText="1"/>
    </xf>
    <xf numFmtId="0" fontId="32" fillId="0" borderId="6" xfId="0" applyFont="1" applyBorder="1" applyAlignment="1">
      <alignment vertical="center" wrapText="1"/>
    </xf>
    <xf numFmtId="0" fontId="32" fillId="0" borderId="22" xfId="0" applyFont="1" applyBorder="1" applyAlignment="1">
      <alignment vertical="center" wrapText="1"/>
    </xf>
    <xf numFmtId="0" fontId="26" fillId="0" borderId="125" xfId="0" applyFont="1" applyBorder="1" applyAlignment="1">
      <alignment horizontal="center" vertical="center"/>
    </xf>
    <xf numFmtId="0" fontId="26" fillId="0" borderId="6" xfId="0" applyFont="1" applyBorder="1" applyAlignment="1">
      <alignment horizontal="center" vertical="center"/>
    </xf>
    <xf numFmtId="0" fontId="26" fillId="0" borderId="22" xfId="0" applyFont="1" applyBorder="1" applyAlignment="1">
      <alignment horizontal="center" vertical="center"/>
    </xf>
    <xf numFmtId="3" fontId="24" fillId="26" borderId="164" xfId="4" applyNumberFormat="1" applyFont="1" applyFill="1" applyBorder="1" applyAlignment="1">
      <alignment horizontal="center" vertical="center"/>
    </xf>
    <xf numFmtId="3" fontId="24" fillId="26" borderId="39" xfId="4" applyNumberFormat="1" applyFont="1" applyFill="1" applyBorder="1" applyAlignment="1">
      <alignment horizontal="center" vertical="center"/>
    </xf>
    <xf numFmtId="0" fontId="83" fillId="0" borderId="5" xfId="4" applyFont="1" applyFill="1" applyBorder="1" applyAlignment="1">
      <alignment horizontal="center" vertical="center"/>
    </xf>
    <xf numFmtId="0" fontId="83" fillId="0" borderId="11" xfId="4" applyFont="1" applyFill="1" applyBorder="1" applyAlignment="1">
      <alignment horizontal="center" vertical="center"/>
    </xf>
    <xf numFmtId="0" fontId="83" fillId="0" borderId="25" xfId="4" applyFont="1" applyFill="1" applyBorder="1" applyAlignment="1">
      <alignment horizontal="center" vertical="center"/>
    </xf>
    <xf numFmtId="3" fontId="18" fillId="0" borderId="40" xfId="4" applyNumberFormat="1" applyFont="1" applyFill="1" applyBorder="1" applyAlignment="1">
      <alignment horizontal="center" vertical="center" wrapText="1"/>
    </xf>
    <xf numFmtId="3" fontId="18" fillId="0" borderId="44" xfId="4" applyNumberFormat="1" applyFont="1" applyFill="1" applyBorder="1" applyAlignment="1">
      <alignment horizontal="center" vertical="center" wrapText="1"/>
    </xf>
    <xf numFmtId="0" fontId="22" fillId="0" borderId="117" xfId="0" applyFont="1" applyBorder="1" applyAlignment="1">
      <alignment horizontal="center" vertical="center" wrapText="1"/>
    </xf>
    <xf numFmtId="0" fontId="22" fillId="0" borderId="40" xfId="0" applyFont="1" applyBorder="1" applyAlignment="1">
      <alignment horizontal="center" vertical="center" wrapText="1"/>
    </xf>
    <xf numFmtId="3" fontId="25" fillId="2" borderId="37" xfId="4" applyNumberFormat="1" applyFont="1" applyFill="1" applyBorder="1" applyAlignment="1">
      <alignment horizontal="center" vertical="center" wrapText="1"/>
    </xf>
    <xf numFmtId="0" fontId="32" fillId="0" borderId="38" xfId="0" applyFont="1" applyBorder="1" applyAlignment="1">
      <alignment horizontal="center" vertical="center" wrapText="1"/>
    </xf>
    <xf numFmtId="3" fontId="24" fillId="26" borderId="171" xfId="4" applyNumberFormat="1" applyFont="1" applyFill="1" applyBorder="1" applyAlignment="1">
      <alignment horizontal="center" vertical="center"/>
    </xf>
    <xf numFmtId="3" fontId="24" fillId="26" borderId="27" xfId="4" applyNumberFormat="1" applyFont="1" applyFill="1" applyBorder="1" applyAlignment="1">
      <alignment horizontal="center" vertical="center"/>
    </xf>
    <xf numFmtId="3" fontId="24" fillId="26" borderId="23" xfId="4" applyNumberFormat="1" applyFont="1" applyFill="1" applyBorder="1" applyAlignment="1">
      <alignment horizontal="center" vertical="center"/>
    </xf>
    <xf numFmtId="0" fontId="18" fillId="0" borderId="43" xfId="4" applyFont="1" applyFill="1" applyBorder="1" applyAlignment="1">
      <alignment horizontal="center" vertical="center" wrapText="1"/>
    </xf>
    <xf numFmtId="0" fontId="18" fillId="0" borderId="46" xfId="4" applyFont="1" applyFill="1" applyBorder="1" applyAlignment="1">
      <alignment horizontal="center" vertical="center" wrapText="1"/>
    </xf>
    <xf numFmtId="0" fontId="22" fillId="0" borderId="42" xfId="0" applyFont="1" applyBorder="1" applyAlignment="1">
      <alignment horizontal="center" vertical="center" wrapText="1"/>
    </xf>
    <xf numFmtId="0" fontId="18" fillId="0" borderId="40" xfId="4" applyFont="1" applyFill="1" applyBorder="1" applyAlignment="1">
      <alignment horizontal="center" vertical="center" wrapText="1"/>
    </xf>
    <xf numFmtId="0" fontId="32" fillId="0" borderId="124" xfId="0" applyFont="1" applyBorder="1" applyAlignment="1">
      <alignment horizontal="center" vertical="center" wrapText="1"/>
    </xf>
    <xf numFmtId="0" fontId="32" fillId="0" borderId="41" xfId="0" applyFont="1" applyBorder="1" applyAlignment="1">
      <alignment horizontal="center" vertical="center" wrapText="1"/>
    </xf>
    <xf numFmtId="0" fontId="32" fillId="0" borderId="40" xfId="0" applyFont="1" applyBorder="1" applyAlignment="1">
      <alignment horizontal="center" vertical="center" wrapText="1"/>
    </xf>
    <xf numFmtId="0" fontId="32" fillId="0" borderId="43" xfId="0" applyFont="1" applyBorder="1" applyAlignment="1">
      <alignment horizontal="center" vertical="center" wrapText="1"/>
    </xf>
    <xf numFmtId="0" fontId="32" fillId="0" borderId="38" xfId="0" applyFont="1" applyBorder="1" applyAlignment="1">
      <alignment vertical="center" wrapText="1"/>
    </xf>
    <xf numFmtId="3" fontId="24" fillId="2" borderId="125" xfId="4" applyNumberFormat="1" applyFont="1" applyFill="1" applyBorder="1" applyAlignment="1">
      <alignment horizontal="center" vertical="center" wrapText="1"/>
    </xf>
    <xf numFmtId="0" fontId="16" fillId="2" borderId="0" xfId="4" applyFont="1" applyFill="1" applyBorder="1" applyAlignment="1">
      <alignment horizontal="left" vertical="center" wrapText="1"/>
    </xf>
    <xf numFmtId="0" fontId="18" fillId="0" borderId="14" xfId="4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18" fillId="0" borderId="2" xfId="4" applyFont="1" applyBorder="1" applyAlignment="1">
      <alignment horizontal="center" vertical="center" wrapText="1"/>
    </xf>
    <xf numFmtId="0" fontId="22" fillId="0" borderId="72" xfId="6" applyFont="1" applyBorder="1" applyAlignment="1">
      <alignment horizontal="center" vertical="center" wrapText="1"/>
    </xf>
    <xf numFmtId="0" fontId="21" fillId="0" borderId="64" xfId="4" applyFont="1" applyBorder="1" applyAlignment="1">
      <alignment horizontal="center" vertical="center" wrapText="1"/>
    </xf>
    <xf numFmtId="0" fontId="21" fillId="0" borderId="67" xfId="4" applyFont="1" applyBorder="1" applyAlignment="1">
      <alignment horizontal="center" vertical="center" wrapText="1"/>
    </xf>
    <xf numFmtId="0" fontId="18" fillId="8" borderId="5" xfId="4" applyFont="1" applyFill="1" applyBorder="1" applyAlignment="1">
      <alignment horizontal="center" vertical="center" wrapText="1"/>
    </xf>
    <xf numFmtId="0" fontId="18" fillId="8" borderId="11" xfId="4" applyFont="1" applyFill="1" applyBorder="1" applyAlignment="1">
      <alignment horizontal="center" vertical="center" wrapText="1"/>
    </xf>
    <xf numFmtId="0" fontId="4" fillId="0" borderId="25" xfId="0" applyFont="1" applyBorder="1" applyAlignment="1">
      <alignment vertical="center"/>
    </xf>
    <xf numFmtId="0" fontId="20" fillId="19" borderId="15" xfId="4" applyFont="1" applyFill="1" applyBorder="1" applyAlignment="1">
      <alignment horizontal="center" vertical="center" wrapText="1"/>
    </xf>
    <xf numFmtId="0" fontId="4" fillId="19" borderId="12" xfId="0" applyFont="1" applyFill="1" applyBorder="1" applyAlignment="1">
      <alignment horizontal="center" vertical="center" wrapText="1"/>
    </xf>
    <xf numFmtId="3" fontId="25" fillId="23" borderId="164" xfId="4" applyNumberFormat="1" applyFont="1" applyFill="1" applyBorder="1" applyAlignment="1">
      <alignment horizontal="center" vertical="center"/>
    </xf>
    <xf numFmtId="3" fontId="25" fillId="23" borderId="13" xfId="4" applyNumberFormat="1" applyFont="1" applyFill="1" applyBorder="1" applyAlignment="1">
      <alignment horizontal="center" vertical="center"/>
    </xf>
    <xf numFmtId="3" fontId="25" fillId="23" borderId="12" xfId="4" applyNumberFormat="1" applyFont="1" applyFill="1" applyBorder="1" applyAlignment="1">
      <alignment horizontal="center" vertical="center"/>
    </xf>
    <xf numFmtId="3" fontId="24" fillId="24" borderId="164" xfId="4" applyNumberFormat="1" applyFont="1" applyFill="1" applyBorder="1" applyAlignment="1">
      <alignment horizontal="center" vertical="center"/>
    </xf>
    <xf numFmtId="3" fontId="24" fillId="24" borderId="13" xfId="4" applyNumberFormat="1" applyFont="1" applyFill="1" applyBorder="1" applyAlignment="1">
      <alignment horizontal="center" vertical="center"/>
    </xf>
    <xf numFmtId="3" fontId="24" fillId="24" borderId="12" xfId="4" applyNumberFormat="1" applyFont="1" applyFill="1" applyBorder="1" applyAlignment="1">
      <alignment horizontal="center" vertical="center"/>
    </xf>
    <xf numFmtId="0" fontId="25" fillId="0" borderId="76" xfId="4" applyFont="1" applyBorder="1" applyAlignment="1">
      <alignment horizontal="center" vertical="center" wrapText="1"/>
    </xf>
    <xf numFmtId="0" fontId="25" fillId="0" borderId="18" xfId="4" applyFont="1" applyBorder="1" applyAlignment="1">
      <alignment horizontal="center" vertical="center" wrapText="1"/>
    </xf>
    <xf numFmtId="0" fontId="25" fillId="0" borderId="17" xfId="4" applyFont="1" applyBorder="1" applyAlignment="1">
      <alignment horizontal="center" vertical="center" wrapText="1"/>
    </xf>
    <xf numFmtId="0" fontId="23" fillId="0" borderId="15" xfId="6" applyFont="1" applyBorder="1" applyAlignment="1">
      <alignment horizontal="center" vertical="center" wrapText="1"/>
    </xf>
    <xf numFmtId="0" fontId="23" fillId="0" borderId="12" xfId="6" applyFont="1" applyBorder="1" applyAlignment="1">
      <alignment horizontal="center" vertical="center"/>
    </xf>
    <xf numFmtId="0" fontId="17" fillId="0" borderId="14" xfId="4" applyFont="1" applyBorder="1" applyAlignment="1">
      <alignment horizontal="center" vertical="center"/>
    </xf>
    <xf numFmtId="0" fontId="17" fillId="0" borderId="20" xfId="4" applyFont="1" applyBorder="1" applyAlignment="1">
      <alignment horizontal="center" vertical="center"/>
    </xf>
    <xf numFmtId="0" fontId="17" fillId="0" borderId="68" xfId="4" applyFont="1" applyBorder="1" applyAlignment="1">
      <alignment horizontal="center" vertical="center" wrapText="1"/>
    </xf>
    <xf numFmtId="0" fontId="17" fillId="0" borderId="154" xfId="4" applyFont="1" applyBorder="1" applyAlignment="1">
      <alignment horizontal="center" vertical="center" wrapText="1"/>
    </xf>
    <xf numFmtId="0" fontId="18" fillId="0" borderId="176" xfId="4" applyFont="1" applyFill="1" applyBorder="1" applyAlignment="1">
      <alignment horizontal="center" vertical="center" wrapText="1"/>
    </xf>
    <xf numFmtId="0" fontId="18" fillId="0" borderId="13" xfId="4" applyFont="1" applyFill="1" applyBorder="1" applyAlignment="1">
      <alignment horizontal="center" vertical="center" wrapText="1"/>
    </xf>
    <xf numFmtId="0" fontId="18" fillId="0" borderId="35" xfId="4" applyFont="1" applyFill="1" applyBorder="1" applyAlignment="1">
      <alignment horizontal="center" vertical="center" wrapText="1"/>
    </xf>
    <xf numFmtId="3" fontId="25" fillId="2" borderId="20" xfId="4" applyNumberFormat="1" applyFont="1" applyFill="1" applyBorder="1" applyAlignment="1">
      <alignment horizontal="center" vertical="center" wrapText="1"/>
    </xf>
    <xf numFmtId="0" fontId="22" fillId="0" borderId="176" xfId="0" applyFont="1" applyBorder="1" applyAlignment="1">
      <alignment horizontal="center" vertical="center" wrapText="1"/>
    </xf>
    <xf numFmtId="0" fontId="22" fillId="0" borderId="13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2" fillId="0" borderId="39" xfId="0" applyFont="1" applyBorder="1" applyAlignment="1">
      <alignment horizontal="center" vertical="center" wrapText="1"/>
    </xf>
    <xf numFmtId="0" fontId="17" fillId="0" borderId="0" xfId="4" applyFont="1" applyFill="1" applyBorder="1" applyAlignment="1">
      <alignment horizontal="center" vertical="center"/>
    </xf>
    <xf numFmtId="0" fontId="18" fillId="0" borderId="0" xfId="4" applyFont="1" applyFill="1" applyBorder="1" applyAlignment="1">
      <alignment horizontal="center" vertical="center" wrapText="1"/>
    </xf>
    <xf numFmtId="0" fontId="18" fillId="0" borderId="25" xfId="4" applyFont="1" applyFill="1" applyBorder="1" applyAlignment="1">
      <alignment horizontal="center" vertical="center" wrapText="1"/>
    </xf>
    <xf numFmtId="0" fontId="18" fillId="0" borderId="52" xfId="4" applyFont="1" applyFill="1" applyBorder="1" applyAlignment="1">
      <alignment horizontal="center" vertical="center" wrapText="1"/>
    </xf>
    <xf numFmtId="3" fontId="25" fillId="2" borderId="0" xfId="4" applyNumberFormat="1" applyFont="1" applyFill="1" applyBorder="1" applyAlignment="1">
      <alignment horizontal="center" vertical="center" wrapText="1"/>
    </xf>
    <xf numFmtId="0" fontId="22" fillId="0" borderId="5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18" fillId="0" borderId="68" xfId="4" applyFont="1" applyFill="1" applyBorder="1" applyAlignment="1">
      <alignment horizontal="center" vertical="center" wrapText="1"/>
    </xf>
    <xf numFmtId="0" fontId="18" fillId="0" borderId="190" xfId="4" applyFont="1" applyFill="1" applyBorder="1" applyAlignment="1">
      <alignment horizontal="center" vertical="center" wrapText="1"/>
    </xf>
    <xf numFmtId="0" fontId="18" fillId="0" borderId="39" xfId="4" applyFont="1" applyFill="1" applyBorder="1" applyAlignment="1">
      <alignment horizontal="center" vertical="center" wrapText="1"/>
    </xf>
    <xf numFmtId="0" fontId="22" fillId="0" borderId="15" xfId="0" applyFont="1" applyBorder="1" applyAlignment="1">
      <alignment horizontal="center" vertical="center" wrapText="1"/>
    </xf>
    <xf numFmtId="0" fontId="22" fillId="0" borderId="68" xfId="0" applyFont="1" applyBorder="1" applyAlignment="1">
      <alignment horizontal="center" vertical="center" wrapText="1"/>
    </xf>
    <xf numFmtId="0" fontId="22" fillId="0" borderId="25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3" fontId="25" fillId="2" borderId="38" xfId="4" applyNumberFormat="1" applyFont="1" applyFill="1" applyBorder="1" applyAlignment="1">
      <alignment horizontal="center" vertical="center" wrapText="1"/>
    </xf>
    <xf numFmtId="3" fontId="32" fillId="25" borderId="0" xfId="6" applyNumberFormat="1" applyFont="1" applyFill="1" applyBorder="1" applyAlignment="1">
      <alignment horizontal="center" vertical="center"/>
    </xf>
    <xf numFmtId="3" fontId="32" fillId="25" borderId="7" xfId="6" applyNumberFormat="1" applyFont="1" applyFill="1" applyBorder="1" applyAlignment="1">
      <alignment horizontal="center" vertical="center"/>
    </xf>
    <xf numFmtId="3" fontId="32" fillId="25" borderId="72" xfId="6" applyNumberFormat="1" applyFont="1" applyFill="1" applyBorder="1" applyAlignment="1">
      <alignment horizontal="center" vertical="center"/>
    </xf>
    <xf numFmtId="3" fontId="32" fillId="25" borderId="10" xfId="6" applyNumberFormat="1" applyFont="1" applyFill="1" applyBorder="1" applyAlignment="1">
      <alignment horizontal="center" vertical="center"/>
    </xf>
    <xf numFmtId="3" fontId="31" fillId="26" borderId="189" xfId="4" applyNumberFormat="1" applyFont="1" applyFill="1" applyBorder="1" applyAlignment="1">
      <alignment horizontal="center" vertical="center"/>
    </xf>
    <xf numFmtId="3" fontId="31" fillId="26" borderId="10" xfId="4" applyNumberFormat="1" applyFont="1" applyFill="1" applyBorder="1" applyAlignment="1">
      <alignment horizontal="center" vertical="center"/>
    </xf>
    <xf numFmtId="3" fontId="31" fillId="26" borderId="72" xfId="4" applyNumberFormat="1" applyFont="1" applyFill="1" applyBorder="1" applyAlignment="1">
      <alignment horizontal="center" vertical="center"/>
    </xf>
    <xf numFmtId="3" fontId="31" fillId="26" borderId="164" xfId="4" applyNumberFormat="1" applyFont="1" applyFill="1" applyBorder="1" applyAlignment="1">
      <alignment horizontal="center" vertical="center"/>
    </xf>
    <xf numFmtId="3" fontId="31" fillId="26" borderId="13" xfId="4" applyNumberFormat="1" applyFont="1" applyFill="1" applyBorder="1" applyAlignment="1">
      <alignment horizontal="center" vertical="center"/>
    </xf>
    <xf numFmtId="3" fontId="31" fillId="26" borderId="12" xfId="4" applyNumberFormat="1" applyFont="1" applyFill="1" applyBorder="1" applyAlignment="1">
      <alignment horizontal="center" vertical="center"/>
    </xf>
    <xf numFmtId="3" fontId="32" fillId="25" borderId="189" xfId="6" applyNumberFormat="1" applyFont="1" applyFill="1" applyBorder="1" applyAlignment="1">
      <alignment horizontal="center" vertical="center"/>
    </xf>
    <xf numFmtId="3" fontId="32" fillId="25" borderId="13" xfId="6" applyNumberFormat="1" applyFont="1" applyFill="1" applyBorder="1" applyAlignment="1">
      <alignment horizontal="center" vertical="center"/>
    </xf>
    <xf numFmtId="3" fontId="32" fillId="25" borderId="35" xfId="6" applyNumberFormat="1" applyFont="1" applyFill="1" applyBorder="1" applyAlignment="1">
      <alignment horizontal="center" vertical="center"/>
    </xf>
    <xf numFmtId="3" fontId="32" fillId="25" borderId="12" xfId="6" applyNumberFormat="1" applyFont="1" applyFill="1" applyBorder="1" applyAlignment="1">
      <alignment horizontal="center" vertical="center"/>
    </xf>
    <xf numFmtId="3" fontId="25" fillId="26" borderId="189" xfId="4" applyNumberFormat="1" applyFont="1" applyFill="1" applyBorder="1" applyAlignment="1">
      <alignment horizontal="center" vertical="center"/>
    </xf>
    <xf numFmtId="3" fontId="25" fillId="26" borderId="10" xfId="4" applyNumberFormat="1" applyFont="1" applyFill="1" applyBorder="1" applyAlignment="1">
      <alignment horizontal="center" vertical="center"/>
    </xf>
    <xf numFmtId="3" fontId="25" fillId="26" borderId="72" xfId="4" applyNumberFormat="1" applyFont="1" applyFill="1" applyBorder="1" applyAlignment="1">
      <alignment horizontal="center" vertical="center"/>
    </xf>
    <xf numFmtId="0" fontId="25" fillId="2" borderId="178" xfId="4" applyFont="1" applyFill="1" applyBorder="1" applyAlignment="1">
      <alignment horizontal="center" vertical="center" wrapText="1"/>
    </xf>
    <xf numFmtId="0" fontId="32" fillId="0" borderId="186" xfId="0" applyFont="1" applyBorder="1" applyAlignment="1">
      <alignment horizontal="center" vertical="center" wrapText="1"/>
    </xf>
    <xf numFmtId="0" fontId="18" fillId="0" borderId="5" xfId="4" applyFont="1" applyFill="1" applyBorder="1" applyAlignment="1">
      <alignment horizontal="center" vertical="center" wrapText="1"/>
    </xf>
    <xf numFmtId="0" fontId="18" fillId="0" borderId="79" xfId="4" applyFont="1" applyFill="1" applyBorder="1" applyAlignment="1">
      <alignment horizontal="center" vertical="center" wrapText="1"/>
    </xf>
    <xf numFmtId="0" fontId="18" fillId="0" borderId="41" xfId="4" applyFont="1" applyFill="1" applyBorder="1" applyAlignment="1">
      <alignment horizontal="center" vertical="center" wrapText="1"/>
    </xf>
    <xf numFmtId="0" fontId="17" fillId="0" borderId="5" xfId="4" applyFont="1" applyFill="1" applyBorder="1" applyAlignment="1">
      <alignment horizontal="center" vertical="center" wrapText="1"/>
    </xf>
    <xf numFmtId="0" fontId="17" fillId="0" borderId="11" xfId="4" applyFont="1" applyFill="1" applyBorder="1" applyAlignment="1">
      <alignment horizontal="center" vertical="center" wrapText="1"/>
    </xf>
    <xf numFmtId="0" fontId="17" fillId="0" borderId="25" xfId="4" applyFont="1" applyFill="1" applyBorder="1" applyAlignment="1">
      <alignment horizontal="center" vertical="center" wrapText="1"/>
    </xf>
    <xf numFmtId="0" fontId="22" fillId="0" borderId="46" xfId="0" applyFont="1" applyBorder="1" applyAlignment="1">
      <alignment horizontal="center" vertical="center" wrapText="1"/>
    </xf>
    <xf numFmtId="3" fontId="25" fillId="26" borderId="171" xfId="4" applyNumberFormat="1" applyFont="1" applyFill="1" applyBorder="1" applyAlignment="1">
      <alignment horizontal="center" vertical="center"/>
    </xf>
    <xf numFmtId="0" fontId="18" fillId="13" borderId="42" xfId="4" applyFont="1" applyFill="1" applyBorder="1" applyAlignment="1">
      <alignment horizontal="center" vertical="center" wrapText="1"/>
    </xf>
    <xf numFmtId="0" fontId="18" fillId="13" borderId="43" xfId="4" applyFont="1" applyFill="1" applyBorder="1" applyAlignment="1">
      <alignment horizontal="center" vertical="center" wrapText="1"/>
    </xf>
    <xf numFmtId="0" fontId="22" fillId="2" borderId="26" xfId="0" applyFont="1" applyFill="1" applyBorder="1" applyAlignment="1">
      <alignment horizontal="left" vertical="center" wrapText="1"/>
    </xf>
    <xf numFmtId="3" fontId="32" fillId="0" borderId="26" xfId="0" applyNumberFormat="1" applyFont="1" applyBorder="1" applyAlignment="1">
      <alignment horizontal="left" vertical="center" wrapText="1"/>
    </xf>
    <xf numFmtId="0" fontId="23" fillId="0" borderId="159" xfId="0" applyFont="1" applyBorder="1" applyAlignment="1">
      <alignment horizontal="center" vertical="center"/>
    </xf>
    <xf numFmtId="0" fontId="18" fillId="0" borderId="44" xfId="4" applyFont="1" applyFill="1" applyBorder="1" applyAlignment="1">
      <alignment horizontal="center" vertical="center" wrapText="1"/>
    </xf>
    <xf numFmtId="0" fontId="4" fillId="0" borderId="43" xfId="0" applyFont="1" applyBorder="1" applyAlignment="1">
      <alignment horizontal="center" vertical="center" wrapText="1"/>
    </xf>
    <xf numFmtId="0" fontId="4" fillId="0" borderId="41" xfId="0" applyFont="1" applyBorder="1" applyAlignment="1">
      <alignment horizontal="center" vertical="center" wrapText="1"/>
    </xf>
    <xf numFmtId="0" fontId="24" fillId="27" borderId="64" xfId="4" applyFont="1" applyFill="1" applyBorder="1" applyAlignment="1">
      <alignment horizontal="center" vertical="center" wrapText="1"/>
    </xf>
    <xf numFmtId="0" fontId="24" fillId="27" borderId="65" xfId="4" applyFont="1" applyFill="1" applyBorder="1" applyAlignment="1">
      <alignment horizontal="center" vertical="center" wrapText="1"/>
    </xf>
    <xf numFmtId="0" fontId="24" fillId="27" borderId="67" xfId="4" applyFont="1" applyFill="1" applyBorder="1" applyAlignment="1">
      <alignment horizontal="center" vertical="center" wrapText="1"/>
    </xf>
    <xf numFmtId="3" fontId="24" fillId="26" borderId="190" xfId="4" applyNumberFormat="1" applyFont="1" applyFill="1" applyBorder="1" applyAlignment="1">
      <alignment horizontal="center" vertical="center"/>
    </xf>
    <xf numFmtId="0" fontId="24" fillId="27" borderId="5" xfId="4" applyFont="1" applyFill="1" applyBorder="1" applyAlignment="1">
      <alignment horizontal="center" vertical="center" wrapText="1"/>
    </xf>
    <xf numFmtId="0" fontId="24" fillId="27" borderId="11" xfId="4" applyFont="1" applyFill="1" applyBorder="1" applyAlignment="1">
      <alignment horizontal="center" vertical="center" wrapText="1"/>
    </xf>
    <xf numFmtId="0" fontId="24" fillId="27" borderId="25" xfId="4" applyFont="1" applyFill="1" applyBorder="1" applyAlignment="1">
      <alignment horizontal="center" vertical="center" wrapText="1"/>
    </xf>
    <xf numFmtId="0" fontId="24" fillId="0" borderId="5" xfId="4" applyFont="1" applyFill="1" applyBorder="1" applyAlignment="1">
      <alignment horizontal="center" vertical="center"/>
    </xf>
    <xf numFmtId="3" fontId="31" fillId="25" borderId="176" xfId="4" applyNumberFormat="1" applyFont="1" applyFill="1" applyBorder="1" applyAlignment="1">
      <alignment horizontal="center" vertical="center"/>
    </xf>
    <xf numFmtId="3" fontId="31" fillId="25" borderId="13" xfId="4" applyNumberFormat="1" applyFont="1" applyFill="1" applyBorder="1" applyAlignment="1">
      <alignment horizontal="center" vertical="center"/>
    </xf>
    <xf numFmtId="3" fontId="18" fillId="0" borderId="42" xfId="4" applyNumberFormat="1" applyFont="1" applyFill="1" applyBorder="1" applyAlignment="1">
      <alignment horizontal="center" vertical="center"/>
    </xf>
    <xf numFmtId="3" fontId="18" fillId="0" borderId="43" xfId="4" applyNumberFormat="1" applyFont="1" applyFill="1" applyBorder="1" applyAlignment="1">
      <alignment horizontal="center" vertical="center"/>
    </xf>
    <xf numFmtId="0" fontId="7" fillId="8" borderId="41" xfId="4" applyFont="1" applyFill="1" applyBorder="1" applyAlignment="1">
      <alignment horizontal="center" vertical="center"/>
    </xf>
    <xf numFmtId="0" fontId="7" fillId="8" borderId="40" xfId="4" applyFont="1" applyFill="1" applyBorder="1" applyAlignment="1">
      <alignment horizontal="center" vertical="center"/>
    </xf>
    <xf numFmtId="0" fontId="17" fillId="27" borderId="5" xfId="4" applyFont="1" applyFill="1" applyBorder="1" applyAlignment="1">
      <alignment horizontal="center" vertical="center"/>
    </xf>
    <xf numFmtId="0" fontId="17" fillId="27" borderId="11" xfId="4" applyFont="1" applyFill="1" applyBorder="1" applyAlignment="1">
      <alignment horizontal="center" vertical="center"/>
    </xf>
    <xf numFmtId="0" fontId="17" fillId="27" borderId="25" xfId="4" applyFont="1" applyFill="1" applyBorder="1" applyAlignment="1">
      <alignment horizontal="center" vertical="center"/>
    </xf>
    <xf numFmtId="3" fontId="18" fillId="0" borderId="79" xfId="4" applyNumberFormat="1" applyFont="1" applyFill="1" applyBorder="1" applyAlignment="1">
      <alignment horizontal="center" vertical="center" wrapText="1"/>
    </xf>
    <xf numFmtId="0" fontId="24" fillId="0" borderId="5" xfId="0" applyFont="1" applyFill="1" applyBorder="1" applyAlignment="1">
      <alignment horizontal="center" vertical="center"/>
    </xf>
    <xf numFmtId="0" fontId="32" fillId="0" borderId="11" xfId="0" applyFont="1" applyFill="1" applyBorder="1" applyAlignment="1">
      <alignment vertical="center"/>
    </xf>
    <xf numFmtId="0" fontId="32" fillId="0" borderId="25" xfId="0" applyFont="1" applyFill="1" applyBorder="1" applyAlignment="1">
      <alignment vertical="center"/>
    </xf>
    <xf numFmtId="0" fontId="18" fillId="0" borderId="42" xfId="0" applyFont="1" applyFill="1" applyBorder="1" applyAlignment="1">
      <alignment horizontal="center" vertical="center" wrapText="1"/>
    </xf>
    <xf numFmtId="0" fontId="18" fillId="0" borderId="43" xfId="0" applyFont="1" applyFill="1" applyBorder="1" applyAlignment="1">
      <alignment horizontal="center" vertical="center" wrapText="1"/>
    </xf>
    <xf numFmtId="0" fontId="18" fillId="0" borderId="41" xfId="0" applyFont="1" applyFill="1" applyBorder="1" applyAlignment="1">
      <alignment horizontal="center" vertical="center" wrapText="1"/>
    </xf>
    <xf numFmtId="0" fontId="18" fillId="0" borderId="49" xfId="4" applyFont="1" applyFill="1" applyBorder="1" applyAlignment="1">
      <alignment horizontal="center" vertical="center" wrapText="1"/>
    </xf>
    <xf numFmtId="0" fontId="18" fillId="0" borderId="48" xfId="4" applyFont="1" applyFill="1" applyBorder="1" applyAlignment="1">
      <alignment horizontal="center" vertical="center" wrapText="1"/>
    </xf>
    <xf numFmtId="3" fontId="24" fillId="2" borderId="22" xfId="4" applyNumberFormat="1" applyFont="1" applyFill="1" applyBorder="1" applyAlignment="1">
      <alignment horizontal="center" vertical="center" wrapText="1"/>
    </xf>
    <xf numFmtId="0" fontId="24" fillId="0" borderId="42" xfId="4" applyFont="1" applyFill="1" applyBorder="1" applyAlignment="1">
      <alignment horizontal="center" vertical="center" wrapText="1"/>
    </xf>
    <xf numFmtId="0" fontId="24" fillId="0" borderId="43" xfId="4" applyFont="1" applyFill="1" applyBorder="1" applyAlignment="1">
      <alignment horizontal="center" vertical="center" wrapText="1"/>
    </xf>
    <xf numFmtId="0" fontId="23" fillId="0" borderId="186" xfId="0" applyFont="1" applyBorder="1" applyAlignment="1">
      <alignment horizontal="center" vertical="center" wrapText="1"/>
    </xf>
    <xf numFmtId="0" fontId="23" fillId="0" borderId="43" xfId="0" applyFont="1" applyBorder="1" applyAlignment="1">
      <alignment horizontal="center" vertical="center" wrapText="1"/>
    </xf>
    <xf numFmtId="0" fontId="23" fillId="0" borderId="41" xfId="0" applyFont="1" applyBorder="1" applyAlignment="1">
      <alignment horizontal="center" vertical="center" wrapText="1"/>
    </xf>
    <xf numFmtId="0" fontId="17" fillId="0" borderId="38" xfId="4" quotePrefix="1" applyFont="1" applyFill="1" applyBorder="1" applyAlignment="1">
      <alignment horizontal="center" vertical="center" wrapText="1"/>
    </xf>
    <xf numFmtId="0" fontId="17" fillId="0" borderId="38" xfId="4" applyFont="1" applyFill="1" applyBorder="1" applyAlignment="1">
      <alignment horizontal="center" vertical="center" wrapText="1"/>
    </xf>
    <xf numFmtId="3" fontId="25" fillId="0" borderId="174" xfId="4" applyNumberFormat="1" applyFont="1" applyFill="1" applyBorder="1" applyAlignment="1">
      <alignment horizontal="center" vertical="center" wrapText="1"/>
    </xf>
    <xf numFmtId="0" fontId="32" fillId="0" borderId="174" xfId="0" applyFont="1" applyFill="1" applyBorder="1" applyAlignment="1">
      <alignment horizontal="center" vertical="center" wrapText="1"/>
    </xf>
    <xf numFmtId="0" fontId="32" fillId="0" borderId="180" xfId="0" applyFont="1" applyFill="1" applyBorder="1" applyAlignment="1">
      <alignment horizontal="center" vertical="center" wrapText="1"/>
    </xf>
    <xf numFmtId="3" fontId="24" fillId="26" borderId="174" xfId="4" applyNumberFormat="1" applyFont="1" applyFill="1" applyBorder="1" applyAlignment="1">
      <alignment horizontal="center" vertical="center"/>
    </xf>
    <xf numFmtId="3" fontId="24" fillId="26" borderId="180" xfId="4" applyNumberFormat="1" applyFont="1" applyFill="1" applyBorder="1" applyAlignment="1">
      <alignment horizontal="center" vertical="center"/>
    </xf>
    <xf numFmtId="3" fontId="24" fillId="26" borderId="116" xfId="4" applyNumberFormat="1" applyFont="1" applyFill="1" applyBorder="1" applyAlignment="1">
      <alignment horizontal="center" vertical="center"/>
    </xf>
    <xf numFmtId="0" fontId="23" fillId="0" borderId="164" xfId="0" applyFont="1" applyFill="1" applyBorder="1" applyAlignment="1">
      <alignment horizontal="center" vertical="center" wrapText="1"/>
    </xf>
    <xf numFmtId="0" fontId="23" fillId="0" borderId="13" xfId="0" applyFont="1" applyFill="1" applyBorder="1" applyAlignment="1">
      <alignment horizontal="center" vertical="center" wrapText="1"/>
    </xf>
    <xf numFmtId="0" fontId="23" fillId="0" borderId="12" xfId="0" applyFont="1" applyFill="1" applyBorder="1" applyAlignment="1">
      <alignment horizontal="center" vertical="center" wrapText="1"/>
    </xf>
    <xf numFmtId="0" fontId="24" fillId="0" borderId="46" xfId="4" applyFont="1" applyFill="1" applyBorder="1" applyAlignment="1">
      <alignment horizontal="center" vertical="center" wrapText="1"/>
    </xf>
    <xf numFmtId="3" fontId="24" fillId="26" borderId="0" xfId="4" applyNumberFormat="1" applyFont="1" applyFill="1" applyBorder="1" applyAlignment="1">
      <alignment horizontal="center" vertical="center"/>
    </xf>
    <xf numFmtId="3" fontId="24" fillId="26" borderId="35" xfId="4" applyNumberFormat="1" applyFont="1" applyFill="1" applyBorder="1" applyAlignment="1">
      <alignment horizontal="center" vertical="center"/>
    </xf>
    <xf numFmtId="0" fontId="17" fillId="0" borderId="16" xfId="4" quotePrefix="1" applyFont="1" applyFill="1" applyBorder="1" applyAlignment="1">
      <alignment horizontal="center" vertical="center" wrapText="1"/>
    </xf>
    <xf numFmtId="0" fontId="17" fillId="0" borderId="172" xfId="4" applyFont="1" applyFill="1" applyBorder="1" applyAlignment="1">
      <alignment horizontal="center" vertical="center" wrapText="1"/>
    </xf>
    <xf numFmtId="0" fontId="17" fillId="0" borderId="181" xfId="4" applyFont="1" applyFill="1" applyBorder="1" applyAlignment="1">
      <alignment horizontal="center" vertical="center" wrapText="1"/>
    </xf>
    <xf numFmtId="0" fontId="4" fillId="0" borderId="172" xfId="0" applyFont="1" applyBorder="1" applyAlignment="1">
      <alignment horizontal="center" vertical="center" wrapText="1"/>
    </xf>
    <xf numFmtId="0" fontId="4" fillId="0" borderId="181" xfId="0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23" fillId="0" borderId="176" xfId="0" applyFont="1" applyFill="1" applyBorder="1" applyAlignment="1">
      <alignment horizontal="center" vertical="center" wrapText="1"/>
    </xf>
    <xf numFmtId="0" fontId="17" fillId="0" borderId="16" xfId="4" applyFont="1" applyFill="1" applyBorder="1" applyAlignment="1">
      <alignment horizontal="center" vertical="center"/>
    </xf>
    <xf numFmtId="0" fontId="17" fillId="0" borderId="200" xfId="4" applyFont="1" applyFill="1" applyBorder="1" applyAlignment="1">
      <alignment horizontal="center" vertical="center"/>
    </xf>
    <xf numFmtId="0" fontId="17" fillId="0" borderId="37" xfId="4" applyFont="1" applyFill="1" applyBorder="1" applyAlignment="1">
      <alignment horizontal="center" vertical="center"/>
    </xf>
    <xf numFmtId="0" fontId="23" fillId="0" borderId="180" xfId="0" applyFont="1" applyBorder="1" applyAlignment="1">
      <alignment horizontal="center" vertical="center" wrapText="1"/>
    </xf>
    <xf numFmtId="0" fontId="23" fillId="0" borderId="190" xfId="0" applyFont="1" applyBorder="1" applyAlignment="1">
      <alignment horizontal="center" vertical="center" wrapText="1"/>
    </xf>
    <xf numFmtId="0" fontId="17" fillId="0" borderId="38" xfId="4" applyFont="1" applyFill="1" applyBorder="1" applyAlignment="1">
      <alignment horizontal="center" vertical="center"/>
    </xf>
    <xf numFmtId="0" fontId="17" fillId="0" borderId="14" xfId="4" applyFont="1" applyFill="1" applyBorder="1" applyAlignment="1">
      <alignment horizontal="center" vertical="center"/>
    </xf>
    <xf numFmtId="0" fontId="17" fillId="0" borderId="22" xfId="4" applyFont="1" applyFill="1" applyBorder="1" applyAlignment="1">
      <alignment horizontal="center" vertical="center"/>
    </xf>
    <xf numFmtId="0" fontId="17" fillId="0" borderId="6" xfId="4" applyFont="1" applyFill="1" applyBorder="1" applyAlignment="1">
      <alignment horizontal="center" vertical="center"/>
    </xf>
    <xf numFmtId="0" fontId="17" fillId="0" borderId="26" xfId="4" applyFont="1" applyFill="1" applyBorder="1" applyAlignment="1">
      <alignment horizontal="center" vertical="center"/>
    </xf>
    <xf numFmtId="3" fontId="25" fillId="2" borderId="180" xfId="4" applyNumberFormat="1" applyFont="1" applyFill="1" applyBorder="1" applyAlignment="1">
      <alignment horizontal="center" vertical="center" wrapText="1"/>
    </xf>
    <xf numFmtId="0" fontId="32" fillId="0" borderId="190" xfId="0" applyFont="1" applyBorder="1" applyAlignment="1">
      <alignment horizontal="center" vertical="center" wrapText="1"/>
    </xf>
    <xf numFmtId="0" fontId="32" fillId="0" borderId="39" xfId="0" applyFont="1" applyBorder="1" applyAlignment="1">
      <alignment horizontal="center" vertical="center" wrapText="1"/>
    </xf>
    <xf numFmtId="0" fontId="32" fillId="0" borderId="13" xfId="0" applyFont="1" applyBorder="1" applyAlignment="1">
      <alignment horizontal="center" vertical="center" wrapText="1"/>
    </xf>
    <xf numFmtId="0" fontId="32" fillId="0" borderId="0" xfId="0" applyFont="1" applyBorder="1" applyAlignment="1">
      <alignment horizontal="center" vertical="center" wrapText="1"/>
    </xf>
    <xf numFmtId="3" fontId="24" fillId="26" borderId="7" xfId="4" applyNumberFormat="1" applyFont="1" applyFill="1" applyBorder="1" applyAlignment="1">
      <alignment horizontal="center" vertical="center"/>
    </xf>
    <xf numFmtId="3" fontId="24" fillId="26" borderId="188" xfId="4" applyNumberFormat="1" applyFont="1" applyFill="1" applyBorder="1" applyAlignment="1">
      <alignment horizontal="center" vertical="center"/>
    </xf>
    <xf numFmtId="3" fontId="24" fillId="26" borderId="132" xfId="4" applyNumberFormat="1" applyFont="1" applyFill="1" applyBorder="1" applyAlignment="1">
      <alignment horizontal="center" vertical="center"/>
    </xf>
    <xf numFmtId="0" fontId="23" fillId="0" borderId="0" xfId="0" applyFont="1" applyBorder="1" applyAlignment="1">
      <alignment horizontal="center" vertical="center" wrapText="1"/>
    </xf>
    <xf numFmtId="0" fontId="23" fillId="0" borderId="35" xfId="0" applyFont="1" applyBorder="1" applyAlignment="1">
      <alignment horizontal="center" vertical="center" wrapText="1"/>
    </xf>
    <xf numFmtId="0" fontId="32" fillId="0" borderId="180" xfId="0" applyFont="1" applyBorder="1" applyAlignment="1">
      <alignment horizontal="center" vertical="center" wrapText="1"/>
    </xf>
    <xf numFmtId="0" fontId="25" fillId="2" borderId="180" xfId="4" applyFont="1" applyFill="1" applyBorder="1" applyAlignment="1">
      <alignment horizontal="center" vertical="center" wrapText="1"/>
    </xf>
    <xf numFmtId="0" fontId="32" fillId="0" borderId="180" xfId="0" applyFont="1" applyBorder="1" applyAlignment="1">
      <alignment wrapText="1"/>
    </xf>
    <xf numFmtId="0" fontId="32" fillId="0" borderId="190" xfId="0" applyFont="1" applyBorder="1" applyAlignment="1">
      <alignment wrapText="1"/>
    </xf>
    <xf numFmtId="0" fontId="17" fillId="0" borderId="178" xfId="4" applyFont="1" applyFill="1" applyBorder="1" applyAlignment="1">
      <alignment horizontal="center" vertical="center"/>
    </xf>
    <xf numFmtId="0" fontId="17" fillId="0" borderId="181" xfId="4" applyFont="1" applyFill="1" applyBorder="1" applyAlignment="1">
      <alignment horizontal="center" vertical="center"/>
    </xf>
    <xf numFmtId="0" fontId="23" fillId="0" borderId="176" xfId="0" applyFont="1" applyFill="1" applyBorder="1" applyAlignment="1">
      <alignment horizontal="center" wrapText="1"/>
    </xf>
    <xf numFmtId="0" fontId="23" fillId="0" borderId="35" xfId="0" applyFont="1" applyFill="1" applyBorder="1" applyAlignment="1">
      <alignment horizontal="center" wrapText="1"/>
    </xf>
    <xf numFmtId="0" fontId="23" fillId="0" borderId="13" xfId="0" applyFont="1" applyFill="1" applyBorder="1" applyAlignment="1">
      <alignment horizontal="center" wrapText="1"/>
    </xf>
    <xf numFmtId="0" fontId="23" fillId="0" borderId="12" xfId="0" applyFont="1" applyFill="1" applyBorder="1" applyAlignment="1">
      <alignment horizontal="center" wrapText="1"/>
    </xf>
    <xf numFmtId="0" fontId="17" fillId="0" borderId="37" xfId="4" applyFont="1" applyFill="1" applyBorder="1" applyAlignment="1">
      <alignment horizontal="center" vertical="center" wrapText="1"/>
    </xf>
    <xf numFmtId="0" fontId="17" fillId="0" borderId="20" xfId="4" applyFont="1" applyFill="1" applyBorder="1" applyAlignment="1">
      <alignment horizontal="center" vertical="center" wrapText="1"/>
    </xf>
    <xf numFmtId="0" fontId="23" fillId="0" borderId="35" xfId="0" applyFont="1" applyFill="1" applyBorder="1" applyAlignment="1">
      <alignment horizontal="center" vertical="center" wrapText="1"/>
    </xf>
    <xf numFmtId="3" fontId="25" fillId="0" borderId="180" xfId="4" applyNumberFormat="1" applyFont="1" applyFill="1" applyBorder="1" applyAlignment="1">
      <alignment horizontal="center" vertical="center" wrapText="1"/>
    </xf>
    <xf numFmtId="0" fontId="16" fillId="2" borderId="23" xfId="4" applyFont="1" applyFill="1" applyBorder="1" applyAlignment="1">
      <alignment horizontal="left" vertical="center" wrapText="1"/>
    </xf>
    <xf numFmtId="0" fontId="16" fillId="2" borderId="12" xfId="4" applyFont="1" applyFill="1" applyBorder="1" applyAlignment="1">
      <alignment horizontal="left" vertical="center" wrapText="1"/>
    </xf>
    <xf numFmtId="0" fontId="16" fillId="2" borderId="72" xfId="4" applyFont="1" applyFill="1" applyBorder="1" applyAlignment="1">
      <alignment horizontal="left" vertical="center" wrapText="1"/>
    </xf>
    <xf numFmtId="0" fontId="18" fillId="0" borderId="68" xfId="4" applyFont="1" applyBorder="1" applyAlignment="1">
      <alignment horizontal="center" vertical="center" wrapText="1"/>
    </xf>
    <xf numFmtId="0" fontId="4" fillId="0" borderId="154" xfId="0" applyFont="1" applyBorder="1" applyAlignment="1">
      <alignment horizontal="center" vertical="center" wrapText="1"/>
    </xf>
    <xf numFmtId="0" fontId="22" fillId="0" borderId="154" xfId="6" applyFont="1" applyBorder="1" applyAlignment="1">
      <alignment horizontal="center" vertical="center" wrapText="1"/>
    </xf>
    <xf numFmtId="0" fontId="17" fillId="0" borderId="44" xfId="4" applyFont="1" applyBorder="1" applyAlignment="1">
      <alignment horizontal="center" vertical="center" wrapText="1"/>
    </xf>
    <xf numFmtId="0" fontId="17" fillId="0" borderId="157" xfId="4" applyFont="1" applyBorder="1" applyAlignment="1">
      <alignment horizontal="center" vertical="center" wrapText="1"/>
    </xf>
    <xf numFmtId="0" fontId="20" fillId="19" borderId="68" xfId="4" applyFont="1" applyFill="1" applyBorder="1" applyAlignment="1">
      <alignment horizontal="center" vertical="center" wrapText="1"/>
    </xf>
    <xf numFmtId="0" fontId="4" fillId="19" borderId="154" xfId="0" applyFont="1" applyFill="1" applyBorder="1" applyAlignment="1">
      <alignment horizontal="center" vertical="center" wrapText="1"/>
    </xf>
    <xf numFmtId="0" fontId="17" fillId="0" borderId="159" xfId="4" quotePrefix="1" applyFont="1" applyFill="1" applyBorder="1" applyAlignment="1">
      <alignment horizontal="center" vertical="center" wrapText="1"/>
    </xf>
    <xf numFmtId="0" fontId="17" fillId="0" borderId="159" xfId="4" applyFont="1" applyFill="1" applyBorder="1" applyAlignment="1">
      <alignment horizontal="center" vertical="center" wrapText="1"/>
    </xf>
    <xf numFmtId="0" fontId="17" fillId="0" borderId="161" xfId="4" applyFont="1" applyFill="1" applyBorder="1" applyAlignment="1">
      <alignment horizontal="center" vertical="center" wrapText="1"/>
    </xf>
    <xf numFmtId="0" fontId="4" fillId="0" borderId="159" xfId="0" applyFont="1" applyBorder="1" applyAlignment="1">
      <alignment horizontal="center" vertical="center" wrapText="1"/>
    </xf>
    <xf numFmtId="3" fontId="25" fillId="2" borderId="154" xfId="4" applyNumberFormat="1" applyFont="1" applyFill="1" applyBorder="1" applyAlignment="1">
      <alignment horizontal="center" vertical="center" wrapText="1"/>
    </xf>
    <xf numFmtId="0" fontId="32" fillId="0" borderId="154" xfId="0" applyFont="1" applyBorder="1" applyAlignment="1">
      <alignment horizontal="center" vertical="center" wrapText="1"/>
    </xf>
    <xf numFmtId="0" fontId="32" fillId="0" borderId="155" xfId="0" applyFont="1" applyBorder="1" applyAlignment="1">
      <alignment horizontal="center" vertical="center" wrapText="1"/>
    </xf>
    <xf numFmtId="0" fontId="25" fillId="2" borderId="154" xfId="4" applyFont="1" applyFill="1" applyBorder="1" applyAlignment="1">
      <alignment horizontal="center" vertical="center" wrapText="1"/>
    </xf>
    <xf numFmtId="0" fontId="32" fillId="0" borderId="154" xfId="0" applyFont="1" applyBorder="1" applyAlignment="1">
      <alignment wrapText="1"/>
    </xf>
    <xf numFmtId="0" fontId="32" fillId="0" borderId="116" xfId="0" applyFont="1" applyBorder="1" applyAlignment="1">
      <alignment wrapText="1"/>
    </xf>
    <xf numFmtId="3" fontId="24" fillId="26" borderId="154" xfId="4" applyNumberFormat="1" applyFont="1" applyFill="1" applyBorder="1" applyAlignment="1">
      <alignment horizontal="center" vertical="center"/>
    </xf>
    <xf numFmtId="3" fontId="24" fillId="22" borderId="154" xfId="4" applyNumberFormat="1" applyFont="1" applyFill="1" applyBorder="1" applyAlignment="1">
      <alignment horizontal="center" vertical="center"/>
    </xf>
    <xf numFmtId="3" fontId="24" fillId="22" borderId="164" xfId="4" applyNumberFormat="1" applyFont="1" applyFill="1" applyBorder="1" applyAlignment="1">
      <alignment horizontal="center" vertical="center"/>
    </xf>
    <xf numFmtId="3" fontId="24" fillId="22" borderId="116" xfId="4" applyNumberFormat="1" applyFont="1" applyFill="1" applyBorder="1" applyAlignment="1">
      <alignment horizontal="center" vertical="center"/>
    </xf>
    <xf numFmtId="0" fontId="23" fillId="0" borderId="35" xfId="6" applyFont="1" applyBorder="1" applyAlignment="1">
      <alignment horizontal="center" vertical="center"/>
    </xf>
    <xf numFmtId="3" fontId="25" fillId="0" borderId="154" xfId="4" applyNumberFormat="1" applyFont="1" applyFill="1" applyBorder="1" applyAlignment="1">
      <alignment horizontal="center" vertical="center" wrapText="1"/>
    </xf>
    <xf numFmtId="0" fontId="32" fillId="0" borderId="154" xfId="0" applyFont="1" applyFill="1" applyBorder="1" applyAlignment="1">
      <alignment horizontal="center" vertical="center" wrapText="1"/>
    </xf>
    <xf numFmtId="0" fontId="25" fillId="0" borderId="164" xfId="4" applyFont="1" applyFill="1" applyBorder="1" applyAlignment="1">
      <alignment horizontal="center" wrapText="1"/>
    </xf>
    <xf numFmtId="0" fontId="32" fillId="0" borderId="13" xfId="0" applyFont="1" applyFill="1" applyBorder="1" applyAlignment="1">
      <alignment horizontal="center" wrapText="1"/>
    </xf>
    <xf numFmtId="0" fontId="32" fillId="0" borderId="12" xfId="0" applyFont="1" applyFill="1" applyBorder="1" applyAlignment="1">
      <alignment horizontal="center" wrapText="1"/>
    </xf>
    <xf numFmtId="0" fontId="24" fillId="0" borderId="186" xfId="4" applyFont="1" applyFill="1" applyBorder="1" applyAlignment="1">
      <alignment horizontal="center" vertical="center" wrapText="1"/>
    </xf>
    <xf numFmtId="0" fontId="24" fillId="0" borderId="41" xfId="4" applyFont="1" applyFill="1" applyBorder="1" applyAlignment="1">
      <alignment horizontal="center" vertical="center" wrapText="1"/>
    </xf>
    <xf numFmtId="0" fontId="24" fillId="0" borderId="40" xfId="4" applyFont="1" applyFill="1" applyBorder="1" applyAlignment="1">
      <alignment horizontal="center" vertical="center" wrapText="1"/>
    </xf>
    <xf numFmtId="0" fontId="24" fillId="0" borderId="44" xfId="4" applyFont="1" applyFill="1" applyBorder="1" applyAlignment="1">
      <alignment horizontal="center" vertical="center" wrapText="1"/>
    </xf>
    <xf numFmtId="0" fontId="23" fillId="0" borderId="186" xfId="0" applyFont="1" applyFill="1" applyBorder="1" applyAlignment="1">
      <alignment horizontal="center" vertical="center" wrapText="1"/>
    </xf>
    <xf numFmtId="0" fontId="23" fillId="0" borderId="43" xfId="0" applyFont="1" applyFill="1" applyBorder="1" applyAlignment="1">
      <alignment horizontal="center" vertical="center" wrapText="1"/>
    </xf>
    <xf numFmtId="0" fontId="23" fillId="0" borderId="41" xfId="0" applyFont="1" applyFill="1" applyBorder="1" applyAlignment="1">
      <alignment horizontal="center" vertical="center" wrapText="1"/>
    </xf>
    <xf numFmtId="0" fontId="17" fillId="0" borderId="16" xfId="4" applyFont="1" applyFill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23" fillId="0" borderId="117" xfId="0" applyFont="1" applyBorder="1" applyAlignment="1">
      <alignment horizontal="center" vertical="center" wrapText="1"/>
    </xf>
    <xf numFmtId="0" fontId="23" fillId="0" borderId="40" xfId="0" applyFont="1" applyBorder="1" applyAlignment="1">
      <alignment horizontal="center" vertical="center" wrapText="1"/>
    </xf>
    <xf numFmtId="0" fontId="23" fillId="0" borderId="190" xfId="0" applyFont="1" applyFill="1" applyBorder="1" applyAlignment="1">
      <alignment horizontal="center" vertical="center" wrapText="1"/>
    </xf>
    <xf numFmtId="0" fontId="23" fillId="0" borderId="39" xfId="0" applyFont="1" applyFill="1" applyBorder="1" applyAlignment="1">
      <alignment horizontal="center" vertical="center" wrapText="1"/>
    </xf>
    <xf numFmtId="0" fontId="23" fillId="0" borderId="42" xfId="0" applyFont="1" applyBorder="1" applyAlignment="1">
      <alignment horizontal="center" vertical="center" wrapText="1"/>
    </xf>
    <xf numFmtId="0" fontId="17" fillId="0" borderId="52" xfId="0" applyFont="1" applyFill="1" applyBorder="1" applyAlignment="1">
      <alignment horizontal="center" vertical="center"/>
    </xf>
    <xf numFmtId="0" fontId="24" fillId="0" borderId="39" xfId="0" applyFont="1" applyFill="1" applyBorder="1" applyAlignment="1">
      <alignment horizontal="center" vertical="center" wrapText="1"/>
    </xf>
    <xf numFmtId="0" fontId="24" fillId="0" borderId="68" xfId="0" applyFont="1" applyFill="1" applyBorder="1" applyAlignment="1">
      <alignment horizontal="center" vertical="center" wrapText="1"/>
    </xf>
    <xf numFmtId="0" fontId="24" fillId="0" borderId="190" xfId="0" applyFont="1" applyFill="1" applyBorder="1" applyAlignment="1">
      <alignment horizontal="center" vertical="center" wrapText="1"/>
    </xf>
    <xf numFmtId="3" fontId="25" fillId="28" borderId="15" xfId="0" applyNumberFormat="1" applyFont="1" applyFill="1" applyBorder="1" applyAlignment="1">
      <alignment horizontal="center" vertical="center" wrapText="1"/>
    </xf>
    <xf numFmtId="3" fontId="25" fillId="28" borderId="12" xfId="0" applyNumberFormat="1" applyFont="1" applyFill="1" applyBorder="1" applyAlignment="1">
      <alignment horizontal="center" vertical="center" wrapText="1"/>
    </xf>
    <xf numFmtId="3" fontId="25" fillId="28" borderId="39" xfId="0" applyNumberFormat="1" applyFont="1" applyFill="1" applyBorder="1" applyAlignment="1">
      <alignment horizontal="center" vertical="center" wrapText="1"/>
    </xf>
    <xf numFmtId="3" fontId="25" fillId="28" borderId="68" xfId="0" applyNumberFormat="1" applyFont="1" applyFill="1" applyBorder="1" applyAlignment="1">
      <alignment horizontal="center" vertical="center" wrapText="1"/>
    </xf>
    <xf numFmtId="3" fontId="25" fillId="28" borderId="190" xfId="0" applyNumberFormat="1" applyFont="1" applyFill="1" applyBorder="1" applyAlignment="1">
      <alignment horizontal="center" vertical="center" wrapText="1"/>
    </xf>
    <xf numFmtId="0" fontId="25" fillId="8" borderId="125" xfId="0" applyFont="1" applyFill="1" applyBorder="1" applyAlignment="1">
      <alignment horizontal="center" vertical="center" wrapText="1"/>
    </xf>
    <xf numFmtId="0" fontId="25" fillId="8" borderId="6" xfId="0" applyFont="1" applyFill="1" applyBorder="1" applyAlignment="1">
      <alignment horizontal="center" vertical="center" wrapText="1"/>
    </xf>
    <xf numFmtId="0" fontId="25" fillId="2" borderId="125" xfId="0" applyFont="1" applyFill="1" applyBorder="1" applyAlignment="1">
      <alignment horizontal="center" vertical="center" wrapText="1"/>
    </xf>
    <xf numFmtId="0" fontId="23" fillId="2" borderId="22" xfId="0" applyFont="1" applyFill="1" applyBorder="1" applyAlignment="1">
      <alignment horizontal="center" vertical="center" wrapText="1"/>
    </xf>
    <xf numFmtId="3" fontId="24" fillId="22" borderId="176" xfId="0" applyNumberFormat="1" applyFont="1" applyFill="1" applyBorder="1" applyAlignment="1">
      <alignment horizontal="center" vertical="center"/>
    </xf>
    <xf numFmtId="3" fontId="24" fillId="22" borderId="13" xfId="0" applyNumberFormat="1" applyFont="1" applyFill="1" applyBorder="1" applyAlignment="1">
      <alignment horizontal="center" vertical="center"/>
    </xf>
    <xf numFmtId="3" fontId="24" fillId="22" borderId="12" xfId="0" applyNumberFormat="1" applyFont="1" applyFill="1" applyBorder="1" applyAlignment="1">
      <alignment horizontal="center" vertical="center"/>
    </xf>
    <xf numFmtId="3" fontId="25" fillId="22" borderId="176" xfId="0" applyNumberFormat="1" applyFont="1" applyFill="1" applyBorder="1" applyAlignment="1">
      <alignment horizontal="center" vertical="center"/>
    </xf>
    <xf numFmtId="3" fontId="25" fillId="22" borderId="13" xfId="0" applyNumberFormat="1" applyFont="1" applyFill="1" applyBorder="1" applyAlignment="1">
      <alignment horizontal="center" vertical="center"/>
    </xf>
    <xf numFmtId="3" fontId="25" fillId="22" borderId="12" xfId="0" applyNumberFormat="1" applyFont="1" applyFill="1" applyBorder="1" applyAlignment="1">
      <alignment horizontal="center" vertical="center"/>
    </xf>
    <xf numFmtId="2" fontId="17" fillId="0" borderId="5" xfId="0" applyNumberFormat="1" applyFont="1" applyFill="1" applyBorder="1" applyAlignment="1">
      <alignment horizontal="center" vertical="center" wrapText="1"/>
    </xf>
    <xf numFmtId="2" fontId="4" fillId="0" borderId="11" xfId="0" applyNumberFormat="1" applyFont="1" applyBorder="1" applyAlignment="1">
      <alignment vertical="center" wrapText="1"/>
    </xf>
    <xf numFmtId="2" fontId="4" fillId="0" borderId="25" xfId="0" applyNumberFormat="1" applyFont="1" applyBorder="1" applyAlignment="1">
      <alignment vertical="center" wrapText="1"/>
    </xf>
    <xf numFmtId="2" fontId="22" fillId="0" borderId="42" xfId="0" applyNumberFormat="1" applyFont="1" applyBorder="1" applyAlignment="1">
      <alignment horizontal="center" vertical="center" wrapText="1"/>
    </xf>
    <xf numFmtId="2" fontId="22" fillId="0" borderId="43" xfId="0" applyNumberFormat="1" applyFont="1" applyBorder="1" applyAlignment="1">
      <alignment horizontal="center" vertical="center" wrapText="1"/>
    </xf>
    <xf numFmtId="2" fontId="22" fillId="0" borderId="41" xfId="0" applyNumberFormat="1" applyFont="1" applyBorder="1" applyAlignment="1">
      <alignment horizontal="center" vertical="center" wrapText="1"/>
    </xf>
    <xf numFmtId="2" fontId="23" fillId="0" borderId="176" xfId="0" applyNumberFormat="1" applyFont="1" applyBorder="1" applyAlignment="1">
      <alignment horizontal="center" vertical="center" wrapText="1"/>
    </xf>
    <xf numFmtId="2" fontId="23" fillId="0" borderId="12" xfId="0" applyNumberFormat="1" applyFont="1" applyBorder="1" applyAlignment="1">
      <alignment horizontal="center" vertical="center" wrapText="1"/>
    </xf>
    <xf numFmtId="2" fontId="17" fillId="0" borderId="5" xfId="0" applyNumberFormat="1" applyFont="1" applyFill="1" applyBorder="1" applyAlignment="1">
      <alignment horizontal="center" vertical="center"/>
    </xf>
    <xf numFmtId="2" fontId="17" fillId="0" borderId="11" xfId="0" applyNumberFormat="1" applyFont="1" applyFill="1" applyBorder="1" applyAlignment="1">
      <alignment horizontal="center" vertical="center"/>
    </xf>
    <xf numFmtId="2" fontId="4" fillId="0" borderId="25" xfId="0" applyNumberFormat="1" applyFont="1" applyBorder="1" applyAlignment="1">
      <alignment horizontal="center" vertical="center"/>
    </xf>
    <xf numFmtId="2" fontId="23" fillId="0" borderId="178" xfId="0" applyNumberFormat="1" applyFont="1" applyBorder="1" applyAlignment="1">
      <alignment horizontal="center" vertical="center" wrapText="1"/>
    </xf>
    <xf numFmtId="2" fontId="23" fillId="0" borderId="20" xfId="0" applyNumberFormat="1" applyFont="1" applyBorder="1" applyAlignment="1">
      <alignment horizontal="center" vertical="center" wrapText="1"/>
    </xf>
    <xf numFmtId="2" fontId="23" fillId="0" borderId="22" xfId="0" applyNumberFormat="1" applyFont="1" applyBorder="1" applyAlignment="1">
      <alignment horizontal="center" vertical="center" wrapText="1"/>
    </xf>
    <xf numFmtId="2" fontId="17" fillId="0" borderId="11" xfId="0" applyNumberFormat="1" applyFont="1" applyFill="1" applyBorder="1" applyAlignment="1">
      <alignment horizontal="center" vertical="center" wrapText="1"/>
    </xf>
    <xf numFmtId="2" fontId="18" fillId="0" borderId="43" xfId="0" applyNumberFormat="1" applyFont="1" applyFill="1" applyBorder="1" applyAlignment="1">
      <alignment horizontal="center" vertical="center" wrapText="1"/>
    </xf>
    <xf numFmtId="2" fontId="4" fillId="0" borderId="65" xfId="0" applyNumberFormat="1" applyFont="1" applyBorder="1"/>
    <xf numFmtId="2" fontId="4" fillId="0" borderId="0" xfId="0" applyNumberFormat="1" applyFont="1" applyBorder="1"/>
    <xf numFmtId="2" fontId="21" fillId="0" borderId="43" xfId="0" applyNumberFormat="1" applyFont="1" applyFill="1" applyBorder="1" applyAlignment="1">
      <alignment horizontal="center" vertical="center" wrapText="1"/>
    </xf>
    <xf numFmtId="2" fontId="21" fillId="0" borderId="41" xfId="0" applyNumberFormat="1" applyFont="1" applyFill="1" applyBorder="1" applyAlignment="1">
      <alignment horizontal="center" vertical="center" wrapText="1"/>
    </xf>
    <xf numFmtId="2" fontId="20" fillId="0" borderId="42" xfId="0" applyNumberFormat="1" applyFont="1" applyFill="1" applyBorder="1" applyAlignment="1">
      <alignment horizontal="center" vertical="center" wrapText="1"/>
    </xf>
    <xf numFmtId="2" fontId="20" fillId="0" borderId="43" xfId="0" applyNumberFormat="1" applyFont="1" applyFill="1" applyBorder="1" applyAlignment="1">
      <alignment horizontal="center" vertical="center" wrapText="1"/>
    </xf>
    <xf numFmtId="2" fontId="20" fillId="0" borderId="46" xfId="0" applyNumberFormat="1" applyFont="1" applyFill="1" applyBorder="1" applyAlignment="1">
      <alignment horizontal="center" vertical="center" wrapText="1"/>
    </xf>
    <xf numFmtId="2" fontId="20" fillId="31" borderId="68" xfId="0" applyNumberFormat="1" applyFont="1" applyFill="1" applyBorder="1" applyAlignment="1">
      <alignment horizontal="center" vertical="center" wrapText="1"/>
    </xf>
    <xf numFmtId="2" fontId="20" fillId="31" borderId="25" xfId="0" applyNumberFormat="1" applyFont="1" applyFill="1" applyBorder="1" applyAlignment="1">
      <alignment horizontal="center" vertical="center" wrapText="1"/>
    </xf>
    <xf numFmtId="2" fontId="20" fillId="31" borderId="11" xfId="0" applyNumberFormat="1" applyFont="1" applyFill="1" applyBorder="1" applyAlignment="1">
      <alignment horizontal="center" vertical="center" wrapText="1"/>
    </xf>
    <xf numFmtId="2" fontId="20" fillId="31" borderId="0" xfId="0" applyNumberFormat="1" applyFont="1" applyFill="1" applyBorder="1" applyAlignment="1">
      <alignment horizontal="center" vertical="center" wrapText="1"/>
    </xf>
    <xf numFmtId="2" fontId="20" fillId="31" borderId="52" xfId="0" applyNumberFormat="1" applyFont="1" applyFill="1" applyBorder="1" applyAlignment="1">
      <alignment horizontal="center" vertical="center" wrapText="1"/>
    </xf>
    <xf numFmtId="2" fontId="4" fillId="0" borderId="11" xfId="0" applyNumberFormat="1" applyFont="1" applyBorder="1" applyAlignment="1">
      <alignment horizontal="center" vertical="center"/>
    </xf>
    <xf numFmtId="2" fontId="25" fillId="2" borderId="178" xfId="0" applyNumberFormat="1" applyFont="1" applyFill="1" applyBorder="1" applyAlignment="1">
      <alignment horizontal="center" vertical="center" wrapText="1"/>
    </xf>
    <xf numFmtId="2" fontId="23" fillId="0" borderId="6" xfId="0" applyNumberFormat="1" applyFont="1" applyBorder="1" applyAlignment="1">
      <alignment horizontal="center" vertical="center" wrapText="1"/>
    </xf>
    <xf numFmtId="2" fontId="4" fillId="0" borderId="178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/>
    </xf>
    <xf numFmtId="2" fontId="4" fillId="0" borderId="22" xfId="0" applyNumberFormat="1" applyFont="1" applyBorder="1" applyAlignment="1">
      <alignment horizontal="center" vertical="center"/>
    </xf>
    <xf numFmtId="2" fontId="16" fillId="2" borderId="24" xfId="0" applyNumberFormat="1" applyFont="1" applyFill="1" applyBorder="1" applyAlignment="1">
      <alignment horizontal="left" vertical="center" wrapText="1"/>
    </xf>
    <xf numFmtId="2" fontId="25" fillId="22" borderId="176" xfId="0" applyNumberFormat="1" applyFont="1" applyFill="1" applyBorder="1" applyAlignment="1">
      <alignment horizontal="center" vertical="center"/>
    </xf>
    <xf numFmtId="2" fontId="25" fillId="22" borderId="13" xfId="0" applyNumberFormat="1" applyFont="1" applyFill="1" applyBorder="1" applyAlignment="1">
      <alignment horizontal="center" vertical="center"/>
    </xf>
    <xf numFmtId="2" fontId="25" fillId="22" borderId="12" xfId="0" applyNumberFormat="1" applyFont="1" applyFill="1" applyBorder="1" applyAlignment="1">
      <alignment horizontal="center" vertical="center"/>
    </xf>
    <xf numFmtId="2" fontId="17" fillId="51" borderId="5" xfId="0" applyNumberFormat="1" applyFont="1" applyFill="1" applyBorder="1" applyAlignment="1">
      <alignment horizontal="center" vertical="center" wrapText="1"/>
    </xf>
    <xf numFmtId="2" fontId="4" fillId="51" borderId="11" xfId="0" applyNumberFormat="1" applyFont="1" applyFill="1" applyBorder="1" applyAlignment="1">
      <alignment vertical="center" wrapText="1"/>
    </xf>
    <xf numFmtId="2" fontId="4" fillId="51" borderId="25" xfId="0" applyNumberFormat="1" applyFont="1" applyFill="1" applyBorder="1" applyAlignment="1">
      <alignment vertical="center" wrapText="1"/>
    </xf>
    <xf numFmtId="2" fontId="25" fillId="22" borderId="189" xfId="0" applyNumberFormat="1" applyFont="1" applyFill="1" applyBorder="1" applyAlignment="1">
      <alignment horizontal="center" vertical="center"/>
    </xf>
    <xf numFmtId="2" fontId="25" fillId="22" borderId="10" xfId="0" applyNumberFormat="1" applyFont="1" applyFill="1" applyBorder="1" applyAlignment="1">
      <alignment horizontal="center" vertical="center"/>
    </xf>
    <xf numFmtId="2" fontId="20" fillId="0" borderId="5" xfId="0" applyNumberFormat="1" applyFont="1" applyBorder="1" applyAlignment="1">
      <alignment horizontal="center" vertical="center" wrapText="1"/>
    </xf>
    <xf numFmtId="2" fontId="20" fillId="0" borderId="11" xfId="0" applyNumberFormat="1" applyFont="1" applyBorder="1" applyAlignment="1">
      <alignment horizontal="center" vertical="center" wrapText="1"/>
    </xf>
    <xf numFmtId="2" fontId="20" fillId="0" borderId="25" xfId="0" applyNumberFormat="1" applyFont="1" applyBorder="1" applyAlignment="1">
      <alignment horizontal="center" vertical="center" wrapText="1"/>
    </xf>
    <xf numFmtId="2" fontId="18" fillId="0" borderId="14" xfId="4" applyNumberFormat="1" applyFont="1" applyBorder="1" applyAlignment="1">
      <alignment horizontal="center" vertical="center" wrapText="1"/>
    </xf>
    <xf numFmtId="2" fontId="18" fillId="0" borderId="6" xfId="4" applyNumberFormat="1" applyFont="1" applyBorder="1" applyAlignment="1">
      <alignment horizontal="center" vertical="center" wrapText="1"/>
    </xf>
    <xf numFmtId="2" fontId="18" fillId="0" borderId="22" xfId="4" applyNumberFormat="1" applyFont="1" applyBorder="1" applyAlignment="1">
      <alignment horizontal="center" vertical="center" wrapText="1"/>
    </xf>
    <xf numFmtId="2" fontId="18" fillId="0" borderId="15" xfId="4" applyNumberFormat="1" applyFont="1" applyBorder="1" applyAlignment="1">
      <alignment horizontal="center" vertical="center" wrapText="1"/>
    </xf>
    <xf numFmtId="2" fontId="18" fillId="0" borderId="13" xfId="4" applyNumberFormat="1" applyFont="1" applyBorder="1" applyAlignment="1">
      <alignment horizontal="center" vertical="center" wrapText="1"/>
    </xf>
    <xf numFmtId="2" fontId="18" fillId="0" borderId="12" xfId="4" applyNumberFormat="1" applyFont="1" applyBorder="1" applyAlignment="1">
      <alignment horizontal="center" vertical="center" wrapText="1"/>
    </xf>
    <xf numFmtId="2" fontId="17" fillId="0" borderId="64" xfId="4" applyNumberFormat="1" applyFont="1" applyBorder="1" applyAlignment="1">
      <alignment horizontal="center" vertical="center" wrapText="1"/>
    </xf>
    <xf numFmtId="2" fontId="17" fillId="0" borderId="65" xfId="4" applyNumberFormat="1" applyFont="1" applyBorder="1" applyAlignment="1">
      <alignment horizontal="center" vertical="center" wrapText="1"/>
    </xf>
    <xf numFmtId="2" fontId="17" fillId="0" borderId="67" xfId="4" applyNumberFormat="1" applyFont="1" applyBorder="1" applyAlignment="1">
      <alignment horizontal="center" vertical="center" wrapText="1"/>
    </xf>
    <xf numFmtId="2" fontId="20" fillId="19" borderId="15" xfId="4" applyNumberFormat="1" applyFont="1" applyFill="1" applyBorder="1" applyAlignment="1">
      <alignment horizontal="center" vertical="center" wrapText="1"/>
    </xf>
    <xf numFmtId="2" fontId="4" fillId="19" borderId="13" xfId="0" applyNumberFormat="1" applyFont="1" applyFill="1" applyBorder="1" applyAlignment="1">
      <alignment horizontal="center" vertical="center" wrapText="1"/>
    </xf>
    <xf numFmtId="2" fontId="4" fillId="19" borderId="12" xfId="0" applyNumberFormat="1" applyFont="1" applyFill="1" applyBorder="1" applyAlignment="1">
      <alignment horizontal="center" vertical="center" wrapText="1"/>
    </xf>
    <xf numFmtId="2" fontId="24" fillId="2" borderId="15" xfId="0" applyNumberFormat="1" applyFont="1" applyFill="1" applyBorder="1" applyAlignment="1">
      <alignment horizontal="center" vertical="center" wrapText="1"/>
    </xf>
    <xf numFmtId="2" fontId="24" fillId="2" borderId="13" xfId="0" applyNumberFormat="1" applyFont="1" applyFill="1" applyBorder="1" applyAlignment="1">
      <alignment horizontal="center" vertical="center" wrapText="1"/>
    </xf>
    <xf numFmtId="2" fontId="24" fillId="2" borderId="12" xfId="0" applyNumberFormat="1" applyFont="1" applyFill="1" applyBorder="1" applyAlignment="1">
      <alignment horizontal="center" vertical="center" wrapText="1"/>
    </xf>
    <xf numFmtId="2" fontId="23" fillId="0" borderId="15" xfId="6" applyNumberFormat="1" applyFont="1" applyBorder="1" applyAlignment="1">
      <alignment horizontal="center" vertical="center" wrapText="1"/>
    </xf>
    <xf numFmtId="2" fontId="23" fillId="0" borderId="13" xfId="6" applyNumberFormat="1" applyFont="1" applyBorder="1" applyAlignment="1">
      <alignment horizontal="center" vertical="center" wrapText="1"/>
    </xf>
    <xf numFmtId="2" fontId="23" fillId="0" borderId="12" xfId="6" applyNumberFormat="1" applyFont="1" applyBorder="1" applyAlignment="1">
      <alignment horizontal="center" vertical="center" wrapText="1"/>
    </xf>
    <xf numFmtId="2" fontId="25" fillId="0" borderId="76" xfId="4" applyNumberFormat="1" applyFont="1" applyBorder="1" applyAlignment="1">
      <alignment horizontal="center" vertical="center" wrapText="1"/>
    </xf>
    <xf numFmtId="2" fontId="25" fillId="0" borderId="18" xfId="4" applyNumberFormat="1" applyFont="1" applyBorder="1" applyAlignment="1">
      <alignment horizontal="center" vertical="center" wrapText="1"/>
    </xf>
    <xf numFmtId="2" fontId="25" fillId="0" borderId="17" xfId="4" applyNumberFormat="1" applyFont="1" applyBorder="1" applyAlignment="1">
      <alignment horizontal="center" vertical="center" wrapText="1"/>
    </xf>
    <xf numFmtId="2" fontId="23" fillId="0" borderId="176" xfId="6" applyNumberFormat="1" applyFont="1" applyBorder="1" applyAlignment="1">
      <alignment horizontal="center" vertical="center"/>
    </xf>
    <xf numFmtId="2" fontId="23" fillId="0" borderId="12" xfId="6" applyNumberFormat="1" applyFont="1" applyBorder="1" applyAlignment="1">
      <alignment horizontal="center" vertical="center"/>
    </xf>
    <xf numFmtId="2" fontId="18" fillId="0" borderId="64" xfId="0" applyNumberFormat="1" applyFont="1" applyFill="1" applyBorder="1" applyAlignment="1">
      <alignment horizontal="center" vertical="center" wrapText="1"/>
    </xf>
    <xf numFmtId="2" fontId="4" fillId="0" borderId="65" xfId="0" applyNumberFormat="1" applyFont="1" applyBorder="1" applyAlignment="1">
      <alignment horizontal="center" wrapText="1"/>
    </xf>
    <xf numFmtId="2" fontId="4" fillId="0" borderId="67" xfId="0" applyNumberFormat="1" applyFont="1" applyBorder="1" applyAlignment="1">
      <alignment horizontal="center" wrapText="1"/>
    </xf>
    <xf numFmtId="2" fontId="22" fillId="0" borderId="176" xfId="0" applyNumberFormat="1" applyFont="1" applyBorder="1" applyAlignment="1">
      <alignment horizontal="center" vertical="center" wrapText="1"/>
    </xf>
    <xf numFmtId="2" fontId="22" fillId="0" borderId="13" xfId="0" applyNumberFormat="1" applyFont="1" applyBorder="1" applyAlignment="1">
      <alignment horizontal="center" vertical="center" wrapText="1"/>
    </xf>
    <xf numFmtId="2" fontId="22" fillId="0" borderId="12" xfId="0" applyNumberFormat="1" applyFont="1" applyBorder="1" applyAlignment="1">
      <alignment horizontal="center" vertical="center" wrapText="1"/>
    </xf>
    <xf numFmtId="3" fontId="25" fillId="22" borderId="164" xfId="0" applyNumberFormat="1" applyFont="1" applyFill="1" applyBorder="1" applyAlignment="1">
      <alignment horizontal="center" vertical="center"/>
    </xf>
    <xf numFmtId="3" fontId="25" fillId="22" borderId="10" xfId="0" applyNumberFormat="1" applyFont="1" applyFill="1" applyBorder="1" applyAlignment="1">
      <alignment horizontal="center" vertical="center"/>
    </xf>
    <xf numFmtId="3" fontId="25" fillId="22" borderId="72" xfId="0" applyNumberFormat="1" applyFont="1" applyFill="1" applyBorder="1" applyAlignment="1">
      <alignment horizontal="center" vertical="center"/>
    </xf>
    <xf numFmtId="2" fontId="25" fillId="32" borderId="125" xfId="0" applyNumberFormat="1" applyFont="1" applyFill="1" applyBorder="1" applyAlignment="1">
      <alignment horizontal="center" vertical="center" wrapText="1"/>
    </xf>
    <xf numFmtId="2" fontId="25" fillId="32" borderId="6" xfId="0" applyNumberFormat="1" applyFont="1" applyFill="1" applyBorder="1" applyAlignment="1">
      <alignment horizontal="center" vertical="center" wrapText="1"/>
    </xf>
    <xf numFmtId="2" fontId="25" fillId="32" borderId="22" xfId="0" applyNumberFormat="1" applyFont="1" applyFill="1" applyBorder="1" applyAlignment="1">
      <alignment horizontal="center" vertical="center" wrapText="1"/>
    </xf>
    <xf numFmtId="0" fontId="20" fillId="19" borderId="12" xfId="4" applyFont="1" applyFill="1" applyBorder="1" applyAlignment="1">
      <alignment horizontal="center" vertical="center" wrapText="1"/>
    </xf>
    <xf numFmtId="3" fontId="24" fillId="22" borderId="91" xfId="0" applyNumberFormat="1" applyFont="1" applyFill="1" applyBorder="1" applyAlignment="1">
      <alignment horizontal="center" vertical="center"/>
    </xf>
    <xf numFmtId="3" fontId="25" fillId="22" borderId="91" xfId="0" applyNumberFormat="1" applyFont="1" applyFill="1" applyBorder="1" applyAlignment="1">
      <alignment horizontal="center" vertical="center"/>
    </xf>
    <xf numFmtId="3" fontId="4" fillId="0" borderId="0" xfId="0" applyNumberFormat="1" applyFont="1" applyBorder="1" applyAlignment="1">
      <alignment horizontal="justify" vertical="top" wrapText="1"/>
    </xf>
    <xf numFmtId="3" fontId="4" fillId="0" borderId="26" xfId="0" applyNumberFormat="1" applyFont="1" applyBorder="1" applyAlignment="1">
      <alignment horizontal="justify" vertical="top" wrapText="1"/>
    </xf>
    <xf numFmtId="0" fontId="24" fillId="2" borderId="42" xfId="0" applyFont="1" applyFill="1" applyBorder="1" applyAlignment="1">
      <alignment horizontal="center" vertical="center" wrapText="1"/>
    </xf>
    <xf numFmtId="0" fontId="24" fillId="2" borderId="43" xfId="0" applyFont="1" applyFill="1" applyBorder="1" applyAlignment="1">
      <alignment horizontal="center" vertical="center" wrapText="1"/>
    </xf>
    <xf numFmtId="0" fontId="24" fillId="2" borderId="41" xfId="0" applyFont="1" applyFill="1" applyBorder="1" applyAlignment="1">
      <alignment horizontal="center" vertical="center" wrapText="1"/>
    </xf>
    <xf numFmtId="0" fontId="25" fillId="2" borderId="117" xfId="0" applyFont="1" applyFill="1" applyBorder="1" applyAlignment="1">
      <alignment horizontal="center" vertical="center" wrapText="1"/>
    </xf>
    <xf numFmtId="0" fontId="23" fillId="2" borderId="40" xfId="0" applyFont="1" applyFill="1" applyBorder="1" applyAlignment="1">
      <alignment horizontal="center" wrapText="1"/>
    </xf>
    <xf numFmtId="0" fontId="23" fillId="2" borderId="44" xfId="0" applyFont="1" applyFill="1" applyBorder="1" applyAlignment="1">
      <alignment horizontal="center" wrapText="1"/>
    </xf>
    <xf numFmtId="0" fontId="23" fillId="2" borderId="117" xfId="0" applyFont="1" applyFill="1" applyBorder="1" applyAlignment="1">
      <alignment horizontal="center" wrapText="1"/>
    </xf>
    <xf numFmtId="0" fontId="23" fillId="2" borderId="42" xfId="0" applyFont="1" applyFill="1" applyBorder="1" applyAlignment="1">
      <alignment horizontal="center" wrapText="1"/>
    </xf>
    <xf numFmtId="0" fontId="23" fillId="2" borderId="41" xfId="0" applyFont="1" applyFill="1" applyBorder="1" applyAlignment="1">
      <alignment horizontal="center" wrapText="1"/>
    </xf>
    <xf numFmtId="0" fontId="23" fillId="2" borderId="43" xfId="0" applyFont="1" applyFill="1" applyBorder="1" applyAlignment="1">
      <alignment horizontal="center" wrapText="1"/>
    </xf>
    <xf numFmtId="3" fontId="25" fillId="22" borderId="122" xfId="0" applyNumberFormat="1" applyFont="1" applyFill="1" applyBorder="1" applyAlignment="1">
      <alignment horizontal="center" vertical="center"/>
    </xf>
    <xf numFmtId="3" fontId="25" fillId="22" borderId="189" xfId="0" applyNumberFormat="1" applyFont="1" applyFill="1" applyBorder="1" applyAlignment="1">
      <alignment horizontal="center" vertical="center"/>
    </xf>
    <xf numFmtId="0" fontId="24" fillId="0" borderId="42" xfId="0" applyFont="1" applyFill="1" applyBorder="1" applyAlignment="1">
      <alignment horizontal="center" vertical="center" wrapText="1"/>
    </xf>
    <xf numFmtId="0" fontId="23" fillId="0" borderId="43" xfId="0" applyFont="1" applyBorder="1" applyAlignment="1">
      <alignment horizontal="center" wrapText="1"/>
    </xf>
    <xf numFmtId="0" fontId="23" fillId="0" borderId="41" xfId="0" applyFont="1" applyBorder="1" applyAlignment="1">
      <alignment horizontal="center" wrapText="1"/>
    </xf>
    <xf numFmtId="3" fontId="24" fillId="22" borderId="164" xfId="0" applyNumberFormat="1" applyFont="1" applyFill="1" applyBorder="1" applyAlignment="1">
      <alignment horizontal="center" vertical="center"/>
    </xf>
    <xf numFmtId="0" fontId="17" fillId="0" borderId="25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0" fontId="17" fillId="0" borderId="11" xfId="0" applyFont="1" applyFill="1" applyBorder="1" applyAlignment="1">
      <alignment horizontal="center" vertical="center"/>
    </xf>
    <xf numFmtId="0" fontId="17" fillId="0" borderId="26" xfId="0" applyFont="1" applyFill="1" applyBorder="1" applyAlignment="1">
      <alignment horizontal="center" vertical="center"/>
    </xf>
    <xf numFmtId="0" fontId="23" fillId="0" borderId="22" xfId="0" applyFont="1" applyBorder="1" applyAlignment="1">
      <alignment horizontal="center" vertical="center" wrapText="1"/>
    </xf>
    <xf numFmtId="0" fontId="23" fillId="0" borderId="178" xfId="0" applyFont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0" fontId="23" fillId="0" borderId="20" xfId="0" applyFont="1" applyBorder="1" applyAlignment="1">
      <alignment horizontal="center" vertical="center" wrapText="1"/>
    </xf>
    <xf numFmtId="0" fontId="23" fillId="0" borderId="38" xfId="0" applyFont="1" applyBorder="1" applyAlignment="1">
      <alignment horizontal="center" vertical="center" wrapText="1"/>
    </xf>
    <xf numFmtId="0" fontId="36" fillId="0" borderId="162" xfId="4" applyFont="1" applyFill="1" applyBorder="1" applyAlignment="1">
      <alignment horizontal="center" vertical="center" wrapText="1"/>
    </xf>
    <xf numFmtId="0" fontId="36" fillId="0" borderId="26" xfId="4" applyFont="1" applyFill="1" applyBorder="1" applyAlignment="1">
      <alignment horizontal="center" vertical="center" wrapText="1"/>
    </xf>
    <xf numFmtId="0" fontId="36" fillId="0" borderId="66" xfId="4" applyFont="1" applyFill="1" applyBorder="1" applyAlignment="1">
      <alignment horizontal="center" vertical="center" wrapText="1"/>
    </xf>
    <xf numFmtId="0" fontId="8" fillId="0" borderId="178" xfId="4" applyFont="1" applyFill="1" applyBorder="1" applyAlignment="1">
      <alignment horizontal="center" vertical="center" wrapText="1"/>
    </xf>
    <xf numFmtId="0" fontId="8" fillId="0" borderId="20" xfId="4" applyFont="1" applyFill="1" applyBorder="1" applyAlignment="1">
      <alignment horizontal="center" vertical="center" wrapText="1"/>
    </xf>
    <xf numFmtId="3" fontId="24" fillId="22" borderId="97" xfId="0" applyNumberFormat="1" applyFont="1" applyFill="1" applyBorder="1" applyAlignment="1">
      <alignment horizontal="center" vertical="center"/>
    </xf>
    <xf numFmtId="3" fontId="24" fillId="22" borderId="35" xfId="0" applyNumberFormat="1" applyFont="1" applyFill="1" applyBorder="1" applyAlignment="1">
      <alignment horizontal="center" vertical="center"/>
    </xf>
    <xf numFmtId="3" fontId="25" fillId="22" borderId="35" xfId="0" applyNumberFormat="1" applyFont="1" applyFill="1" applyBorder="1" applyAlignment="1">
      <alignment horizontal="center" vertical="center"/>
    </xf>
    <xf numFmtId="0" fontId="25" fillId="2" borderId="178" xfId="0" applyFont="1" applyFill="1" applyBorder="1" applyAlignment="1">
      <alignment horizontal="center" vertical="center" wrapText="1"/>
    </xf>
    <xf numFmtId="0" fontId="17" fillId="0" borderId="102" xfId="0" applyFont="1" applyFill="1" applyBorder="1" applyAlignment="1">
      <alignment horizontal="center" vertical="center"/>
    </xf>
    <xf numFmtId="3" fontId="25" fillId="22" borderId="15" xfId="0" applyNumberFormat="1" applyFont="1" applyFill="1" applyBorder="1" applyAlignment="1">
      <alignment horizontal="center" vertical="center"/>
    </xf>
    <xf numFmtId="0" fontId="8" fillId="0" borderId="101" xfId="4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20" xfId="0" applyFont="1" applyFill="1" applyBorder="1" applyAlignment="1">
      <alignment horizontal="center" vertical="center" wrapText="1"/>
    </xf>
    <xf numFmtId="3" fontId="25" fillId="22" borderId="97" xfId="0" applyNumberFormat="1" applyFont="1" applyFill="1" applyBorder="1" applyAlignment="1">
      <alignment horizontal="center" vertical="center"/>
    </xf>
    <xf numFmtId="0" fontId="17" fillId="0" borderId="42" xfId="0" applyFont="1" applyFill="1" applyBorder="1" applyAlignment="1">
      <alignment horizontal="center" vertical="center" wrapText="1"/>
    </xf>
    <xf numFmtId="0" fontId="37" fillId="0" borderId="43" xfId="0" applyFont="1" applyBorder="1" applyAlignment="1">
      <alignment horizontal="center" wrapText="1"/>
    </xf>
    <xf numFmtId="0" fontId="37" fillId="0" borderId="41" xfId="0" applyFont="1" applyBorder="1" applyAlignment="1">
      <alignment horizontal="center" wrapText="1"/>
    </xf>
    <xf numFmtId="0" fontId="25" fillId="2" borderId="6" xfId="0" applyFont="1" applyFill="1" applyBorder="1" applyAlignment="1">
      <alignment horizontal="center" vertical="center" wrapText="1"/>
    </xf>
    <xf numFmtId="0" fontId="31" fillId="32" borderId="0" xfId="0" applyFont="1" applyFill="1" applyBorder="1" applyAlignment="1">
      <alignment horizontal="left" vertical="center" wrapText="1"/>
    </xf>
    <xf numFmtId="0" fontId="16" fillId="2" borderId="24" xfId="0" applyFont="1" applyFill="1" applyBorder="1" applyAlignment="1">
      <alignment horizontal="left" vertical="center" wrapText="1"/>
    </xf>
    <xf numFmtId="0" fontId="20" fillId="0" borderId="52" xfId="0" applyFont="1" applyBorder="1" applyAlignment="1">
      <alignment horizontal="center" vertical="center" wrapText="1"/>
    </xf>
    <xf numFmtId="0" fontId="18" fillId="0" borderId="15" xfId="4" applyFont="1" applyBorder="1" applyAlignment="1">
      <alignment horizontal="center" vertical="center" wrapText="1"/>
    </xf>
    <xf numFmtId="0" fontId="22" fillId="0" borderId="12" xfId="6" applyFont="1" applyBorder="1" applyAlignment="1">
      <alignment horizontal="center" vertical="center" wrapText="1"/>
    </xf>
    <xf numFmtId="0" fontId="17" fillId="0" borderId="64" xfId="4" applyFont="1" applyBorder="1" applyAlignment="1">
      <alignment horizontal="center" vertical="center" wrapText="1"/>
    </xf>
    <xf numFmtId="0" fontId="17" fillId="0" borderId="67" xfId="4" applyFont="1" applyBorder="1" applyAlignment="1">
      <alignment horizontal="center" vertical="center" wrapText="1"/>
    </xf>
    <xf numFmtId="0" fontId="24" fillId="2" borderId="15" xfId="0" applyFont="1" applyFill="1" applyBorder="1" applyAlignment="1">
      <alignment horizontal="center" vertical="center" wrapText="1"/>
    </xf>
    <xf numFmtId="0" fontId="24" fillId="2" borderId="12" xfId="0" applyFont="1" applyFill="1" applyBorder="1" applyAlignment="1">
      <alignment horizontal="center" vertical="center" wrapText="1"/>
    </xf>
    <xf numFmtId="0" fontId="23" fillId="0" borderId="186" xfId="0" applyFont="1" applyBorder="1" applyAlignment="1">
      <alignment horizontal="center" wrapText="1"/>
    </xf>
    <xf numFmtId="0" fontId="23" fillId="0" borderId="40" xfId="0" applyFont="1" applyBorder="1" applyAlignment="1">
      <alignment horizontal="center" wrapText="1"/>
    </xf>
    <xf numFmtId="0" fontId="23" fillId="0" borderId="44" xfId="0" applyFont="1" applyBorder="1" applyAlignment="1">
      <alignment horizontal="center" wrapText="1"/>
    </xf>
    <xf numFmtId="0" fontId="25" fillId="2" borderId="101" xfId="0" applyFont="1" applyFill="1" applyBorder="1" applyAlignment="1">
      <alignment horizontal="center" vertical="center" wrapText="1"/>
    </xf>
    <xf numFmtId="0" fontId="7" fillId="0" borderId="178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20" xfId="0" applyFont="1" applyFill="1" applyBorder="1" applyAlignment="1">
      <alignment horizontal="center" vertical="center" wrapText="1"/>
    </xf>
    <xf numFmtId="0" fontId="8" fillId="0" borderId="6" xfId="4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24" fillId="0" borderId="40" xfId="0" applyFont="1" applyFill="1" applyBorder="1" applyAlignment="1">
      <alignment horizontal="center" vertical="center" wrapText="1"/>
    </xf>
    <xf numFmtId="0" fontId="32" fillId="0" borderId="40" xfId="0" applyFont="1" applyBorder="1"/>
    <xf numFmtId="3" fontId="25" fillId="28" borderId="42" xfId="0" applyNumberFormat="1" applyFont="1" applyFill="1" applyBorder="1" applyAlignment="1">
      <alignment horizontal="center" vertical="center" wrapText="1"/>
    </xf>
    <xf numFmtId="3" fontId="25" fillId="28" borderId="43" xfId="0" applyNumberFormat="1" applyFont="1" applyFill="1" applyBorder="1" applyAlignment="1">
      <alignment horizontal="center" vertical="center" wrapText="1"/>
    </xf>
    <xf numFmtId="3" fontId="25" fillId="28" borderId="41" xfId="0" applyNumberFormat="1" applyFont="1" applyFill="1" applyBorder="1" applyAlignment="1">
      <alignment horizontal="center" vertical="center" wrapText="1"/>
    </xf>
    <xf numFmtId="0" fontId="25" fillId="0" borderId="125" xfId="0" applyFont="1" applyFill="1" applyBorder="1" applyAlignment="1">
      <alignment horizontal="center" vertical="center" wrapText="1"/>
    </xf>
    <xf numFmtId="0" fontId="25" fillId="2" borderId="22" xfId="0" applyFont="1" applyFill="1" applyBorder="1" applyAlignment="1">
      <alignment horizontal="center" vertical="center" wrapText="1"/>
    </xf>
    <xf numFmtId="0" fontId="24" fillId="0" borderId="43" xfId="0" applyFont="1" applyFill="1" applyBorder="1" applyAlignment="1">
      <alignment horizontal="center" vertical="center" wrapText="1"/>
    </xf>
    <xf numFmtId="0" fontId="24" fillId="0" borderId="41" xfId="0" applyFont="1" applyFill="1" applyBorder="1" applyAlignment="1">
      <alignment horizontal="center" vertical="center" wrapText="1"/>
    </xf>
    <xf numFmtId="0" fontId="24" fillId="2" borderId="178" xfId="0" applyFont="1" applyFill="1" applyBorder="1" applyAlignment="1">
      <alignment horizontal="center" vertical="center" wrapText="1"/>
    </xf>
    <xf numFmtId="0" fontId="24" fillId="2" borderId="6" xfId="0" applyFont="1" applyFill="1" applyBorder="1" applyAlignment="1">
      <alignment horizontal="center" vertical="center" wrapText="1"/>
    </xf>
    <xf numFmtId="0" fontId="24" fillId="2" borderId="22" xfId="0" applyFont="1" applyFill="1" applyBorder="1" applyAlignment="1">
      <alignment horizontal="center" vertical="center" wrapText="1"/>
    </xf>
    <xf numFmtId="0" fontId="17" fillId="2" borderId="5" xfId="0" applyFont="1" applyFill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0" fontId="17" fillId="2" borderId="25" xfId="0" applyFont="1" applyFill="1" applyBorder="1" applyAlignment="1">
      <alignment horizontal="center" vertical="center"/>
    </xf>
    <xf numFmtId="0" fontId="23" fillId="0" borderId="42" xfId="0" applyFont="1" applyBorder="1" applyAlignment="1">
      <alignment horizontal="center" wrapText="1"/>
    </xf>
    <xf numFmtId="0" fontId="25" fillId="2" borderId="88" xfId="0" applyFont="1" applyFill="1" applyBorder="1" applyAlignment="1">
      <alignment horizontal="center" vertical="center" wrapText="1"/>
    </xf>
    <xf numFmtId="0" fontId="6" fillId="0" borderId="101" xfId="4" applyFont="1" applyFill="1" applyBorder="1" applyAlignment="1">
      <alignment horizontal="center" vertical="center" wrapText="1"/>
    </xf>
    <xf numFmtId="0" fontId="6" fillId="0" borderId="6" xfId="4" applyFont="1" applyFill="1" applyBorder="1" applyAlignment="1">
      <alignment horizontal="center" vertical="center" wrapText="1"/>
    </xf>
    <xf numFmtId="0" fontId="6" fillId="0" borderId="20" xfId="4" applyFont="1" applyFill="1" applyBorder="1" applyAlignment="1">
      <alignment horizontal="center" vertical="center" wrapText="1"/>
    </xf>
    <xf numFmtId="0" fontId="7" fillId="0" borderId="101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8" fillId="0" borderId="22" xfId="4" applyFont="1" applyFill="1" applyBorder="1" applyAlignment="1">
      <alignment horizontal="center" vertical="center" wrapText="1"/>
    </xf>
    <xf numFmtId="0" fontId="8" fillId="0" borderId="38" xfId="4" applyFont="1" applyFill="1" applyBorder="1" applyAlignment="1">
      <alignment horizontal="center" vertical="center" wrapText="1"/>
    </xf>
    <xf numFmtId="0" fontId="8" fillId="0" borderId="20" xfId="4" applyFont="1" applyFill="1" applyBorder="1" applyAlignment="1">
      <alignment horizontal="center" vertical="center"/>
    </xf>
    <xf numFmtId="0" fontId="23" fillId="0" borderId="176" xfId="0" applyFont="1" applyBorder="1" applyAlignment="1">
      <alignment horizontal="center" vertical="center"/>
    </xf>
    <xf numFmtId="0" fontId="23" fillId="0" borderId="15" xfId="0" applyFont="1" applyBorder="1" applyAlignment="1">
      <alignment horizontal="center" vertical="center"/>
    </xf>
    <xf numFmtId="0" fontId="23" fillId="0" borderId="35" xfId="0" applyFont="1" applyBorder="1" applyAlignment="1">
      <alignment horizontal="center" vertical="center"/>
    </xf>
    <xf numFmtId="3" fontId="25" fillId="25" borderId="132" xfId="0" applyNumberFormat="1" applyFont="1" applyFill="1" applyBorder="1" applyAlignment="1">
      <alignment horizontal="center" vertical="center"/>
    </xf>
    <xf numFmtId="3" fontId="25" fillId="25" borderId="75" xfId="0" applyNumberFormat="1" applyFont="1" applyFill="1" applyBorder="1" applyAlignment="1">
      <alignment horizontal="center" vertical="center"/>
    </xf>
    <xf numFmtId="3" fontId="25" fillId="25" borderId="76" xfId="0" applyNumberFormat="1" applyFont="1" applyFill="1" applyBorder="1" applyAlignment="1">
      <alignment horizontal="center" vertical="center"/>
    </xf>
    <xf numFmtId="3" fontId="25" fillId="25" borderId="72" xfId="0" applyNumberFormat="1" applyFont="1" applyFill="1" applyBorder="1" applyAlignment="1">
      <alignment horizontal="center" vertical="center"/>
    </xf>
    <xf numFmtId="0" fontId="26" fillId="0" borderId="84" xfId="0" applyFont="1" applyBorder="1" applyAlignment="1">
      <alignment horizontal="center" vertical="center"/>
    </xf>
    <xf numFmtId="0" fontId="26" fillId="0" borderId="26" xfId="0" applyFont="1" applyBorder="1" applyAlignment="1">
      <alignment horizontal="center" vertical="center"/>
    </xf>
    <xf numFmtId="0" fontId="26" fillId="0" borderId="66" xfId="0" applyFont="1" applyBorder="1" applyAlignment="1">
      <alignment horizontal="center" vertical="center"/>
    </xf>
    <xf numFmtId="0" fontId="20" fillId="2" borderId="6" xfId="0" applyFont="1" applyFill="1" applyBorder="1" applyAlignment="1">
      <alignment horizontal="center" vertical="center" wrapText="1"/>
    </xf>
    <xf numFmtId="0" fontId="20" fillId="2" borderId="22" xfId="0" applyFont="1" applyFill="1" applyBorder="1" applyAlignment="1">
      <alignment horizontal="center" vertical="center" wrapText="1"/>
    </xf>
    <xf numFmtId="0" fontId="21" fillId="0" borderId="43" xfId="0" applyFont="1" applyFill="1" applyBorder="1" applyAlignment="1">
      <alignment horizontal="center" vertical="center" wrapText="1"/>
    </xf>
    <xf numFmtId="0" fontId="21" fillId="0" borderId="41" xfId="0" applyFont="1" applyFill="1" applyBorder="1" applyAlignment="1">
      <alignment horizontal="center" vertical="center" wrapText="1"/>
    </xf>
    <xf numFmtId="3" fontId="25" fillId="25" borderId="189" xfId="0" applyNumberFormat="1" applyFont="1" applyFill="1" applyBorder="1" applyAlignment="1">
      <alignment horizontal="center" vertical="center"/>
    </xf>
    <xf numFmtId="3" fontId="25" fillId="25" borderId="10" xfId="0" applyNumberFormat="1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 wrapText="1"/>
    </xf>
    <xf numFmtId="0" fontId="20" fillId="2" borderId="26" xfId="0" applyFont="1" applyFill="1" applyBorder="1" applyAlignment="1">
      <alignment horizontal="center" vertical="center" wrapText="1"/>
    </xf>
    <xf numFmtId="0" fontId="20" fillId="2" borderId="66" xfId="0" applyFont="1" applyFill="1" applyBorder="1" applyAlignment="1">
      <alignment horizontal="center" vertical="center" wrapText="1"/>
    </xf>
    <xf numFmtId="3" fontId="25" fillId="2" borderId="176" xfId="4" applyNumberFormat="1" applyFont="1" applyFill="1" applyBorder="1" applyAlignment="1">
      <alignment horizontal="center" vertical="center"/>
    </xf>
    <xf numFmtId="3" fontId="25" fillId="2" borderId="13" xfId="4" applyNumberFormat="1" applyFont="1" applyFill="1" applyBorder="1" applyAlignment="1">
      <alignment horizontal="center" vertical="center"/>
    </xf>
    <xf numFmtId="3" fontId="25" fillId="2" borderId="12" xfId="4" applyNumberFormat="1" applyFont="1" applyFill="1" applyBorder="1" applyAlignment="1">
      <alignment horizontal="center" vertical="center"/>
    </xf>
    <xf numFmtId="3" fontId="25" fillId="25" borderId="171" xfId="0" applyNumberFormat="1" applyFont="1" applyFill="1" applyBorder="1" applyAlignment="1">
      <alignment horizontal="center" vertical="center"/>
    </xf>
    <xf numFmtId="3" fontId="25" fillId="25" borderId="27" xfId="0" applyNumberFormat="1" applyFont="1" applyFill="1" applyBorder="1" applyAlignment="1">
      <alignment horizontal="center" vertical="center"/>
    </xf>
    <xf numFmtId="3" fontId="25" fillId="25" borderId="23" xfId="0" applyNumberFormat="1" applyFont="1" applyFill="1" applyBorder="1" applyAlignment="1">
      <alignment horizontal="center" vertical="center"/>
    </xf>
    <xf numFmtId="0" fontId="21" fillId="0" borderId="42" xfId="0" applyFont="1" applyFill="1" applyBorder="1" applyAlignment="1">
      <alignment horizontal="center" vertical="center" wrapText="1"/>
    </xf>
    <xf numFmtId="0" fontId="21" fillId="0" borderId="40" xfId="0" applyFont="1" applyFill="1" applyBorder="1" applyAlignment="1">
      <alignment horizontal="center" vertical="center" wrapText="1"/>
    </xf>
    <xf numFmtId="0" fontId="21" fillId="0" borderId="65" xfId="0" applyFont="1" applyFill="1" applyBorder="1" applyAlignment="1">
      <alignment horizontal="center" vertical="center" wrapText="1"/>
    </xf>
    <xf numFmtId="0" fontId="21" fillId="0" borderId="67" xfId="0" applyFont="1" applyFill="1" applyBorder="1" applyAlignment="1">
      <alignment horizontal="center" vertical="center" wrapText="1"/>
    </xf>
    <xf numFmtId="0" fontId="21" fillId="0" borderId="77" xfId="0" applyFont="1" applyFill="1" applyBorder="1" applyAlignment="1">
      <alignment horizontal="center" vertical="center" wrapText="1"/>
    </xf>
    <xf numFmtId="0" fontId="4" fillId="0" borderId="77" xfId="0" applyFont="1" applyBorder="1"/>
    <xf numFmtId="0" fontId="23" fillId="0" borderId="171" xfId="0" applyFont="1" applyBorder="1" applyAlignment="1">
      <alignment horizontal="center" vertical="center"/>
    </xf>
    <xf numFmtId="0" fontId="23" fillId="0" borderId="9" xfId="0" applyFont="1" applyBorder="1" applyAlignment="1">
      <alignment horizontal="center" vertical="center"/>
    </xf>
    <xf numFmtId="3" fontId="25" fillId="2" borderId="171" xfId="4" applyNumberFormat="1" applyFont="1" applyFill="1" applyBorder="1" applyAlignment="1">
      <alignment horizontal="center" vertical="center" wrapText="1"/>
    </xf>
    <xf numFmtId="3" fontId="25" fillId="2" borderId="9" xfId="4" applyNumberFormat="1" applyFont="1" applyFill="1" applyBorder="1" applyAlignment="1">
      <alignment horizontal="center" vertical="center" wrapText="1"/>
    </xf>
    <xf numFmtId="0" fontId="23" fillId="0" borderId="23" xfId="0" applyFont="1" applyBorder="1" applyAlignment="1">
      <alignment horizontal="center" vertical="center"/>
    </xf>
    <xf numFmtId="0" fontId="23" fillId="0" borderId="12" xfId="0" applyFont="1" applyBorder="1" applyAlignment="1">
      <alignment horizontal="center" vertical="center"/>
    </xf>
    <xf numFmtId="3" fontId="25" fillId="2" borderId="176" xfId="4" applyNumberFormat="1" applyFont="1" applyFill="1" applyBorder="1" applyAlignment="1">
      <alignment horizontal="center" vertical="center" wrapText="1"/>
    </xf>
    <xf numFmtId="3" fontId="25" fillId="2" borderId="13" xfId="4" applyNumberFormat="1" applyFont="1" applyFill="1" applyBorder="1" applyAlignment="1">
      <alignment horizontal="center" vertical="center" wrapText="1"/>
    </xf>
    <xf numFmtId="3" fontId="25" fillId="2" borderId="35" xfId="4" applyNumberFormat="1" applyFont="1" applyFill="1" applyBorder="1" applyAlignment="1">
      <alignment horizontal="center" vertical="center" wrapText="1"/>
    </xf>
    <xf numFmtId="0" fontId="20" fillId="2" borderId="14" xfId="0" applyFont="1" applyFill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/>
    </xf>
    <xf numFmtId="3" fontId="25" fillId="22" borderId="176" xfId="0" applyNumberFormat="1" applyFont="1" applyFill="1" applyBorder="1" applyAlignment="1">
      <alignment horizontal="center" vertical="top"/>
    </xf>
    <xf numFmtId="3" fontId="25" fillId="22" borderId="13" xfId="0" applyNumberFormat="1" applyFont="1" applyFill="1" applyBorder="1" applyAlignment="1">
      <alignment horizontal="center" vertical="top"/>
    </xf>
    <xf numFmtId="3" fontId="25" fillId="22" borderId="35" xfId="0" applyNumberFormat="1" applyFont="1" applyFill="1" applyBorder="1" applyAlignment="1">
      <alignment horizontal="center" vertical="top"/>
    </xf>
    <xf numFmtId="3" fontId="20" fillId="2" borderId="164" xfId="4" applyNumberFormat="1" applyFont="1" applyFill="1" applyBorder="1" applyAlignment="1">
      <alignment horizontal="center" vertical="center" wrapText="1"/>
    </xf>
    <xf numFmtId="3" fontId="20" fillId="2" borderId="13" xfId="4" applyNumberFormat="1" applyFont="1" applyFill="1" applyBorder="1" applyAlignment="1">
      <alignment horizontal="center" vertical="center" wrapText="1"/>
    </xf>
    <xf numFmtId="3" fontId="20" fillId="2" borderId="35" xfId="4" applyNumberFormat="1" applyFont="1" applyFill="1" applyBorder="1" applyAlignment="1">
      <alignment horizontal="center" vertical="center" wrapText="1"/>
    </xf>
    <xf numFmtId="3" fontId="20" fillId="2" borderId="12" xfId="4" applyNumberFormat="1" applyFont="1" applyFill="1" applyBorder="1" applyAlignment="1">
      <alignment horizontal="center" vertical="center" wrapText="1"/>
    </xf>
    <xf numFmtId="0" fontId="4" fillId="0" borderId="41" xfId="0" applyFont="1" applyBorder="1"/>
    <xf numFmtId="3" fontId="25" fillId="25" borderId="105" xfId="0" applyNumberFormat="1" applyFont="1" applyFill="1" applyBorder="1" applyAlignment="1">
      <alignment horizontal="center" vertical="center"/>
    </xf>
    <xf numFmtId="3" fontId="25" fillId="22" borderId="122" xfId="0" applyNumberFormat="1" applyFont="1" applyFill="1" applyBorder="1" applyAlignment="1">
      <alignment horizontal="center" vertical="top"/>
    </xf>
    <xf numFmtId="3" fontId="25" fillId="22" borderId="12" xfId="0" applyNumberFormat="1" applyFont="1" applyFill="1" applyBorder="1" applyAlignment="1">
      <alignment horizontal="center" vertical="top"/>
    </xf>
    <xf numFmtId="3" fontId="25" fillId="2" borderId="12" xfId="4" applyNumberFormat="1" applyFont="1" applyFill="1" applyBorder="1" applyAlignment="1">
      <alignment horizontal="center" vertical="center" wrapText="1"/>
    </xf>
    <xf numFmtId="0" fontId="4" fillId="0" borderId="46" xfId="0" applyFont="1" applyBorder="1"/>
    <xf numFmtId="3" fontId="25" fillId="2" borderId="189" xfId="4" applyNumberFormat="1" applyFont="1" applyFill="1" applyBorder="1" applyAlignment="1">
      <alignment horizontal="center" vertical="center" wrapText="1"/>
    </xf>
    <xf numFmtId="3" fontId="25" fillId="2" borderId="10" xfId="4" applyNumberFormat="1" applyFont="1" applyFill="1" applyBorder="1" applyAlignment="1">
      <alignment horizontal="center" vertical="center" wrapText="1"/>
    </xf>
    <xf numFmtId="3" fontId="25" fillId="2" borderId="72" xfId="4" applyNumberFormat="1" applyFont="1" applyFill="1" applyBorder="1" applyAlignment="1">
      <alignment horizontal="center" vertical="center" wrapText="1"/>
    </xf>
    <xf numFmtId="0" fontId="20" fillId="0" borderId="39" xfId="0" applyFont="1" applyBorder="1" applyAlignment="1">
      <alignment horizontal="center" vertical="center" wrapText="1"/>
    </xf>
    <xf numFmtId="0" fontId="18" fillId="0" borderId="4" xfId="4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3" fontId="20" fillId="8" borderId="43" xfId="0" applyNumberFormat="1" applyFont="1" applyFill="1" applyBorder="1" applyAlignment="1">
      <alignment horizontal="center" vertical="center" wrapText="1"/>
    </xf>
    <xf numFmtId="3" fontId="20" fillId="8" borderId="41" xfId="0" applyNumberFormat="1" applyFont="1" applyFill="1" applyBorder="1" applyAlignment="1">
      <alignment horizontal="center" vertical="center" wrapText="1"/>
    </xf>
    <xf numFmtId="0" fontId="27" fillId="8" borderId="121" xfId="4" applyFont="1" applyFill="1" applyBorder="1" applyAlignment="1">
      <alignment horizontal="center" vertical="center"/>
    </xf>
    <xf numFmtId="0" fontId="27" fillId="8" borderId="180" xfId="4" applyFont="1" applyFill="1" applyBorder="1" applyAlignment="1">
      <alignment horizontal="center" vertical="center"/>
    </xf>
    <xf numFmtId="0" fontId="27" fillId="8" borderId="122" xfId="4" applyFont="1" applyFill="1" applyBorder="1" applyAlignment="1">
      <alignment horizontal="center" vertical="center"/>
    </xf>
    <xf numFmtId="0" fontId="27" fillId="8" borderId="13" xfId="4" applyFont="1" applyFill="1" applyBorder="1" applyAlignment="1">
      <alignment horizontal="center" vertical="center"/>
    </xf>
    <xf numFmtId="0" fontId="27" fillId="8" borderId="12" xfId="4" applyFont="1" applyFill="1" applyBorder="1" applyAlignment="1">
      <alignment horizontal="center" vertical="center"/>
    </xf>
    <xf numFmtId="0" fontId="20" fillId="19" borderId="4" xfId="4" applyFont="1" applyFill="1" applyBorder="1" applyAlignment="1">
      <alignment horizontal="center" vertical="center" wrapText="1"/>
    </xf>
    <xf numFmtId="0" fontId="4" fillId="19" borderId="23" xfId="0" applyFont="1" applyFill="1" applyBorder="1" applyAlignment="1">
      <alignment horizontal="center" vertical="center" wrapText="1"/>
    </xf>
    <xf numFmtId="3" fontId="25" fillId="23" borderId="122" xfId="0" applyNumberFormat="1" applyFont="1" applyFill="1" applyBorder="1" applyAlignment="1">
      <alignment horizontal="center" vertical="center"/>
    </xf>
    <xf numFmtId="3" fontId="25" fillId="23" borderId="13" xfId="0" applyNumberFormat="1" applyFont="1" applyFill="1" applyBorder="1" applyAlignment="1">
      <alignment horizontal="center" vertical="center"/>
    </xf>
    <xf numFmtId="3" fontId="25" fillId="23" borderId="12" xfId="0" applyNumberFormat="1" applyFont="1" applyFill="1" applyBorder="1" applyAlignment="1">
      <alignment horizontal="center" vertical="center"/>
    </xf>
    <xf numFmtId="0" fontId="23" fillId="0" borderId="122" xfId="0" applyFont="1" applyBorder="1" applyAlignment="1">
      <alignment horizontal="center" vertical="center"/>
    </xf>
    <xf numFmtId="3" fontId="25" fillId="2" borderId="121" xfId="4" applyNumberFormat="1" applyFont="1" applyFill="1" applyBorder="1" applyAlignment="1">
      <alignment horizontal="center" vertical="center" wrapText="1"/>
    </xf>
    <xf numFmtId="0" fontId="32" fillId="0" borderId="122" xfId="0" applyFont="1" applyBorder="1" applyAlignment="1">
      <alignment horizontal="center" vertical="center"/>
    </xf>
    <xf numFmtId="3" fontId="25" fillId="25" borderId="122" xfId="0" applyNumberFormat="1" applyFont="1" applyFill="1" applyBorder="1" applyAlignment="1">
      <alignment horizontal="center" vertical="center"/>
    </xf>
    <xf numFmtId="3" fontId="25" fillId="25" borderId="13" xfId="0" applyNumberFormat="1" applyFont="1" applyFill="1" applyBorder="1" applyAlignment="1">
      <alignment horizontal="center" vertical="center"/>
    </xf>
    <xf numFmtId="3" fontId="25" fillId="25" borderId="12" xfId="0" applyNumberFormat="1" applyFont="1" applyFill="1" applyBorder="1" applyAlignment="1">
      <alignment horizontal="center" vertical="center"/>
    </xf>
    <xf numFmtId="0" fontId="32" fillId="0" borderId="180" xfId="0" applyFont="1" applyBorder="1" applyAlignment="1">
      <alignment horizontal="center" vertical="center"/>
    </xf>
    <xf numFmtId="0" fontId="23" fillId="0" borderId="176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0" fillId="2" borderId="38" xfId="0" applyFont="1" applyFill="1" applyBorder="1" applyAlignment="1">
      <alignment horizontal="center" vertical="center" wrapText="1"/>
    </xf>
    <xf numFmtId="3" fontId="25" fillId="2" borderId="122" xfId="4" applyNumberFormat="1" applyFont="1" applyFill="1" applyBorder="1" applyAlignment="1">
      <alignment horizontal="center" vertical="center" wrapText="1"/>
    </xf>
    <xf numFmtId="0" fontId="4" fillId="0" borderId="66" xfId="0" applyFont="1" applyBorder="1"/>
    <xf numFmtId="0" fontId="21" fillId="0" borderId="186" xfId="0" applyFont="1" applyFill="1" applyBorder="1" applyAlignment="1">
      <alignment horizontal="center" vertical="center" wrapText="1"/>
    </xf>
    <xf numFmtId="0" fontId="18" fillId="0" borderId="15" xfId="0" applyFont="1" applyFill="1" applyBorder="1" applyAlignment="1">
      <alignment horizontal="center" vertical="center" wrapText="1"/>
    </xf>
    <xf numFmtId="0" fontId="18" fillId="0" borderId="13" xfId="0" applyFont="1" applyFill="1" applyBorder="1" applyAlignment="1">
      <alignment horizontal="center" vertical="center" wrapText="1"/>
    </xf>
    <xf numFmtId="0" fontId="18" fillId="0" borderId="12" xfId="0" applyFont="1" applyFill="1" applyBorder="1" applyAlignment="1">
      <alignment horizontal="center" vertical="center" wrapText="1"/>
    </xf>
    <xf numFmtId="0" fontId="18" fillId="0" borderId="39" xfId="0" applyFont="1" applyFill="1" applyBorder="1" applyAlignment="1">
      <alignment horizontal="center" vertical="center" wrapText="1"/>
    </xf>
    <xf numFmtId="3" fontId="24" fillId="26" borderId="189" xfId="4" applyNumberFormat="1" applyFont="1" applyFill="1" applyBorder="1" applyAlignment="1">
      <alignment horizontal="center" vertical="center"/>
    </xf>
    <xf numFmtId="3" fontId="24" fillId="26" borderId="10" xfId="4" applyNumberFormat="1" applyFont="1" applyFill="1" applyBorder="1" applyAlignment="1">
      <alignment horizontal="center" vertical="center"/>
    </xf>
    <xf numFmtId="0" fontId="18" fillId="0" borderId="68" xfId="0" applyFont="1" applyFill="1" applyBorder="1" applyAlignment="1">
      <alignment horizontal="center" vertical="center" wrapText="1"/>
    </xf>
    <xf numFmtId="0" fontId="18" fillId="0" borderId="190" xfId="0" applyFont="1" applyFill="1" applyBorder="1" applyAlignment="1">
      <alignment horizontal="center" vertical="center" wrapText="1"/>
    </xf>
    <xf numFmtId="0" fontId="4" fillId="0" borderId="11" xfId="0" applyFont="1" applyBorder="1"/>
    <xf numFmtId="0" fontId="4" fillId="0" borderId="25" xfId="0" applyFont="1" applyBorder="1"/>
    <xf numFmtId="0" fontId="25" fillId="2" borderId="27" xfId="4" applyFont="1" applyFill="1" applyBorder="1" applyAlignment="1">
      <alignment horizontal="center" vertical="center" wrapText="1"/>
    </xf>
    <xf numFmtId="0" fontId="32" fillId="0" borderId="24" xfId="0" applyFont="1" applyBorder="1" applyAlignment="1">
      <alignment horizontal="center" vertical="center" wrapText="1"/>
    </xf>
    <xf numFmtId="0" fontId="18" fillId="0" borderId="40" xfId="0" applyFont="1" applyFill="1" applyBorder="1" applyAlignment="1">
      <alignment horizontal="center" vertical="center" wrapText="1"/>
    </xf>
    <xf numFmtId="0" fontId="18" fillId="0" borderId="44" xfId="0" applyFont="1" applyFill="1" applyBorder="1" applyAlignment="1">
      <alignment horizontal="center" vertical="center" wrapText="1"/>
    </xf>
    <xf numFmtId="0" fontId="18" fillId="0" borderId="117" xfId="0" applyFont="1" applyFill="1" applyBorder="1" applyAlignment="1">
      <alignment horizontal="center" vertical="center" wrapText="1"/>
    </xf>
    <xf numFmtId="3" fontId="24" fillId="26" borderId="24" xfId="4" applyNumberFormat="1" applyFont="1" applyFill="1" applyBorder="1" applyAlignment="1">
      <alignment horizontal="center" vertical="center"/>
    </xf>
    <xf numFmtId="3" fontId="24" fillId="26" borderId="72" xfId="4" applyNumberFormat="1" applyFont="1" applyFill="1" applyBorder="1" applyAlignment="1">
      <alignment horizontal="center" vertical="center"/>
    </xf>
    <xf numFmtId="0" fontId="18" fillId="0" borderId="175" xfId="4" applyFont="1" applyFill="1" applyBorder="1" applyAlignment="1">
      <alignment horizontal="center" vertical="center" wrapText="1"/>
    </xf>
    <xf numFmtId="0" fontId="18" fillId="0" borderId="117" xfId="4" applyFont="1" applyFill="1" applyBorder="1" applyAlignment="1">
      <alignment horizontal="center" vertical="center" wrapText="1"/>
    </xf>
    <xf numFmtId="0" fontId="24" fillId="2" borderId="181" xfId="4" applyFont="1" applyFill="1" applyBorder="1" applyAlignment="1">
      <alignment horizontal="center" vertical="center" wrapText="1"/>
    </xf>
    <xf numFmtId="3" fontId="24" fillId="22" borderId="165" xfId="4" applyNumberFormat="1" applyFont="1" applyFill="1" applyBorder="1" applyAlignment="1">
      <alignment horizontal="center" vertical="center"/>
    </xf>
    <xf numFmtId="3" fontId="24" fillId="22" borderId="190" xfId="4" applyNumberFormat="1" applyFont="1" applyFill="1" applyBorder="1" applyAlignment="1">
      <alignment horizontal="center" vertical="center"/>
    </xf>
    <xf numFmtId="0" fontId="24" fillId="2" borderId="181" xfId="4" applyFont="1" applyFill="1" applyBorder="1" applyAlignment="1">
      <alignment horizontal="center" vertical="center" wrapText="1" shrinkToFit="1"/>
    </xf>
    <xf numFmtId="0" fontId="24" fillId="2" borderId="37" xfId="4" applyFont="1" applyFill="1" applyBorder="1" applyAlignment="1">
      <alignment horizontal="center" vertical="center" wrapText="1" shrinkToFit="1"/>
    </xf>
    <xf numFmtId="3" fontId="24" fillId="34" borderId="165" xfId="4" applyNumberFormat="1" applyFont="1" applyFill="1" applyBorder="1" applyAlignment="1">
      <alignment horizontal="center" vertical="center"/>
    </xf>
    <xf numFmtId="3" fontId="24" fillId="34" borderId="190" xfId="4" applyNumberFormat="1" applyFont="1" applyFill="1" applyBorder="1" applyAlignment="1">
      <alignment horizontal="center" vertical="center"/>
    </xf>
    <xf numFmtId="3" fontId="25" fillId="22" borderId="176" xfId="4" applyNumberFormat="1" applyFont="1" applyFill="1" applyBorder="1" applyAlignment="1">
      <alignment horizontal="center" vertical="center"/>
    </xf>
    <xf numFmtId="3" fontId="25" fillId="22" borderId="13" xfId="4" applyNumberFormat="1" applyFont="1" applyFill="1" applyBorder="1" applyAlignment="1">
      <alignment horizontal="center" vertical="center"/>
    </xf>
    <xf numFmtId="3" fontId="25" fillId="22" borderId="12" xfId="4" applyNumberFormat="1" applyFont="1" applyFill="1" applyBorder="1" applyAlignment="1">
      <alignment horizontal="center" vertical="center"/>
    </xf>
    <xf numFmtId="0" fontId="25" fillId="2" borderId="22" xfId="4" applyFont="1" applyFill="1" applyBorder="1" applyAlignment="1">
      <alignment horizontal="center" vertical="center" wrapText="1"/>
    </xf>
    <xf numFmtId="3" fontId="24" fillId="34" borderId="176" xfId="4" applyNumberFormat="1" applyFont="1" applyFill="1" applyBorder="1" applyAlignment="1">
      <alignment horizontal="center" vertical="center"/>
    </xf>
    <xf numFmtId="3" fontId="24" fillId="34" borderId="13" xfId="4" applyNumberFormat="1" applyFont="1" applyFill="1" applyBorder="1" applyAlignment="1">
      <alignment horizontal="center" vertical="center"/>
    </xf>
    <xf numFmtId="3" fontId="24" fillId="34" borderId="12" xfId="4" applyNumberFormat="1" applyFont="1" applyFill="1" applyBorder="1" applyAlignment="1">
      <alignment horizontal="center" vertical="center"/>
    </xf>
    <xf numFmtId="0" fontId="18" fillId="0" borderId="64" xfId="4" applyFont="1" applyFill="1" applyBorder="1" applyAlignment="1">
      <alignment horizontal="center" vertical="center" wrapText="1"/>
    </xf>
    <xf numFmtId="0" fontId="18" fillId="0" borderId="65" xfId="4" applyFont="1" applyFill="1" applyBorder="1" applyAlignment="1">
      <alignment horizontal="center" vertical="center" wrapText="1"/>
    </xf>
    <xf numFmtId="0" fontId="18" fillId="0" borderId="67" xfId="4" applyFont="1" applyFill="1" applyBorder="1" applyAlignment="1">
      <alignment horizontal="center" vertical="center" wrapText="1"/>
    </xf>
    <xf numFmtId="0" fontId="25" fillId="2" borderId="114" xfId="4" applyFont="1" applyFill="1" applyBorder="1" applyAlignment="1">
      <alignment horizontal="center" vertical="center" wrapText="1"/>
    </xf>
    <xf numFmtId="0" fontId="4" fillId="0" borderId="114" xfId="0" applyFont="1" applyBorder="1"/>
    <xf numFmtId="0" fontId="32" fillId="0" borderId="114" xfId="0" applyFont="1" applyBorder="1" applyAlignment="1">
      <alignment horizontal="center" vertical="center" wrapText="1"/>
    </xf>
    <xf numFmtId="0" fontId="24" fillId="0" borderId="43" xfId="4" applyFont="1" applyFill="1" applyBorder="1" applyAlignment="1">
      <alignment horizontal="center" vertical="center"/>
    </xf>
    <xf numFmtId="0" fontId="18" fillId="0" borderId="27" xfId="4" applyFont="1" applyFill="1" applyBorder="1" applyAlignment="1">
      <alignment horizontal="center" vertical="center" wrapText="1"/>
    </xf>
    <xf numFmtId="0" fontId="25" fillId="2" borderId="181" xfId="4" applyFont="1" applyFill="1" applyBorder="1" applyAlignment="1">
      <alignment horizontal="center" vertical="center" wrapText="1"/>
    </xf>
    <xf numFmtId="0" fontId="32" fillId="0" borderId="181" xfId="0" applyFont="1" applyBorder="1" applyAlignment="1">
      <alignment horizontal="center" vertical="center" wrapText="1"/>
    </xf>
    <xf numFmtId="0" fontId="4" fillId="0" borderId="183" xfId="0" applyFont="1" applyBorder="1"/>
    <xf numFmtId="0" fontId="24" fillId="0" borderId="41" xfId="4" applyFont="1" applyFill="1" applyBorder="1" applyAlignment="1">
      <alignment horizontal="center" vertical="center"/>
    </xf>
    <xf numFmtId="0" fontId="18" fillId="0" borderId="23" xfId="4" applyFont="1" applyFill="1" applyBorder="1" applyAlignment="1">
      <alignment horizontal="center" vertical="center" wrapText="1"/>
    </xf>
    <xf numFmtId="0" fontId="25" fillId="0" borderId="181" xfId="4" applyFont="1" applyFill="1" applyBorder="1" applyAlignment="1">
      <alignment horizontal="center" vertical="center" wrapText="1"/>
    </xf>
    <xf numFmtId="0" fontId="32" fillId="0" borderId="181" xfId="0" applyFont="1" applyFill="1" applyBorder="1" applyAlignment="1">
      <alignment horizontal="center" vertical="center" wrapText="1"/>
    </xf>
    <xf numFmtId="0" fontId="32" fillId="0" borderId="37" xfId="0" applyFont="1" applyFill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top"/>
    </xf>
    <xf numFmtId="0" fontId="40" fillId="2" borderId="0" xfId="0" applyFont="1" applyFill="1" applyBorder="1" applyAlignment="1">
      <alignment horizontal="left" wrapText="1"/>
    </xf>
    <xf numFmtId="0" fontId="20" fillId="0" borderId="5" xfId="0" applyFont="1" applyBorder="1" applyAlignment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20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0" fontId="17" fillId="0" borderId="36" xfId="4" applyFont="1" applyBorder="1" applyAlignment="1">
      <alignment horizontal="center" vertical="center" wrapText="1"/>
    </xf>
    <xf numFmtId="0" fontId="4" fillId="19" borderId="9" xfId="0" applyFont="1" applyFill="1" applyBorder="1" applyAlignment="1">
      <alignment horizontal="center" vertical="center" wrapText="1"/>
    </xf>
    <xf numFmtId="3" fontId="25" fillId="22" borderId="164" xfId="4" applyNumberFormat="1" applyFont="1" applyFill="1" applyBorder="1" applyAlignment="1">
      <alignment horizontal="center" vertical="center"/>
    </xf>
    <xf numFmtId="0" fontId="25" fillId="0" borderId="35" xfId="4" applyFont="1" applyBorder="1" applyAlignment="1">
      <alignment horizontal="center" vertical="center" wrapText="1"/>
    </xf>
    <xf numFmtId="0" fontId="18" fillId="0" borderId="46" xfId="0" applyFont="1" applyFill="1" applyBorder="1" applyAlignment="1">
      <alignment horizontal="center" vertical="center" wrapText="1"/>
    </xf>
    <xf numFmtId="0" fontId="18" fillId="0" borderId="176" xfId="0" applyFont="1" applyFill="1" applyBorder="1" applyAlignment="1">
      <alignment horizontal="center" vertical="center" wrapText="1"/>
    </xf>
    <xf numFmtId="0" fontId="4" fillId="0" borderId="186" xfId="0" applyFont="1" applyBorder="1" applyAlignment="1">
      <alignment horizontal="center" vertical="center" wrapText="1"/>
    </xf>
    <xf numFmtId="3" fontId="17" fillId="26" borderId="176" xfId="4" applyNumberFormat="1" applyFont="1" applyFill="1" applyBorder="1" applyAlignment="1">
      <alignment horizontal="center" vertical="center"/>
    </xf>
    <xf numFmtId="3" fontId="17" fillId="26" borderId="13" xfId="4" applyNumberFormat="1" applyFont="1" applyFill="1" applyBorder="1" applyAlignment="1">
      <alignment horizontal="center" vertical="center"/>
    </xf>
    <xf numFmtId="3" fontId="17" fillId="26" borderId="12" xfId="4" applyNumberFormat="1" applyFont="1" applyFill="1" applyBorder="1" applyAlignment="1">
      <alignment horizontal="center" vertical="center"/>
    </xf>
    <xf numFmtId="0" fontId="18" fillId="0" borderId="186" xfId="0" applyFont="1" applyFill="1" applyBorder="1" applyAlignment="1">
      <alignment horizontal="center" vertical="center" wrapText="1"/>
    </xf>
    <xf numFmtId="0" fontId="25" fillId="2" borderId="37" xfId="4" applyFont="1" applyFill="1" applyBorder="1" applyAlignment="1">
      <alignment horizontal="center" vertical="center" wrapText="1"/>
    </xf>
    <xf numFmtId="3" fontId="24" fillId="26" borderId="4" xfId="4" applyNumberFormat="1" applyFont="1" applyFill="1" applyBorder="1" applyAlignment="1">
      <alignment horizontal="center" vertical="center"/>
    </xf>
    <xf numFmtId="0" fontId="25" fillId="32" borderId="178" xfId="4" applyFont="1" applyFill="1" applyBorder="1" applyAlignment="1">
      <alignment horizontal="center" vertical="center" wrapText="1"/>
    </xf>
    <xf numFmtId="0" fontId="25" fillId="32" borderId="20" xfId="4" applyFont="1" applyFill="1" applyBorder="1" applyAlignment="1">
      <alignment horizontal="center" vertical="center" wrapText="1"/>
    </xf>
    <xf numFmtId="0" fontId="25" fillId="32" borderId="27" xfId="4" applyFont="1" applyFill="1" applyBorder="1" applyAlignment="1">
      <alignment horizontal="center" vertical="center" wrapText="1"/>
    </xf>
    <xf numFmtId="0" fontId="25" fillId="32" borderId="23" xfId="4" applyFont="1" applyFill="1" applyBorder="1" applyAlignment="1">
      <alignment horizontal="center" vertical="center" wrapText="1"/>
    </xf>
    <xf numFmtId="0" fontId="17" fillId="0" borderId="11" xfId="0" applyFont="1" applyFill="1" applyBorder="1" applyAlignment="1">
      <alignment horizontal="center" vertical="center" wrapText="1"/>
    </xf>
    <xf numFmtId="0" fontId="4" fillId="0" borderId="11" xfId="0" applyFont="1" applyBorder="1" applyAlignment="1">
      <alignment vertical="center" wrapText="1"/>
    </xf>
    <xf numFmtId="0" fontId="4" fillId="0" borderId="25" xfId="0" applyFont="1" applyBorder="1" applyAlignment="1">
      <alignment vertical="center" wrapText="1"/>
    </xf>
    <xf numFmtId="0" fontId="25" fillId="0" borderId="178" xfId="4" applyFont="1" applyFill="1" applyBorder="1" applyAlignment="1">
      <alignment horizontal="center" vertical="center"/>
    </xf>
    <xf numFmtId="0" fontId="25" fillId="0" borderId="20" xfId="4" applyFont="1" applyFill="1" applyBorder="1" applyAlignment="1">
      <alignment horizontal="center" vertical="center"/>
    </xf>
    <xf numFmtId="0" fontId="17" fillId="0" borderId="52" xfId="0" applyFont="1" applyFill="1" applyBorder="1" applyAlignment="1">
      <alignment horizontal="center" vertical="center" wrapText="1"/>
    </xf>
    <xf numFmtId="0" fontId="4" fillId="0" borderId="52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3" fontId="25" fillId="2" borderId="27" xfId="4" applyNumberFormat="1" applyFont="1" applyFill="1" applyBorder="1" applyAlignment="1">
      <alignment horizontal="center" vertical="center" wrapText="1"/>
    </xf>
    <xf numFmtId="0" fontId="25" fillId="2" borderId="20" xfId="4" applyFont="1" applyFill="1" applyBorder="1" applyAlignment="1">
      <alignment horizontal="center" vertical="center" wrapText="1"/>
    </xf>
    <xf numFmtId="0" fontId="4" fillId="0" borderId="185" xfId="0" applyFont="1" applyBorder="1" applyAlignment="1">
      <alignment vertical="center" wrapText="1"/>
    </xf>
    <xf numFmtId="0" fontId="17" fillId="0" borderId="25" xfId="0" applyFont="1" applyFill="1" applyBorder="1" applyAlignment="1">
      <alignment horizontal="center" vertical="center" wrapText="1"/>
    </xf>
    <xf numFmtId="0" fontId="25" fillId="2" borderId="200" xfId="4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0" fillId="0" borderId="66" xfId="0" applyFont="1" applyBorder="1" applyAlignment="1">
      <alignment horizontal="center" vertical="center" wrapText="1"/>
    </xf>
    <xf numFmtId="0" fontId="4" fillId="0" borderId="22" xfId="0" applyFont="1" applyBorder="1" applyAlignment="1">
      <alignment vertical="center"/>
    </xf>
    <xf numFmtId="0" fontId="18" fillId="0" borderId="12" xfId="4" applyFont="1" applyBorder="1" applyAlignment="1">
      <alignment horizontal="center" vertical="center" wrapText="1"/>
    </xf>
    <xf numFmtId="3" fontId="25" fillId="2" borderId="16" xfId="4" applyNumberFormat="1" applyFont="1" applyFill="1" applyBorder="1" applyAlignment="1">
      <alignment horizontal="center" vertical="center" wrapText="1"/>
    </xf>
    <xf numFmtId="0" fontId="25" fillId="2" borderId="0" xfId="4" applyFont="1" applyFill="1" applyBorder="1" applyAlignment="1">
      <alignment horizontal="center" vertical="center" wrapText="1"/>
    </xf>
    <xf numFmtId="0" fontId="18" fillId="0" borderId="0" xfId="0" applyFont="1" applyAlignment="1">
      <alignment horizontal="left" vertical="center" wrapText="1"/>
    </xf>
    <xf numFmtId="0" fontId="17" fillId="32" borderId="11" xfId="0" applyFont="1" applyFill="1" applyBorder="1" applyAlignment="1">
      <alignment horizontal="center" vertical="center" wrapText="1"/>
    </xf>
    <xf numFmtId="0" fontId="18" fillId="32" borderId="10" xfId="0" applyFont="1" applyFill="1" applyBorder="1" applyAlignment="1">
      <alignment horizontal="center" vertical="center" wrapText="1"/>
    </xf>
    <xf numFmtId="3" fontId="25" fillId="32" borderId="28" xfId="4" applyNumberFormat="1" applyFont="1" applyFill="1" applyBorder="1" applyAlignment="1">
      <alignment horizontal="center" vertical="center" wrapText="1"/>
    </xf>
    <xf numFmtId="0" fontId="32" fillId="32" borderId="28" xfId="0" applyFont="1" applyFill="1" applyBorder="1" applyAlignment="1">
      <alignment horizontal="center" vertical="center" wrapText="1"/>
    </xf>
    <xf numFmtId="0" fontId="25" fillId="2" borderId="71" xfId="4" applyFont="1" applyFill="1" applyBorder="1" applyAlignment="1">
      <alignment horizontal="center" vertical="center" wrapText="1"/>
    </xf>
    <xf numFmtId="0" fontId="17" fillId="0" borderId="52" xfId="0" applyFont="1" applyBorder="1" applyAlignment="1">
      <alignment horizontal="center" vertical="center"/>
    </xf>
    <xf numFmtId="0" fontId="4" fillId="0" borderId="84" xfId="0" applyFont="1" applyBorder="1" applyAlignment="1">
      <alignment vertical="center" wrapText="1"/>
    </xf>
    <xf numFmtId="0" fontId="25" fillId="8" borderId="22" xfId="0" applyFont="1" applyFill="1" applyBorder="1" applyAlignment="1">
      <alignment horizontal="center" vertical="center" wrapText="1"/>
    </xf>
    <xf numFmtId="0" fontId="25" fillId="8" borderId="38" xfId="0" applyFont="1" applyFill="1" applyBorder="1" applyAlignment="1">
      <alignment horizontal="center" vertical="center" wrapText="1"/>
    </xf>
    <xf numFmtId="3" fontId="25" fillId="28" borderId="40" xfId="0" applyNumberFormat="1" applyFont="1" applyFill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 wrapText="1"/>
    </xf>
    <xf numFmtId="0" fontId="26" fillId="0" borderId="11" xfId="0" applyFont="1" applyBorder="1" applyAlignment="1">
      <alignment horizontal="center" vertical="center" wrapText="1"/>
    </xf>
    <xf numFmtId="0" fontId="26" fillId="0" borderId="25" xfId="0" applyFont="1" applyBorder="1" applyAlignment="1">
      <alignment horizontal="center" vertical="center" wrapText="1"/>
    </xf>
    <xf numFmtId="0" fontId="18" fillId="0" borderId="64" xfId="112" applyFont="1" applyFill="1" applyBorder="1" applyAlignment="1">
      <alignment horizontal="center" vertical="center" wrapText="1"/>
    </xf>
    <xf numFmtId="0" fontId="18" fillId="0" borderId="65" xfId="112" applyFont="1" applyFill="1" applyBorder="1" applyAlignment="1">
      <alignment horizontal="center" vertical="center" wrapText="1"/>
    </xf>
    <xf numFmtId="0" fontId="4" fillId="0" borderId="65" xfId="112" applyFont="1" applyBorder="1" applyAlignment="1">
      <alignment horizontal="center" vertical="center" wrapText="1"/>
    </xf>
    <xf numFmtId="0" fontId="4" fillId="0" borderId="67" xfId="112" applyFont="1" applyBorder="1" applyAlignment="1">
      <alignment horizontal="center" vertical="center" wrapText="1"/>
    </xf>
    <xf numFmtId="0" fontId="32" fillId="0" borderId="6" xfId="112" applyFont="1" applyBorder="1" applyAlignment="1">
      <alignment horizontal="center" vertical="center" wrapText="1"/>
    </xf>
    <xf numFmtId="0" fontId="32" fillId="0" borderId="22" xfId="112" applyFont="1" applyBorder="1" applyAlignment="1">
      <alignment horizontal="center" vertical="center" wrapText="1"/>
    </xf>
    <xf numFmtId="3" fontId="24" fillId="26" borderId="122" xfId="4" applyNumberFormat="1" applyFont="1" applyFill="1" applyBorder="1" applyAlignment="1">
      <alignment horizontal="center" vertical="center"/>
    </xf>
    <xf numFmtId="0" fontId="16" fillId="2" borderId="24" xfId="112" applyFont="1" applyFill="1" applyBorder="1" applyAlignment="1">
      <alignment horizontal="left" vertical="center" wrapText="1"/>
    </xf>
    <xf numFmtId="0" fontId="20" fillId="0" borderId="5" xfId="112" applyFont="1" applyBorder="1" applyAlignment="1">
      <alignment horizontal="center" vertical="center" wrapText="1"/>
    </xf>
    <xf numFmtId="0" fontId="20" fillId="0" borderId="25" xfId="112" applyFont="1" applyBorder="1" applyAlignment="1">
      <alignment horizontal="center" vertical="center" wrapText="1"/>
    </xf>
    <xf numFmtId="0" fontId="18" fillId="0" borderId="22" xfId="4" applyFont="1" applyBorder="1" applyAlignment="1">
      <alignment horizontal="center" vertical="center" wrapText="1"/>
    </xf>
    <xf numFmtId="0" fontId="4" fillId="19" borderId="23" xfId="112" applyFont="1" applyFill="1" applyBorder="1" applyAlignment="1">
      <alignment horizontal="center" vertical="center" wrapText="1"/>
    </xf>
    <xf numFmtId="0" fontId="17" fillId="0" borderId="5" xfId="112" applyFont="1" applyFill="1" applyBorder="1" applyAlignment="1">
      <alignment horizontal="center" vertical="center" wrapText="1"/>
    </xf>
    <xf numFmtId="0" fontId="4" fillId="0" borderId="11" xfId="112" applyFont="1" applyBorder="1" applyAlignment="1">
      <alignment vertical="center" wrapText="1"/>
    </xf>
    <xf numFmtId="0" fontId="4" fillId="0" borderId="25" xfId="112" applyFont="1" applyBorder="1" applyAlignment="1">
      <alignment vertical="center" wrapText="1"/>
    </xf>
    <xf numFmtId="0" fontId="13" fillId="0" borderId="3" xfId="4" applyFont="1" applyFill="1" applyBorder="1" applyAlignment="1">
      <alignment horizontal="left" vertical="center" wrapText="1"/>
    </xf>
    <xf numFmtId="0" fontId="13" fillId="0" borderId="1" xfId="4" applyFont="1" applyFill="1" applyBorder="1" applyAlignment="1">
      <alignment horizontal="left" vertical="center" wrapText="1"/>
    </xf>
    <xf numFmtId="2" fontId="17" fillId="0" borderId="5" xfId="4" applyNumberFormat="1" applyFont="1" applyFill="1" applyBorder="1" applyAlignment="1">
      <alignment horizontal="center" vertical="center"/>
    </xf>
    <xf numFmtId="2" fontId="4" fillId="0" borderId="25" xfId="112" applyNumberFormat="1" applyFont="1" applyBorder="1" applyAlignment="1">
      <alignment horizontal="center" vertical="center" wrapText="1"/>
    </xf>
    <xf numFmtId="2" fontId="60" fillId="0" borderId="25" xfId="112" applyNumberFormat="1" applyFont="1" applyBorder="1" applyAlignment="1">
      <alignment horizontal="center" vertical="center" wrapText="1"/>
    </xf>
    <xf numFmtId="0" fontId="30" fillId="0" borderId="67" xfId="4" applyFont="1" applyFill="1" applyBorder="1" applyAlignment="1">
      <alignment horizontal="center" vertical="center" wrapText="1"/>
    </xf>
    <xf numFmtId="0" fontId="17" fillId="0" borderId="40" xfId="0" applyFont="1" applyFill="1" applyBorder="1" applyAlignment="1">
      <alignment horizontal="center" vertical="center" wrapText="1"/>
    </xf>
    <xf numFmtId="0" fontId="22" fillId="0" borderId="40" xfId="0" applyFont="1" applyBorder="1" applyAlignment="1">
      <alignment vertical="center"/>
    </xf>
    <xf numFmtId="0" fontId="25" fillId="0" borderId="178" xfId="0" applyFont="1" applyFill="1" applyBorder="1" applyAlignment="1">
      <alignment horizontal="center" vertical="center" wrapText="1"/>
    </xf>
    <xf numFmtId="3" fontId="25" fillId="28" borderId="176" xfId="0" applyNumberFormat="1" applyFont="1" applyFill="1" applyBorder="1" applyAlignment="1">
      <alignment horizontal="center" vertical="center" wrapText="1"/>
    </xf>
    <xf numFmtId="3" fontId="25" fillId="28" borderId="13" xfId="0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vertical="center"/>
    </xf>
    <xf numFmtId="0" fontId="17" fillId="0" borderId="41" xfId="0" applyFont="1" applyFill="1" applyBorder="1" applyAlignment="1">
      <alignment horizontal="center" vertical="center" wrapText="1"/>
    </xf>
    <xf numFmtId="2" fontId="4" fillId="0" borderId="11" xfId="112" applyNumberFormat="1" applyFont="1" applyBorder="1" applyAlignment="1">
      <alignment horizontal="center" vertical="center" wrapText="1"/>
    </xf>
    <xf numFmtId="0" fontId="17" fillId="0" borderId="11" xfId="112" applyFont="1" applyFill="1" applyBorder="1" applyAlignment="1">
      <alignment horizontal="center" vertical="center" wrapText="1"/>
    </xf>
    <xf numFmtId="0" fontId="17" fillId="0" borderId="25" xfId="112" applyFont="1" applyFill="1" applyBorder="1" applyAlignment="1">
      <alignment horizontal="center" vertical="center" wrapText="1"/>
    </xf>
    <xf numFmtId="0" fontId="22" fillId="0" borderId="43" xfId="112" applyFont="1" applyBorder="1" applyAlignment="1">
      <alignment horizontal="center" vertical="center" wrapText="1"/>
    </xf>
    <xf numFmtId="0" fontId="22" fillId="0" borderId="46" xfId="112" applyFont="1" applyBorder="1" applyAlignment="1">
      <alignment horizontal="center" vertical="center" wrapText="1"/>
    </xf>
    <xf numFmtId="0" fontId="22" fillId="0" borderId="186" xfId="112" applyFont="1" applyBorder="1" applyAlignment="1">
      <alignment horizontal="center" vertical="center" wrapText="1"/>
    </xf>
    <xf numFmtId="0" fontId="22" fillId="0" borderId="41" xfId="112" applyFont="1" applyBorder="1" applyAlignment="1">
      <alignment horizontal="center" vertical="center" wrapText="1"/>
    </xf>
    <xf numFmtId="0" fontId="17" fillId="2" borderId="5" xfId="0" quotePrefix="1" applyFont="1" applyFill="1" applyBorder="1" applyAlignment="1">
      <alignment horizontal="center" vertical="center" wrapText="1"/>
    </xf>
    <xf numFmtId="0" fontId="17" fillId="2" borderId="11" xfId="0" quotePrefix="1" applyFont="1" applyFill="1" applyBorder="1" applyAlignment="1">
      <alignment horizontal="center" vertical="center" wrapText="1"/>
    </xf>
    <xf numFmtId="0" fontId="17" fillId="2" borderId="25" xfId="0" quotePrefix="1" applyFont="1" applyFill="1" applyBorder="1" applyAlignment="1">
      <alignment horizontal="center" vertical="center" wrapText="1"/>
    </xf>
    <xf numFmtId="0" fontId="0" fillId="19" borderId="12" xfId="0" applyFont="1" applyFill="1" applyBorder="1" applyAlignment="1">
      <alignment horizontal="center" vertical="center" wrapText="1"/>
    </xf>
    <xf numFmtId="0" fontId="0" fillId="0" borderId="22" xfId="0" applyFont="1" applyBorder="1" applyAlignment="1">
      <alignment horizontal="center" vertical="center" wrapText="1"/>
    </xf>
    <xf numFmtId="49" fontId="81" fillId="0" borderId="176" xfId="3" applyNumberFormat="1" applyFont="1" applyBorder="1" applyAlignment="1">
      <alignment horizontal="center" vertical="center" wrapText="1"/>
    </xf>
    <xf numFmtId="49" fontId="81" fillId="0" borderId="13" xfId="3" applyNumberFormat="1" applyFont="1" applyBorder="1" applyAlignment="1">
      <alignment horizontal="center" vertical="center" wrapText="1"/>
    </xf>
    <xf numFmtId="49" fontId="81" fillId="0" borderId="12" xfId="3" applyNumberFormat="1" applyFont="1" applyBorder="1" applyAlignment="1">
      <alignment horizontal="center" vertical="center" wrapText="1"/>
    </xf>
    <xf numFmtId="0" fontId="23" fillId="0" borderId="176" xfId="6" applyFont="1" applyBorder="1" applyAlignment="1">
      <alignment horizontal="center" vertical="center"/>
    </xf>
    <xf numFmtId="0" fontId="20" fillId="19" borderId="13" xfId="4" applyFont="1" applyFill="1" applyBorder="1" applyAlignment="1">
      <alignment horizontal="center" vertical="center" wrapText="1"/>
    </xf>
    <xf numFmtId="3" fontId="25" fillId="22" borderId="124" xfId="0" applyNumberFormat="1" applyFont="1" applyFill="1" applyBorder="1" applyAlignment="1">
      <alignment horizontal="center" vertical="center"/>
    </xf>
    <xf numFmtId="3" fontId="25" fillId="22" borderId="43" xfId="0" applyNumberFormat="1" applyFont="1" applyFill="1" applyBorder="1" applyAlignment="1">
      <alignment horizontal="center" vertical="center"/>
    </xf>
    <xf numFmtId="3" fontId="25" fillId="22" borderId="41" xfId="0" applyNumberFormat="1" applyFont="1" applyFill="1" applyBorder="1" applyAlignment="1">
      <alignment horizontal="center" vertical="center"/>
    </xf>
    <xf numFmtId="0" fontId="23" fillId="0" borderId="13" xfId="6" applyFont="1" applyBorder="1" applyAlignment="1">
      <alignment horizontal="center" vertical="center" wrapText="1"/>
    </xf>
    <xf numFmtId="0" fontId="23" fillId="0" borderId="12" xfId="6" applyFont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left" vertical="top" wrapText="1"/>
    </xf>
    <xf numFmtId="0" fontId="24" fillId="0" borderId="125" xfId="0" applyFont="1" applyFill="1" applyBorder="1" applyAlignment="1">
      <alignment horizontal="center" vertical="center" wrapText="1"/>
    </xf>
    <xf numFmtId="0" fontId="37" fillId="0" borderId="125" xfId="0" applyFont="1" applyBorder="1" applyAlignment="1">
      <alignment horizontal="center" vertical="center" wrapText="1"/>
    </xf>
    <xf numFmtId="0" fontId="37" fillId="0" borderId="6" xfId="0" applyFont="1" applyBorder="1" applyAlignment="1">
      <alignment horizontal="center" vertical="center" wrapText="1"/>
    </xf>
    <xf numFmtId="0" fontId="37" fillId="0" borderId="22" xfId="0" applyFont="1" applyBorder="1" applyAlignment="1">
      <alignment horizontal="center" vertical="center" wrapText="1"/>
    </xf>
    <xf numFmtId="43" fontId="25" fillId="22" borderId="124" xfId="1" applyFont="1" applyFill="1" applyBorder="1" applyAlignment="1">
      <alignment horizontal="center" vertical="center"/>
    </xf>
    <xf numFmtId="43" fontId="25" fillId="22" borderId="43" xfId="1" applyFont="1" applyFill="1" applyBorder="1" applyAlignment="1">
      <alignment horizontal="center" vertical="center"/>
    </xf>
    <xf numFmtId="43" fontId="25" fillId="22" borderId="41" xfId="1" applyFont="1" applyFill="1" applyBorder="1" applyAlignment="1">
      <alignment horizontal="center" vertical="center"/>
    </xf>
    <xf numFmtId="0" fontId="0" fillId="0" borderId="26" xfId="0" applyFont="1" applyBorder="1"/>
    <xf numFmtId="0" fontId="0" fillId="0" borderId="66" xfId="0" applyFont="1" applyBorder="1"/>
    <xf numFmtId="0" fontId="18" fillId="0" borderId="64" xfId="0" applyFont="1" applyFill="1" applyBorder="1" applyAlignment="1">
      <alignment horizontal="center" vertical="center" wrapText="1"/>
    </xf>
    <xf numFmtId="0" fontId="18" fillId="0" borderId="65" xfId="0" applyFont="1" applyFill="1" applyBorder="1" applyAlignment="1">
      <alignment horizontal="center" vertical="center" wrapText="1"/>
    </xf>
    <xf numFmtId="0" fontId="0" fillId="0" borderId="65" xfId="0" applyFont="1" applyBorder="1" applyAlignment="1">
      <alignment horizontal="center" wrapText="1"/>
    </xf>
    <xf numFmtId="0" fontId="17" fillId="0" borderId="42" xfId="4" applyFont="1" applyBorder="1" applyAlignment="1">
      <alignment horizontal="center" vertical="center" wrapText="1"/>
    </xf>
    <xf numFmtId="0" fontId="17" fillId="0" borderId="43" xfId="4" applyFont="1" applyBorder="1" applyAlignment="1">
      <alignment horizontal="center" vertical="center" wrapText="1"/>
    </xf>
    <xf numFmtId="0" fontId="17" fillId="0" borderId="41" xfId="4" applyFont="1" applyBorder="1" applyAlignment="1">
      <alignment horizontal="center" vertical="center" wrapText="1"/>
    </xf>
    <xf numFmtId="0" fontId="57" fillId="0" borderId="0" xfId="0" applyFont="1" applyFill="1" applyBorder="1" applyAlignment="1">
      <alignment horizontal="left" vertical="top"/>
    </xf>
    <xf numFmtId="0" fontId="57" fillId="0" borderId="26" xfId="0" applyFont="1" applyFill="1" applyBorder="1" applyAlignment="1">
      <alignment horizontal="left" vertical="top"/>
    </xf>
    <xf numFmtId="0" fontId="13" fillId="2" borderId="0" xfId="0" applyFont="1" applyFill="1" applyBorder="1" applyAlignment="1">
      <alignment horizontal="left" vertical="center" wrapText="1"/>
    </xf>
    <xf numFmtId="0" fontId="24" fillId="2" borderId="125" xfId="0" applyFont="1" applyFill="1" applyBorder="1" applyAlignment="1">
      <alignment horizontal="center" vertical="center" wrapText="1"/>
    </xf>
    <xf numFmtId="0" fontId="17" fillId="2" borderId="52" xfId="0" quotePrefix="1" applyFont="1" applyFill="1" applyBorder="1" applyAlignment="1">
      <alignment horizontal="center" vertical="center" wrapText="1"/>
    </xf>
    <xf numFmtId="0" fontId="17" fillId="2" borderId="5" xfId="0" applyFont="1" applyFill="1" applyBorder="1" applyAlignment="1">
      <alignment horizontal="center" vertical="center" wrapText="1"/>
    </xf>
    <xf numFmtId="49" fontId="22" fillId="0" borderId="15" xfId="3" applyNumberFormat="1" applyFont="1" applyBorder="1" applyAlignment="1">
      <alignment horizontal="center" vertical="center" wrapText="1"/>
    </xf>
    <xf numFmtId="49" fontId="22" fillId="0" borderId="12" xfId="3" applyNumberFormat="1" applyFont="1" applyBorder="1" applyAlignment="1">
      <alignment horizontal="center" vertical="center" wrapText="1"/>
    </xf>
    <xf numFmtId="49" fontId="22" fillId="0" borderId="68" xfId="3" applyNumberFormat="1" applyFont="1" applyBorder="1" applyAlignment="1">
      <alignment horizontal="center" vertical="center" wrapText="1"/>
    </xf>
    <xf numFmtId="49" fontId="22" fillId="0" borderId="41" xfId="3" applyNumberFormat="1" applyFont="1" applyBorder="1" applyAlignment="1">
      <alignment horizontal="center" vertical="center" wrapText="1"/>
    </xf>
    <xf numFmtId="0" fontId="24" fillId="2" borderId="37" xfId="0" applyFont="1" applyFill="1" applyBorder="1" applyAlignment="1">
      <alignment horizontal="center" vertical="center" wrapText="1"/>
    </xf>
    <xf numFmtId="0" fontId="24" fillId="2" borderId="38" xfId="0" applyFont="1" applyFill="1" applyBorder="1" applyAlignment="1">
      <alignment horizontal="center" vertical="center" wrapText="1"/>
    </xf>
    <xf numFmtId="49" fontId="22" fillId="0" borderId="190" xfId="3" applyNumberFormat="1" applyFont="1" applyBorder="1" applyAlignment="1">
      <alignment horizontal="center" vertical="center" wrapText="1"/>
    </xf>
    <xf numFmtId="49" fontId="22" fillId="0" borderId="39" xfId="3" applyNumberFormat="1" applyFont="1" applyBorder="1" applyAlignment="1">
      <alignment horizontal="center" vertical="center" wrapText="1"/>
    </xf>
    <xf numFmtId="0" fontId="16" fillId="2" borderId="24" xfId="0" applyFont="1" applyFill="1" applyBorder="1" applyAlignment="1">
      <alignment vertical="center"/>
    </xf>
    <xf numFmtId="0" fontId="18" fillId="0" borderId="6" xfId="4" applyFont="1" applyBorder="1" applyAlignment="1">
      <alignment horizontal="center" vertical="center" wrapText="1"/>
    </xf>
    <xf numFmtId="0" fontId="18" fillId="0" borderId="13" xfId="4" applyFont="1" applyBorder="1" applyAlignment="1">
      <alignment horizontal="center" vertical="center" wrapText="1"/>
    </xf>
    <xf numFmtId="0" fontId="24" fillId="2" borderId="13" xfId="0" applyFont="1" applyFill="1" applyBorder="1" applyAlignment="1">
      <alignment horizontal="center" vertical="center" wrapText="1"/>
    </xf>
    <xf numFmtId="0" fontId="37" fillId="0" borderId="178" xfId="0" applyFont="1" applyBorder="1" applyAlignment="1">
      <alignment horizontal="center" vertical="center" wrapText="1"/>
    </xf>
    <xf numFmtId="0" fontId="0" fillId="58" borderId="171" xfId="3" applyFont="1" applyFill="1" applyBorder="1" applyAlignment="1">
      <alignment horizontal="center" vertical="center"/>
    </xf>
    <xf numFmtId="0" fontId="0" fillId="58" borderId="27" xfId="3" applyFont="1" applyFill="1" applyBorder="1" applyAlignment="1">
      <alignment horizontal="center" vertical="center"/>
    </xf>
    <xf numFmtId="0" fontId="0" fillId="58" borderId="23" xfId="3" applyFont="1" applyFill="1" applyBorder="1" applyAlignment="1">
      <alignment horizontal="center" vertical="center"/>
    </xf>
    <xf numFmtId="0" fontId="17" fillId="2" borderId="83" xfId="0" quotePrefix="1" applyFont="1" applyFill="1" applyBorder="1" applyAlignment="1">
      <alignment horizontal="center" vertical="center" wrapText="1"/>
    </xf>
    <xf numFmtId="0" fontId="17" fillId="2" borderId="161" xfId="0" quotePrefix="1" applyFont="1" applyFill="1" applyBorder="1" applyAlignment="1">
      <alignment horizontal="center" vertical="center" wrapText="1"/>
    </xf>
    <xf numFmtId="0" fontId="17" fillId="2" borderId="193" xfId="0" quotePrefix="1" applyFont="1" applyFill="1" applyBorder="1" applyAlignment="1">
      <alignment horizontal="center" vertical="center" wrapText="1"/>
    </xf>
    <xf numFmtId="0" fontId="24" fillId="0" borderId="178" xfId="0" applyFont="1" applyFill="1" applyBorder="1" applyAlignment="1">
      <alignment horizontal="center" vertical="center" wrapText="1"/>
    </xf>
    <xf numFmtId="0" fontId="24" fillId="0" borderId="6" xfId="0" applyFont="1" applyFill="1" applyBorder="1" applyAlignment="1">
      <alignment horizontal="center" vertical="center" wrapText="1"/>
    </xf>
    <xf numFmtId="0" fontId="24" fillId="0" borderId="20" xfId="0" applyFont="1" applyFill="1" applyBorder="1" applyAlignment="1">
      <alignment horizontal="center" vertical="center" wrapText="1"/>
    </xf>
    <xf numFmtId="43" fontId="25" fillId="22" borderId="175" xfId="1" applyFont="1" applyFill="1" applyBorder="1" applyAlignment="1">
      <alignment horizontal="center" vertical="center"/>
    </xf>
    <xf numFmtId="43" fontId="25" fillId="22" borderId="188" xfId="1" applyFont="1" applyFill="1" applyBorder="1" applyAlignment="1">
      <alignment horizontal="center" vertical="center"/>
    </xf>
  </cellXfs>
  <cellStyles count="847">
    <cellStyle name="Dziesiętny" xfId="1" builtinId="3"/>
    <cellStyle name="Dziesiętny 2" xfId="7"/>
    <cellStyle name="Dziesiętny 3" xfId="8"/>
    <cellStyle name="Dziesiętny 3 2" xfId="9"/>
    <cellStyle name="Dziesiętny 4" xfId="10"/>
    <cellStyle name="Dziesiętny 4 2" xfId="11"/>
    <cellStyle name="Hiperłącze 2" xfId="12"/>
    <cellStyle name="Normalny" xfId="0" builtinId="0"/>
    <cellStyle name="Normalny 2" xfId="5"/>
    <cellStyle name="Normalny 2 2" xfId="13"/>
    <cellStyle name="Normalny 2 2 2" xfId="14"/>
    <cellStyle name="Normalny 2 2 2 2" xfId="15"/>
    <cellStyle name="Normalny 2 3" xfId="16"/>
    <cellStyle name="Normalny 2 4" xfId="17"/>
    <cellStyle name="Normalny 3" xfId="18"/>
    <cellStyle name="Normalny 3 2" xfId="19"/>
    <cellStyle name="Normalny 3 3" xfId="115"/>
    <cellStyle name="Normalny 3 4" xfId="160"/>
    <cellStyle name="Normalny 3 4 2" xfId="526"/>
    <cellStyle name="Normalny 3 5" xfId="482"/>
    <cellStyle name="Normalny 4" xfId="20"/>
    <cellStyle name="Normalny 5" xfId="21"/>
    <cellStyle name="Normalny 6" xfId="22"/>
    <cellStyle name="Normalny 7" xfId="112"/>
    <cellStyle name="Normalny 7 2" xfId="229"/>
    <cellStyle name="Normalny 8" xfId="152"/>
    <cellStyle name="Normalny_INFO dot  spłaty poręczonych kredytów spzoz wg stanu na 12 07 2010" xfId="3"/>
    <cellStyle name="Normalny_INFO dot  spłaty poręczonych kredytów spzoz wg stanu na 12 07 2010 2" xfId="113"/>
    <cellStyle name="Normalny_Kopia WPI_zest_u_marszal_05_09_06_nowe" xfId="4"/>
    <cellStyle name="Normalny_WPI Drogi i Transport 2007-2010_DIN" xfId="6"/>
    <cellStyle name="Normalny_WPI Drogi i Transport 2007-2010_DIN 2" xfId="114"/>
    <cellStyle name="Procentowy" xfId="2" builtinId="5"/>
    <cellStyle name="Procentowy 2" xfId="23"/>
    <cellStyle name="Procentowy 3" xfId="24"/>
    <cellStyle name="Procentowy 3 2" xfId="25"/>
    <cellStyle name="Procentowy 4" xfId="26"/>
    <cellStyle name="Procentowy 4 2" xfId="27"/>
    <cellStyle name="S0" xfId="28"/>
    <cellStyle name="S1" xfId="29"/>
    <cellStyle name="S10" xfId="30"/>
    <cellStyle name="S11" xfId="31"/>
    <cellStyle name="S12" xfId="32"/>
    <cellStyle name="S13" xfId="33"/>
    <cellStyle name="S14" xfId="34"/>
    <cellStyle name="S15" xfId="35"/>
    <cellStyle name="S16" xfId="36"/>
    <cellStyle name="S17" xfId="37"/>
    <cellStyle name="S18" xfId="38"/>
    <cellStyle name="S19" xfId="39"/>
    <cellStyle name="S2" xfId="40"/>
    <cellStyle name="S20" xfId="41"/>
    <cellStyle name="S21" xfId="42"/>
    <cellStyle name="S22" xfId="43"/>
    <cellStyle name="S23" xfId="44"/>
    <cellStyle name="S24" xfId="45"/>
    <cellStyle name="S25" xfId="46"/>
    <cellStyle name="S26" xfId="47"/>
    <cellStyle name="S27" xfId="48"/>
    <cellStyle name="S28" xfId="49"/>
    <cellStyle name="S29" xfId="50"/>
    <cellStyle name="S3" xfId="51"/>
    <cellStyle name="S30" xfId="52"/>
    <cellStyle name="S31" xfId="53"/>
    <cellStyle name="S32" xfId="54"/>
    <cellStyle name="S33" xfId="55"/>
    <cellStyle name="S34" xfId="56"/>
    <cellStyle name="S35" xfId="57"/>
    <cellStyle name="S36" xfId="58"/>
    <cellStyle name="S37" xfId="59"/>
    <cellStyle name="S38" xfId="60"/>
    <cellStyle name="S39" xfId="61"/>
    <cellStyle name="S4" xfId="62"/>
    <cellStyle name="S40" xfId="63"/>
    <cellStyle name="S41" xfId="64"/>
    <cellStyle name="S42" xfId="65"/>
    <cellStyle name="S43" xfId="66"/>
    <cellStyle name="S44" xfId="67"/>
    <cellStyle name="S5" xfId="68"/>
    <cellStyle name="S6" xfId="69"/>
    <cellStyle name="S7" xfId="70"/>
    <cellStyle name="S8" xfId="71"/>
    <cellStyle name="S9" xfId="72"/>
    <cellStyle name="SAPBEXaggData" xfId="73"/>
    <cellStyle name="SAPBEXaggData 2" xfId="116"/>
    <cellStyle name="SAPBEXaggData 2 2" xfId="230"/>
    <cellStyle name="SAPBEXaggData 2 2 2" xfId="595"/>
    <cellStyle name="SAPBEXaggData 2 3" xfId="303"/>
    <cellStyle name="SAPBEXaggData 2 3 2" xfId="668"/>
    <cellStyle name="SAPBEXaggData 2 4" xfId="371"/>
    <cellStyle name="SAPBEXaggData 2 4 2" xfId="736"/>
    <cellStyle name="SAPBEXaggData 2 5" xfId="340"/>
    <cellStyle name="SAPBEXaggData 2 5 2" xfId="705"/>
    <cellStyle name="SAPBEXaggData 2 6" xfId="411"/>
    <cellStyle name="SAPBEXaggData 2 6 2" xfId="776"/>
    <cellStyle name="SAPBEXaggData 2 7" xfId="186"/>
    <cellStyle name="SAPBEXaggData 2 7 2" xfId="552"/>
    <cellStyle name="SAPBEXaggData 2 8" xfId="483"/>
    <cellStyle name="SAPBEXaggData 3" xfId="192"/>
    <cellStyle name="SAPBEXaggData 3 2" xfId="558"/>
    <cellStyle name="SAPBEXaggData 4" xfId="157"/>
    <cellStyle name="SAPBEXaggData 4 2" xfId="523"/>
    <cellStyle name="SAPBEXaggData 5" xfId="161"/>
    <cellStyle name="SAPBEXaggData 5 2" xfId="527"/>
    <cellStyle name="SAPBEXaggDataEmph" xfId="74"/>
    <cellStyle name="SAPBEXaggDataEmph 2" xfId="117"/>
    <cellStyle name="SAPBEXaggDataEmph 2 2" xfId="231"/>
    <cellStyle name="SAPBEXaggDataEmph 2 2 2" xfId="596"/>
    <cellStyle name="SAPBEXaggDataEmph 2 3" xfId="304"/>
    <cellStyle name="SAPBEXaggDataEmph 2 3 2" xfId="669"/>
    <cellStyle name="SAPBEXaggDataEmph 2 4" xfId="372"/>
    <cellStyle name="SAPBEXaggDataEmph 2 4 2" xfId="737"/>
    <cellStyle name="SAPBEXaggDataEmph 2 5" xfId="341"/>
    <cellStyle name="SAPBEXaggDataEmph 2 5 2" xfId="706"/>
    <cellStyle name="SAPBEXaggDataEmph 2 6" xfId="412"/>
    <cellStyle name="SAPBEXaggDataEmph 2 6 2" xfId="777"/>
    <cellStyle name="SAPBEXaggDataEmph 2 7" xfId="447"/>
    <cellStyle name="SAPBEXaggDataEmph 2 7 2" xfId="812"/>
    <cellStyle name="SAPBEXaggDataEmph 2 8" xfId="484"/>
    <cellStyle name="SAPBEXaggDataEmph 3" xfId="193"/>
    <cellStyle name="SAPBEXaggDataEmph 3 2" xfId="559"/>
    <cellStyle name="SAPBEXaggDataEmph 4" xfId="156"/>
    <cellStyle name="SAPBEXaggDataEmph 4 2" xfId="522"/>
    <cellStyle name="SAPBEXaggDataEmph 5" xfId="162"/>
    <cellStyle name="SAPBEXaggDataEmph 5 2" xfId="528"/>
    <cellStyle name="SAPBEXaggItem" xfId="75"/>
    <cellStyle name="SAPBEXaggItem 2" xfId="118"/>
    <cellStyle name="SAPBEXaggItem 2 2" xfId="232"/>
    <cellStyle name="SAPBEXaggItem 2 2 2" xfId="597"/>
    <cellStyle name="SAPBEXaggItem 2 3" xfId="305"/>
    <cellStyle name="SAPBEXaggItem 2 3 2" xfId="670"/>
    <cellStyle name="SAPBEXaggItem 2 4" xfId="373"/>
    <cellStyle name="SAPBEXaggItem 2 4 2" xfId="738"/>
    <cellStyle name="SAPBEXaggItem 2 5" xfId="342"/>
    <cellStyle name="SAPBEXaggItem 2 5 2" xfId="707"/>
    <cellStyle name="SAPBEXaggItem 2 6" xfId="413"/>
    <cellStyle name="SAPBEXaggItem 2 6 2" xfId="778"/>
    <cellStyle name="SAPBEXaggItem 2 7" xfId="448"/>
    <cellStyle name="SAPBEXaggItem 2 7 2" xfId="813"/>
    <cellStyle name="SAPBEXaggItem 2 8" xfId="485"/>
    <cellStyle name="SAPBEXaggItem 3" xfId="194"/>
    <cellStyle name="SAPBEXaggItem 3 2" xfId="560"/>
    <cellStyle name="SAPBEXaggItem 4" xfId="155"/>
    <cellStyle name="SAPBEXaggItem 4 2" xfId="521"/>
    <cellStyle name="SAPBEXaggItem 5" xfId="163"/>
    <cellStyle name="SAPBEXaggItem 5 2" xfId="529"/>
    <cellStyle name="SAPBEXaggItemX" xfId="76"/>
    <cellStyle name="SAPBEXaggItemX 2" xfId="119"/>
    <cellStyle name="SAPBEXaggItemX 2 2" xfId="233"/>
    <cellStyle name="SAPBEXaggItemX 2 2 2" xfId="598"/>
    <cellStyle name="SAPBEXaggItemX 2 3" xfId="306"/>
    <cellStyle name="SAPBEXaggItemX 2 3 2" xfId="671"/>
    <cellStyle name="SAPBEXaggItemX 2 4" xfId="374"/>
    <cellStyle name="SAPBEXaggItemX 2 4 2" xfId="739"/>
    <cellStyle name="SAPBEXaggItemX 2 5" xfId="343"/>
    <cellStyle name="SAPBEXaggItemX 2 5 2" xfId="708"/>
    <cellStyle name="SAPBEXaggItemX 2 6" xfId="414"/>
    <cellStyle name="SAPBEXaggItemX 2 6 2" xfId="779"/>
    <cellStyle name="SAPBEXaggItemX 2 7" xfId="449"/>
    <cellStyle name="SAPBEXaggItemX 2 7 2" xfId="814"/>
    <cellStyle name="SAPBEXaggItemX 2 8" xfId="486"/>
    <cellStyle name="SAPBEXaggItemX 3" xfId="195"/>
    <cellStyle name="SAPBEXaggItemX 3 2" xfId="561"/>
    <cellStyle name="SAPBEXaggItemX 4" xfId="153"/>
    <cellStyle name="SAPBEXaggItemX 4 2" xfId="519"/>
    <cellStyle name="SAPBEXaggItemX 5" xfId="164"/>
    <cellStyle name="SAPBEXaggItemX 5 2" xfId="530"/>
    <cellStyle name="SAPBEXchaText" xfId="77"/>
    <cellStyle name="SAPBEXchaText 2" xfId="120"/>
    <cellStyle name="SAPBEXchaText 2 2" xfId="234"/>
    <cellStyle name="SAPBEXchaText 2 2 2" xfId="599"/>
    <cellStyle name="SAPBEXchaText 2 3" xfId="307"/>
    <cellStyle name="SAPBEXchaText 2 3 2" xfId="672"/>
    <cellStyle name="SAPBEXchaText 2 4" xfId="375"/>
    <cellStyle name="SAPBEXchaText 2 4 2" xfId="740"/>
    <cellStyle name="SAPBEXchaText 2 5" xfId="344"/>
    <cellStyle name="SAPBEXchaText 2 5 2" xfId="709"/>
    <cellStyle name="SAPBEXchaText 2 6" xfId="415"/>
    <cellStyle name="SAPBEXchaText 2 6 2" xfId="780"/>
    <cellStyle name="SAPBEXchaText 2 7" xfId="450"/>
    <cellStyle name="SAPBEXchaText 2 7 2" xfId="815"/>
    <cellStyle name="SAPBEXchaText 2 8" xfId="487"/>
    <cellStyle name="SAPBEXchaText 3" xfId="196"/>
    <cellStyle name="SAPBEXchaText 3 2" xfId="562"/>
    <cellStyle name="SAPBEXchaText 4" xfId="266"/>
    <cellStyle name="SAPBEXchaText 4 2" xfId="631"/>
    <cellStyle name="SAPBEXchaText 5" xfId="165"/>
    <cellStyle name="SAPBEXchaText 5 2" xfId="531"/>
    <cellStyle name="SAPBEXexcBad7" xfId="78"/>
    <cellStyle name="SAPBEXexcBad7 2" xfId="121"/>
    <cellStyle name="SAPBEXexcBad7 2 2" xfId="235"/>
    <cellStyle name="SAPBEXexcBad7 2 2 2" xfId="600"/>
    <cellStyle name="SAPBEXexcBad7 2 3" xfId="308"/>
    <cellStyle name="SAPBEXexcBad7 2 3 2" xfId="673"/>
    <cellStyle name="SAPBEXexcBad7 2 4" xfId="376"/>
    <cellStyle name="SAPBEXexcBad7 2 4 2" xfId="741"/>
    <cellStyle name="SAPBEXexcBad7 2 5" xfId="345"/>
    <cellStyle name="SAPBEXexcBad7 2 5 2" xfId="710"/>
    <cellStyle name="SAPBEXexcBad7 2 6" xfId="416"/>
    <cellStyle name="SAPBEXexcBad7 2 6 2" xfId="781"/>
    <cellStyle name="SAPBEXexcBad7 2 7" xfId="451"/>
    <cellStyle name="SAPBEXexcBad7 2 7 2" xfId="816"/>
    <cellStyle name="SAPBEXexcBad7 2 8" xfId="488"/>
    <cellStyle name="SAPBEXexcBad7 3" xfId="197"/>
    <cellStyle name="SAPBEXexcBad7 3 2" xfId="563"/>
    <cellStyle name="SAPBEXexcBad7 4" xfId="267"/>
    <cellStyle name="SAPBEXexcBad7 4 2" xfId="632"/>
    <cellStyle name="SAPBEXexcBad7 5" xfId="166"/>
    <cellStyle name="SAPBEXexcBad7 5 2" xfId="532"/>
    <cellStyle name="SAPBEXexcBad8" xfId="79"/>
    <cellStyle name="SAPBEXexcBad8 2" xfId="122"/>
    <cellStyle name="SAPBEXexcBad8 2 2" xfId="236"/>
    <cellStyle name="SAPBEXexcBad8 2 2 2" xfId="601"/>
    <cellStyle name="SAPBEXexcBad8 2 3" xfId="309"/>
    <cellStyle name="SAPBEXexcBad8 2 3 2" xfId="674"/>
    <cellStyle name="SAPBEXexcBad8 2 4" xfId="377"/>
    <cellStyle name="SAPBEXexcBad8 2 4 2" xfId="742"/>
    <cellStyle name="SAPBEXexcBad8 2 5" xfId="346"/>
    <cellStyle name="SAPBEXexcBad8 2 5 2" xfId="711"/>
    <cellStyle name="SAPBEXexcBad8 2 6" xfId="417"/>
    <cellStyle name="SAPBEXexcBad8 2 6 2" xfId="782"/>
    <cellStyle name="SAPBEXexcBad8 2 7" xfId="452"/>
    <cellStyle name="SAPBEXexcBad8 2 7 2" xfId="817"/>
    <cellStyle name="SAPBEXexcBad8 2 8" xfId="489"/>
    <cellStyle name="SAPBEXexcBad8 3" xfId="198"/>
    <cellStyle name="SAPBEXexcBad8 3 2" xfId="564"/>
    <cellStyle name="SAPBEXexcBad8 4" xfId="268"/>
    <cellStyle name="SAPBEXexcBad8 4 2" xfId="633"/>
    <cellStyle name="SAPBEXexcBad8 5" xfId="167"/>
    <cellStyle name="SAPBEXexcBad8 5 2" xfId="533"/>
    <cellStyle name="SAPBEXexcBad9" xfId="80"/>
    <cellStyle name="SAPBEXexcBad9 2" xfId="123"/>
    <cellStyle name="SAPBEXexcBad9 2 2" xfId="237"/>
    <cellStyle name="SAPBEXexcBad9 2 2 2" xfId="602"/>
    <cellStyle name="SAPBEXexcBad9 2 3" xfId="310"/>
    <cellStyle name="SAPBEXexcBad9 2 3 2" xfId="675"/>
    <cellStyle name="SAPBEXexcBad9 2 4" xfId="378"/>
    <cellStyle name="SAPBEXexcBad9 2 4 2" xfId="743"/>
    <cellStyle name="SAPBEXexcBad9 2 5" xfId="368"/>
    <cellStyle name="SAPBEXexcBad9 2 5 2" xfId="733"/>
    <cellStyle name="SAPBEXexcBad9 2 6" xfId="418"/>
    <cellStyle name="SAPBEXexcBad9 2 6 2" xfId="783"/>
    <cellStyle name="SAPBEXexcBad9 2 7" xfId="453"/>
    <cellStyle name="SAPBEXexcBad9 2 7 2" xfId="818"/>
    <cellStyle name="SAPBEXexcBad9 2 8" xfId="490"/>
    <cellStyle name="SAPBEXexcBad9 3" xfId="199"/>
    <cellStyle name="SAPBEXexcBad9 3 2" xfId="565"/>
    <cellStyle name="SAPBEXexcBad9 4" xfId="269"/>
    <cellStyle name="SAPBEXexcBad9 4 2" xfId="634"/>
    <cellStyle name="SAPBEXexcBad9 5" xfId="168"/>
    <cellStyle name="SAPBEXexcBad9 5 2" xfId="534"/>
    <cellStyle name="SAPBEXexcCritical4" xfId="81"/>
    <cellStyle name="SAPBEXexcCritical4 2" xfId="124"/>
    <cellStyle name="SAPBEXexcCritical4 2 2" xfId="238"/>
    <cellStyle name="SAPBEXexcCritical4 2 2 2" xfId="603"/>
    <cellStyle name="SAPBEXexcCritical4 2 3" xfId="311"/>
    <cellStyle name="SAPBEXexcCritical4 2 3 2" xfId="676"/>
    <cellStyle name="SAPBEXexcCritical4 2 4" xfId="379"/>
    <cellStyle name="SAPBEXexcCritical4 2 4 2" xfId="744"/>
    <cellStyle name="SAPBEXexcCritical4 2 5" xfId="154"/>
    <cellStyle name="SAPBEXexcCritical4 2 5 2" xfId="520"/>
    <cellStyle name="SAPBEXexcCritical4 2 6" xfId="419"/>
    <cellStyle name="SAPBEXexcCritical4 2 6 2" xfId="784"/>
    <cellStyle name="SAPBEXexcCritical4 2 7" xfId="454"/>
    <cellStyle name="SAPBEXexcCritical4 2 7 2" xfId="819"/>
    <cellStyle name="SAPBEXexcCritical4 2 8" xfId="491"/>
    <cellStyle name="SAPBEXexcCritical4 3" xfId="200"/>
    <cellStyle name="SAPBEXexcCritical4 3 2" xfId="566"/>
    <cellStyle name="SAPBEXexcCritical4 4" xfId="270"/>
    <cellStyle name="SAPBEXexcCritical4 4 2" xfId="635"/>
    <cellStyle name="SAPBEXexcCritical4 5" xfId="169"/>
    <cellStyle name="SAPBEXexcCritical4 5 2" xfId="535"/>
    <cellStyle name="SAPBEXexcCritical5" xfId="82"/>
    <cellStyle name="SAPBEXexcCritical5 2" xfId="125"/>
    <cellStyle name="SAPBEXexcCritical5 2 2" xfId="239"/>
    <cellStyle name="SAPBEXexcCritical5 2 2 2" xfId="604"/>
    <cellStyle name="SAPBEXexcCritical5 2 3" xfId="312"/>
    <cellStyle name="SAPBEXexcCritical5 2 3 2" xfId="677"/>
    <cellStyle name="SAPBEXexcCritical5 2 4" xfId="380"/>
    <cellStyle name="SAPBEXexcCritical5 2 4 2" xfId="745"/>
    <cellStyle name="SAPBEXexcCritical5 2 5" xfId="364"/>
    <cellStyle name="SAPBEXexcCritical5 2 5 2" xfId="729"/>
    <cellStyle name="SAPBEXexcCritical5 2 6" xfId="420"/>
    <cellStyle name="SAPBEXexcCritical5 2 6 2" xfId="785"/>
    <cellStyle name="SAPBEXexcCritical5 2 7" xfId="455"/>
    <cellStyle name="SAPBEXexcCritical5 2 7 2" xfId="820"/>
    <cellStyle name="SAPBEXexcCritical5 2 8" xfId="492"/>
    <cellStyle name="SAPBEXexcCritical5 3" xfId="201"/>
    <cellStyle name="SAPBEXexcCritical5 3 2" xfId="567"/>
    <cellStyle name="SAPBEXexcCritical5 4" xfId="271"/>
    <cellStyle name="SAPBEXexcCritical5 4 2" xfId="636"/>
    <cellStyle name="SAPBEXexcCritical5 5" xfId="170"/>
    <cellStyle name="SAPBEXexcCritical5 5 2" xfId="536"/>
    <cellStyle name="SAPBEXexcCritical6" xfId="83"/>
    <cellStyle name="SAPBEXexcCritical6 2" xfId="126"/>
    <cellStyle name="SAPBEXexcCritical6 2 2" xfId="240"/>
    <cellStyle name="SAPBEXexcCritical6 2 2 2" xfId="605"/>
    <cellStyle name="SAPBEXexcCritical6 2 3" xfId="313"/>
    <cellStyle name="SAPBEXexcCritical6 2 3 2" xfId="678"/>
    <cellStyle name="SAPBEXexcCritical6 2 4" xfId="381"/>
    <cellStyle name="SAPBEXexcCritical6 2 4 2" xfId="746"/>
    <cellStyle name="SAPBEXexcCritical6 2 5" xfId="366"/>
    <cellStyle name="SAPBEXexcCritical6 2 5 2" xfId="731"/>
    <cellStyle name="SAPBEXexcCritical6 2 6" xfId="421"/>
    <cellStyle name="SAPBEXexcCritical6 2 6 2" xfId="786"/>
    <cellStyle name="SAPBEXexcCritical6 2 7" xfId="456"/>
    <cellStyle name="SAPBEXexcCritical6 2 7 2" xfId="821"/>
    <cellStyle name="SAPBEXexcCritical6 2 8" xfId="493"/>
    <cellStyle name="SAPBEXexcCritical6 3" xfId="202"/>
    <cellStyle name="SAPBEXexcCritical6 3 2" xfId="568"/>
    <cellStyle name="SAPBEXexcCritical6 4" xfId="272"/>
    <cellStyle name="SAPBEXexcCritical6 4 2" xfId="637"/>
    <cellStyle name="SAPBEXexcCritical6 5" xfId="171"/>
    <cellStyle name="SAPBEXexcCritical6 5 2" xfId="537"/>
    <cellStyle name="SAPBEXexcGood1" xfId="84"/>
    <cellStyle name="SAPBEXexcGood1 2" xfId="127"/>
    <cellStyle name="SAPBEXexcGood1 2 2" xfId="241"/>
    <cellStyle name="SAPBEXexcGood1 2 2 2" xfId="606"/>
    <cellStyle name="SAPBEXexcGood1 2 3" xfId="314"/>
    <cellStyle name="SAPBEXexcGood1 2 3 2" xfId="679"/>
    <cellStyle name="SAPBEXexcGood1 2 4" xfId="382"/>
    <cellStyle name="SAPBEXexcGood1 2 4 2" xfId="747"/>
    <cellStyle name="SAPBEXexcGood1 2 5" xfId="158"/>
    <cellStyle name="SAPBEXexcGood1 2 5 2" xfId="524"/>
    <cellStyle name="SAPBEXexcGood1 2 6" xfId="422"/>
    <cellStyle name="SAPBEXexcGood1 2 6 2" xfId="787"/>
    <cellStyle name="SAPBEXexcGood1 2 7" xfId="457"/>
    <cellStyle name="SAPBEXexcGood1 2 7 2" xfId="822"/>
    <cellStyle name="SAPBEXexcGood1 2 8" xfId="494"/>
    <cellStyle name="SAPBEXexcGood1 3" xfId="203"/>
    <cellStyle name="SAPBEXexcGood1 3 2" xfId="569"/>
    <cellStyle name="SAPBEXexcGood1 4" xfId="273"/>
    <cellStyle name="SAPBEXexcGood1 4 2" xfId="638"/>
    <cellStyle name="SAPBEXexcGood1 5" xfId="172"/>
    <cellStyle name="SAPBEXexcGood1 5 2" xfId="538"/>
    <cellStyle name="SAPBEXexcGood2" xfId="85"/>
    <cellStyle name="SAPBEXexcGood2 2" xfId="128"/>
    <cellStyle name="SAPBEXexcGood2 2 2" xfId="242"/>
    <cellStyle name="SAPBEXexcGood2 2 2 2" xfId="607"/>
    <cellStyle name="SAPBEXexcGood2 2 3" xfId="315"/>
    <cellStyle name="SAPBEXexcGood2 2 3 2" xfId="680"/>
    <cellStyle name="SAPBEXexcGood2 2 4" xfId="383"/>
    <cellStyle name="SAPBEXexcGood2 2 4 2" xfId="748"/>
    <cellStyle name="SAPBEXexcGood2 2 5" xfId="367"/>
    <cellStyle name="SAPBEXexcGood2 2 5 2" xfId="732"/>
    <cellStyle name="SAPBEXexcGood2 2 6" xfId="423"/>
    <cellStyle name="SAPBEXexcGood2 2 6 2" xfId="788"/>
    <cellStyle name="SAPBEXexcGood2 2 7" xfId="458"/>
    <cellStyle name="SAPBEXexcGood2 2 7 2" xfId="823"/>
    <cellStyle name="SAPBEXexcGood2 2 8" xfId="495"/>
    <cellStyle name="SAPBEXexcGood2 3" xfId="204"/>
    <cellStyle name="SAPBEXexcGood2 3 2" xfId="570"/>
    <cellStyle name="SAPBEXexcGood2 4" xfId="274"/>
    <cellStyle name="SAPBEXexcGood2 4 2" xfId="639"/>
    <cellStyle name="SAPBEXexcGood2 5" xfId="173"/>
    <cellStyle name="SAPBEXexcGood2 5 2" xfId="539"/>
    <cellStyle name="SAPBEXexcGood3" xfId="86"/>
    <cellStyle name="SAPBEXexcGood3 2" xfId="129"/>
    <cellStyle name="SAPBEXexcGood3 2 2" xfId="243"/>
    <cellStyle name="SAPBEXexcGood3 2 2 2" xfId="608"/>
    <cellStyle name="SAPBEXexcGood3 2 3" xfId="316"/>
    <cellStyle name="SAPBEXexcGood3 2 3 2" xfId="681"/>
    <cellStyle name="SAPBEXexcGood3 2 4" xfId="384"/>
    <cellStyle name="SAPBEXexcGood3 2 4 2" xfId="749"/>
    <cellStyle name="SAPBEXexcGood3 2 5" xfId="409"/>
    <cellStyle name="SAPBEXexcGood3 2 5 2" xfId="774"/>
    <cellStyle name="SAPBEXexcGood3 2 6" xfId="424"/>
    <cellStyle name="SAPBEXexcGood3 2 6 2" xfId="789"/>
    <cellStyle name="SAPBEXexcGood3 2 7" xfId="459"/>
    <cellStyle name="SAPBEXexcGood3 2 7 2" xfId="824"/>
    <cellStyle name="SAPBEXexcGood3 2 8" xfId="496"/>
    <cellStyle name="SAPBEXexcGood3 3" xfId="205"/>
    <cellStyle name="SAPBEXexcGood3 3 2" xfId="571"/>
    <cellStyle name="SAPBEXexcGood3 4" xfId="275"/>
    <cellStyle name="SAPBEXexcGood3 4 2" xfId="640"/>
    <cellStyle name="SAPBEXexcGood3 5" xfId="174"/>
    <cellStyle name="SAPBEXexcGood3 5 2" xfId="540"/>
    <cellStyle name="SAPBEXfilterDrill" xfId="87"/>
    <cellStyle name="SAPBEXfilterDrill 2" xfId="130"/>
    <cellStyle name="SAPBEXfilterDrill 2 2" xfId="244"/>
    <cellStyle name="SAPBEXfilterDrill 2 2 2" xfId="609"/>
    <cellStyle name="SAPBEXfilterDrill 2 3" xfId="317"/>
    <cellStyle name="SAPBEXfilterDrill 2 3 2" xfId="682"/>
    <cellStyle name="SAPBEXfilterDrill 2 4" xfId="385"/>
    <cellStyle name="SAPBEXfilterDrill 2 4 2" xfId="750"/>
    <cellStyle name="SAPBEXfilterDrill 2 5" xfId="159"/>
    <cellStyle name="SAPBEXfilterDrill 2 5 2" xfId="525"/>
    <cellStyle name="SAPBEXfilterDrill 2 6" xfId="425"/>
    <cellStyle name="SAPBEXfilterDrill 2 6 2" xfId="790"/>
    <cellStyle name="SAPBEXfilterDrill 2 7" xfId="460"/>
    <cellStyle name="SAPBEXfilterDrill 2 7 2" xfId="825"/>
    <cellStyle name="SAPBEXfilterDrill 2 8" xfId="497"/>
    <cellStyle name="SAPBEXfilterDrill 3" xfId="206"/>
    <cellStyle name="SAPBEXfilterDrill 3 2" xfId="572"/>
    <cellStyle name="SAPBEXfilterDrill 4" xfId="276"/>
    <cellStyle name="SAPBEXfilterDrill 4 2" xfId="641"/>
    <cellStyle name="SAPBEXfilterDrill 5" xfId="175"/>
    <cellStyle name="SAPBEXfilterDrill 5 2" xfId="541"/>
    <cellStyle name="SAPBEXfilterItem" xfId="88"/>
    <cellStyle name="SAPBEXfilterItem 2" xfId="131"/>
    <cellStyle name="SAPBEXfilterItem 2 2" xfId="245"/>
    <cellStyle name="SAPBEXfilterItem 2 2 2" xfId="610"/>
    <cellStyle name="SAPBEXfilterItem 2 3" xfId="318"/>
    <cellStyle name="SAPBEXfilterItem 2 3 2" xfId="683"/>
    <cellStyle name="SAPBEXfilterItem 2 4" xfId="386"/>
    <cellStyle name="SAPBEXfilterItem 2 4 2" xfId="751"/>
    <cellStyle name="SAPBEXfilterItem 2 5" xfId="408"/>
    <cellStyle name="SAPBEXfilterItem 2 5 2" xfId="773"/>
    <cellStyle name="SAPBEXfilterItem 2 6" xfId="348"/>
    <cellStyle name="SAPBEXfilterItem 2 6 2" xfId="713"/>
    <cellStyle name="SAPBEXfilterItem 2 7" xfId="426"/>
    <cellStyle name="SAPBEXfilterItem 2 7 2" xfId="791"/>
    <cellStyle name="SAPBEXfilterItem 2 8" xfId="461"/>
    <cellStyle name="SAPBEXfilterItem 2 8 2" xfId="826"/>
    <cellStyle name="SAPBEXfilterItem 2 9" xfId="498"/>
    <cellStyle name="SAPBEXfilterItem 3" xfId="207"/>
    <cellStyle name="SAPBEXfilterItem 3 2" xfId="573"/>
    <cellStyle name="SAPBEXfilterItem 4" xfId="277"/>
    <cellStyle name="SAPBEXfilterItem 4 2" xfId="642"/>
    <cellStyle name="SAPBEXfilterItem 5" xfId="347"/>
    <cellStyle name="SAPBEXfilterItem 5 2" xfId="712"/>
    <cellStyle name="SAPBEXfilterItem 6" xfId="278"/>
    <cellStyle name="SAPBEXfilterItem 6 2" xfId="643"/>
    <cellStyle name="SAPBEXfilterItem 7" xfId="407"/>
    <cellStyle name="SAPBEXfilterItem 7 2" xfId="772"/>
    <cellStyle name="SAPBEXfilterText" xfId="89"/>
    <cellStyle name="SAPBEXformats" xfId="90"/>
    <cellStyle name="SAPBEXformats 2" xfId="132"/>
    <cellStyle name="SAPBEXformats 2 2" xfId="246"/>
    <cellStyle name="SAPBEXformats 2 2 2" xfId="611"/>
    <cellStyle name="SAPBEXformats 2 3" xfId="319"/>
    <cellStyle name="SAPBEXformats 2 3 2" xfId="684"/>
    <cellStyle name="SAPBEXformats 2 4" xfId="387"/>
    <cellStyle name="SAPBEXformats 2 4 2" xfId="752"/>
    <cellStyle name="SAPBEXformats 2 5" xfId="349"/>
    <cellStyle name="SAPBEXformats 2 5 2" xfId="714"/>
    <cellStyle name="SAPBEXformats 2 6" xfId="427"/>
    <cellStyle name="SAPBEXformats 2 6 2" xfId="792"/>
    <cellStyle name="SAPBEXformats 2 7" xfId="462"/>
    <cellStyle name="SAPBEXformats 2 7 2" xfId="827"/>
    <cellStyle name="SAPBEXformats 2 8" xfId="499"/>
    <cellStyle name="SAPBEXformats 3" xfId="208"/>
    <cellStyle name="SAPBEXformats 3 2" xfId="574"/>
    <cellStyle name="SAPBEXformats 4" xfId="279"/>
    <cellStyle name="SAPBEXformats 4 2" xfId="644"/>
    <cellStyle name="SAPBEXformats 5" xfId="188"/>
    <cellStyle name="SAPBEXformats 5 2" xfId="554"/>
    <cellStyle name="SAPBEXheaderItem" xfId="91"/>
    <cellStyle name="SAPBEXheaderItem 2" xfId="133"/>
    <cellStyle name="SAPBEXheaderItem 2 2" xfId="247"/>
    <cellStyle name="SAPBEXheaderItem 2 2 2" xfId="612"/>
    <cellStyle name="SAPBEXheaderItem 2 3" xfId="320"/>
    <cellStyle name="SAPBEXheaderItem 2 3 2" xfId="685"/>
    <cellStyle name="SAPBEXheaderItem 2 4" xfId="388"/>
    <cellStyle name="SAPBEXheaderItem 2 4 2" xfId="753"/>
    <cellStyle name="SAPBEXheaderItem 2 5" xfId="350"/>
    <cellStyle name="SAPBEXheaderItem 2 5 2" xfId="715"/>
    <cellStyle name="SAPBEXheaderItem 2 6" xfId="428"/>
    <cellStyle name="SAPBEXheaderItem 2 6 2" xfId="793"/>
    <cellStyle name="SAPBEXheaderItem 2 7" xfId="463"/>
    <cellStyle name="SAPBEXheaderItem 2 7 2" xfId="828"/>
    <cellStyle name="SAPBEXheaderItem 2 8" xfId="500"/>
    <cellStyle name="SAPBEXheaderItem 3" xfId="209"/>
    <cellStyle name="SAPBEXheaderItem 3 2" xfId="575"/>
    <cellStyle name="SAPBEXheaderItem 4" xfId="280"/>
    <cellStyle name="SAPBEXheaderItem 4 2" xfId="645"/>
    <cellStyle name="SAPBEXheaderItem 5" xfId="190"/>
    <cellStyle name="SAPBEXheaderItem 5 2" xfId="556"/>
    <cellStyle name="SAPBEXheaderText" xfId="92"/>
    <cellStyle name="SAPBEXheaderText 2" xfId="134"/>
    <cellStyle name="SAPBEXheaderText 2 2" xfId="248"/>
    <cellStyle name="SAPBEXheaderText 2 2 2" xfId="613"/>
    <cellStyle name="SAPBEXheaderText 2 3" xfId="321"/>
    <cellStyle name="SAPBEXheaderText 2 3 2" xfId="686"/>
    <cellStyle name="SAPBEXheaderText 2 4" xfId="389"/>
    <cellStyle name="SAPBEXheaderText 2 4 2" xfId="754"/>
    <cellStyle name="SAPBEXheaderText 2 5" xfId="298"/>
    <cellStyle name="SAPBEXheaderText 2 5 2" xfId="663"/>
    <cellStyle name="SAPBEXheaderText 2 6" xfId="429"/>
    <cellStyle name="SAPBEXheaderText 2 6 2" xfId="794"/>
    <cellStyle name="SAPBEXheaderText 2 7" xfId="464"/>
    <cellStyle name="SAPBEXheaderText 2 7 2" xfId="829"/>
    <cellStyle name="SAPBEXheaderText 2 8" xfId="501"/>
    <cellStyle name="SAPBEXheaderText 3" xfId="210"/>
    <cellStyle name="SAPBEXheaderText 3 2" xfId="576"/>
    <cellStyle name="SAPBEXheaderText 4" xfId="281"/>
    <cellStyle name="SAPBEXheaderText 4 2" xfId="646"/>
    <cellStyle name="SAPBEXheaderText 5" xfId="301"/>
    <cellStyle name="SAPBEXheaderText 5 2" xfId="666"/>
    <cellStyle name="SAPBEXHLevel0" xfId="93"/>
    <cellStyle name="SAPBEXHLevel0 2" xfId="135"/>
    <cellStyle name="SAPBEXHLevel0 2 2" xfId="249"/>
    <cellStyle name="SAPBEXHLevel0 2 2 2" xfId="614"/>
    <cellStyle name="SAPBEXHLevel0 2 3" xfId="322"/>
    <cellStyle name="SAPBEXHLevel0 2 3 2" xfId="687"/>
    <cellStyle name="SAPBEXHLevel0 2 4" xfId="390"/>
    <cellStyle name="SAPBEXHLevel0 2 4 2" xfId="755"/>
    <cellStyle name="SAPBEXHLevel0 2 5" xfId="351"/>
    <cellStyle name="SAPBEXHLevel0 2 5 2" xfId="716"/>
    <cellStyle name="SAPBEXHLevel0 2 6" xfId="430"/>
    <cellStyle name="SAPBEXHLevel0 2 6 2" xfId="795"/>
    <cellStyle name="SAPBEXHLevel0 2 7" xfId="465"/>
    <cellStyle name="SAPBEXHLevel0 2 7 2" xfId="830"/>
    <cellStyle name="SAPBEXHLevel0 2 8" xfId="502"/>
    <cellStyle name="SAPBEXHLevel0 3" xfId="211"/>
    <cellStyle name="SAPBEXHLevel0 3 2" xfId="577"/>
    <cellStyle name="SAPBEXHLevel0 4" xfId="282"/>
    <cellStyle name="SAPBEXHLevel0 4 2" xfId="647"/>
    <cellStyle name="SAPBEXHLevel0 5" xfId="191"/>
    <cellStyle name="SAPBEXHLevel0 5 2" xfId="557"/>
    <cellStyle name="SAPBEXHLevel0X" xfId="94"/>
    <cellStyle name="SAPBEXHLevel0X 2" xfId="136"/>
    <cellStyle name="SAPBEXHLevel0X 2 2" xfId="250"/>
    <cellStyle name="SAPBEXHLevel0X 2 2 2" xfId="615"/>
    <cellStyle name="SAPBEXHLevel0X 2 3" xfId="323"/>
    <cellStyle name="SAPBEXHLevel0X 2 3 2" xfId="688"/>
    <cellStyle name="SAPBEXHLevel0X 2 4" xfId="391"/>
    <cellStyle name="SAPBEXHLevel0X 2 4 2" xfId="756"/>
    <cellStyle name="SAPBEXHLevel0X 2 5" xfId="352"/>
    <cellStyle name="SAPBEXHLevel0X 2 5 2" xfId="717"/>
    <cellStyle name="SAPBEXHLevel0X 2 6" xfId="431"/>
    <cellStyle name="SAPBEXHLevel0X 2 6 2" xfId="796"/>
    <cellStyle name="SAPBEXHLevel0X 2 7" xfId="466"/>
    <cellStyle name="SAPBEXHLevel0X 2 7 2" xfId="831"/>
    <cellStyle name="SAPBEXHLevel0X 2 8" xfId="503"/>
    <cellStyle name="SAPBEXHLevel0X 3" xfId="212"/>
    <cellStyle name="SAPBEXHLevel0X 3 2" xfId="578"/>
    <cellStyle name="SAPBEXHLevel0X 4" xfId="283"/>
    <cellStyle name="SAPBEXHLevel0X 4 2" xfId="648"/>
    <cellStyle name="SAPBEXHLevel0X 5" xfId="339"/>
    <cellStyle name="SAPBEXHLevel0X 5 2" xfId="704"/>
    <cellStyle name="SAPBEXHLevel1" xfId="95"/>
    <cellStyle name="SAPBEXHLevel1 2" xfId="137"/>
    <cellStyle name="SAPBEXHLevel1 2 2" xfId="251"/>
    <cellStyle name="SAPBEXHLevel1 2 2 2" xfId="616"/>
    <cellStyle name="SAPBEXHLevel1 2 3" xfId="324"/>
    <cellStyle name="SAPBEXHLevel1 2 3 2" xfId="689"/>
    <cellStyle name="SAPBEXHLevel1 2 4" xfId="392"/>
    <cellStyle name="SAPBEXHLevel1 2 4 2" xfId="757"/>
    <cellStyle name="SAPBEXHLevel1 2 5" xfId="353"/>
    <cellStyle name="SAPBEXHLevel1 2 5 2" xfId="718"/>
    <cellStyle name="SAPBEXHLevel1 2 6" xfId="432"/>
    <cellStyle name="SAPBEXHLevel1 2 6 2" xfId="797"/>
    <cellStyle name="SAPBEXHLevel1 2 7" xfId="467"/>
    <cellStyle name="SAPBEXHLevel1 2 7 2" xfId="832"/>
    <cellStyle name="SAPBEXHLevel1 2 8" xfId="504"/>
    <cellStyle name="SAPBEXHLevel1 3" xfId="213"/>
    <cellStyle name="SAPBEXHLevel1 3 2" xfId="579"/>
    <cellStyle name="SAPBEXHLevel1 4" xfId="284"/>
    <cellStyle name="SAPBEXHLevel1 4 2" xfId="649"/>
    <cellStyle name="SAPBEXHLevel1 5" xfId="300"/>
    <cellStyle name="SAPBEXHLevel1 5 2" xfId="665"/>
    <cellStyle name="SAPBEXHLevel1X" xfId="96"/>
    <cellStyle name="SAPBEXHLevel1X 2" xfId="138"/>
    <cellStyle name="SAPBEXHLevel1X 2 2" xfId="252"/>
    <cellStyle name="SAPBEXHLevel1X 2 2 2" xfId="617"/>
    <cellStyle name="SAPBEXHLevel1X 2 3" xfId="325"/>
    <cellStyle name="SAPBEXHLevel1X 2 3 2" xfId="690"/>
    <cellStyle name="SAPBEXHLevel1X 2 4" xfId="393"/>
    <cellStyle name="SAPBEXHLevel1X 2 4 2" xfId="758"/>
    <cellStyle name="SAPBEXHLevel1X 2 5" xfId="354"/>
    <cellStyle name="SAPBEXHLevel1X 2 5 2" xfId="719"/>
    <cellStyle name="SAPBEXHLevel1X 2 6" xfId="433"/>
    <cellStyle name="SAPBEXHLevel1X 2 6 2" xfId="798"/>
    <cellStyle name="SAPBEXHLevel1X 2 7" xfId="468"/>
    <cellStyle name="SAPBEXHLevel1X 2 7 2" xfId="833"/>
    <cellStyle name="SAPBEXHLevel1X 2 8" xfId="505"/>
    <cellStyle name="SAPBEXHLevel1X 3" xfId="214"/>
    <cellStyle name="SAPBEXHLevel1X 3 2" xfId="580"/>
    <cellStyle name="SAPBEXHLevel1X 4" xfId="285"/>
    <cellStyle name="SAPBEXHLevel1X 4 2" xfId="650"/>
    <cellStyle name="SAPBEXHLevel1X 5" xfId="176"/>
    <cellStyle name="SAPBEXHLevel1X 5 2" xfId="542"/>
    <cellStyle name="SAPBEXHLevel2" xfId="97"/>
    <cellStyle name="SAPBEXHLevel2 2" xfId="139"/>
    <cellStyle name="SAPBEXHLevel2 2 2" xfId="253"/>
    <cellStyle name="SAPBEXHLevel2 2 2 2" xfId="618"/>
    <cellStyle name="SAPBEXHLevel2 2 3" xfId="326"/>
    <cellStyle name="SAPBEXHLevel2 2 3 2" xfId="691"/>
    <cellStyle name="SAPBEXHLevel2 2 4" xfId="394"/>
    <cellStyle name="SAPBEXHLevel2 2 4 2" xfId="759"/>
    <cellStyle name="SAPBEXHLevel2 2 5" xfId="355"/>
    <cellStyle name="SAPBEXHLevel2 2 5 2" xfId="720"/>
    <cellStyle name="SAPBEXHLevel2 2 6" xfId="434"/>
    <cellStyle name="SAPBEXHLevel2 2 6 2" xfId="799"/>
    <cellStyle name="SAPBEXHLevel2 2 7" xfId="469"/>
    <cellStyle name="SAPBEXHLevel2 2 7 2" xfId="834"/>
    <cellStyle name="SAPBEXHLevel2 2 8" xfId="506"/>
    <cellStyle name="SAPBEXHLevel2 3" xfId="215"/>
    <cellStyle name="SAPBEXHLevel2 3 2" xfId="581"/>
    <cellStyle name="SAPBEXHLevel2 4" xfId="286"/>
    <cellStyle name="SAPBEXHLevel2 4 2" xfId="651"/>
    <cellStyle name="SAPBEXHLevel2 5" xfId="177"/>
    <cellStyle name="SAPBEXHLevel2 5 2" xfId="543"/>
    <cellStyle name="SAPBEXHLevel2X" xfId="98"/>
    <cellStyle name="SAPBEXHLevel2X 2" xfId="140"/>
    <cellStyle name="SAPBEXHLevel2X 2 2" xfId="254"/>
    <cellStyle name="SAPBEXHLevel2X 2 2 2" xfId="619"/>
    <cellStyle name="SAPBEXHLevel2X 2 3" xfId="327"/>
    <cellStyle name="SAPBEXHLevel2X 2 3 2" xfId="692"/>
    <cellStyle name="SAPBEXHLevel2X 2 4" xfId="395"/>
    <cellStyle name="SAPBEXHLevel2X 2 4 2" xfId="760"/>
    <cellStyle name="SAPBEXHLevel2X 2 5" xfId="356"/>
    <cellStyle name="SAPBEXHLevel2X 2 5 2" xfId="721"/>
    <cellStyle name="SAPBEXHLevel2X 2 6" xfId="435"/>
    <cellStyle name="SAPBEXHLevel2X 2 6 2" xfId="800"/>
    <cellStyle name="SAPBEXHLevel2X 2 7" xfId="470"/>
    <cellStyle name="SAPBEXHLevel2X 2 7 2" xfId="835"/>
    <cellStyle name="SAPBEXHLevel2X 2 8" xfId="507"/>
    <cellStyle name="SAPBEXHLevel2X 3" xfId="216"/>
    <cellStyle name="SAPBEXHLevel2X 3 2" xfId="582"/>
    <cellStyle name="SAPBEXHLevel2X 4" xfId="287"/>
    <cellStyle name="SAPBEXHLevel2X 4 2" xfId="652"/>
    <cellStyle name="SAPBEXHLevel2X 5" xfId="178"/>
    <cellStyle name="SAPBEXHLevel2X 5 2" xfId="544"/>
    <cellStyle name="SAPBEXHLevel3" xfId="99"/>
    <cellStyle name="SAPBEXHLevel3 2" xfId="141"/>
    <cellStyle name="SAPBEXHLevel3 2 2" xfId="255"/>
    <cellStyle name="SAPBEXHLevel3 2 2 2" xfId="620"/>
    <cellStyle name="SAPBEXHLevel3 2 3" xfId="328"/>
    <cellStyle name="SAPBEXHLevel3 2 3 2" xfId="693"/>
    <cellStyle name="SAPBEXHLevel3 2 4" xfId="396"/>
    <cellStyle name="SAPBEXHLevel3 2 4 2" xfId="761"/>
    <cellStyle name="SAPBEXHLevel3 2 5" xfId="357"/>
    <cellStyle name="SAPBEXHLevel3 2 5 2" xfId="722"/>
    <cellStyle name="SAPBEXHLevel3 2 6" xfId="436"/>
    <cellStyle name="SAPBEXHLevel3 2 6 2" xfId="801"/>
    <cellStyle name="SAPBEXHLevel3 2 7" xfId="471"/>
    <cellStyle name="SAPBEXHLevel3 2 7 2" xfId="836"/>
    <cellStyle name="SAPBEXHLevel3 2 8" xfId="508"/>
    <cellStyle name="SAPBEXHLevel3 3" xfId="217"/>
    <cellStyle name="SAPBEXHLevel3 3 2" xfId="583"/>
    <cellStyle name="SAPBEXHLevel3 4" xfId="288"/>
    <cellStyle name="SAPBEXHLevel3 4 2" xfId="653"/>
    <cellStyle name="SAPBEXHLevel3 5" xfId="302"/>
    <cellStyle name="SAPBEXHLevel3 5 2" xfId="667"/>
    <cellStyle name="SAPBEXHLevel3X" xfId="100"/>
    <cellStyle name="SAPBEXHLevel3X 2" xfId="142"/>
    <cellStyle name="SAPBEXHLevel3X 2 2" xfId="256"/>
    <cellStyle name="SAPBEXHLevel3X 2 2 2" xfId="621"/>
    <cellStyle name="SAPBEXHLevel3X 2 3" xfId="329"/>
    <cellStyle name="SAPBEXHLevel3X 2 3 2" xfId="694"/>
    <cellStyle name="SAPBEXHLevel3X 2 4" xfId="397"/>
    <cellStyle name="SAPBEXHLevel3X 2 4 2" xfId="762"/>
    <cellStyle name="SAPBEXHLevel3X 2 5" xfId="365"/>
    <cellStyle name="SAPBEXHLevel3X 2 5 2" xfId="730"/>
    <cellStyle name="SAPBEXHLevel3X 2 6" xfId="437"/>
    <cellStyle name="SAPBEXHLevel3X 2 6 2" xfId="802"/>
    <cellStyle name="SAPBEXHLevel3X 2 7" xfId="472"/>
    <cellStyle name="SAPBEXHLevel3X 2 7 2" xfId="837"/>
    <cellStyle name="SAPBEXHLevel3X 2 8" xfId="509"/>
    <cellStyle name="SAPBEXHLevel3X 3" xfId="218"/>
    <cellStyle name="SAPBEXHLevel3X 3 2" xfId="584"/>
    <cellStyle name="SAPBEXHLevel3X 4" xfId="289"/>
    <cellStyle name="SAPBEXHLevel3X 4 2" xfId="654"/>
    <cellStyle name="SAPBEXHLevel3X 5" xfId="179"/>
    <cellStyle name="SAPBEXHLevel3X 5 2" xfId="545"/>
    <cellStyle name="SAPBEXresData" xfId="101"/>
    <cellStyle name="SAPBEXresData 2" xfId="143"/>
    <cellStyle name="SAPBEXresData 2 2" xfId="257"/>
    <cellStyle name="SAPBEXresData 2 2 2" xfId="622"/>
    <cellStyle name="SAPBEXresData 2 3" xfId="330"/>
    <cellStyle name="SAPBEXresData 2 3 2" xfId="695"/>
    <cellStyle name="SAPBEXresData 2 4" xfId="398"/>
    <cellStyle name="SAPBEXresData 2 4 2" xfId="763"/>
    <cellStyle name="SAPBEXresData 2 5" xfId="370"/>
    <cellStyle name="SAPBEXresData 2 5 2" xfId="735"/>
    <cellStyle name="SAPBEXresData 2 6" xfId="438"/>
    <cellStyle name="SAPBEXresData 2 6 2" xfId="803"/>
    <cellStyle name="SAPBEXresData 2 7" xfId="473"/>
    <cellStyle name="SAPBEXresData 2 7 2" xfId="838"/>
    <cellStyle name="SAPBEXresData 2 8" xfId="510"/>
    <cellStyle name="SAPBEXresData 3" xfId="219"/>
    <cellStyle name="SAPBEXresData 3 2" xfId="585"/>
    <cellStyle name="SAPBEXresData 4" xfId="290"/>
    <cellStyle name="SAPBEXresData 4 2" xfId="655"/>
    <cellStyle name="SAPBEXresData 5" xfId="180"/>
    <cellStyle name="SAPBEXresData 5 2" xfId="546"/>
    <cellStyle name="SAPBEXresDataEmph" xfId="102"/>
    <cellStyle name="SAPBEXresDataEmph 2" xfId="144"/>
    <cellStyle name="SAPBEXresDataEmph 2 2" xfId="258"/>
    <cellStyle name="SAPBEXresDataEmph 2 2 2" xfId="623"/>
    <cellStyle name="SAPBEXresDataEmph 2 3" xfId="331"/>
    <cellStyle name="SAPBEXresDataEmph 2 3 2" xfId="696"/>
    <cellStyle name="SAPBEXresDataEmph 2 4" xfId="399"/>
    <cellStyle name="SAPBEXresDataEmph 2 4 2" xfId="764"/>
    <cellStyle name="SAPBEXresDataEmph 2 5" xfId="358"/>
    <cellStyle name="SAPBEXresDataEmph 2 5 2" xfId="723"/>
    <cellStyle name="SAPBEXresDataEmph 2 6" xfId="439"/>
    <cellStyle name="SAPBEXresDataEmph 2 6 2" xfId="804"/>
    <cellStyle name="SAPBEXresDataEmph 2 7" xfId="474"/>
    <cellStyle name="SAPBEXresDataEmph 2 7 2" xfId="839"/>
    <cellStyle name="SAPBEXresDataEmph 2 8" xfId="511"/>
    <cellStyle name="SAPBEXresDataEmph 3" xfId="220"/>
    <cellStyle name="SAPBEXresDataEmph 3 2" xfId="586"/>
    <cellStyle name="SAPBEXresDataEmph 4" xfId="291"/>
    <cellStyle name="SAPBEXresDataEmph 4 2" xfId="656"/>
    <cellStyle name="SAPBEXresDataEmph 5" xfId="181"/>
    <cellStyle name="SAPBEXresDataEmph 5 2" xfId="547"/>
    <cellStyle name="SAPBEXresItem" xfId="103"/>
    <cellStyle name="SAPBEXresItem 2" xfId="145"/>
    <cellStyle name="SAPBEXresItem 2 2" xfId="259"/>
    <cellStyle name="SAPBEXresItem 2 2 2" xfId="624"/>
    <cellStyle name="SAPBEXresItem 2 3" xfId="332"/>
    <cellStyle name="SAPBEXresItem 2 3 2" xfId="697"/>
    <cellStyle name="SAPBEXresItem 2 4" xfId="400"/>
    <cellStyle name="SAPBEXresItem 2 4 2" xfId="765"/>
    <cellStyle name="SAPBEXresItem 2 5" xfId="359"/>
    <cellStyle name="SAPBEXresItem 2 5 2" xfId="724"/>
    <cellStyle name="SAPBEXresItem 2 6" xfId="440"/>
    <cellStyle name="SAPBEXresItem 2 6 2" xfId="805"/>
    <cellStyle name="SAPBEXresItem 2 7" xfId="475"/>
    <cellStyle name="SAPBEXresItem 2 7 2" xfId="840"/>
    <cellStyle name="SAPBEXresItem 2 8" xfId="512"/>
    <cellStyle name="SAPBEXresItem 3" xfId="221"/>
    <cellStyle name="SAPBEXresItem 3 2" xfId="587"/>
    <cellStyle name="SAPBEXresItem 4" xfId="292"/>
    <cellStyle name="SAPBEXresItem 4 2" xfId="657"/>
    <cellStyle name="SAPBEXresItem 5" xfId="182"/>
    <cellStyle name="SAPBEXresItem 5 2" xfId="548"/>
    <cellStyle name="SAPBEXresItemX" xfId="104"/>
    <cellStyle name="SAPBEXresItemX 2" xfId="146"/>
    <cellStyle name="SAPBEXresItemX 2 2" xfId="260"/>
    <cellStyle name="SAPBEXresItemX 2 2 2" xfId="625"/>
    <cellStyle name="SAPBEXresItemX 2 3" xfId="333"/>
    <cellStyle name="SAPBEXresItemX 2 3 2" xfId="698"/>
    <cellStyle name="SAPBEXresItemX 2 4" xfId="401"/>
    <cellStyle name="SAPBEXresItemX 2 4 2" xfId="766"/>
    <cellStyle name="SAPBEXresItemX 2 5" xfId="360"/>
    <cellStyle name="SAPBEXresItemX 2 5 2" xfId="725"/>
    <cellStyle name="SAPBEXresItemX 2 6" xfId="441"/>
    <cellStyle name="SAPBEXresItemX 2 6 2" xfId="806"/>
    <cellStyle name="SAPBEXresItemX 2 7" xfId="476"/>
    <cellStyle name="SAPBEXresItemX 2 7 2" xfId="841"/>
    <cellStyle name="SAPBEXresItemX 2 8" xfId="513"/>
    <cellStyle name="SAPBEXresItemX 3" xfId="222"/>
    <cellStyle name="SAPBEXresItemX 3 2" xfId="588"/>
    <cellStyle name="SAPBEXresItemX 4" xfId="293"/>
    <cellStyle name="SAPBEXresItemX 4 2" xfId="658"/>
    <cellStyle name="SAPBEXresItemX 5" xfId="183"/>
    <cellStyle name="SAPBEXresItemX 5 2" xfId="549"/>
    <cellStyle name="SAPBEXstdData" xfId="105"/>
    <cellStyle name="SAPBEXstdData 2" xfId="147"/>
    <cellStyle name="SAPBEXstdData 2 2" xfId="261"/>
    <cellStyle name="SAPBEXstdData 2 2 2" xfId="626"/>
    <cellStyle name="SAPBEXstdData 2 3" xfId="334"/>
    <cellStyle name="SAPBEXstdData 2 3 2" xfId="699"/>
    <cellStyle name="SAPBEXstdData 2 4" xfId="402"/>
    <cellStyle name="SAPBEXstdData 2 4 2" xfId="767"/>
    <cellStyle name="SAPBEXstdData 2 5" xfId="361"/>
    <cellStyle name="SAPBEXstdData 2 5 2" xfId="726"/>
    <cellStyle name="SAPBEXstdData 2 6" xfId="442"/>
    <cellStyle name="SAPBEXstdData 2 6 2" xfId="807"/>
    <cellStyle name="SAPBEXstdData 2 7" xfId="477"/>
    <cellStyle name="SAPBEXstdData 2 7 2" xfId="842"/>
    <cellStyle name="SAPBEXstdData 2 8" xfId="514"/>
    <cellStyle name="SAPBEXstdData 3" xfId="223"/>
    <cellStyle name="SAPBEXstdData 3 2" xfId="589"/>
    <cellStyle name="SAPBEXstdData 4" xfId="294"/>
    <cellStyle name="SAPBEXstdData 4 2" xfId="659"/>
    <cellStyle name="SAPBEXstdData 5" xfId="184"/>
    <cellStyle name="SAPBEXstdData 5 2" xfId="550"/>
    <cellStyle name="SAPBEXstdDataEmph" xfId="106"/>
    <cellStyle name="SAPBEXstdDataEmph 2" xfId="148"/>
    <cellStyle name="SAPBEXstdDataEmph 2 2" xfId="262"/>
    <cellStyle name="SAPBEXstdDataEmph 2 2 2" xfId="627"/>
    <cellStyle name="SAPBEXstdDataEmph 2 3" xfId="335"/>
    <cellStyle name="SAPBEXstdDataEmph 2 3 2" xfId="700"/>
    <cellStyle name="SAPBEXstdDataEmph 2 4" xfId="403"/>
    <cellStyle name="SAPBEXstdDataEmph 2 4 2" xfId="768"/>
    <cellStyle name="SAPBEXstdDataEmph 2 5" xfId="362"/>
    <cellStyle name="SAPBEXstdDataEmph 2 5 2" xfId="727"/>
    <cellStyle name="SAPBEXstdDataEmph 2 6" xfId="443"/>
    <cellStyle name="SAPBEXstdDataEmph 2 6 2" xfId="808"/>
    <cellStyle name="SAPBEXstdDataEmph 2 7" xfId="478"/>
    <cellStyle name="SAPBEXstdDataEmph 2 7 2" xfId="843"/>
    <cellStyle name="SAPBEXstdDataEmph 2 8" xfId="515"/>
    <cellStyle name="SAPBEXstdDataEmph 3" xfId="224"/>
    <cellStyle name="SAPBEXstdDataEmph 3 2" xfId="590"/>
    <cellStyle name="SAPBEXstdDataEmph 4" xfId="295"/>
    <cellStyle name="SAPBEXstdDataEmph 4 2" xfId="660"/>
    <cellStyle name="SAPBEXstdDataEmph 5" xfId="185"/>
    <cellStyle name="SAPBEXstdDataEmph 5 2" xfId="551"/>
    <cellStyle name="SAPBEXstdItem" xfId="107"/>
    <cellStyle name="SAPBEXstdItem 2" xfId="149"/>
    <cellStyle name="SAPBEXstdItem 2 2" xfId="263"/>
    <cellStyle name="SAPBEXstdItem 2 2 2" xfId="628"/>
    <cellStyle name="SAPBEXstdItem 2 3" xfId="336"/>
    <cellStyle name="SAPBEXstdItem 2 3 2" xfId="701"/>
    <cellStyle name="SAPBEXstdItem 2 4" xfId="404"/>
    <cellStyle name="SAPBEXstdItem 2 4 2" xfId="769"/>
    <cellStyle name="SAPBEXstdItem 2 5" xfId="363"/>
    <cellStyle name="SAPBEXstdItem 2 5 2" xfId="728"/>
    <cellStyle name="SAPBEXstdItem 2 6" xfId="444"/>
    <cellStyle name="SAPBEXstdItem 2 6 2" xfId="809"/>
    <cellStyle name="SAPBEXstdItem 2 7" xfId="479"/>
    <cellStyle name="SAPBEXstdItem 2 7 2" xfId="844"/>
    <cellStyle name="SAPBEXstdItem 2 8" xfId="516"/>
    <cellStyle name="SAPBEXstdItem 3" xfId="225"/>
    <cellStyle name="SAPBEXstdItem 3 2" xfId="591"/>
    <cellStyle name="SAPBEXstdItem 4" xfId="296"/>
    <cellStyle name="SAPBEXstdItem 4 2" xfId="661"/>
    <cellStyle name="SAPBEXstdItem 5" xfId="189"/>
    <cellStyle name="SAPBEXstdItem 5 2" xfId="555"/>
    <cellStyle name="SAPBEXstdItemX" xfId="108"/>
    <cellStyle name="SAPBEXstdItemX 2" xfId="150"/>
    <cellStyle name="SAPBEXstdItemX 2 2" xfId="264"/>
    <cellStyle name="SAPBEXstdItemX 2 2 2" xfId="629"/>
    <cellStyle name="SAPBEXstdItemX 2 3" xfId="337"/>
    <cellStyle name="SAPBEXstdItemX 2 3 2" xfId="702"/>
    <cellStyle name="SAPBEXstdItemX 2 4" xfId="405"/>
    <cellStyle name="SAPBEXstdItemX 2 4 2" xfId="770"/>
    <cellStyle name="SAPBEXstdItemX 2 5" xfId="369"/>
    <cellStyle name="SAPBEXstdItemX 2 5 2" xfId="734"/>
    <cellStyle name="SAPBEXstdItemX 2 6" xfId="445"/>
    <cellStyle name="SAPBEXstdItemX 2 6 2" xfId="810"/>
    <cellStyle name="SAPBEXstdItemX 2 7" xfId="480"/>
    <cellStyle name="SAPBEXstdItemX 2 7 2" xfId="845"/>
    <cellStyle name="SAPBEXstdItemX 2 8" xfId="517"/>
    <cellStyle name="SAPBEXstdItemX 3" xfId="226"/>
    <cellStyle name="SAPBEXstdItemX 3 2" xfId="592"/>
    <cellStyle name="SAPBEXstdItemX 4" xfId="297"/>
    <cellStyle name="SAPBEXstdItemX 4 2" xfId="662"/>
    <cellStyle name="SAPBEXstdItemX 5" xfId="228"/>
    <cellStyle name="SAPBEXstdItemX 5 2" xfId="594"/>
    <cellStyle name="SAPBEXtitle" xfId="109"/>
    <cellStyle name="SAPBEXundefined" xfId="110"/>
    <cellStyle name="SAPBEXundefined 2" xfId="151"/>
    <cellStyle name="SAPBEXundefined 2 2" xfId="265"/>
    <cellStyle name="SAPBEXundefined 2 2 2" xfId="630"/>
    <cellStyle name="SAPBEXundefined 2 3" xfId="338"/>
    <cellStyle name="SAPBEXundefined 2 3 2" xfId="703"/>
    <cellStyle name="SAPBEXundefined 2 4" xfId="406"/>
    <cellStyle name="SAPBEXundefined 2 4 2" xfId="771"/>
    <cellStyle name="SAPBEXundefined 2 5" xfId="410"/>
    <cellStyle name="SAPBEXundefined 2 5 2" xfId="775"/>
    <cellStyle name="SAPBEXundefined 2 6" xfId="446"/>
    <cellStyle name="SAPBEXundefined 2 6 2" xfId="811"/>
    <cellStyle name="SAPBEXundefined 2 7" xfId="481"/>
    <cellStyle name="SAPBEXundefined 2 7 2" xfId="846"/>
    <cellStyle name="SAPBEXundefined 2 8" xfId="518"/>
    <cellStyle name="SAPBEXundefined 3" xfId="227"/>
    <cellStyle name="SAPBEXundefined 3 2" xfId="593"/>
    <cellStyle name="SAPBEXundefined 4" xfId="299"/>
    <cellStyle name="SAPBEXundefined 4 2" xfId="664"/>
    <cellStyle name="SAPBEXundefined 5" xfId="187"/>
    <cellStyle name="SAPBEXundefined 5 2" xfId="553"/>
    <cellStyle name="Walutowy 2" xfId="111"/>
  </cellStyles>
  <dxfs count="0"/>
  <tableStyles count="0" defaultTableStyle="TableStyleMedium2" defaultPivotStyle="PivotStyleLight16"/>
  <colors>
    <mruColors>
      <color rgb="FF00FF00"/>
      <color rgb="FF0000FF"/>
      <color rgb="FFFFFF99"/>
      <color rgb="FFFFFF00"/>
      <color rgb="FF66FF66"/>
      <color rgb="FFFF99FF"/>
      <color rgb="FF800000"/>
      <color rgb="FFFF66FF"/>
      <color rgb="FFCCFF33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59</xdr:row>
      <xdr:rowOff>0</xdr:rowOff>
    </xdr:from>
    <xdr:to>
      <xdr:col>18</xdr:col>
      <xdr:colOff>0</xdr:colOff>
      <xdr:row>59</xdr:row>
      <xdr:rowOff>0</xdr:rowOff>
    </xdr:to>
    <xdr:sp macro="" textlink="">
      <xdr:nvSpPr>
        <xdr:cNvPr id="2" name="AutoShape 1"/>
        <xdr:cNvSpPr>
          <a:spLocks noChangeArrowheads="1"/>
        </xdr:cNvSpPr>
      </xdr:nvSpPr>
      <xdr:spPr bwMode="auto">
        <a:xfrm rot="4832260">
          <a:off x="16478250" y="9829800"/>
          <a:ext cx="0" cy="0"/>
        </a:xfrm>
        <a:prstGeom prst="curvedUpArrow">
          <a:avLst>
            <a:gd name="adj1" fmla="val -2147483648"/>
            <a:gd name="adj2" fmla="val -2147483648"/>
            <a:gd name="adj3" fmla="val -2147483648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udzet/Bud&#380;et%202018/Uchwa&#322;y/Sejmik/Luty/Luty_WPF_Tabele%206_przedsi&#281;wzieci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budzet/Bud&#380;et%202017/uchwa&#322;y/Sejmiku%20WZ/wrzesie&#324;/wrzesie&#324;_WPF_Tabele%206_przedsi&#281;wziecia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budzet/Bud&#380;et%202017/uchwa&#322;y/Sejmiku%20WZ/pa&#378;dziernik/pa&#378;dziernik_WPF_Tabele%206_przedsi&#281;wziecia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budzet/Bud&#380;et%202018/Uchwa&#322;y/Sejmik/Czerwiec/czerwiec_26_WPF_Tabele%206_przedsi&#281;wziecia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ROJEKTY WYŁ i NOWE"/>
      <sheetName val="Tabela nr 6"/>
      <sheetName val="Tab. 6A -Drogi"/>
      <sheetName val="Tab. 6B Polit społ i rozwój prz"/>
      <sheetName val="Tab. 6C - Ochrona zdrowia"/>
      <sheetName val="Tab. 6D - Oświata"/>
      <sheetName val="Tab. 6E - Administracja"/>
      <sheetName val="Tab. 6F - Kultura"/>
      <sheetName val="Tab. 6G - Roln i ochrona środ."/>
      <sheetName val="Tab. 6H - Kultura fiz. i turyst"/>
      <sheetName val="Tab.6I - Planow. przestrz."/>
      <sheetName val="projekty UE"/>
      <sheetName val="Dane do WPF"/>
      <sheetName val="Arkusz1"/>
    </sheetNames>
    <sheetDataSet>
      <sheetData sheetId="0"/>
      <sheetData sheetId="1">
        <row r="88">
          <cell r="L88">
            <v>1768543947</v>
          </cell>
        </row>
      </sheetData>
      <sheetData sheetId="2">
        <row r="25">
          <cell r="G25">
            <v>5076165</v>
          </cell>
        </row>
      </sheetData>
      <sheetData sheetId="3">
        <row r="37">
          <cell r="G37">
            <v>237792</v>
          </cell>
        </row>
        <row r="54">
          <cell r="G54">
            <v>586163</v>
          </cell>
        </row>
        <row r="67">
          <cell r="G67">
            <v>1553157</v>
          </cell>
        </row>
        <row r="91">
          <cell r="G91">
            <v>8810682</v>
          </cell>
        </row>
        <row r="122">
          <cell r="G122">
            <v>7819700</v>
          </cell>
        </row>
        <row r="130">
          <cell r="G130">
            <v>8335700</v>
          </cell>
        </row>
      </sheetData>
      <sheetData sheetId="4"/>
      <sheetData sheetId="5"/>
      <sheetData sheetId="6">
        <row r="35">
          <cell r="G35">
            <v>473192</v>
          </cell>
        </row>
        <row r="54">
          <cell r="G54">
            <v>632415</v>
          </cell>
        </row>
        <row r="66">
          <cell r="G66">
            <v>11970</v>
          </cell>
        </row>
        <row r="77">
          <cell r="G77">
            <v>2200000</v>
          </cell>
        </row>
        <row r="88">
          <cell r="G88">
            <v>0</v>
          </cell>
        </row>
        <row r="115">
          <cell r="G115">
            <v>26461975</v>
          </cell>
        </row>
        <row r="134">
          <cell r="G134">
            <v>369922</v>
          </cell>
        </row>
        <row r="147">
          <cell r="G147">
            <v>9512149</v>
          </cell>
        </row>
        <row r="220">
          <cell r="G220">
            <v>3783593</v>
          </cell>
        </row>
      </sheetData>
      <sheetData sheetId="7"/>
      <sheetData sheetId="8"/>
      <sheetData sheetId="9">
        <row r="21">
          <cell r="G21">
            <v>0</v>
          </cell>
        </row>
      </sheetData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PROJEKTY WYŁ i NOWE"/>
      <sheetName val="Tabela nr 6"/>
      <sheetName val="Tab. 6A -Drogi"/>
      <sheetName val="Tab. 6B Polit społ i rozwój prz"/>
      <sheetName val="Tab. 6C - Ochrona zdrowia"/>
      <sheetName val="Tab. 6D - Oświata"/>
      <sheetName val="Tab. 6E - Administracja"/>
      <sheetName val="Tab. 6F - Kultura"/>
      <sheetName val="Tab. 6G - Roln i ochrona środ."/>
      <sheetName val="Tab. 6H - Kultura fiz. i turyst"/>
      <sheetName val="Tab.6I - Planow. przestrz."/>
      <sheetName val="projekty UE"/>
      <sheetName val="Dane do WPF"/>
    </sheetNames>
    <sheetDataSet>
      <sheetData sheetId="0"/>
      <sheetData sheetId="1"/>
      <sheetData sheetId="2"/>
      <sheetData sheetId="3">
        <row r="162">
          <cell r="M162">
            <v>378288</v>
          </cell>
          <cell r="P162">
            <v>1089145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>
        <row r="7">
          <cell r="K7">
            <v>174832844</v>
          </cell>
        </row>
      </sheetData>
      <sheetData sheetId="12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PROJEKTY WYŁ i NOWE"/>
      <sheetName val="Tabela nr 6"/>
      <sheetName val="Tab. 6A -Drogi"/>
      <sheetName val="Tab. 6B Polit społ i rozwój prz"/>
      <sheetName val="Tab. 6C - Ochrona zdrowia"/>
      <sheetName val="Tab. 6D - Oświata"/>
      <sheetName val="Tab. 6E - Administracja"/>
      <sheetName val="Tab. 6F - Kultura"/>
      <sheetName val="Tab. 6G - Roln i ochrona środ."/>
      <sheetName val="Tab. 6H - Kultura fiz. i turyst"/>
      <sheetName val="Tab.6I - Planow. przestrz."/>
      <sheetName val="projekty UE"/>
      <sheetName val="Dane do WPF"/>
      <sheetName val="Arkusz1"/>
    </sheetNames>
    <sheetDataSet>
      <sheetData sheetId="0">
        <row r="5">
          <cell r="C5">
            <v>12466748</v>
          </cell>
        </row>
      </sheetData>
      <sheetData sheetId="1">
        <row r="88">
          <cell r="C88">
            <v>545283095</v>
          </cell>
        </row>
      </sheetData>
      <sheetData sheetId="2">
        <row r="8">
          <cell r="D8">
            <v>812925188</v>
          </cell>
        </row>
      </sheetData>
      <sheetData sheetId="3">
        <row r="7">
          <cell r="D7">
            <v>102016554</v>
          </cell>
        </row>
        <row r="258">
          <cell r="D258">
            <v>12836659</v>
          </cell>
        </row>
      </sheetData>
      <sheetData sheetId="4">
        <row r="10">
          <cell r="D10">
            <v>125334394</v>
          </cell>
        </row>
      </sheetData>
      <sheetData sheetId="5">
        <row r="10">
          <cell r="D10">
            <v>783000</v>
          </cell>
        </row>
      </sheetData>
      <sheetData sheetId="6">
        <row r="9">
          <cell r="D9">
            <v>336435005</v>
          </cell>
        </row>
      </sheetData>
      <sheetData sheetId="7">
        <row r="7">
          <cell r="D7">
            <v>29987978</v>
          </cell>
        </row>
      </sheetData>
      <sheetData sheetId="8">
        <row r="8">
          <cell r="D8">
            <v>44879279</v>
          </cell>
        </row>
      </sheetData>
      <sheetData sheetId="9">
        <row r="7">
          <cell r="D7">
            <v>105743053</v>
          </cell>
        </row>
      </sheetData>
      <sheetData sheetId="10">
        <row r="8">
          <cell r="D8">
            <v>2254391</v>
          </cell>
        </row>
      </sheetData>
      <sheetData sheetId="11"/>
      <sheetData sheetId="12"/>
      <sheetData sheetId="13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PROJEKTY WYŁ i NOWE"/>
      <sheetName val="Tabela nr 6"/>
      <sheetName val="Tab. 6A -Drogi"/>
      <sheetName val="Tab. 6B Polit społ i rozwój prz"/>
      <sheetName val="Tab. 6C - Ochrona zdrowia"/>
      <sheetName val="Tab. 6D - Oświata"/>
      <sheetName val="Tab. 6E - Administracja"/>
      <sheetName val="Tab. 6F - Kultura"/>
      <sheetName val="Tab. 6G - Roln i ochrona środ."/>
      <sheetName val="Tab. 6H - Kultura fiz. i turyst"/>
      <sheetName val="Tab.6I - Planow. przestrz."/>
      <sheetName val="projekty UE"/>
      <sheetName val="Dane do WPF"/>
      <sheetName val="Arkusz1"/>
    </sheetNames>
    <sheetDataSet>
      <sheetData sheetId="0"/>
      <sheetData sheetId="1">
        <row r="88">
          <cell r="E88">
            <v>506785256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>
        <row r="34">
          <cell r="G34">
            <v>1146458</v>
          </cell>
        </row>
        <row r="46">
          <cell r="G46">
            <v>535390</v>
          </cell>
        </row>
        <row r="58">
          <cell r="G58">
            <v>403710</v>
          </cell>
        </row>
      </sheetData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3"/>
  </sheetPr>
  <dimension ref="A1:Q1005"/>
  <sheetViews>
    <sheetView showGridLines="0" tabSelected="1" view="pageBreakPreview" zoomScaleNormal="110" zoomScaleSheetLayoutView="100" workbookViewId="0"/>
  </sheetViews>
  <sheetFormatPr defaultColWidth="9.140625" defaultRowHeight="12.75" outlineLevelCol="1"/>
  <cols>
    <col min="1" max="1" width="49.140625" style="867" customWidth="1"/>
    <col min="2" max="2" width="16" style="868" customWidth="1"/>
    <col min="3" max="3" width="13.85546875" style="868" customWidth="1"/>
    <col min="4" max="4" width="17.85546875" style="868" customWidth="1"/>
    <col min="5" max="5" width="14.7109375" style="868" bestFit="1" customWidth="1"/>
    <col min="6" max="6" width="12.85546875" style="868" customWidth="1"/>
    <col min="7" max="8" width="13.140625" style="868" customWidth="1"/>
    <col min="9" max="9" width="14.42578125" style="868" customWidth="1"/>
    <col min="10" max="10" width="16.140625" style="867" customWidth="1"/>
    <col min="11" max="11" width="14.5703125" style="3012" hidden="1" customWidth="1" outlineLevel="1"/>
    <col min="12" max="12" width="14.5703125" style="3012" customWidth="1" outlineLevel="1"/>
    <col min="13" max="13" width="17.28515625" style="3012" hidden="1" customWidth="1" outlineLevel="1"/>
    <col min="14" max="14" width="14.7109375" style="867" hidden="1" customWidth="1"/>
    <col min="15" max="15" width="14.28515625" style="867" hidden="1" customWidth="1"/>
    <col min="16" max="16" width="0" style="867" hidden="1" customWidth="1"/>
    <col min="17" max="17" width="9.7109375" style="867" hidden="1" customWidth="1"/>
    <col min="18" max="33" width="0" style="867" hidden="1" customWidth="1"/>
    <col min="34" max="16384" width="9.140625" style="867"/>
  </cols>
  <sheetData>
    <row r="1" spans="1:15" ht="23.25" customHeight="1">
      <c r="A1" s="866"/>
      <c r="E1" s="869"/>
      <c r="G1" s="869"/>
      <c r="H1" s="869"/>
      <c r="I1" s="869"/>
    </row>
    <row r="2" spans="1:15" ht="15">
      <c r="C2" s="871"/>
      <c r="D2" s="871"/>
      <c r="E2" s="871"/>
      <c r="G2" s="871"/>
      <c r="H2" s="871"/>
      <c r="I2" s="869" t="s">
        <v>305</v>
      </c>
      <c r="J2" s="870"/>
    </row>
    <row r="3" spans="1:15">
      <c r="B3" s="874"/>
      <c r="C3" s="871"/>
      <c r="D3" s="871"/>
      <c r="E3" s="871"/>
      <c r="F3" s="871"/>
      <c r="G3" s="871"/>
      <c r="H3" s="871"/>
      <c r="I3" s="871"/>
      <c r="J3" s="870"/>
    </row>
    <row r="4" spans="1:15" ht="12.75" customHeight="1">
      <c r="C4" s="870"/>
      <c r="D4" s="870"/>
      <c r="E4" s="870"/>
      <c r="F4" s="870"/>
      <c r="G4" s="870"/>
      <c r="H4" s="870"/>
      <c r="I4" s="870"/>
      <c r="J4" s="1274"/>
    </row>
    <row r="5" spans="1:15" ht="72" customHeight="1">
      <c r="A5" s="3492" t="s">
        <v>0</v>
      </c>
      <c r="B5" s="3492"/>
      <c r="C5" s="3492"/>
      <c r="D5" s="3492"/>
      <c r="E5" s="3492"/>
      <c r="F5" s="3492"/>
      <c r="G5" s="3492"/>
      <c r="H5" s="3492"/>
      <c r="I5" s="3492"/>
      <c r="J5" s="3492"/>
      <c r="K5" s="3126"/>
      <c r="L5" s="3126"/>
    </row>
    <row r="6" spans="1:15" ht="12" customHeight="1">
      <c r="A6" s="872"/>
      <c r="B6" s="872"/>
      <c r="C6" s="872"/>
      <c r="D6" s="2296"/>
      <c r="E6" s="872"/>
      <c r="F6" s="872"/>
      <c r="G6" s="872"/>
      <c r="H6" s="872"/>
      <c r="I6" s="872"/>
      <c r="J6" s="872"/>
    </row>
    <row r="7" spans="1:15" ht="48.75" customHeight="1" thickBot="1">
      <c r="A7" s="3493" t="s">
        <v>1</v>
      </c>
      <c r="B7" s="3493"/>
      <c r="C7" s="3493"/>
      <c r="D7" s="3493"/>
      <c r="E7" s="3493"/>
      <c r="F7" s="3493"/>
      <c r="G7" s="3493"/>
      <c r="H7" s="3493"/>
      <c r="I7" s="3493"/>
      <c r="J7" s="3493"/>
      <c r="K7" s="1141"/>
      <c r="L7" s="1141"/>
    </row>
    <row r="8" spans="1:15" s="868" customFormat="1" ht="24.75" customHeight="1">
      <c r="A8" s="873"/>
      <c r="B8" s="3497" t="s">
        <v>221</v>
      </c>
      <c r="C8" s="3504" t="s">
        <v>421</v>
      </c>
      <c r="D8" s="3500" t="s">
        <v>374</v>
      </c>
      <c r="E8" s="3500"/>
      <c r="F8" s="3500"/>
      <c r="G8" s="3500"/>
      <c r="H8" s="3500"/>
      <c r="I8" s="3501"/>
      <c r="J8" s="3494" t="s">
        <v>3</v>
      </c>
      <c r="K8" s="3476" t="s">
        <v>391</v>
      </c>
      <c r="L8" s="3481" t="s">
        <v>375</v>
      </c>
      <c r="M8" s="874"/>
    </row>
    <row r="9" spans="1:15" ht="27" customHeight="1">
      <c r="A9" s="875" t="s">
        <v>4</v>
      </c>
      <c r="B9" s="3498"/>
      <c r="C9" s="3505"/>
      <c r="D9" s="3502"/>
      <c r="E9" s="3502"/>
      <c r="F9" s="3502"/>
      <c r="G9" s="3502"/>
      <c r="H9" s="3502"/>
      <c r="I9" s="3503"/>
      <c r="J9" s="3495"/>
      <c r="K9" s="3477"/>
      <c r="L9" s="3482"/>
      <c r="M9" s="874" t="s">
        <v>2</v>
      </c>
    </row>
    <row r="10" spans="1:15" ht="19.5" customHeight="1" thickBot="1">
      <c r="A10" s="875"/>
      <c r="B10" s="876" t="s">
        <v>367</v>
      </c>
      <c r="C10" s="3506"/>
      <c r="D10" s="877" t="s">
        <v>6</v>
      </c>
      <c r="E10" s="877" t="s">
        <v>170</v>
      </c>
      <c r="F10" s="877" t="s">
        <v>172</v>
      </c>
      <c r="G10" s="877" t="s">
        <v>212</v>
      </c>
      <c r="H10" s="877" t="s">
        <v>213</v>
      </c>
      <c r="I10" s="878" t="s">
        <v>211</v>
      </c>
      <c r="J10" s="3496"/>
      <c r="K10" s="3477"/>
      <c r="L10" s="3482"/>
      <c r="M10" s="3013"/>
      <c r="N10" s="879"/>
    </row>
    <row r="11" spans="1:15" ht="13.5" customHeight="1" thickBot="1">
      <c r="A11" s="880">
        <v>1</v>
      </c>
      <c r="B11" s="881">
        <v>2</v>
      </c>
      <c r="C11" s="882">
        <v>3</v>
      </c>
      <c r="D11" s="881">
        <v>4</v>
      </c>
      <c r="E11" s="883">
        <v>5</v>
      </c>
      <c r="F11" s="884">
        <v>6</v>
      </c>
      <c r="G11" s="885">
        <v>7</v>
      </c>
      <c r="H11" s="881">
        <v>8</v>
      </c>
      <c r="I11" s="885">
        <v>9</v>
      </c>
      <c r="J11" s="1614">
        <v>10</v>
      </c>
      <c r="K11" s="1728">
        <v>11</v>
      </c>
      <c r="L11" s="886">
        <v>11</v>
      </c>
      <c r="N11" s="3486" t="s">
        <v>41</v>
      </c>
      <c r="O11" s="3487"/>
    </row>
    <row r="12" spans="1:15" s="891" customFormat="1" ht="18.75" customHeight="1">
      <c r="A12" s="887" t="s">
        <v>7</v>
      </c>
      <c r="B12" s="888">
        <f>+B13+B14</f>
        <v>93026756</v>
      </c>
      <c r="C12" s="888">
        <f t="shared" ref="C12:D12" si="0">+C13+C14</f>
        <v>269940314</v>
      </c>
      <c r="D12" s="888">
        <f t="shared" si="0"/>
        <v>438304687</v>
      </c>
      <c r="E12" s="888">
        <f t="shared" ref="E12:L12" si="1">+E13+E14</f>
        <v>369326156</v>
      </c>
      <c r="F12" s="888">
        <f t="shared" si="1"/>
        <v>327014229</v>
      </c>
      <c r="G12" s="888">
        <f t="shared" si="1"/>
        <v>127517730</v>
      </c>
      <c r="H12" s="888">
        <f t="shared" si="1"/>
        <v>39006835</v>
      </c>
      <c r="I12" s="888">
        <f t="shared" si="1"/>
        <v>35964179</v>
      </c>
      <c r="J12" s="1615">
        <f>+J13+J14</f>
        <v>1700100886</v>
      </c>
      <c r="K12" s="1729">
        <f>+K13+K14</f>
        <v>1607074130</v>
      </c>
      <c r="L12" s="889">
        <f t="shared" si="1"/>
        <v>1337133816</v>
      </c>
      <c r="M12" s="3014"/>
      <c r="N12" s="405">
        <f t="shared" ref="N12:N26" si="2">+C12+D12+E12+F12+G12+H12+I12+B12</f>
        <v>1700100886</v>
      </c>
      <c r="O12" s="890">
        <f>J12-N12</f>
        <v>0</v>
      </c>
    </row>
    <row r="13" spans="1:15" s="891" customFormat="1" ht="17.25" customHeight="1">
      <c r="A13" s="892" t="s">
        <v>8</v>
      </c>
      <c r="B13" s="893">
        <f>+'Tab. 6B Polit społ i rozwój prz'!E8+'Tab. 6D - Oświata'!E11+'Tab. 6A -Drogi'!E9+'Tab. 6E - Administracja'!E10+'Tab. 6G - Roln i ochrona środ.'!E9+'Tab. 6H - Kultura fiz. i turyst'!E8+'Tab.6I - Planow. przestrz.'!E9</f>
        <v>45879756</v>
      </c>
      <c r="C13" s="893">
        <f>+'Tab. 6B Polit społ i rozwój prz'!F8+'Tab. 6D - Oświata'!F11+'Tab. 6A -Drogi'!F9+'Tab. 6E - Administracja'!F10+'Tab. 6G - Roln i ochrona środ.'!F9+'Tab. 6H - Kultura fiz. i turyst'!F8+'Tab.6I - Planow. przestrz.'!F9</f>
        <v>46351953</v>
      </c>
      <c r="D13" s="893">
        <f>+'Tab. 6B Polit społ i rozwój prz'!G8+'Tab. 6D - Oświata'!G11+'Tab. 6A -Drogi'!G9+'Tab. 6E - Administracja'!G10+'Tab. 6G - Roln i ochrona środ.'!G9+'Tab. 6H - Kultura fiz. i turyst'!G8+'Tab.6I - Planow. przestrz.'!G9+'Tab. 6C - Ochrona zdrowia'!G7</f>
        <v>69028103</v>
      </c>
      <c r="E13" s="893">
        <f>+'Tab. 6B Polit społ i rozwój prz'!H8+'Tab. 6D - Oświata'!H11+'Tab. 6A -Drogi'!H9+'Tab. 6E - Administracja'!H10+'Tab. 6G - Roln i ochrona środ.'!H9+'Tab. 6H - Kultura fiz. i turyst'!H8+'Tab.6I - Planow. przestrz.'!H9+'Tab. 6C - Ochrona zdrowia'!H7</f>
        <v>80473842</v>
      </c>
      <c r="F13" s="893">
        <f>+'Tab. 6B Polit społ i rozwój prz'!I8+'Tab. 6D - Oświata'!I11+'Tab. 6A -Drogi'!I9+'Tab. 6E - Administracja'!I10+'Tab. 6G - Roln i ochrona środ.'!I9+'Tab. 6H - Kultura fiz. i turyst'!I8+'Tab.6I - Planow. przestrz.'!I9+'Tab. 6C - Ochrona zdrowia'!I7</f>
        <v>64708428</v>
      </c>
      <c r="G13" s="893">
        <f>+'Tab. 6B Polit społ i rozwój prz'!J8+'Tab. 6D - Oświata'!J11+'Tab. 6A -Drogi'!J9+'Tab. 6E - Administracja'!J10+'Tab. 6G - Roln i ochrona środ.'!J9+'Tab. 6H - Kultura fiz. i turyst'!J8+'Tab.6I - Planow. przestrz.'!J9+'Tab. 6C - Ochrona zdrowia'!J7</f>
        <v>43469276</v>
      </c>
      <c r="H13" s="893">
        <f>+'Tab. 6B Polit społ i rozwój prz'!K8+'Tab. 6D - Oświata'!K11+'Tab. 6A -Drogi'!K9+'Tab. 6E - Administracja'!K10+'Tab. 6G - Roln i ochrona środ.'!K9+'Tab. 6H - Kultura fiz. i turyst'!K8+'Tab.6I - Planow. przestrz.'!K9+'Tab. 6C - Ochrona zdrowia'!K7</f>
        <v>38806835</v>
      </c>
      <c r="I13" s="893">
        <f>+'Tab. 6B Polit społ i rozwój prz'!L8+'Tab. 6D - Oświata'!L11+'Tab. 6A -Drogi'!L9+'Tab. 6E - Administracja'!L10+'Tab. 6G - Roln i ochrona środ.'!L9+'Tab. 6H - Kultura fiz. i turyst'!L8+'Tab.6I - Planow. przestrz.'!L9+'Tab. 6C - Ochrona zdrowia'!L7</f>
        <v>35819679</v>
      </c>
      <c r="J13" s="1616">
        <f>'Tab. 6A -Drogi'!D9+'Tab. 6B Polit społ i rozwój prz'!D8+'Tab. 6D - Oświata'!D11+'Tab. 6E - Administracja'!D10+'Tab. 6G - Roln i ochrona środ.'!D9+'Tab. 6H - Kultura fiz. i turyst'!D8+'Tab.6I - Planow. przestrz.'!D9+'Tab. 6C - Ochrona zdrowia'!D7</f>
        <v>424537872</v>
      </c>
      <c r="K13" s="1730">
        <f>SUM(C13:I13)</f>
        <v>378658116</v>
      </c>
      <c r="L13" s="1096">
        <f>SUM(D13:I13)</f>
        <v>332306163</v>
      </c>
      <c r="M13" s="2389">
        <f>K13-C13-D13-E13-F13-G13-H13-I13</f>
        <v>0</v>
      </c>
      <c r="N13" s="405">
        <f t="shared" si="2"/>
        <v>424537872</v>
      </c>
      <c r="O13" s="406">
        <f>J13-N13</f>
        <v>0</v>
      </c>
    </row>
    <row r="14" spans="1:15" s="891" customFormat="1" ht="17.25" customHeight="1" thickBot="1">
      <c r="A14" s="895" t="s">
        <v>9</v>
      </c>
      <c r="B14" s="896">
        <f>+'Tab. 6D - Oświata'!E12+'Tab. 6A -Drogi'!E10+'Tab. 6E - Administracja'!E11+'Tab. 6G - Roln i ochrona środ.'!E10+'Tab. 6H - Kultura fiz. i turyst'!E9+'Tab. 6B Polit społ i rozwój prz'!E9+'Tab.6I - Planow. przestrz.'!E10</f>
        <v>47147000</v>
      </c>
      <c r="C14" s="896">
        <f>+'Tab. 6D - Oświata'!F12+'Tab. 6A -Drogi'!F10+'Tab. 6E - Administracja'!F11+'Tab. 6G - Roln i ochrona środ.'!F10+'Tab. 6H - Kultura fiz. i turyst'!F9+'Tab. 6B Polit społ i rozwój prz'!F9+'Tab.6I - Planow. przestrz.'!F10</f>
        <v>223588361</v>
      </c>
      <c r="D14" s="896">
        <f>+'Tab. 6D - Oświata'!G12+'Tab. 6A -Drogi'!G10+'Tab. 6E - Administracja'!G11+'Tab. 6G - Roln i ochrona środ.'!G10+'Tab. 6H - Kultura fiz. i turyst'!G9+'Tab. 6B Polit społ i rozwój prz'!G9+'Tab.6I - Planow. przestrz.'!G10+'Tab. 6C - Ochrona zdrowia'!G8</f>
        <v>369276584</v>
      </c>
      <c r="E14" s="896">
        <f>+'Tab. 6D - Oświata'!H12+'Tab. 6A -Drogi'!H10+'Tab. 6E - Administracja'!H11+'Tab. 6G - Roln i ochrona środ.'!H10+'Tab. 6H - Kultura fiz. i turyst'!H9+'Tab. 6B Polit społ i rozwój prz'!H9+'Tab.6I - Planow. przestrz.'!H10+'Tab. 6C - Ochrona zdrowia'!H8</f>
        <v>288852314</v>
      </c>
      <c r="F14" s="896">
        <f>+'Tab. 6D - Oświata'!I12+'Tab. 6A -Drogi'!I10+'Tab. 6E - Administracja'!I11+'Tab. 6G - Roln i ochrona środ.'!I10+'Tab. 6H - Kultura fiz. i turyst'!I9+'Tab. 6B Polit społ i rozwój prz'!I9+'Tab.6I - Planow. przestrz.'!I10+'Tab. 6C - Ochrona zdrowia'!I8</f>
        <v>262305801</v>
      </c>
      <c r="G14" s="896">
        <f>+'Tab. 6D - Oświata'!J12+'Tab. 6A -Drogi'!J10+'Tab. 6E - Administracja'!J11+'Tab. 6G - Roln i ochrona środ.'!J10+'Tab. 6H - Kultura fiz. i turyst'!J9+'Tab. 6B Polit społ i rozwój prz'!J9+'Tab.6I - Planow. przestrz.'!J10+'Tab. 6C - Ochrona zdrowia'!J8</f>
        <v>84048454</v>
      </c>
      <c r="H14" s="896">
        <f>+'Tab. 6D - Oświata'!K12+'Tab. 6A -Drogi'!K10+'Tab. 6E - Administracja'!K11+'Tab. 6G - Roln i ochrona środ.'!K10+'Tab. 6H - Kultura fiz. i turyst'!K9+'Tab. 6B Polit społ i rozwój prz'!K9+'Tab.6I - Planow. przestrz.'!K10+'Tab. 6C - Ochrona zdrowia'!K8</f>
        <v>200000</v>
      </c>
      <c r="I14" s="896">
        <f>+'Tab. 6D - Oświata'!L12+'Tab. 6A -Drogi'!L10+'Tab. 6E - Administracja'!L11+'Tab. 6G - Roln i ochrona środ.'!L10+'Tab. 6H - Kultura fiz. i turyst'!L9+'Tab. 6B Polit społ i rozwój prz'!L9+'Tab.6I - Planow. przestrz.'!L10+'Tab. 6C - Ochrona zdrowia'!L8</f>
        <v>144500</v>
      </c>
      <c r="J14" s="1617">
        <f>'Tab. 6A -Drogi'!D10+'Tab. 6B Polit społ i rozwój prz'!D9+'Tab. 6D - Oświata'!D12+'Tab. 6E - Administracja'!D11+'Tab. 6G - Roln i ochrona środ.'!D10+'Tab. 6H - Kultura fiz. i turyst'!D9+'Tab.6I - Planow. przestrz.'!D10+'Tab. 6C - Ochrona zdrowia'!D8</f>
        <v>1275563014</v>
      </c>
      <c r="K14" s="1731">
        <f>SUM(C14:I14)</f>
        <v>1228416014</v>
      </c>
      <c r="L14" s="1097">
        <f>SUM(D14:I14)</f>
        <v>1004827653</v>
      </c>
      <c r="M14" s="2389">
        <f>K14-C14-D14-E14-F14-G14-H14-I14</f>
        <v>0</v>
      </c>
      <c r="N14" s="405">
        <f t="shared" si="2"/>
        <v>1275563014</v>
      </c>
      <c r="O14" s="406">
        <f>J14-N14</f>
        <v>0</v>
      </c>
    </row>
    <row r="15" spans="1:15" s="407" customFormat="1">
      <c r="A15" s="897"/>
      <c r="B15" s="898"/>
      <c r="C15" s="898"/>
      <c r="D15" s="898"/>
      <c r="E15" s="898"/>
      <c r="F15" s="898"/>
      <c r="G15" s="898"/>
      <c r="H15" s="898"/>
      <c r="I15" s="898"/>
      <c r="J15" s="898"/>
      <c r="K15" s="1732"/>
      <c r="L15" s="1627"/>
      <c r="M15" s="404"/>
      <c r="N15" s="405">
        <f t="shared" si="2"/>
        <v>0</v>
      </c>
      <c r="O15" s="406">
        <f t="shared" ref="O15:O26" si="3">J15-N15</f>
        <v>0</v>
      </c>
    </row>
    <row r="16" spans="1:15" s="901" customFormat="1" ht="18" customHeight="1">
      <c r="A16" s="899" t="s">
        <v>10</v>
      </c>
      <c r="B16" s="900">
        <f t="shared" ref="B16:L16" si="4">+B17+B24</f>
        <v>93417872.299999997</v>
      </c>
      <c r="C16" s="900">
        <f t="shared" si="4"/>
        <v>270330193</v>
      </c>
      <c r="D16" s="900">
        <f t="shared" si="4"/>
        <v>439092513</v>
      </c>
      <c r="E16" s="900">
        <f t="shared" si="4"/>
        <v>370441152</v>
      </c>
      <c r="F16" s="900">
        <f t="shared" si="4"/>
        <v>327349703</v>
      </c>
      <c r="G16" s="900">
        <f t="shared" si="4"/>
        <v>127581749</v>
      </c>
      <c r="H16" s="900">
        <f t="shared" si="4"/>
        <v>39070853</v>
      </c>
      <c r="I16" s="900">
        <f t="shared" si="4"/>
        <v>36028197</v>
      </c>
      <c r="J16" s="1618">
        <f t="shared" si="4"/>
        <v>1703312232.3</v>
      </c>
      <c r="K16" s="1733">
        <f t="shared" si="4"/>
        <v>1607074130</v>
      </c>
      <c r="L16" s="1628">
        <f t="shared" si="4"/>
        <v>1337133816</v>
      </c>
      <c r="M16" s="2389"/>
      <c r="N16" s="405">
        <f t="shared" si="2"/>
        <v>1703312232.3</v>
      </c>
      <c r="O16" s="406">
        <f>J16-N16</f>
        <v>0</v>
      </c>
    </row>
    <row r="17" spans="1:15" s="905" customFormat="1" ht="17.25" customHeight="1">
      <c r="A17" s="902" t="s">
        <v>11</v>
      </c>
      <c r="B17" s="903">
        <f t="shared" ref="B17:I17" si="5">SUM(B18:B23)</f>
        <v>23928993.300000001</v>
      </c>
      <c r="C17" s="903">
        <f t="shared" si="5"/>
        <v>43033908</v>
      </c>
      <c r="D17" s="903">
        <f t="shared" si="5"/>
        <v>74052223</v>
      </c>
      <c r="E17" s="903">
        <f>SUM(E18:E23)</f>
        <v>81323494</v>
      </c>
      <c r="F17" s="903">
        <f t="shared" si="5"/>
        <v>59654424</v>
      </c>
      <c r="G17" s="903">
        <f>SUM(G18:G23)</f>
        <v>26843109</v>
      </c>
      <c r="H17" s="903">
        <f>SUM(H18:H23)</f>
        <v>5332165</v>
      </c>
      <c r="I17" s="903">
        <f t="shared" si="5"/>
        <v>5072234</v>
      </c>
      <c r="J17" s="1619">
        <f>SUM(J18:J23)</f>
        <v>319240550.30000001</v>
      </c>
      <c r="K17" s="1734">
        <f>SUM(K18:K23)</f>
        <v>292491327</v>
      </c>
      <c r="L17" s="904">
        <f>SUM(L18:L23)</f>
        <v>249847298</v>
      </c>
      <c r="M17" s="2389"/>
      <c r="N17" s="405">
        <f t="shared" si="2"/>
        <v>319240550.30000001</v>
      </c>
      <c r="O17" s="406">
        <f t="shared" si="3"/>
        <v>0</v>
      </c>
    </row>
    <row r="18" spans="1:15" s="407" customFormat="1" ht="14.25" customHeight="1">
      <c r="A18" s="906" t="s">
        <v>12</v>
      </c>
      <c r="B18" s="907">
        <f>+'Tab. 6B Polit społ i rozwój prz'!E12+'Tab. 6D - Oświata'!E15+'Tab. 6A -Drogi'!E13+'Tab. 6E - Administracja'!E14+'Tab. 6G - Roln i ochrona środ.'!E13+'Tab. 6H - Kultura fiz. i turyst'!E12+'Tab.6I - Planow. przestrz.'!E13+0.3</f>
        <v>11075429.300000001</v>
      </c>
      <c r="C18" s="907">
        <f>+'Tab. 6B Polit społ i rozwój prz'!F12+'Tab. 6D - Oświata'!F15+'Tab. 6A -Drogi'!F13+'Tab. 6E - Administracja'!F14+'Tab. 6G - Roln i ochrona środ.'!F13+'Tab. 6H - Kultura fiz. i turyst'!F12+'Tab.6I - Planow. przestrz.'!F13</f>
        <v>38457466</v>
      </c>
      <c r="D18" s="907">
        <f>+'Tab. 6B Polit społ i rozwój prz'!G12+'Tab. 6D - Oświata'!G15+'Tab. 6A -Drogi'!G13+'Tab. 6E - Administracja'!G14+'Tab. 6G - Roln i ochrona środ.'!G13+'Tab. 6H - Kultura fiz. i turyst'!G12+'Tab.6I - Planow. przestrz.'!G13+'Tab. 6C - Ochrona zdrowia'!G11</f>
        <v>49550314</v>
      </c>
      <c r="E18" s="907">
        <f>+'Tab. 6B Polit społ i rozwój prz'!H12+'Tab. 6D - Oświata'!H15+'Tab. 6A -Drogi'!H13+'Tab. 6E - Administracja'!H14+'Tab. 6G - Roln i ochrona środ.'!H13+'Tab. 6H - Kultura fiz. i turyst'!H12+'Tab.6I - Planow. przestrz.'!H13+'Tab. 6C - Ochrona zdrowia'!H11</f>
        <v>68278696</v>
      </c>
      <c r="F18" s="907">
        <f>+'Tab. 6B Polit społ i rozwój prz'!I12+'Tab. 6D - Oświata'!I15+'Tab. 6A -Drogi'!I13+'Tab. 6E - Administracja'!I14+'Tab. 6G - Roln i ochrona środ.'!I13+'Tab. 6H - Kultura fiz. i turyst'!I12+'Tab.6I - Planow. przestrz.'!I13+'Tab. 6C - Ochrona zdrowia'!I11</f>
        <v>50854853</v>
      </c>
      <c r="G18" s="907">
        <f>+'Tab. 6B Polit społ i rozwój prz'!J12+'Tab. 6D - Oświata'!J15+'Tab. 6A -Drogi'!J13+'Tab. 6E - Administracja'!J14+'Tab. 6G - Roln i ochrona środ.'!J13+'Tab. 6H - Kultura fiz. i turyst'!J12+'Tab.6I - Planow. przestrz.'!J13+'Tab. 6C - Ochrona zdrowia'!J11</f>
        <v>24817617</v>
      </c>
      <c r="H18" s="907">
        <f>+'Tab. 6B Polit społ i rozwój prz'!K12+'Tab. 6D - Oświata'!K15+'Tab. 6A -Drogi'!K13+'Tab. 6E - Administracja'!K14+'Tab. 6G - Roln i ochrona środ.'!K13+'Tab. 6H - Kultura fiz. i turyst'!K12+'Tab.6I - Planow. przestrz.'!K13+'Tab. 6C - Ochrona zdrowia'!K11</f>
        <v>4601835</v>
      </c>
      <c r="I18" s="907">
        <f>+'Tab. 6B Polit społ i rozwój prz'!L12+'Tab. 6D - Oświata'!L15+'Tab. 6A -Drogi'!L13+'Tab. 6E - Administracja'!L14+'Tab. 6G - Roln i ochrona środ.'!L13+'Tab. 6H - Kultura fiz. i turyst'!L12+'Tab.6I - Planow. przestrz.'!L13+'Tab. 6C - Ochrona zdrowia'!L11</f>
        <v>4367630</v>
      </c>
      <c r="J18" s="1620">
        <f t="shared" ref="J18:J23" si="6">B18+C18+D18+E18+F18+G18+H18+I18</f>
        <v>252003840.30000001</v>
      </c>
      <c r="K18" s="1735">
        <f>SUM(C18:I18)</f>
        <v>240928411</v>
      </c>
      <c r="L18" s="894">
        <f>SUM(D18:I18)</f>
        <v>202470945</v>
      </c>
      <c r="M18" s="2389"/>
      <c r="N18" s="405">
        <f t="shared" si="2"/>
        <v>252003840.30000001</v>
      </c>
      <c r="O18" s="406">
        <f t="shared" si="3"/>
        <v>0</v>
      </c>
    </row>
    <row r="19" spans="1:15" s="407" customFormat="1" ht="15.75" customHeight="1">
      <c r="A19" s="408" t="s">
        <v>13</v>
      </c>
      <c r="B19" s="907">
        <f>+'Tab. 6B Polit społ i rozwój prz'!E13+'Tab. 6A -Drogi'!E14+'Tab. 6E - Administracja'!E15+'Tab. 6G - Roln i ochrona środ.'!E14+'Tab.6I - Planow. przestrz.'!E14</f>
        <v>2982123</v>
      </c>
      <c r="C19" s="907">
        <f>+'Tab. 6B Polit społ i rozwój prz'!F13+'Tab. 6A -Drogi'!F14+'Tab. 6E - Administracja'!F15+'Tab. 6G - Roln i ochrona środ.'!F14+'Tab.6I - Planow. przestrz.'!F14</f>
        <v>2052996</v>
      </c>
      <c r="D19" s="907">
        <f>+'Tab. 6B Polit społ i rozwój prz'!G13+'Tab. 6A -Drogi'!G14+'Tab. 6E - Administracja'!G15+'Tab. 6G - Roln i ochrona środ.'!G14+'Tab.6I - Planow. przestrz.'!G14+'Tab. 6D - Oświata'!G16</f>
        <v>3695753</v>
      </c>
      <c r="E19" s="907">
        <f>+'Tab. 6B Polit społ i rozwój prz'!H13+'Tab. 6A -Drogi'!H14+'Tab. 6E - Administracja'!H15+'Tab. 6G - Roln i ochrona środ.'!H14+'Tab.6I - Planow. przestrz.'!H14+'Tab. 6D - Oświata'!H16</f>
        <v>4582983</v>
      </c>
      <c r="F19" s="907">
        <f>+'Tab. 6B Polit społ i rozwój prz'!I13+'Tab. 6A -Drogi'!I14+'Tab. 6E - Administracja'!I15+'Tab. 6G - Roln i ochrona środ.'!I14+'Tab.6I - Planow. przestrz.'!I14</f>
        <v>3882448</v>
      </c>
      <c r="G19" s="907">
        <f>+'Tab. 6B Polit społ i rozwój prz'!J13+'Tab. 6A -Drogi'!J14+'Tab. 6E - Administracja'!J15+'Tab. 6G - Roln i ochrona środ.'!J14+'Tab.6I - Planow. przestrz.'!J14</f>
        <v>1075392</v>
      </c>
      <c r="H19" s="907">
        <f>+'Tab. 6B Polit społ i rozwój prz'!K13+'Tab. 6A -Drogi'!K14+'Tab. 6E - Administracja'!K15+'Tab. 6G - Roln i ochrona środ.'!K14+'Tab.6I - Planow. przestrz.'!K14</f>
        <v>666312</v>
      </c>
      <c r="I19" s="907">
        <f>+'Tab. 6B Polit społ i rozwój prz'!L13+'Tab. 6A -Drogi'!L14+'Tab. 6E - Administracja'!L15+'Tab. 6G - Roln i ochrona środ.'!L14+'Tab.6I - Planow. przestrz.'!L14</f>
        <v>640586</v>
      </c>
      <c r="J19" s="1620">
        <f t="shared" si="6"/>
        <v>19578593</v>
      </c>
      <c r="K19" s="1735">
        <f t="shared" ref="K19:K21" si="7">SUM(C19:I19)</f>
        <v>16596470</v>
      </c>
      <c r="L19" s="894">
        <f>SUM(D19:I19)</f>
        <v>14543474</v>
      </c>
      <c r="M19" s="2389"/>
      <c r="N19" s="405">
        <f t="shared" si="2"/>
        <v>19578593</v>
      </c>
      <c r="O19" s="406">
        <f t="shared" si="3"/>
        <v>0</v>
      </c>
    </row>
    <row r="20" spans="1:15" s="407" customFormat="1" ht="15.75" customHeight="1">
      <c r="A20" s="408" t="s">
        <v>15</v>
      </c>
      <c r="B20" s="237">
        <f>+'Tab. 6A -Drogi'!E15+'Tab. 6H - Kultura fiz. i turyst'!E14</f>
        <v>9480325</v>
      </c>
      <c r="C20" s="907">
        <f>+'Tab. 6A -Drogi'!F15+'Tab. 6H - Kultura fiz. i turyst'!F14</f>
        <v>2133567</v>
      </c>
      <c r="D20" s="907">
        <f>+'Tab. 6A -Drogi'!G15+'Tab. 6H - Kultura fiz. i turyst'!G14</f>
        <v>6828572</v>
      </c>
      <c r="E20" s="907">
        <f>+'Tab. 6A -Drogi'!H15+'Tab. 6H - Kultura fiz. i turyst'!H14</f>
        <v>4157433</v>
      </c>
      <c r="F20" s="1406">
        <f>+'Tab. 6A -Drogi'!I15+'Tab. 6H - Kultura fiz. i turyst'!I14</f>
        <v>0</v>
      </c>
      <c r="G20" s="1406">
        <f>+'Tab. 6A -Drogi'!J15+'Tab. 6H - Kultura fiz. i turyst'!J14</f>
        <v>0</v>
      </c>
      <c r="H20" s="1406">
        <f>+'Tab. 6A -Drogi'!K15+'Tab. 6H - Kultura fiz. i turyst'!K14</f>
        <v>0</v>
      </c>
      <c r="I20" s="1406">
        <f>+'Tab. 6A -Drogi'!L15+'Tab. 6H - Kultura fiz. i turyst'!L14</f>
        <v>0</v>
      </c>
      <c r="J20" s="1620">
        <f t="shared" si="6"/>
        <v>22599897</v>
      </c>
      <c r="K20" s="1735">
        <f t="shared" si="7"/>
        <v>13119572</v>
      </c>
      <c r="L20" s="894">
        <f>SUM(D20:I20)</f>
        <v>10986005</v>
      </c>
      <c r="M20" s="2389"/>
      <c r="N20" s="405">
        <f t="shared" si="2"/>
        <v>22599897</v>
      </c>
      <c r="O20" s="406">
        <f t="shared" si="3"/>
        <v>0</v>
      </c>
    </row>
    <row r="21" spans="1:15" s="407" customFormat="1" ht="15.75" customHeight="1">
      <c r="A21" s="408" t="s">
        <v>16</v>
      </c>
      <c r="B21" s="1406">
        <f>+'Tab. 6A -Drogi'!E16+'Tab. 6G - Roln i ochrona środ.'!E15+'Tab. 6E - Administracja'!E16+'Tab. 6H - Kultura fiz. i turyst'!E13</f>
        <v>0</v>
      </c>
      <c r="C21" s="909">
        <f>+'Tab. 6A -Drogi'!F16+'Tab. 6G - Roln i ochrona środ.'!F15+'Tab. 6E - Administracja'!F16+'Tab. 6H - Kultura fiz. i turyst'!F13</f>
        <v>0</v>
      </c>
      <c r="D21" s="909">
        <f>+'Tab. 6A -Drogi'!G16+'Tab. 6G - Roln i ochrona środ.'!G15+'Tab. 6E - Administracja'!G16+'Tab. 6H - Kultura fiz. i turyst'!G13</f>
        <v>320000</v>
      </c>
      <c r="E21" s="1406">
        <f>+'Tab. 6A -Drogi'!H16+'Tab. 6G - Roln i ochrona środ.'!H15+'Tab. 6E - Administracja'!H16+'Tab. 6H - Kultura fiz. i turyst'!H13</f>
        <v>0</v>
      </c>
      <c r="F21" s="1406">
        <f>+'Tab. 6A -Drogi'!I16+'Tab. 6G - Roln i ochrona środ.'!I15+'Tab. 6E - Administracja'!I16+'Tab. 6H - Kultura fiz. i turyst'!I13</f>
        <v>0</v>
      </c>
      <c r="G21" s="1406">
        <f>+'Tab. 6A -Drogi'!J16+'Tab. 6G - Roln i ochrona środ.'!J15+'Tab. 6E - Administracja'!J16+'Tab. 6H - Kultura fiz. i turyst'!J13</f>
        <v>0</v>
      </c>
      <c r="H21" s="1406">
        <f>+'Tab. 6A -Drogi'!K16+'Tab. 6G - Roln i ochrona środ.'!K15+'Tab. 6E - Administracja'!K16+'Tab. 6H - Kultura fiz. i turyst'!K13</f>
        <v>0</v>
      </c>
      <c r="I21" s="1406">
        <f>+'Tab. 6A -Drogi'!L16+'Tab. 6G - Roln i ochrona środ.'!L15+'Tab. 6E - Administracja'!L16+'Tab. 6H - Kultura fiz. i turyst'!L13</f>
        <v>0</v>
      </c>
      <c r="J21" s="1620">
        <f t="shared" si="6"/>
        <v>320000</v>
      </c>
      <c r="K21" s="1735">
        <f t="shared" si="7"/>
        <v>320000</v>
      </c>
      <c r="L21" s="894">
        <f>SUM(D21:I21)</f>
        <v>320000</v>
      </c>
      <c r="M21" s="2389"/>
      <c r="N21" s="405">
        <f t="shared" si="2"/>
        <v>320000</v>
      </c>
      <c r="O21" s="406">
        <f t="shared" si="3"/>
        <v>0</v>
      </c>
    </row>
    <row r="22" spans="1:15" s="407" customFormat="1" ht="15.75" customHeight="1">
      <c r="A22" s="408" t="s">
        <v>17</v>
      </c>
      <c r="B22" s="1406">
        <f>+'Tab. 6A -Drogi'!E17</f>
        <v>0</v>
      </c>
      <c r="C22" s="2781">
        <f>+'Tab. 6A -Drogi'!F17</f>
        <v>0</v>
      </c>
      <c r="D22" s="909">
        <f>+'Tab. 6A -Drogi'!G17+'Tab. 6C - Ochrona zdrowia'!G13+'Tab.6I - Planow. przestrz.'!G15</f>
        <v>12869758</v>
      </c>
      <c r="E22" s="909">
        <f>+'Tab. 6A -Drogi'!H17+'Tab. 6C - Ochrona zdrowia'!H13+'Tab.6I - Planow. przestrz.'!H15</f>
        <v>3189386</v>
      </c>
      <c r="F22" s="909">
        <f>+'Tab. 6A -Drogi'!I17+'Tab. 6C - Ochrona zdrowia'!I13+'Tab.6I - Planow. przestrz.'!I15</f>
        <v>4581649</v>
      </c>
      <c r="G22" s="909">
        <f>+'Tab. 6A -Drogi'!J17+'Tab. 6C - Ochrona zdrowia'!J13+'Tab.6I - Planow. przestrz.'!J15</f>
        <v>886081</v>
      </c>
      <c r="H22" s="909">
        <f>+'Tab. 6A -Drogi'!K17+'Tab. 6C - Ochrona zdrowia'!K13+'Tab.6I - Planow. przestrz.'!K15</f>
        <v>0</v>
      </c>
      <c r="I22" s="909">
        <f>+'Tab. 6A -Drogi'!L17+'Tab. 6C - Ochrona zdrowia'!L13+'Tab.6I - Planow. przestrz.'!L15</f>
        <v>0</v>
      </c>
      <c r="J22" s="1620">
        <f t="shared" si="6"/>
        <v>21526874</v>
      </c>
      <c r="K22" s="2782">
        <f t="shared" ref="K22:L22" si="8">SUM(C22:H22)</f>
        <v>21526874</v>
      </c>
      <c r="L22" s="2783">
        <f t="shared" si="8"/>
        <v>21526874</v>
      </c>
      <c r="M22" s="2389"/>
      <c r="N22" s="405">
        <f t="shared" si="2"/>
        <v>21526874</v>
      </c>
      <c r="O22" s="406">
        <f t="shared" si="3"/>
        <v>0</v>
      </c>
    </row>
    <row r="23" spans="1:15" s="407" customFormat="1" ht="15.75" customHeight="1">
      <c r="A23" s="408" t="s">
        <v>31</v>
      </c>
      <c r="B23" s="910">
        <f>'Tab. 6E - Administracja'!E17+'Tab. 6B Polit społ i rozwój prz'!E14</f>
        <v>391116</v>
      </c>
      <c r="C23" s="910">
        <f>'Tab. 6E - Administracja'!F17+'Tab. 6B Polit społ i rozwój prz'!F14</f>
        <v>389879</v>
      </c>
      <c r="D23" s="910">
        <f>'Tab. 6E - Administracja'!G17+'Tab. 6B Polit społ i rozwój prz'!G14+'Tab. 6C - Ochrona zdrowia'!G12</f>
        <v>787826</v>
      </c>
      <c r="E23" s="910">
        <f>'Tab. 6E - Administracja'!H17+'Tab. 6B Polit społ i rozwój prz'!H14+'Tab. 6C - Ochrona zdrowia'!H12</f>
        <v>1114996</v>
      </c>
      <c r="F23" s="910">
        <f>'Tab. 6E - Administracja'!I17+'Tab. 6B Polit społ i rozwój prz'!I14+'Tab. 6C - Ochrona zdrowia'!I12</f>
        <v>335474</v>
      </c>
      <c r="G23" s="910">
        <f>'Tab. 6E - Administracja'!J17+'Tab. 6B Polit społ i rozwój prz'!J14+'Tab. 6C - Ochrona zdrowia'!J12</f>
        <v>64019</v>
      </c>
      <c r="H23" s="910">
        <f>'Tab. 6E - Administracja'!K17+'Tab. 6B Polit społ i rozwój prz'!K14+'Tab. 6C - Ochrona zdrowia'!K12</f>
        <v>64018</v>
      </c>
      <c r="I23" s="910">
        <f>'Tab. 6E - Administracja'!L17+'Tab. 6B Polit społ i rozwój prz'!L14+'Tab. 6C - Ochrona zdrowia'!L12</f>
        <v>64018</v>
      </c>
      <c r="J23" s="1620">
        <f t="shared" si="6"/>
        <v>3211346</v>
      </c>
      <c r="K23" s="1736" t="s">
        <v>53</v>
      </c>
      <c r="L23" s="1400" t="s">
        <v>53</v>
      </c>
      <c r="M23" s="2389"/>
      <c r="N23" s="405">
        <f t="shared" si="2"/>
        <v>3211346</v>
      </c>
      <c r="O23" s="406">
        <f t="shared" si="3"/>
        <v>0</v>
      </c>
    </row>
    <row r="24" spans="1:15" s="407" customFormat="1" ht="17.25" customHeight="1">
      <c r="A24" s="401" t="s">
        <v>18</v>
      </c>
      <c r="B24" s="402">
        <f t="shared" ref="B24:L24" si="9">SUM(B25:B26)</f>
        <v>69488879</v>
      </c>
      <c r="C24" s="402">
        <f t="shared" si="9"/>
        <v>227296285</v>
      </c>
      <c r="D24" s="402">
        <f t="shared" si="9"/>
        <v>365040290</v>
      </c>
      <c r="E24" s="402">
        <f t="shared" si="9"/>
        <v>289117658</v>
      </c>
      <c r="F24" s="402">
        <f t="shared" si="9"/>
        <v>267695279</v>
      </c>
      <c r="G24" s="402">
        <f t="shared" si="9"/>
        <v>100738640</v>
      </c>
      <c r="H24" s="402">
        <f t="shared" si="9"/>
        <v>33738688</v>
      </c>
      <c r="I24" s="402">
        <f t="shared" si="9"/>
        <v>30955963</v>
      </c>
      <c r="J24" s="1621">
        <f t="shared" si="9"/>
        <v>1384071682</v>
      </c>
      <c r="K24" s="1737">
        <f t="shared" si="9"/>
        <v>1314582803</v>
      </c>
      <c r="L24" s="1629">
        <f t="shared" si="9"/>
        <v>1087286518</v>
      </c>
      <c r="M24" s="2389"/>
      <c r="N24" s="405">
        <f t="shared" si="2"/>
        <v>1384071682</v>
      </c>
      <c r="O24" s="406">
        <f t="shared" si="3"/>
        <v>0</v>
      </c>
    </row>
    <row r="25" spans="1:15" s="407" customFormat="1" ht="14.25" customHeight="1">
      <c r="A25" s="408" t="s">
        <v>19</v>
      </c>
      <c r="B25" s="907">
        <f>+'Tab. 6D - Oświata'!E19+'Tab. 6A -Drogi'!E19+'Tab. 6G - Roln i ochrona środ.'!E20+'Tab.6I - Planow. przestrz.'!E18+'Tab. 6B Polit społ i rozwój prz'!E16</f>
        <v>729416</v>
      </c>
      <c r="C25" s="907">
        <f>+'Tab. 6D - Oświata'!F19+'Tab. 6A -Drogi'!F19+'Tab. 6G - Roln i ochrona środ.'!F20+'Tab.6I - Planow. przestrz.'!F18+'Tab. 6B Polit społ i rozwój prz'!F16</f>
        <v>872316</v>
      </c>
      <c r="D25" s="907">
        <f>+'Tab. 6D - Oświata'!G19+'Tab. 6A -Drogi'!G19+'Tab. 6G - Roln i ochrona środ.'!G20+'Tab.6I - Planow. przestrz.'!G18+'Tab. 6B Polit społ i rozwój prz'!G16</f>
        <v>966412</v>
      </c>
      <c r="E25" s="907">
        <f>+'Tab. 6D - Oświata'!H19+'Tab. 6A -Drogi'!H19+'Tab. 6G - Roln i ochrona środ.'!H20+'Tab.6I - Planow. przestrz.'!H18+'Tab. 6B Polit społ i rozwój prz'!H16</f>
        <v>13577874</v>
      </c>
      <c r="F25" s="907">
        <f>+'Tab. 6D - Oświata'!I19+'Tab. 6A -Drogi'!I19+'Tab. 6G - Roln i ochrona środ.'!I20+'Tab.6I - Planow. przestrz.'!I18+'Tab. 6B Polit społ i rozwój prz'!I16</f>
        <v>25984348</v>
      </c>
      <c r="G25" s="907">
        <f>+'Tab. 6D - Oświata'!J19+'Tab. 6A -Drogi'!J19+'Tab. 6G - Roln i ochrona środ.'!J20+'Tab.6I - Planow. przestrz.'!J18+'Tab. 6B Polit społ i rozwój prz'!J16</f>
        <v>5606076</v>
      </c>
      <c r="H25" s="907">
        <f>+'Tab. 6D - Oświata'!K19+'Tab. 6A -Drogi'!K19+'Tab. 6G - Roln i ochrona środ.'!K20+'Tab.6I - Planow. przestrz.'!K18+'Tab. 6B Polit społ i rozwój prz'!K16</f>
        <v>0</v>
      </c>
      <c r="I25" s="907">
        <f>+'Tab. 6D - Oświata'!L19+'Tab. 6A -Drogi'!L19+'Tab. 6G - Roln i ochrona środ.'!L20+'Tab.6I - Planow. przestrz.'!L18+'Tab. 6B Polit społ i rozwój prz'!L16</f>
        <v>0</v>
      </c>
      <c r="J25" s="1620">
        <f>B25+C25+D25+E25+F25+G25+H25+I25</f>
        <v>47736442</v>
      </c>
      <c r="K25" s="1735">
        <f t="shared" ref="K25:K26" si="10">SUM(C25:I25)</f>
        <v>47007026</v>
      </c>
      <c r="L25" s="894">
        <f>SUM(D25:I25)</f>
        <v>46134710</v>
      </c>
      <c r="M25" s="2389"/>
      <c r="N25" s="405">
        <f t="shared" si="2"/>
        <v>47736442</v>
      </c>
      <c r="O25" s="406">
        <f t="shared" si="3"/>
        <v>0</v>
      </c>
    </row>
    <row r="26" spans="1:15" s="407" customFormat="1" ht="14.25" customHeight="1">
      <c r="A26" s="408" t="s">
        <v>20</v>
      </c>
      <c r="B26" s="237">
        <f>+'Tab. 6B Polit społ i rozwój prz'!E17+'Tab. 6A -Drogi'!E20+'Tab. 6E - Administracja'!E19+'Tab. 6G - Roln i ochrona środ.'!E18+'Tab. 6H - Kultura fiz. i turyst'!E16+'Tab.6I - Planow. przestrz.'!E17</f>
        <v>68759463</v>
      </c>
      <c r="C26" s="237">
        <f>+'Tab. 6B Polit społ i rozwój prz'!F17+'Tab. 6A -Drogi'!F20+'Tab. 6E - Administracja'!F19+'Tab. 6G - Roln i ochrona środ.'!F18+'Tab. 6H - Kultura fiz. i turyst'!F16+'Tab.6I - Planow. przestrz.'!F17</f>
        <v>226423969</v>
      </c>
      <c r="D26" s="237">
        <f>+'Tab. 6B Polit społ i rozwój prz'!G17+'Tab. 6A -Drogi'!G20+'Tab. 6E - Administracja'!G19+'Tab. 6G - Roln i ochrona środ.'!G18+'Tab. 6H - Kultura fiz. i turyst'!G16+'Tab.6I - Planow. przestrz.'!G17+'Tab. 6D - Oświata'!G18+'Tab. 6C - Ochrona zdrowia'!G15</f>
        <v>364073878</v>
      </c>
      <c r="E26" s="237">
        <f>+'Tab. 6B Polit społ i rozwój prz'!H17+'Tab. 6A -Drogi'!H20+'Tab. 6E - Administracja'!H19+'Tab. 6G - Roln i ochrona środ.'!H18+'Tab. 6H - Kultura fiz. i turyst'!H16+'Tab.6I - Planow. przestrz.'!H17+'Tab. 6D - Oświata'!H18+'Tab. 6C - Ochrona zdrowia'!H15</f>
        <v>275539784</v>
      </c>
      <c r="F26" s="237">
        <f>+'Tab. 6B Polit społ i rozwój prz'!I17+'Tab. 6A -Drogi'!I20+'Tab. 6E - Administracja'!I19+'Tab. 6G - Roln i ochrona środ.'!I18+'Tab. 6H - Kultura fiz. i turyst'!I16+'Tab.6I - Planow. przestrz.'!I17+'Tab. 6D - Oświata'!I18+'Tab. 6C - Ochrona zdrowia'!I15</f>
        <v>241710931</v>
      </c>
      <c r="G26" s="237">
        <f>+'Tab. 6B Polit społ i rozwój prz'!J17+'Tab. 6A -Drogi'!J20+'Tab. 6E - Administracja'!J19+'Tab. 6G - Roln i ochrona środ.'!J18+'Tab. 6H - Kultura fiz. i turyst'!J16+'Tab.6I - Planow. przestrz.'!J17+'Tab. 6D - Oświata'!J18+'Tab. 6C - Ochrona zdrowia'!J15</f>
        <v>95132564</v>
      </c>
      <c r="H26" s="237">
        <f>+'Tab. 6B Polit społ i rozwój prz'!K17+'Tab. 6A -Drogi'!K20+'Tab. 6E - Administracja'!K19+'Tab. 6G - Roln i ochrona środ.'!K18+'Tab. 6H - Kultura fiz. i turyst'!K16+'Tab.6I - Planow. przestrz.'!K17+'Tab. 6D - Oświata'!K18+'Tab. 6C - Ochrona zdrowia'!K15</f>
        <v>33738688</v>
      </c>
      <c r="I26" s="237">
        <f>+'Tab. 6B Polit społ i rozwój prz'!L17+'Tab. 6A -Drogi'!L20+'Tab. 6E - Administracja'!L19+'Tab. 6G - Roln i ochrona środ.'!L18+'Tab. 6H - Kultura fiz. i turyst'!L16+'Tab.6I - Planow. przestrz.'!L17+'Tab. 6D - Oświata'!L18+'Tab. 6C - Ochrona zdrowia'!L15</f>
        <v>30955963</v>
      </c>
      <c r="J26" s="1620">
        <f>B26+C26+D26+E26+F26+G26+H26+I26</f>
        <v>1336335240</v>
      </c>
      <c r="K26" s="1735">
        <f t="shared" si="10"/>
        <v>1267575777</v>
      </c>
      <c r="L26" s="894">
        <f>SUM(D26:I26)</f>
        <v>1041151808</v>
      </c>
      <c r="M26" s="2389"/>
      <c r="N26" s="405">
        <f t="shared" si="2"/>
        <v>1336335240</v>
      </c>
      <c r="O26" s="890">
        <f t="shared" si="3"/>
        <v>0</v>
      </c>
    </row>
    <row r="27" spans="1:15" s="911" customFormat="1" ht="15.75" customHeight="1">
      <c r="A27" s="1275" t="s">
        <v>21</v>
      </c>
      <c r="B27" s="1276">
        <f t="shared" ref="B27:J27" si="11">+B28+B33</f>
        <v>69281470</v>
      </c>
      <c r="C27" s="1276">
        <f t="shared" si="11"/>
        <v>220861716</v>
      </c>
      <c r="D27" s="1276">
        <f t="shared" si="11"/>
        <v>393995959</v>
      </c>
      <c r="E27" s="1276">
        <f t="shared" si="11"/>
        <v>293835141</v>
      </c>
      <c r="F27" s="1276">
        <f t="shared" si="11"/>
        <v>259975251</v>
      </c>
      <c r="G27" s="1276">
        <f t="shared" si="11"/>
        <v>129723318</v>
      </c>
      <c r="H27" s="1276">
        <f t="shared" si="11"/>
        <v>34962740</v>
      </c>
      <c r="I27" s="1276">
        <f t="shared" si="11"/>
        <v>31994737</v>
      </c>
      <c r="J27" s="1622">
        <f t="shared" si="11"/>
        <v>1448097046</v>
      </c>
      <c r="K27" s="3478" t="s">
        <v>22</v>
      </c>
      <c r="L27" s="3483" t="s">
        <v>22</v>
      </c>
      <c r="M27" s="2389"/>
    </row>
    <row r="28" spans="1:15" s="407" customFormat="1" ht="17.25" customHeight="1">
      <c r="A28" s="401" t="s">
        <v>23</v>
      </c>
      <c r="B28" s="1277">
        <f t="shared" ref="B28:J28" si="12">SUM(B29:B32)</f>
        <v>12426672</v>
      </c>
      <c r="C28" s="1277">
        <f t="shared" si="12"/>
        <v>3775316</v>
      </c>
      <c r="D28" s="1277">
        <f t="shared" si="12"/>
        <v>24114391</v>
      </c>
      <c r="E28" s="1277">
        <f t="shared" si="12"/>
        <v>11948050</v>
      </c>
      <c r="F28" s="1277">
        <f t="shared" si="12"/>
        <v>8458280</v>
      </c>
      <c r="G28" s="1277">
        <f t="shared" si="12"/>
        <v>1995757</v>
      </c>
      <c r="H28" s="1277">
        <f t="shared" si="12"/>
        <v>666312</v>
      </c>
      <c r="I28" s="1277">
        <f t="shared" si="12"/>
        <v>640586</v>
      </c>
      <c r="J28" s="1623">
        <f t="shared" si="12"/>
        <v>64025364</v>
      </c>
      <c r="K28" s="3479"/>
      <c r="L28" s="3484"/>
      <c r="M28" s="404" t="s">
        <v>198</v>
      </c>
    </row>
    <row r="29" spans="1:15" s="407" customFormat="1" ht="14.25" customHeight="1">
      <c r="A29" s="1179" t="s">
        <v>13</v>
      </c>
      <c r="B29" s="773">
        <f>+'Tab. 6B Polit społ i rozwój prz'!E20+'Tab. 6A -Drogi'!E24+'Tab. 6E - Administracja'!E22+'Tab. 6G - Roln i ochrona środ.'!E23</f>
        <v>2951841</v>
      </c>
      <c r="C29" s="773">
        <f>+'Tab. 6B Polit społ i rozwój prz'!F20+'Tab. 6A -Drogi'!F24+'Tab. 6E - Administracja'!F22+'Tab. 6G - Roln i ochrona środ.'!F23+'Tab.6I - Planow. przestrz.'!F21</f>
        <v>2035549</v>
      </c>
      <c r="D29" s="773">
        <f>+'Tab. 6B Polit społ i rozwój prz'!G20+'Tab. 6A -Drogi'!G24+'Tab. 6E - Administracja'!G22+'Tab. 6G - Roln i ochrona środ.'!G23+'Tab.6I - Planow. przestrz.'!G21+'Tab. 6D - Oświata'!G22</f>
        <v>3696767</v>
      </c>
      <c r="E29" s="773">
        <f>+'Tab. 6B Polit społ i rozwój prz'!H20+'Tab. 6A -Drogi'!H24+'Tab. 6E - Administracja'!H22+'Tab. 6G - Roln i ochrona środ.'!H23+'Tab.6I - Planow. przestrz.'!H21+'Tab. 6D - Oświata'!H22</f>
        <v>4601231</v>
      </c>
      <c r="F29" s="773">
        <f>+'Tab. 6B Polit społ i rozwój prz'!I20+'Tab. 6A -Drogi'!I24+'Tab. 6E - Administracja'!I22+'Tab. 6G - Roln i ochrona środ.'!I23+'Tab.6I - Planow. przestrz.'!I21</f>
        <v>3876631</v>
      </c>
      <c r="G29" s="773">
        <f>+'Tab. 6B Polit społ i rozwój prz'!J20+'Tab. 6A -Drogi'!J24+'Tab. 6E - Administracja'!J22+'Tab. 6G - Roln i ochrona środ.'!J23+'Tab.6I - Planow. przestrz.'!J21</f>
        <v>1109676</v>
      </c>
      <c r="H29" s="773">
        <f>+'Tab. 6B Polit społ i rozwój prz'!K20+'Tab. 6A -Drogi'!K24+'Tab. 6E - Administracja'!K22+'Tab. 6G - Roln i ochrona środ.'!K23+'Tab.6I - Planow. przestrz.'!K21</f>
        <v>666312</v>
      </c>
      <c r="I29" s="773">
        <f>+'Tab. 6B Polit społ i rozwój prz'!L20+'Tab. 6A -Drogi'!L24+'Tab. 6E - Administracja'!L22+'Tab. 6G - Roln i ochrona środ.'!L23+'Tab.6I - Planow. przestrz.'!L21</f>
        <v>640586</v>
      </c>
      <c r="J29" s="1620">
        <f t="shared" ref="J29:J32" si="13">B29+C29+D29+E29+F29+G29+H29+I29</f>
        <v>19578593</v>
      </c>
      <c r="K29" s="3479"/>
      <c r="L29" s="3484"/>
      <c r="M29" s="404">
        <f>J19-J29</f>
        <v>0</v>
      </c>
    </row>
    <row r="30" spans="1:15" s="407" customFormat="1" ht="14.25" customHeight="1">
      <c r="A30" s="1179" t="s">
        <v>15</v>
      </c>
      <c r="B30" s="907">
        <f>+'Tab. 6A -Drogi'!E25+'Tab. 6H - Kultura fiz. i turyst'!E21</f>
        <v>9474831</v>
      </c>
      <c r="C30" s="907">
        <f>+'Tab. 6A -Drogi'!F25+'Tab. 6H - Kultura fiz. i turyst'!F21</f>
        <v>1739767</v>
      </c>
      <c r="D30" s="907">
        <f>+'Tab. 6A -Drogi'!G25+'Tab. 6H - Kultura fiz. i turyst'!G21</f>
        <v>7227866</v>
      </c>
      <c r="E30" s="907">
        <f>+'Tab. 6A -Drogi'!H25+'Tab. 6H - Kultura fiz. i turyst'!H21</f>
        <v>4157433</v>
      </c>
      <c r="F30" s="1407">
        <f>+'Tab. 6A -Drogi'!I25+'Tab. 6H - Kultura fiz. i turyst'!I21</f>
        <v>0</v>
      </c>
      <c r="G30" s="1407">
        <f>+'Tab. 6A -Drogi'!J25+'Tab. 6H - Kultura fiz. i turyst'!J21</f>
        <v>0</v>
      </c>
      <c r="H30" s="1407">
        <f>+'Tab. 6A -Drogi'!K25+'Tab. 6H - Kultura fiz. i turyst'!K21</f>
        <v>0</v>
      </c>
      <c r="I30" s="1407">
        <f>+'Tab. 6A -Drogi'!L25+'Tab. 6G - Roln i ochrona środ.'!L24+'Tab. 6E - Administracja'!L22+'Tab. 6H - Kultura fiz. i turyst'!L19</f>
        <v>0</v>
      </c>
      <c r="J30" s="1620">
        <f t="shared" si="13"/>
        <v>22599897</v>
      </c>
      <c r="K30" s="3479"/>
      <c r="L30" s="3484"/>
      <c r="M30" s="404">
        <f>J30-J20</f>
        <v>0</v>
      </c>
      <c r="N30" s="913"/>
    </row>
    <row r="31" spans="1:15" s="407" customFormat="1">
      <c r="A31" s="1179" t="s">
        <v>16</v>
      </c>
      <c r="B31" s="1407">
        <f>+'Tab. 6A -Drogi'!E26+'Tab. 6G - Roln i ochrona środ.'!E25+'Tab. 6E - Administracja'!E23+'Tab. 6H - Kultura fiz. i turyst'!E20</f>
        <v>0</v>
      </c>
      <c r="C31" s="1278">
        <f>+'Tab. 6A -Drogi'!F26+'Tab. 6G - Roln i ochrona środ.'!F25+'Tab. 6E - Administracja'!F23+'Tab. 6H - Kultura fiz. i turyst'!F20</f>
        <v>0</v>
      </c>
      <c r="D31" s="1278">
        <f>+'Tab. 6A -Drogi'!G26+'Tab. 6G - Roln i ochrona środ.'!G25+'Tab. 6E - Administracja'!G23+'Tab. 6H - Kultura fiz. i turyst'!G20</f>
        <v>320000</v>
      </c>
      <c r="E31" s="1407">
        <f>+'Tab. 6A -Drogi'!H26+'Tab. 6G - Roln i ochrona środ.'!H25+'Tab. 6E - Administracja'!H23+'Tab. 6H - Kultura fiz. i turyst'!H20</f>
        <v>0</v>
      </c>
      <c r="F31" s="1407">
        <f>+'Tab. 6A -Drogi'!I26+'Tab. 6G - Roln i ochrona środ.'!I25+'Tab. 6E - Administracja'!I23+'Tab. 6H - Kultura fiz. i turyst'!I20</f>
        <v>0</v>
      </c>
      <c r="G31" s="1407">
        <f>+'Tab. 6A -Drogi'!J26+'Tab. 6G - Roln i ochrona środ.'!J25+'Tab. 6E - Administracja'!J23+'Tab. 6H - Kultura fiz. i turyst'!J20</f>
        <v>0</v>
      </c>
      <c r="H31" s="1407">
        <f>+'Tab. 6A -Drogi'!K26+'Tab. 6G - Roln i ochrona środ.'!K25+'Tab. 6E - Administracja'!K23+'Tab. 6H - Kultura fiz. i turyst'!K20</f>
        <v>0</v>
      </c>
      <c r="I31" s="1407">
        <f>+'Tab. 6A -Drogi'!L26+'Tab. 6G - Roln i ochrona środ.'!L25+'Tab. 6E - Administracja'!L23+'Tab. 6H - Kultura fiz. i turyst'!L20</f>
        <v>0</v>
      </c>
      <c r="J31" s="1620">
        <f t="shared" si="13"/>
        <v>320000</v>
      </c>
      <c r="K31" s="3479"/>
      <c r="L31" s="3484"/>
      <c r="M31" s="404">
        <f>J31-J21</f>
        <v>0</v>
      </c>
    </row>
    <row r="32" spans="1:15" s="407" customFormat="1" ht="15" customHeight="1">
      <c r="A32" s="1179" t="s">
        <v>17</v>
      </c>
      <c r="B32" s="908">
        <f>+'Tab. 6A -Drogi'!E27</f>
        <v>0</v>
      </c>
      <c r="C32" s="908">
        <f>+'Tab. 6A -Drogi'!F27</f>
        <v>0</v>
      </c>
      <c r="D32" s="909">
        <f>+'Tab. 6A -Drogi'!G27+'Tab. 6C - Ochrona zdrowia'!G18+'Tab.6I - Planow. przestrz.'!G22</f>
        <v>12869758</v>
      </c>
      <c r="E32" s="909">
        <f>+'Tab. 6A -Drogi'!H27+'Tab. 6C - Ochrona zdrowia'!H18+'Tab.6I - Planow. przestrz.'!H22</f>
        <v>3189386</v>
      </c>
      <c r="F32" s="909">
        <f>+'Tab. 6A -Drogi'!I27+'Tab. 6C - Ochrona zdrowia'!I18+'Tab.6I - Planow. przestrz.'!I22</f>
        <v>4581649</v>
      </c>
      <c r="G32" s="909">
        <f>+'Tab. 6A -Drogi'!J27+'Tab. 6C - Ochrona zdrowia'!J18+'Tab.6I - Planow. przestrz.'!J22</f>
        <v>886081</v>
      </c>
      <c r="H32" s="909">
        <f>+'Tab. 6A -Drogi'!K27+'Tab. 6C - Ochrona zdrowia'!K18+'Tab.6I - Planow. przestrz.'!K22</f>
        <v>0</v>
      </c>
      <c r="I32" s="909">
        <f>+'Tab. 6A -Drogi'!L27+'Tab. 6C - Ochrona zdrowia'!L18+'Tab.6I - Planow. przestrz.'!L22</f>
        <v>0</v>
      </c>
      <c r="J32" s="1620">
        <f t="shared" si="13"/>
        <v>21526874</v>
      </c>
      <c r="K32" s="3479"/>
      <c r="L32" s="3484"/>
      <c r="M32" s="404">
        <f>J32-J22</f>
        <v>0</v>
      </c>
    </row>
    <row r="33" spans="1:15" s="407" customFormat="1" ht="16.5" customHeight="1">
      <c r="A33" s="401" t="s">
        <v>18</v>
      </c>
      <c r="B33" s="1279">
        <f t="shared" ref="B33:J33" si="14">SUM(B34:B35)</f>
        <v>56854798</v>
      </c>
      <c r="C33" s="1279">
        <f t="shared" si="14"/>
        <v>217086400</v>
      </c>
      <c r="D33" s="1279">
        <f t="shared" si="14"/>
        <v>369881568</v>
      </c>
      <c r="E33" s="1279">
        <f t="shared" si="14"/>
        <v>281887091</v>
      </c>
      <c r="F33" s="1279">
        <f t="shared" si="14"/>
        <v>251516971</v>
      </c>
      <c r="G33" s="1279">
        <f t="shared" si="14"/>
        <v>127727561</v>
      </c>
      <c r="H33" s="1279">
        <f t="shared" si="14"/>
        <v>34296428</v>
      </c>
      <c r="I33" s="1279">
        <f t="shared" si="14"/>
        <v>31354151</v>
      </c>
      <c r="J33" s="1623">
        <f t="shared" si="14"/>
        <v>1384071682</v>
      </c>
      <c r="K33" s="3479"/>
      <c r="L33" s="3484"/>
      <c r="M33" s="404"/>
    </row>
    <row r="34" spans="1:15" s="407" customFormat="1" ht="14.25" customHeight="1">
      <c r="A34" s="1179" t="s">
        <v>19</v>
      </c>
      <c r="B34" s="1280">
        <f>+'Tab. 6A -Drogi'!E31+'Tab. 6G - Roln i ochrona środ.'!E31+'Tab. 6D - Oświata'!E25+'Tab.6I - Planow. przestrz.'!E25+'Tab. 6B Polit społ i rozwój prz'!E22</f>
        <v>292115</v>
      </c>
      <c r="C34" s="1280">
        <f>+'Tab. 6A -Drogi'!F31+'Tab. 6G - Roln i ochrona środ.'!F31+'Tab. 6D - Oświata'!F25+'Tab.6I - Planow. przestrz.'!F25+'Tab. 6B Polit społ i rozwój prz'!F22</f>
        <v>650534</v>
      </c>
      <c r="D34" s="1280">
        <f>+'Tab. 6A -Drogi'!G31+'Tab. 6G - Roln i ochrona środ.'!G31+'Tab. 6D - Oświata'!G25+'Tab.6I - Planow. przestrz.'!G25+'Tab. 6B Polit społ i rozwój prz'!G22</f>
        <v>980250</v>
      </c>
      <c r="E34" s="1280">
        <f>+'Tab. 6A -Drogi'!H31+'Tab. 6G - Roln i ochrona środ.'!H31+'Tab. 6D - Oświata'!H25+'Tab.6I - Planow. przestrz.'!H25+'Tab. 6B Polit społ i rozwój prz'!H22</f>
        <v>14147910</v>
      </c>
      <c r="F34" s="1280">
        <f>+'Tab. 6A -Drogi'!I31+'Tab. 6G - Roln i ochrona środ.'!I31+'Tab. 6D - Oświata'!I25+'Tab.6I - Planow. przestrz.'!I25+'Tab. 6B Polit społ i rozwój prz'!I22</f>
        <v>25977542</v>
      </c>
      <c r="G34" s="1280">
        <f>+'Tab. 6A -Drogi'!J31+'Tab. 6G - Roln i ochrona środ.'!J31+'Tab. 6D - Oświata'!J25+'Tab.6I - Planow. przestrz.'!J25+'Tab. 6B Polit społ i rozwój prz'!J22</f>
        <v>5688091</v>
      </c>
      <c r="H34" s="1280">
        <f>+'Tab. 6A -Drogi'!K31+'Tab. 6G - Roln i ochrona środ.'!K31+'Tab. 6D - Oświata'!K25+'Tab.6I - Planow. przestrz.'!K25+'Tab. 6B Polit społ i rozwój prz'!K22</f>
        <v>0</v>
      </c>
      <c r="I34" s="1280">
        <f>+'Tab. 6A -Drogi'!L31+'Tab. 6G - Roln i ochrona środ.'!L31+'Tab. 6D - Oświata'!L25+'Tab.6I - Planow. przestrz.'!L25+'Tab. 6B Polit społ i rozwój prz'!L22</f>
        <v>0</v>
      </c>
      <c r="J34" s="1620">
        <f>B34+C34+D34+E34+F34+G34+H34+I34</f>
        <v>47736442</v>
      </c>
      <c r="K34" s="3479"/>
      <c r="L34" s="3484"/>
      <c r="M34" s="404" t="e">
        <f>J34-J25-#REF!</f>
        <v>#REF!</v>
      </c>
      <c r="N34" s="913" t="s">
        <v>345</v>
      </c>
    </row>
    <row r="35" spans="1:15" s="407" customFormat="1" ht="15.75" customHeight="1" thickBot="1">
      <c r="A35" s="933" t="s">
        <v>20</v>
      </c>
      <c r="B35" s="1281">
        <f>+'Tab. 6B Polit społ i rozwój prz'!E23+'Tab. 6A -Drogi'!E32+'Tab. 6E - Administracja'!E25+'Tab. 6G - Roln i ochrona środ.'!E29+'Tab. 6H - Kultura fiz. i turyst'!E23+'Tab.6I - Planow. przestrz.'!E24+'Tab. 6D - Oświata'!E24+'Tab. 6C - Ochrona zdrowia'!E20</f>
        <v>56562683</v>
      </c>
      <c r="C35" s="1281">
        <f>+'Tab. 6B Polit społ i rozwój prz'!F23+'Tab. 6A -Drogi'!F32+'Tab. 6E - Administracja'!F25+'Tab. 6G - Roln i ochrona środ.'!F29+'Tab. 6H - Kultura fiz. i turyst'!F23+'Tab.6I - Planow. przestrz.'!F24+'Tab. 6D - Oświata'!F24+'Tab. 6C - Ochrona zdrowia'!F20</f>
        <v>216435866</v>
      </c>
      <c r="D35" s="1281">
        <f>+'Tab. 6B Polit społ i rozwój prz'!G23+'Tab. 6A -Drogi'!G32+'Tab. 6E - Administracja'!G25+'Tab. 6G - Roln i ochrona środ.'!G29+'Tab. 6H - Kultura fiz. i turyst'!G23+'Tab.6I - Planow. przestrz.'!G24+'Tab. 6D - Oświata'!G24+'Tab. 6C - Ochrona zdrowia'!G20</f>
        <v>368901318</v>
      </c>
      <c r="E35" s="1281">
        <f>+'Tab. 6B Polit społ i rozwój prz'!H23+'Tab. 6A -Drogi'!H32+'Tab. 6E - Administracja'!H25+'Tab. 6G - Roln i ochrona środ.'!H29+'Tab. 6H - Kultura fiz. i turyst'!H23+'Tab.6I - Planow. przestrz.'!H24+'Tab. 6D - Oświata'!H24+'Tab. 6C - Ochrona zdrowia'!H20</f>
        <v>267739181</v>
      </c>
      <c r="F35" s="1281">
        <f>+'Tab. 6B Polit społ i rozwój prz'!I23+'Tab. 6A -Drogi'!I32+'Tab. 6E - Administracja'!I25+'Tab. 6G - Roln i ochrona środ.'!I29+'Tab. 6H - Kultura fiz. i turyst'!I23+'Tab.6I - Planow. przestrz.'!I24+'Tab. 6D - Oświata'!I24+'Tab. 6C - Ochrona zdrowia'!I20</f>
        <v>225539429</v>
      </c>
      <c r="G35" s="1281">
        <f>+'Tab. 6B Polit społ i rozwój prz'!J23+'Tab. 6A -Drogi'!J32+'Tab. 6E - Administracja'!J25+'Tab. 6G - Roln i ochrona środ.'!J29+'Tab. 6H - Kultura fiz. i turyst'!J23+'Tab.6I - Planow. przestrz.'!J24+'Tab. 6D - Oświata'!J24+'Tab. 6C - Ochrona zdrowia'!J20</f>
        <v>122039470</v>
      </c>
      <c r="H35" s="1281">
        <f>+'Tab. 6B Polit społ i rozwój prz'!K23+'Tab. 6A -Drogi'!K32+'Tab. 6E - Administracja'!K25+'Tab. 6G - Roln i ochrona środ.'!K29+'Tab. 6H - Kultura fiz. i turyst'!K23+'Tab.6I - Planow. przestrz.'!K24+'Tab. 6D - Oświata'!K24+'Tab. 6C - Ochrona zdrowia'!K20</f>
        <v>34296428</v>
      </c>
      <c r="I35" s="1281">
        <f>+'Tab. 6B Polit społ i rozwój prz'!L23+'Tab. 6A -Drogi'!L32+'Tab. 6E - Administracja'!L25+'Tab. 6G - Roln i ochrona środ.'!L29+'Tab. 6H - Kultura fiz. i turyst'!L23+'Tab.6I - Planow. przestrz.'!L24+'Tab. 6D - Oświata'!L24+'Tab. 6C - Ochrona zdrowia'!L20</f>
        <v>31354151</v>
      </c>
      <c r="J35" s="1624">
        <f>B35+C35+D35+E35+F35+G35+H35+I35+2029435+2998719+2055406+3812897+2520257+11590+299481-61071-200000</f>
        <v>1336335240</v>
      </c>
      <c r="K35" s="3480"/>
      <c r="L35" s="3485"/>
      <c r="M35" s="404">
        <f>J35-J26</f>
        <v>0</v>
      </c>
      <c r="N35" s="913"/>
    </row>
    <row r="36" spans="1:15" s="407" customFormat="1" ht="21" customHeight="1" thickBot="1">
      <c r="A36" s="897"/>
      <c r="B36" s="898"/>
      <c r="C36" s="898"/>
      <c r="D36" s="898"/>
      <c r="E36" s="898"/>
      <c r="F36" s="898"/>
      <c r="G36" s="898"/>
      <c r="H36" s="898"/>
      <c r="I36" s="898"/>
      <c r="J36" s="898"/>
      <c r="K36" s="916"/>
      <c r="L36" s="916"/>
      <c r="M36" s="404"/>
    </row>
    <row r="37" spans="1:15" s="901" customFormat="1" ht="18.75" customHeight="1" thickBot="1">
      <c r="A37" s="917" t="s">
        <v>26</v>
      </c>
      <c r="B37" s="918">
        <f t="shared" ref="B37:J37" si="15">+B16-B23</f>
        <v>93026756.299999997</v>
      </c>
      <c r="C37" s="918">
        <f t="shared" si="15"/>
        <v>269940314</v>
      </c>
      <c r="D37" s="918">
        <f t="shared" si="15"/>
        <v>438304687</v>
      </c>
      <c r="E37" s="918">
        <f t="shared" si="15"/>
        <v>369326156</v>
      </c>
      <c r="F37" s="918">
        <f t="shared" si="15"/>
        <v>327014229</v>
      </c>
      <c r="G37" s="918">
        <f t="shared" si="15"/>
        <v>127517730</v>
      </c>
      <c r="H37" s="918">
        <f t="shared" si="15"/>
        <v>39006835</v>
      </c>
      <c r="I37" s="918">
        <f t="shared" si="15"/>
        <v>35964179</v>
      </c>
      <c r="J37" s="1625">
        <f t="shared" si="15"/>
        <v>1700100886.3</v>
      </c>
      <c r="K37" s="1630">
        <f>+C37+D37+E37+F37+G37+H37+I37</f>
        <v>1607074130</v>
      </c>
      <c r="L37" s="919">
        <f>+D37+E37+F37+G37+H37+I37</f>
        <v>1337133816</v>
      </c>
      <c r="M37" s="920">
        <f>B37+C37+D37+E37+F37+G37+H37+I37</f>
        <v>1700100886.3</v>
      </c>
      <c r="N37" s="921">
        <f>M37-J37</f>
        <v>0</v>
      </c>
      <c r="O37" s="921"/>
    </row>
    <row r="38" spans="1:15" s="901" customFormat="1" ht="16.5" customHeight="1" thickBot="1">
      <c r="A38" s="917" t="s">
        <v>27</v>
      </c>
      <c r="B38" s="922">
        <f>+B27</f>
        <v>69281470</v>
      </c>
      <c r="C38" s="922">
        <f>+C27</f>
        <v>220861716</v>
      </c>
      <c r="D38" s="922">
        <f>+D27</f>
        <v>393995959</v>
      </c>
      <c r="E38" s="922">
        <f t="shared" ref="E38:I38" si="16">+E27</f>
        <v>293835141</v>
      </c>
      <c r="F38" s="922">
        <f t="shared" si="16"/>
        <v>259975251</v>
      </c>
      <c r="G38" s="922">
        <f t="shared" si="16"/>
        <v>129723318</v>
      </c>
      <c r="H38" s="922">
        <f t="shared" si="16"/>
        <v>34962740</v>
      </c>
      <c r="I38" s="922">
        <f t="shared" si="16"/>
        <v>31994737</v>
      </c>
      <c r="J38" s="1626">
        <f>+J27</f>
        <v>1448097046</v>
      </c>
      <c r="K38" s="1631" t="s">
        <v>22</v>
      </c>
      <c r="L38" s="923" t="s">
        <v>22</v>
      </c>
      <c r="M38" s="920">
        <v>105067692</v>
      </c>
      <c r="N38" s="921" t="s">
        <v>210</v>
      </c>
    </row>
    <row r="39" spans="1:15" s="407" customFormat="1" ht="18.75" hidden="1" customHeight="1">
      <c r="A39" s="924"/>
      <c r="B39" s="898">
        <f>'Tab. 6A -Drogi'!E16+'Tab. 6E - Administracja'!E16+'Tab. 6G - Roln i ochrona środ.'!E15</f>
        <v>0</v>
      </c>
      <c r="C39" s="898"/>
      <c r="D39" s="898"/>
      <c r="E39" s="898"/>
      <c r="F39" s="898"/>
      <c r="G39" s="898"/>
      <c r="H39" s="898"/>
      <c r="I39" s="898"/>
      <c r="J39" s="916"/>
      <c r="K39" s="913"/>
      <c r="L39" s="913"/>
      <c r="M39" s="913">
        <f>M38+M37</f>
        <v>1805168578.3</v>
      </c>
      <c r="N39" s="913">
        <f>J37-M39</f>
        <v>-105067692</v>
      </c>
    </row>
    <row r="40" spans="1:15" s="407" customFormat="1" ht="12.75" hidden="1" customHeight="1">
      <c r="A40" s="898"/>
      <c r="B40" s="898">
        <f>'Tab. 6A -Drogi'!E32+'Tab. 6B Polit społ i rozwój prz'!E23+'Tab. 6E - Administracja'!E25+'Tab. 6H - Kultura fiz. i turyst'!E23+'Tab.6I - Planow. przestrz.'!E24+'Tab. 6G - Roln i ochrona środ.'!E29</f>
        <v>56562683</v>
      </c>
      <c r="C40" s="898">
        <f>'Tab. 6A -Drogi'!F32+'Tab. 6B Polit społ i rozwój prz'!F23+'Tab. 6E - Administracja'!F25+'Tab. 6H - Kultura fiz. i turyst'!F23+'Tab.6I - Planow. przestrz.'!F24+'Tab. 6G - Roln i ochrona środ.'!F29</f>
        <v>216435866</v>
      </c>
      <c r="D40" s="898">
        <f>'Tab. 6A -Drogi'!G32+'Tab. 6B Polit społ i rozwój prz'!G23+'Tab. 6E - Administracja'!G25+'Tab. 6H - Kultura fiz. i turyst'!G23+'Tab.6I - Planow. przestrz.'!G24+'Tab. 6G - Roln i ochrona środ.'!G29</f>
        <v>363622592</v>
      </c>
      <c r="E40" s="898">
        <f>'Tab. 6A -Drogi'!H32+'Tab. 6B Polit społ i rozwój prz'!H23+'Tab. 6E - Administracja'!H25+'Tab. 6H - Kultura fiz. i turyst'!H23+'Tab.6I - Planow. przestrz.'!H24+'Tab. 6G - Roln i ochrona środ.'!H29</f>
        <v>253916687</v>
      </c>
      <c r="F40" s="898">
        <f>'Tab. 6A -Drogi'!I32+'Tab. 6B Polit społ i rozwój prz'!I23+'Tab. 6E - Administracja'!I25+'Tab. 6H - Kultura fiz. i turyst'!I23+'Tab.6I - Planow. przestrz.'!I24+'Tab. 6G - Roln i ochrona środ.'!I29</f>
        <v>212361990</v>
      </c>
      <c r="G40" s="898">
        <f>'Tab. 6A -Drogi'!J32+'Tab. 6B Polit społ i rozwój prz'!J23+'Tab. 6E - Administracja'!J25+'Tab. 6H - Kultura fiz. i turyst'!J23+'Tab.6I - Planow. przestrz.'!J24+'Tab. 6G - Roln i ochrona środ.'!J29</f>
        <v>120113853</v>
      </c>
      <c r="H40" s="898">
        <f>'Tab. 6A -Drogi'!K32+'Tab. 6B Polit społ i rozwój prz'!K23+'Tab. 6E - Administracja'!K25+'Tab. 6H - Kultura fiz. i turyst'!K23+'Tab.6I - Planow. przestrz.'!K24+'Tab. 6G - Roln i ochrona środ.'!K29</f>
        <v>34296428</v>
      </c>
      <c r="I40" s="898">
        <f>'Tab. 6A -Drogi'!L32+'Tab. 6B Polit społ i rozwój prz'!L23+'Tab. 6E - Administracja'!L25+'Tab. 6H - Kultura fiz. i turyst'!L23+'Tab.6I - Planow. przestrz.'!L24+'Tab. 6G - Roln i ochrona środ.'!L29</f>
        <v>31354151</v>
      </c>
      <c r="J40" s="898" t="e">
        <f>B40+#REF!+#REF!+C40+D40+E40+F40+G40+H40+I40</f>
        <v>#REF!</v>
      </c>
      <c r="K40" s="404"/>
      <c r="L40" s="404"/>
      <c r="M40" s="404"/>
    </row>
    <row r="41" spans="1:15" s="407" customFormat="1" hidden="1">
      <c r="A41" s="925"/>
      <c r="B41" s="898">
        <f>B35-B40</f>
        <v>0</v>
      </c>
      <c r="C41" s="898">
        <f t="shared" ref="C41:I41" si="17">C35-C40</f>
        <v>0</v>
      </c>
      <c r="D41" s="898">
        <f t="shared" si="17"/>
        <v>5278726</v>
      </c>
      <c r="E41" s="898">
        <f t="shared" si="17"/>
        <v>13822494</v>
      </c>
      <c r="F41" s="898">
        <f t="shared" si="17"/>
        <v>13177439</v>
      </c>
      <c r="G41" s="898">
        <f t="shared" si="17"/>
        <v>1925617</v>
      </c>
      <c r="H41" s="898">
        <f t="shared" si="17"/>
        <v>0</v>
      </c>
      <c r="I41" s="898">
        <f t="shared" si="17"/>
        <v>0</v>
      </c>
      <c r="J41" s="898"/>
      <c r="K41" s="404"/>
      <c r="L41" s="404"/>
      <c r="M41" s="404"/>
    </row>
    <row r="42" spans="1:15" s="407" customFormat="1">
      <c r="A42" s="924"/>
      <c r="B42" s="898"/>
      <c r="C42" s="898"/>
      <c r="D42" s="898"/>
      <c r="E42" s="898"/>
      <c r="F42" s="898"/>
      <c r="G42" s="898"/>
      <c r="H42" s="898"/>
      <c r="I42" s="898"/>
      <c r="J42" s="916"/>
      <c r="K42" s="404"/>
      <c r="L42" s="404"/>
      <c r="M42" s="404"/>
    </row>
    <row r="43" spans="1:15" ht="31.5" customHeight="1" thickBot="1">
      <c r="A43" s="3499" t="s">
        <v>28</v>
      </c>
      <c r="B43" s="3499"/>
      <c r="C43" s="3499"/>
      <c r="D43" s="3499"/>
      <c r="E43" s="3499"/>
      <c r="F43" s="3499"/>
      <c r="G43" s="3499"/>
      <c r="H43" s="3499"/>
      <c r="I43" s="3499"/>
      <c r="J43" s="3499"/>
      <c r="K43" s="926"/>
      <c r="L43" s="926"/>
    </row>
    <row r="44" spans="1:15" s="868" customFormat="1" ht="34.5" customHeight="1">
      <c r="A44" s="873"/>
      <c r="B44" s="3497" t="s">
        <v>221</v>
      </c>
      <c r="C44" s="3504" t="s">
        <v>421</v>
      </c>
      <c r="D44" s="3500" t="s">
        <v>374</v>
      </c>
      <c r="E44" s="3500"/>
      <c r="F44" s="3500"/>
      <c r="G44" s="3500"/>
      <c r="H44" s="3500"/>
      <c r="I44" s="3501"/>
      <c r="J44" s="3494" t="s">
        <v>3</v>
      </c>
      <c r="K44" s="3481" t="s">
        <v>391</v>
      </c>
      <c r="L44" s="3481" t="s">
        <v>375</v>
      </c>
    </row>
    <row r="45" spans="1:15" ht="19.5" customHeight="1">
      <c r="A45" s="875" t="s">
        <v>4</v>
      </c>
      <c r="B45" s="3498"/>
      <c r="C45" s="3505"/>
      <c r="D45" s="3502"/>
      <c r="E45" s="3502"/>
      <c r="F45" s="3502"/>
      <c r="G45" s="3502"/>
      <c r="H45" s="3502"/>
      <c r="I45" s="3503"/>
      <c r="J45" s="3495"/>
      <c r="K45" s="3482"/>
      <c r="L45" s="3482"/>
    </row>
    <row r="46" spans="1:15" ht="24" customHeight="1" thickBot="1">
      <c r="A46" s="875"/>
      <c r="B46" s="876" t="s">
        <v>367</v>
      </c>
      <c r="C46" s="3506"/>
      <c r="D46" s="877" t="s">
        <v>6</v>
      </c>
      <c r="E46" s="877" t="s">
        <v>170</v>
      </c>
      <c r="F46" s="877" t="s">
        <v>172</v>
      </c>
      <c r="G46" s="877" t="s">
        <v>212</v>
      </c>
      <c r="H46" s="877" t="s">
        <v>213</v>
      </c>
      <c r="I46" s="878" t="s">
        <v>211</v>
      </c>
      <c r="J46" s="3496"/>
      <c r="K46" s="3482"/>
      <c r="L46" s="3482"/>
    </row>
    <row r="47" spans="1:15" ht="13.5" customHeight="1" thickBot="1">
      <c r="A47" s="880">
        <v>1</v>
      </c>
      <c r="B47" s="881">
        <v>2</v>
      </c>
      <c r="C47" s="882">
        <v>3</v>
      </c>
      <c r="D47" s="881">
        <v>4</v>
      </c>
      <c r="E47" s="883">
        <v>5</v>
      </c>
      <c r="F47" s="884">
        <v>6</v>
      </c>
      <c r="G47" s="885">
        <v>7</v>
      </c>
      <c r="H47" s="881">
        <v>8</v>
      </c>
      <c r="I47" s="885">
        <v>9</v>
      </c>
      <c r="J47" s="1614">
        <v>10</v>
      </c>
      <c r="K47" s="886">
        <v>12</v>
      </c>
      <c r="L47" s="886">
        <v>11</v>
      </c>
    </row>
    <row r="48" spans="1:15" ht="18.75" customHeight="1">
      <c r="A48" s="887" t="s">
        <v>7</v>
      </c>
      <c r="B48" s="888">
        <f>+B49+B50</f>
        <v>403555949</v>
      </c>
      <c r="C48" s="888">
        <f t="shared" ref="C48:L48" si="18">+C49+C50</f>
        <v>181271310</v>
      </c>
      <c r="D48" s="888">
        <f t="shared" si="18"/>
        <v>225178729</v>
      </c>
      <c r="E48" s="888">
        <f>+E49+E50</f>
        <v>286643941</v>
      </c>
      <c r="F48" s="888">
        <f>+F49+F50</f>
        <v>228074212</v>
      </c>
      <c r="G48" s="888">
        <f>+G49+G50</f>
        <v>61311387</v>
      </c>
      <c r="H48" s="888">
        <f>+H49+H50</f>
        <v>33173283</v>
      </c>
      <c r="I48" s="888">
        <f>+I49+I50</f>
        <v>10208912</v>
      </c>
      <c r="J48" s="1632">
        <f t="shared" si="18"/>
        <v>1463054048</v>
      </c>
      <c r="K48" s="889">
        <f t="shared" ref="K48" si="19">+K49+K50</f>
        <v>1059498099</v>
      </c>
      <c r="L48" s="889">
        <f t="shared" si="18"/>
        <v>878226789</v>
      </c>
      <c r="M48" s="2389">
        <f>+L52-L48</f>
        <v>0</v>
      </c>
      <c r="N48" s="405">
        <f>+C48+D48+E48+F48+G48+H48+I48+B48+'Tab. 6C - Ochrona zdrowia'!P92+'Tab. 6C - Ochrona zdrowia'!P97</f>
        <v>1463054048</v>
      </c>
      <c r="O48" s="406">
        <f>J48-N48</f>
        <v>0</v>
      </c>
    </row>
    <row r="49" spans="1:15" s="891" customFormat="1" ht="15" customHeight="1">
      <c r="A49" s="892" t="s">
        <v>306</v>
      </c>
      <c r="B49" s="893">
        <f>'Tab. 6A -Drogi'!E527+'Tab. 6C - Ochrona zdrowia'!E52+'Tab. 6D - Oświata'!E101+'Tab. 6E - Administracja'!E239+'Tab. 6F - Kultura'!E8+'Tab. 6G - Roln i ochrona środ.'!E106+'Tab. 6H - Kultura fiz. i turyst'!E270+'Tab.6I - Planow. przestrz.'!E99+'Tab. 6D - Oświata'!E89</f>
        <v>362255011</v>
      </c>
      <c r="C49" s="893">
        <f>'Tab. 6A -Drogi'!F527+'Tab. 6C - Ochrona zdrowia'!F52+'Tab. 6D - Oświata'!F101+'Tab. 6E - Administracja'!F239+'Tab. 6F - Kultura'!F8+'Tab. 6G - Roln i ochrona środ.'!F106+'Tab. 6H - Kultura fiz. i turyst'!F270+'Tab.6I - Planow. przestrz.'!F99+'Tab. 6D - Oświata'!F89</f>
        <v>138684748</v>
      </c>
      <c r="D49" s="893">
        <f>'Tab. 6A -Drogi'!G527+'Tab. 6C - Ochrona zdrowia'!G52+'Tab. 6D - Oświata'!G101+'Tab. 6E - Administracja'!G239+'Tab. 6F - Kultura'!G8+'Tab. 6G - Roln i ochrona środ.'!G106+'Tab. 6H - Kultura fiz. i turyst'!G270+'Tab.6I - Planow. przestrz.'!G99+'Tab. 6D - Oświata'!G89</f>
        <v>162270734</v>
      </c>
      <c r="E49" s="893">
        <f>'Tab. 6A -Drogi'!H527+'Tab. 6C - Ochrona zdrowia'!H52+'Tab. 6D - Oświata'!H101+'Tab. 6E - Administracja'!H239+'Tab. 6F - Kultura'!H8+'Tab. 6G - Roln i ochrona środ.'!H106+'Tab. 6H - Kultura fiz. i turyst'!H270+'Tab.6I - Planow. przestrz.'!H99+'Tab. 6D - Oświata'!H89</f>
        <v>174272182</v>
      </c>
      <c r="F49" s="893">
        <f>'Tab. 6A -Drogi'!I527+'Tab. 6C - Ochrona zdrowia'!I52+'Tab. 6D - Oświata'!I101+'Tab. 6E - Administracja'!I239+'Tab. 6F - Kultura'!I8+'Tab. 6G - Roln i ochrona środ.'!I106+'Tab. 6H - Kultura fiz. i turyst'!I270+'Tab.6I - Planow. przestrz.'!I99+'Tab. 6D - Oświata'!I89</f>
        <v>158660919</v>
      </c>
      <c r="G49" s="893">
        <f>'Tab. 6A -Drogi'!J527+'Tab. 6C - Ochrona zdrowia'!J52+'Tab. 6D - Oświata'!J101+'Tab. 6E - Administracja'!J239+'Tab. 6F - Kultura'!J8+'Tab. 6G - Roln i ochrona środ.'!J106+'Tab. 6H - Kultura fiz. i turyst'!J270+'Tab.6I - Planow. przestrz.'!J99+'Tab. 6D - Oświata'!J89</f>
        <v>39955167</v>
      </c>
      <c r="H49" s="893">
        <f>'Tab. 6A -Drogi'!K527+'Tab. 6C - Ochrona zdrowia'!K52+'Tab. 6D - Oświata'!K101+'Tab. 6E - Administracja'!K239+'Tab. 6F - Kultura'!K8+'Tab. 6G - Roln i ochrona środ.'!K106+'Tab. 6H - Kultura fiz. i turyst'!K270+'Tab.6I - Planow. przestrz.'!K99+'Tab. 6D - Oświata'!K89</f>
        <v>31701038</v>
      </c>
      <c r="I49" s="893">
        <f>'Tab. 6A -Drogi'!L527+'Tab. 6C - Ochrona zdrowia'!L52+'Tab. 6D - Oświata'!L101+'Tab. 6E - Administracja'!L239+'Tab. 6F - Kultura'!L8+'Tab. 6G - Roln i ochrona środ.'!L106+'Tab. 6H - Kultura fiz. i turyst'!L270+'Tab.6I - Planow. przestrz.'!L99+'Tab. 6D - Oświata'!L89</f>
        <v>10208912</v>
      </c>
      <c r="J49" s="1633">
        <f>'Tab. 6A -Drogi'!D527+'Tab. 6C - Ochrona zdrowia'!D52+'Tab. 6D - Oświata'!D101+'Tab. 6E - Administracja'!D239+'Tab. 6F - Kultura'!D8+'Tab. 6G - Roln i ochrona środ.'!D106+'Tab. 6H - Kultura fiz. i turyst'!D270+'Tab.6I - Planow. przestrz.'!D99+'Tab. 6D - Oświata'!D89</f>
        <v>1111645036</v>
      </c>
      <c r="K49" s="1096">
        <f>SUM(C49:I49)+'Tab. 6C - Ochrona zdrowia'!P92+'Tab. 6C - Ochrona zdrowia'!P97</f>
        <v>749390025</v>
      </c>
      <c r="L49" s="1096">
        <f>SUM(D49:I49)+'Tab. 6C - Ochrona zdrowia'!P92+'Tab. 6C - Ochrona zdrowia'!P97</f>
        <v>610705277</v>
      </c>
      <c r="M49" s="3013"/>
      <c r="N49" s="405">
        <f>+C49+D49+E49+F49+G49+H49+I49+B49+'Tab. 6C - Ochrona zdrowia'!P92+'Tab. 6C - Ochrona zdrowia'!P97</f>
        <v>1111645036</v>
      </c>
      <c r="O49" s="406">
        <f t="shared" ref="O49:O61" si="20">J49-N49</f>
        <v>0</v>
      </c>
    </row>
    <row r="50" spans="1:15" ht="14.25" customHeight="1" thickBot="1">
      <c r="A50" s="927" t="s">
        <v>29</v>
      </c>
      <c r="B50" s="928">
        <f>'Tab. 6A -Drogi'!E528+'Tab. 6C - Ochrona zdrowia'!E53+'Tab. 6D - Oświata'!E102+'Tab. 6E - Administracja'!E240+'Tab. 6F - Kultura'!E9+'Tab. 6G - Roln i ochrona środ.'!E107</f>
        <v>41300938</v>
      </c>
      <c r="C50" s="928">
        <f>'Tab. 6A -Drogi'!F528+'Tab. 6C - Ochrona zdrowia'!F53+'Tab. 6D - Oświata'!F102+'Tab. 6E - Administracja'!F240+'Tab. 6F - Kultura'!F9+'Tab. 6G - Roln i ochrona środ.'!F107</f>
        <v>42586562</v>
      </c>
      <c r="D50" s="928">
        <f>'Tab. 6A -Drogi'!G528+'Tab. 6C - Ochrona zdrowia'!G53+'Tab. 6D - Oświata'!G102+'Tab. 6E - Administracja'!G240+'Tab. 6F - Kultura'!G9+'Tab. 6G - Roln i ochrona środ.'!G107</f>
        <v>62907995</v>
      </c>
      <c r="E50" s="928">
        <f>'Tab. 6A -Drogi'!H528+'Tab. 6C - Ochrona zdrowia'!H53+'Tab. 6D - Oświata'!H102+'Tab. 6E - Administracja'!H240+'Tab. 6F - Kultura'!H9+'Tab. 6G - Roln i ochrona środ.'!H107</f>
        <v>112371759</v>
      </c>
      <c r="F50" s="928">
        <f>'Tab. 6A -Drogi'!I528+'Tab. 6C - Ochrona zdrowia'!I53+'Tab. 6D - Oświata'!I102+'Tab. 6E - Administracja'!I240+'Tab. 6F - Kultura'!I9+'Tab. 6G - Roln i ochrona środ.'!I107</f>
        <v>69413293</v>
      </c>
      <c r="G50" s="928">
        <f>'Tab. 6A -Drogi'!J528+'Tab. 6C - Ochrona zdrowia'!J53+'Tab. 6D - Oświata'!J102+'Tab. 6E - Administracja'!J240+'Tab. 6F - Kultura'!J9+'Tab. 6G - Roln i ochrona środ.'!J107</f>
        <v>21356220</v>
      </c>
      <c r="H50" s="928">
        <f>'Tab. 6A -Drogi'!K528+'Tab. 6C - Ochrona zdrowia'!K53+'Tab. 6D - Oświata'!K102+'Tab. 6E - Administracja'!K240+'Tab. 6F - Kultura'!K9+'Tab. 6G - Roln i ochrona środ.'!K107</f>
        <v>1472245</v>
      </c>
      <c r="I50" s="928">
        <f>'Tab. 6A -Drogi'!L528+'Tab. 6C - Ochrona zdrowia'!L53+'Tab. 6D - Oświata'!L102+'Tab. 6E - Administracja'!L240+'Tab. 6F - Kultura'!L9+'Tab. 6G - Roln i ochrona środ.'!L107</f>
        <v>0</v>
      </c>
      <c r="J50" s="1634">
        <f>'Tab. 6A -Drogi'!D528+'Tab. 6C - Ochrona zdrowia'!D53+'Tab. 6D - Oświata'!D102+'Tab. 6E - Administracja'!D240+'Tab. 6F - Kultura'!D9+'Tab. 6G - Roln i ochrona środ.'!D107</f>
        <v>351409012</v>
      </c>
      <c r="K50" s="1097">
        <f>SUM(C50:I50)</f>
        <v>310108074</v>
      </c>
      <c r="L50" s="1097">
        <f>SUM(D50:I50)</f>
        <v>267521512</v>
      </c>
      <c r="M50" s="3013"/>
      <c r="N50" s="405">
        <f>+C50+D50+E50+F50+G50+H50+I50+B50</f>
        <v>351409012</v>
      </c>
      <c r="O50" s="406">
        <f t="shared" si="20"/>
        <v>0</v>
      </c>
    </row>
    <row r="51" spans="1:15" s="407" customFormat="1" ht="4.5" customHeight="1">
      <c r="A51" s="897"/>
      <c r="B51" s="898"/>
      <c r="C51" s="898"/>
      <c r="D51" s="915"/>
      <c r="E51" s="898"/>
      <c r="F51" s="898"/>
      <c r="G51" s="898"/>
      <c r="H51" s="898"/>
      <c r="I51" s="898"/>
      <c r="J51" s="916"/>
      <c r="K51" s="1639"/>
      <c r="L51" s="1639"/>
      <c r="M51" s="404"/>
      <c r="N51" s="405"/>
      <c r="O51" s="406"/>
    </row>
    <row r="52" spans="1:15" s="911" customFormat="1" ht="18" customHeight="1">
      <c r="A52" s="899" t="s">
        <v>10</v>
      </c>
      <c r="B52" s="900">
        <f t="shared" ref="B52:J52" si="21">+B53+B60</f>
        <v>405874248.63999999</v>
      </c>
      <c r="C52" s="900">
        <f t="shared" si="21"/>
        <v>182661583</v>
      </c>
      <c r="D52" s="900">
        <f t="shared" si="21"/>
        <v>233497300</v>
      </c>
      <c r="E52" s="900">
        <f t="shared" si="21"/>
        <v>320963744</v>
      </c>
      <c r="F52" s="900">
        <f t="shared" si="21"/>
        <v>275789311</v>
      </c>
      <c r="G52" s="900">
        <f t="shared" si="21"/>
        <v>77655879</v>
      </c>
      <c r="H52" s="900">
        <f t="shared" si="21"/>
        <v>43265783</v>
      </c>
      <c r="I52" s="900">
        <f t="shared" si="21"/>
        <v>10208912</v>
      </c>
      <c r="J52" s="1618">
        <f t="shared" si="21"/>
        <v>1583553085.6400001</v>
      </c>
      <c r="K52" s="1628">
        <f>+K53</f>
        <v>1059498099</v>
      </c>
      <c r="L52" s="1628">
        <f>+L53</f>
        <v>878226789</v>
      </c>
      <c r="M52" s="920"/>
      <c r="N52" s="405">
        <f>+C52+D52+E52+F52+G52+H52+I52+B52+'Tab. 6C - Ochrona zdrowia'!P92+'Tab. 6C - Ochrona zdrowia'!P97</f>
        <v>1583553085.6399999</v>
      </c>
      <c r="O52" s="406">
        <f t="shared" si="20"/>
        <v>0</v>
      </c>
    </row>
    <row r="53" spans="1:15" s="905" customFormat="1" ht="18" customHeight="1">
      <c r="A53" s="902" t="s">
        <v>11</v>
      </c>
      <c r="B53" s="929">
        <f t="shared" ref="B53:L53" si="22">SUM(B54:B59)</f>
        <v>405349348.63999999</v>
      </c>
      <c r="C53" s="929">
        <f t="shared" si="22"/>
        <v>182625551</v>
      </c>
      <c r="D53" s="929">
        <f t="shared" si="22"/>
        <v>227119547</v>
      </c>
      <c r="E53" s="929">
        <f t="shared" si="22"/>
        <v>286683941</v>
      </c>
      <c r="F53" s="929">
        <f t="shared" si="22"/>
        <v>228074212</v>
      </c>
      <c r="G53" s="929">
        <f t="shared" si="22"/>
        <v>61311387</v>
      </c>
      <c r="H53" s="929">
        <f t="shared" si="22"/>
        <v>33173283</v>
      </c>
      <c r="I53" s="929">
        <f t="shared" si="22"/>
        <v>10208912</v>
      </c>
      <c r="J53" s="1635">
        <f t="shared" si="22"/>
        <v>1468182506.6400001</v>
      </c>
      <c r="K53" s="1640">
        <f t="shared" si="22"/>
        <v>1059498099</v>
      </c>
      <c r="L53" s="1640">
        <f t="shared" si="22"/>
        <v>878226789</v>
      </c>
      <c r="M53" s="404"/>
      <c r="N53" s="405">
        <f>+C53+D53+E53+F53+G53+H53+I53+B53+'Tab. 6C - Ochrona zdrowia'!P92+'Tab. 6C - Ochrona zdrowia'!P97</f>
        <v>1468182506.6399999</v>
      </c>
      <c r="O53" s="406">
        <f t="shared" si="20"/>
        <v>0</v>
      </c>
    </row>
    <row r="54" spans="1:15" s="407" customFormat="1" ht="16.5" customHeight="1">
      <c r="A54" s="906" t="s">
        <v>30</v>
      </c>
      <c r="B54" s="410">
        <f>+'Tab. 6D - Oświata'!E107+'Tab. 6A -Drogi'!E531+'Tab. 6E - Administracja'!E243+'Tab. 6C - Ochrona zdrowia'!E56+'Tab.6I - Planow. przestrz.'!E103+'Tab. 6G - Roln i ochrona środ.'!E110+'Tab. 6H - Kultura fiz. i turyst'!E274+'Tab. 6D - Oświata'!E97</f>
        <v>390644817</v>
      </c>
      <c r="C54" s="410">
        <f>+'Tab. 6D - Oświata'!F107+'Tab. 6A -Drogi'!F531+'Tab. 6E - Administracja'!F243+'Tab. 6C - Ochrona zdrowia'!F56+'Tab.6I - Planow. przestrz.'!F103+'Tab. 6G - Roln i ochrona środ.'!F110+'Tab. 6H - Kultura fiz. i turyst'!F274+'Tab. 6D - Oświata'!F97</f>
        <v>135966751</v>
      </c>
      <c r="D54" s="410">
        <f>+'Tab. 6D - Oświata'!G107+'Tab. 6A -Drogi'!G531+'Tab. 6E - Administracja'!G243+'Tab. 6C - Ochrona zdrowia'!G56+'Tab.6I - Planow. przestrz.'!G103+'Tab. 6G - Roln i ochrona środ.'!G110+'Tab. 6H - Kultura fiz. i turyst'!G274+'Tab. 6D - Oświata'!G97</f>
        <v>160909213</v>
      </c>
      <c r="E54" s="410">
        <f>+'Tab. 6D - Oświata'!H107+'Tab. 6A -Drogi'!H531+'Tab. 6E - Administracja'!H243+'Tab. 6C - Ochrona zdrowia'!H56+'Tab.6I - Planow. przestrz.'!H103+'Tab. 6G - Roln i ochrona środ.'!H110+'Tab. 6H - Kultura fiz. i turyst'!H274+'Tab. 6D - Oświata'!H97</f>
        <v>193426525</v>
      </c>
      <c r="F54" s="410">
        <f>+'Tab. 6D - Oświata'!I107+'Tab. 6A -Drogi'!I531+'Tab. 6E - Administracja'!I243+'Tab. 6C - Ochrona zdrowia'!I56+'Tab.6I - Planow. przestrz.'!I103+'Tab. 6G - Roln i ochrona środ.'!I110+'Tab. 6H - Kultura fiz. i turyst'!I274+'Tab. 6D - Oświata'!I97</f>
        <v>188141944</v>
      </c>
      <c r="G54" s="410">
        <f>+'Tab. 6D - Oświata'!J107+'Tab. 6A -Drogi'!J531+'Tab. 6E - Administracja'!J243+'Tab. 6C - Ochrona zdrowia'!J56+'Tab.6I - Planow. przestrz.'!J103+'Tab. 6G - Roln i ochrona środ.'!J110+'Tab. 6H - Kultura fiz. i turyst'!J274+'Tab. 6D - Oświata'!J97</f>
        <v>44454446</v>
      </c>
      <c r="H54" s="410">
        <f>+'Tab. 6D - Oświata'!K107+'Tab. 6A -Drogi'!K531+'Tab. 6E - Administracja'!K243+'Tab. 6C - Ochrona zdrowia'!K56+'Tab.6I - Planow. przestrz.'!K103+'Tab. 6G - Roln i ochrona środ.'!K110+'Tab. 6H - Kultura fiz. i turyst'!K274+'Tab. 6D - Oświata'!K97</f>
        <v>31701038</v>
      </c>
      <c r="I54" s="410">
        <f>+'Tab. 6D - Oświata'!L107+'Tab. 6A -Drogi'!L531+'Tab. 6E - Administracja'!L243+'Tab. 6C - Ochrona zdrowia'!L56+'Tab.6I - Planow. przestrz.'!L103+'Tab. 6G - Roln i ochrona środ.'!L110+'Tab. 6H - Kultura fiz. i turyst'!L274+'Tab. 6D - Oświata'!L97</f>
        <v>10208912</v>
      </c>
      <c r="J54" s="1620">
        <f>B54+C54+D54+E54+F54+G54+H54+I54+'Tab. 6C - Ochrona zdrowia'!P92+'Tab. 6C - Ochrona zdrowia'!P97</f>
        <v>1189089971</v>
      </c>
      <c r="K54" s="894">
        <f>SUM(C54:I54)+'Tab. 6C - Ochrona zdrowia'!P92+'Tab. 6C - Ochrona zdrowia'!P97</f>
        <v>798445154</v>
      </c>
      <c r="L54" s="894">
        <f>SUM(D54:I54)+'Tab. 6C - Ochrona zdrowia'!P92+'Tab. 6C - Ochrona zdrowia'!P97</f>
        <v>662478403</v>
      </c>
      <c r="M54" s="3013"/>
      <c r="N54" s="405">
        <f>+C54+D54+E54+F54+G54+H54+I54+B54+'Tab. 6C - Ochrona zdrowia'!P92+'Tab. 6C - Ochrona zdrowia'!P97</f>
        <v>1189089971</v>
      </c>
      <c r="O54" s="406">
        <f t="shared" si="20"/>
        <v>0</v>
      </c>
    </row>
    <row r="55" spans="1:15" s="407" customFormat="1" ht="15.75" customHeight="1">
      <c r="A55" s="408" t="s">
        <v>16</v>
      </c>
      <c r="B55" s="409">
        <f>+'Tab. 6A -Drogi'!E534+'Tab. 6G - Roln i ochrona środ.'!E114+'Tab. 6H - Kultura fiz. i turyst'!E13</f>
        <v>0</v>
      </c>
      <c r="C55" s="410">
        <f>+'Tab. 6A -Drogi'!F534+'Tab. 6G - Roln i ochrona środ.'!F114+'Tab. 6H - Kultura fiz. i turyst'!F275</f>
        <v>10003578</v>
      </c>
      <c r="D55" s="410">
        <f>+'Tab. 6A -Drogi'!G534+'Tab. 6G - Roln i ochrona środ.'!G114+'Tab. 6H - Kultura fiz. i turyst'!G275</f>
        <v>16487247</v>
      </c>
      <c r="E55" s="410">
        <f>+'Tab. 6A -Drogi'!H534+'Tab. 6G - Roln i ochrona środ.'!H114+'Tab. 6H - Kultura fiz. i turyst'!H275</f>
        <v>26258486</v>
      </c>
      <c r="F55" s="410">
        <f>+'Tab. 6A -Drogi'!I534+'Tab. 6G - Roln i ochrona środ.'!I114+'Tab. 6H - Kultura fiz. i turyst'!I275</f>
        <v>9699890</v>
      </c>
      <c r="G55" s="409">
        <f>+'Tab. 6A -Drogi'!J534+'Tab. 6G - Roln i ochrona środ.'!J114+'Tab. 6H - Kultura fiz. i turyst'!J275</f>
        <v>0</v>
      </c>
      <c r="H55" s="409">
        <f>+'Tab. 6A -Drogi'!K534+'Tab. 6G - Roln i ochrona środ.'!K114+'Tab. 6H - Kultura fiz. i turyst'!K275</f>
        <v>0</v>
      </c>
      <c r="I55" s="409">
        <f>+'Tab. 6A -Drogi'!L534+'Tab. 6G - Roln i ochrona środ.'!L114+'Tab. 6H - Kultura fiz. i turyst'!L275</f>
        <v>0</v>
      </c>
      <c r="J55" s="1620">
        <f t="shared" ref="J55:J59" si="23">B55+C55+D55+E55+F55+G55+H55+I55</f>
        <v>62449201</v>
      </c>
      <c r="K55" s="894">
        <f t="shared" ref="K55" si="24">SUM(C55:I55)</f>
        <v>62449201</v>
      </c>
      <c r="L55" s="894">
        <f>SUM(D55:I55)</f>
        <v>52445623</v>
      </c>
      <c r="M55" s="3013"/>
      <c r="N55" s="405">
        <f>+C55+D55+E55+F55+G55+H55+I55+B55</f>
        <v>62449201</v>
      </c>
      <c r="O55" s="406">
        <f t="shared" si="20"/>
        <v>0</v>
      </c>
    </row>
    <row r="56" spans="1:15" s="407" customFormat="1" ht="15.75" customHeight="1">
      <c r="A56" s="408" t="s">
        <v>31</v>
      </c>
      <c r="B56" s="410">
        <f>+'Tab. 6F - Kultura'!E12+'Tab. 6C - Ochrona zdrowia'!E57</f>
        <v>1793399.64</v>
      </c>
      <c r="C56" s="410">
        <f>+'Tab. 6F - Kultura'!F12+'Tab. 6C - Ochrona zdrowia'!F57</f>
        <v>1354241</v>
      </c>
      <c r="D56" s="410">
        <f>+'Tab. 6F - Kultura'!G12+'Tab. 6C - Ochrona zdrowia'!G57</f>
        <v>1940818</v>
      </c>
      <c r="E56" s="410">
        <f>+'Tab. 6F - Kultura'!H12+'Tab. 6C - Ochrona zdrowia'!H57</f>
        <v>40000</v>
      </c>
      <c r="F56" s="409">
        <f>+'Tab. 6F - Kultura'!I12+'Tab. 6C - Ochrona zdrowia'!I57</f>
        <v>0</v>
      </c>
      <c r="G56" s="409">
        <f>+'Tab. 6F - Kultura'!J12+'Tab. 6C - Ochrona zdrowia'!J57</f>
        <v>0</v>
      </c>
      <c r="H56" s="409">
        <f>+'Tab. 6F - Kultura'!K12+'Tab. 6C - Ochrona zdrowia'!K57</f>
        <v>0</v>
      </c>
      <c r="I56" s="409">
        <f>+'Tab. 6F - Kultura'!L12+'Tab. 6C - Ochrona zdrowia'!L57+'Tab. 6H - Kultura fiz. i turyst'!L13</f>
        <v>0</v>
      </c>
      <c r="J56" s="1620">
        <f t="shared" si="23"/>
        <v>5128458.6399999997</v>
      </c>
      <c r="K56" s="1400" t="s">
        <v>53</v>
      </c>
      <c r="L56" s="1400" t="s">
        <v>53</v>
      </c>
      <c r="M56" s="404"/>
      <c r="N56" s="405">
        <f t="shared" ref="N56:N61" si="25">+C56+D56+E56+F56+G56+H56+I56+B56</f>
        <v>5128458.6399999997</v>
      </c>
      <c r="O56" s="406">
        <f t="shared" si="20"/>
        <v>0</v>
      </c>
    </row>
    <row r="57" spans="1:15" s="407" customFormat="1" ht="15.75" customHeight="1">
      <c r="A57" s="906" t="s">
        <v>32</v>
      </c>
      <c r="B57" s="410">
        <f>+'Tab. 6F - Kultura'!E13+'Tab. 6C - Ochrona zdrowia'!E58+'Tab. 6D - Oświata'!E106+'Tab. 6H - Kultura fiz. i turyst'!E283</f>
        <v>8217368</v>
      </c>
      <c r="C57" s="410">
        <f>+'Tab. 6F - Kultura'!F13+'Tab. 6C - Ochrona zdrowia'!F58+'Tab. 6D - Oświata'!F106+'Tab. 6H - Kultura fiz. i turyst'!F283</f>
        <v>7874823</v>
      </c>
      <c r="D57" s="410">
        <f>+'Tab. 6F - Kultura'!G13+'Tab. 6C - Ochrona zdrowia'!G58+'Tab. 6D - Oświata'!G106+'Tab. 6H - Kultura fiz. i turyst'!G283</f>
        <v>17227273</v>
      </c>
      <c r="E57" s="410">
        <f>+'Tab. 6F - Kultura'!H13+'Tab. 6C - Ochrona zdrowia'!H58+'Tab. 6D - Oświata'!H106+'Tab. 6H - Kultura fiz. i turyst'!H283</f>
        <v>66958930</v>
      </c>
      <c r="F57" s="410">
        <f>+'Tab. 6F - Kultura'!I13+'Tab. 6C - Ochrona zdrowia'!I58+'Tab. 6D - Oświata'!I106+'Tab. 6H - Kultura fiz. i turyst'!I283</f>
        <v>30232378</v>
      </c>
      <c r="G57" s="410">
        <f>+'Tab. 6F - Kultura'!J13+'Tab. 6C - Ochrona zdrowia'!J58+'Tab. 6D - Oświata'!J106+'Tab. 6H - Kultura fiz. i turyst'!J283</f>
        <v>16856941</v>
      </c>
      <c r="H57" s="410">
        <f>+'Tab. 6F - Kultura'!K13+'Tab. 6C - Ochrona zdrowia'!K58+'Tab. 6D - Oświata'!K106+'Tab. 6H - Kultura fiz. i turyst'!K283</f>
        <v>1472245</v>
      </c>
      <c r="I57" s="409">
        <f>+'Tab. 6F - Kultura'!L13+'Tab. 6C - Ochrona zdrowia'!L58+'Tab. 6D - Oświata'!L106+'Tab. 6H - Kultura fiz. i turyst'!L283</f>
        <v>0</v>
      </c>
      <c r="J57" s="1620">
        <f t="shared" si="23"/>
        <v>148839958</v>
      </c>
      <c r="K57" s="894">
        <f t="shared" ref="K57:K59" si="26">SUM(C57:I57)</f>
        <v>140622590</v>
      </c>
      <c r="L57" s="894">
        <f>SUM(D57:I57)</f>
        <v>132747767</v>
      </c>
      <c r="M57" s="3013"/>
      <c r="N57" s="405">
        <f t="shared" si="25"/>
        <v>148839958</v>
      </c>
      <c r="O57" s="406">
        <f t="shared" si="20"/>
        <v>0</v>
      </c>
    </row>
    <row r="58" spans="1:15" s="407" customFormat="1" ht="15.75" customHeight="1">
      <c r="A58" s="408" t="s">
        <v>15</v>
      </c>
      <c r="B58" s="410">
        <f>+'Tab. 6A -Drogi'!E533+'Tab. 6C - Ochrona zdrowia'!E61</f>
        <v>4693764</v>
      </c>
      <c r="C58" s="410">
        <f>+'Tab. 6A -Drogi'!F533+'Tab. 6C - Ochrona zdrowia'!F61</f>
        <v>4000167</v>
      </c>
      <c r="D58" s="410">
        <f>+'Tab. 6A -Drogi'!G533+'Tab. 6C - Ochrona zdrowia'!G61</f>
        <v>4937259</v>
      </c>
      <c r="E58" s="409">
        <f>+'Tab. 6A -Drogi'!H533+'Tab. 6C - Ochrona zdrowia'!H61</f>
        <v>0</v>
      </c>
      <c r="F58" s="409">
        <f>+'Tab. 6A -Drogi'!I533+'Tab. 6C - Ochrona zdrowia'!I61</f>
        <v>0</v>
      </c>
      <c r="G58" s="409">
        <f>+'Tab. 6A -Drogi'!J533+'Tab. 6C - Ochrona zdrowia'!J61</f>
        <v>0</v>
      </c>
      <c r="H58" s="409">
        <f>+'Tab. 6A -Drogi'!K533+'Tab. 6C - Ochrona zdrowia'!K61</f>
        <v>0</v>
      </c>
      <c r="I58" s="409">
        <f>+'Tab. 6A -Drogi'!L533+'Tab. 6C - Ochrona zdrowia'!L61</f>
        <v>0</v>
      </c>
      <c r="J58" s="1620">
        <f t="shared" si="23"/>
        <v>13631190</v>
      </c>
      <c r="K58" s="894">
        <f t="shared" si="26"/>
        <v>8937426</v>
      </c>
      <c r="L58" s="894">
        <f>SUM(D58:I58)</f>
        <v>4937259</v>
      </c>
      <c r="M58" s="3013"/>
      <c r="N58" s="405">
        <f t="shared" si="25"/>
        <v>13631190</v>
      </c>
      <c r="O58" s="406">
        <f t="shared" si="20"/>
        <v>0</v>
      </c>
    </row>
    <row r="59" spans="1:15" s="407" customFormat="1" ht="12.75" customHeight="1">
      <c r="A59" s="408" t="s">
        <v>13</v>
      </c>
      <c r="B59" s="409">
        <f>+'Tab. 6A -Drogi'!E532+'Tab. 6C - Ochrona zdrowia'!E59</f>
        <v>0</v>
      </c>
      <c r="C59" s="410">
        <f>+'Tab. 6A -Drogi'!F532+'Tab. 6C - Ochrona zdrowia'!F59</f>
        <v>23425991</v>
      </c>
      <c r="D59" s="410">
        <f>+'Tab. 6A -Drogi'!G532+'Tab. 6C - Ochrona zdrowia'!G59</f>
        <v>25617737</v>
      </c>
      <c r="E59" s="409">
        <f>+'Tab. 6A -Drogi'!H532+'Tab. 6C - Ochrona zdrowia'!H59</f>
        <v>0</v>
      </c>
      <c r="F59" s="409">
        <f>+'Tab. 6A -Drogi'!I532+'Tab. 6C - Ochrona zdrowia'!I59</f>
        <v>0</v>
      </c>
      <c r="G59" s="409">
        <f>+'Tab. 6A -Drogi'!J532+'Tab. 6C - Ochrona zdrowia'!J59</f>
        <v>0</v>
      </c>
      <c r="H59" s="409">
        <f>+'Tab. 6A -Drogi'!K532+'Tab. 6C - Ochrona zdrowia'!K59</f>
        <v>0</v>
      </c>
      <c r="I59" s="409">
        <f>+'Tab. 6A -Drogi'!L532+'Tab. 6C - Ochrona zdrowia'!L59</f>
        <v>0</v>
      </c>
      <c r="J59" s="1620">
        <f t="shared" si="23"/>
        <v>49043728</v>
      </c>
      <c r="K59" s="894">
        <f t="shared" si="26"/>
        <v>49043728</v>
      </c>
      <c r="L59" s="894">
        <f>SUM(D59:I59)</f>
        <v>25617737</v>
      </c>
      <c r="M59" s="3013"/>
      <c r="N59" s="405">
        <f t="shared" si="25"/>
        <v>49043728</v>
      </c>
      <c r="O59" s="406">
        <f t="shared" si="20"/>
        <v>0</v>
      </c>
    </row>
    <row r="60" spans="1:15" s="407" customFormat="1" ht="18" customHeight="1">
      <c r="A60" s="401" t="s">
        <v>18</v>
      </c>
      <c r="B60" s="772">
        <f t="shared" ref="B60:I60" si="27">SUM(B61:B61)</f>
        <v>524900</v>
      </c>
      <c r="C60" s="402">
        <f t="shared" si="27"/>
        <v>36032</v>
      </c>
      <c r="D60" s="402">
        <f t="shared" si="27"/>
        <v>6377753</v>
      </c>
      <c r="E60" s="402">
        <f t="shared" si="27"/>
        <v>34279803</v>
      </c>
      <c r="F60" s="402">
        <f t="shared" si="27"/>
        <v>47715099</v>
      </c>
      <c r="G60" s="402">
        <f t="shared" si="27"/>
        <v>16344492</v>
      </c>
      <c r="H60" s="402">
        <f t="shared" si="27"/>
        <v>10092500</v>
      </c>
      <c r="I60" s="403">
        <f t="shared" si="27"/>
        <v>0</v>
      </c>
      <c r="J60" s="1621">
        <f>+J61</f>
        <v>115370579</v>
      </c>
      <c r="K60" s="1641" t="s">
        <v>53</v>
      </c>
      <c r="L60" s="1641" t="s">
        <v>53</v>
      </c>
      <c r="M60" s="404"/>
      <c r="N60" s="405">
        <f t="shared" si="25"/>
        <v>115370579</v>
      </c>
      <c r="O60" s="406">
        <f t="shared" si="20"/>
        <v>0</v>
      </c>
    </row>
    <row r="61" spans="1:15" s="407" customFormat="1" ht="16.5" customHeight="1">
      <c r="A61" s="408" t="s">
        <v>34</v>
      </c>
      <c r="B61" s="410">
        <f>+'Tab. 6D - Oświata'!E109+'Tab. 6F - Kultura'!E16+'Tab. 6C - Ochrona zdrowia'!E63</f>
        <v>524900</v>
      </c>
      <c r="C61" s="410">
        <f>+'Tab. 6D - Oświata'!F109+'Tab. 6F - Kultura'!F16+'Tab. 6C - Ochrona zdrowia'!F63</f>
        <v>36032</v>
      </c>
      <c r="D61" s="410">
        <f>+'Tab. 6D - Oświata'!G109+'Tab. 6F - Kultura'!G16+'Tab. 6C - Ochrona zdrowia'!G63</f>
        <v>6377753</v>
      </c>
      <c r="E61" s="410">
        <f>+'Tab. 6D - Oświata'!H109+'Tab. 6F - Kultura'!H16+'Tab. 6C - Ochrona zdrowia'!H63</f>
        <v>34279803</v>
      </c>
      <c r="F61" s="410">
        <f>+'Tab. 6D - Oświata'!I109+'Tab. 6F - Kultura'!I16+'Tab. 6C - Ochrona zdrowia'!I63</f>
        <v>47715099</v>
      </c>
      <c r="G61" s="410">
        <f>+'Tab. 6D - Oświata'!J109+'Tab. 6F - Kultura'!J16+'Tab. 6C - Ochrona zdrowia'!J63</f>
        <v>16344492</v>
      </c>
      <c r="H61" s="410">
        <f>+'Tab. 6D - Oświata'!K109+'Tab. 6F - Kultura'!K16+'Tab. 6C - Ochrona zdrowia'!K63</f>
        <v>10092500</v>
      </c>
      <c r="I61" s="409">
        <f>+'Tab. 6D - Oświata'!L109+'Tab. 6F - Kultura'!L16+'Tab. 6C - Ochrona zdrowia'!L63</f>
        <v>0</v>
      </c>
      <c r="J61" s="1620">
        <f>B61+C61+D61+E61+F61+G61+H61+I61</f>
        <v>115370579</v>
      </c>
      <c r="K61" s="1401" t="s">
        <v>53</v>
      </c>
      <c r="L61" s="1401" t="s">
        <v>53</v>
      </c>
      <c r="M61" s="404"/>
      <c r="N61" s="405">
        <f t="shared" si="25"/>
        <v>115370579</v>
      </c>
      <c r="O61" s="406">
        <f t="shared" si="20"/>
        <v>0</v>
      </c>
    </row>
    <row r="62" spans="1:15" s="901" customFormat="1" ht="18" customHeight="1">
      <c r="A62" s="899" t="s">
        <v>21</v>
      </c>
      <c r="B62" s="771">
        <f t="shared" ref="B62:J62" si="28">+B63+B68</f>
        <v>57289196</v>
      </c>
      <c r="C62" s="771">
        <f t="shared" si="28"/>
        <v>49835889</v>
      </c>
      <c r="D62" s="771">
        <f t="shared" si="28"/>
        <v>71527245</v>
      </c>
      <c r="E62" s="771">
        <f t="shared" si="28"/>
        <v>81733030</v>
      </c>
      <c r="F62" s="771">
        <f t="shared" si="28"/>
        <v>90141634</v>
      </c>
      <c r="G62" s="771">
        <f t="shared" si="28"/>
        <v>22019565</v>
      </c>
      <c r="H62" s="771">
        <f t="shared" si="28"/>
        <v>11743229</v>
      </c>
      <c r="I62" s="1176">
        <f t="shared" si="28"/>
        <v>0</v>
      </c>
      <c r="J62" s="1636">
        <f t="shared" si="28"/>
        <v>384289788</v>
      </c>
      <c r="K62" s="3483" t="s">
        <v>22</v>
      </c>
      <c r="L62" s="3483" t="s">
        <v>22</v>
      </c>
      <c r="M62" s="920"/>
    </row>
    <row r="63" spans="1:15" s="407" customFormat="1" ht="15" customHeight="1">
      <c r="A63" s="401" t="s">
        <v>23</v>
      </c>
      <c r="B63" s="772">
        <f t="shared" ref="B63:J63" si="29">SUM(B64:B67)</f>
        <v>56764296</v>
      </c>
      <c r="C63" s="772">
        <f t="shared" si="29"/>
        <v>49825689</v>
      </c>
      <c r="D63" s="772">
        <f t="shared" si="29"/>
        <v>65454250</v>
      </c>
      <c r="E63" s="772">
        <f t="shared" si="29"/>
        <v>47742637</v>
      </c>
      <c r="F63" s="772">
        <f t="shared" si="29"/>
        <v>41806535</v>
      </c>
      <c r="G63" s="772">
        <f t="shared" si="29"/>
        <v>5675073</v>
      </c>
      <c r="H63" s="772">
        <f t="shared" si="29"/>
        <v>1650729</v>
      </c>
      <c r="I63" s="931">
        <f t="shared" si="29"/>
        <v>0</v>
      </c>
      <c r="J63" s="1623">
        <f t="shared" si="29"/>
        <v>268919209</v>
      </c>
      <c r="K63" s="3484"/>
      <c r="L63" s="3484"/>
      <c r="M63" s="404" t="s">
        <v>198</v>
      </c>
    </row>
    <row r="64" spans="1:15" s="407" customFormat="1" ht="15.75" customHeight="1">
      <c r="A64" s="408" t="s">
        <v>13</v>
      </c>
      <c r="B64" s="773">
        <f>+'Tab. 6C - Ochrona zdrowia'!E66+'Tab. 6A -Drogi'!E538</f>
        <v>0</v>
      </c>
      <c r="C64" s="238">
        <f>+'Tab. 6C - Ochrona zdrowia'!F66+'Tab. 6A -Drogi'!F538</f>
        <v>23425991</v>
      </c>
      <c r="D64" s="410">
        <f>+'Tab. 6C - Ochrona zdrowia'!G66+'Tab. 6A -Drogi'!G538</f>
        <v>25617737</v>
      </c>
      <c r="E64" s="930">
        <f>+'Tab. 6C - Ochrona zdrowia'!H66+'Tab. 6A -Drogi'!H538</f>
        <v>0</v>
      </c>
      <c r="F64" s="930">
        <f>+'Tab. 6C - Ochrona zdrowia'!I66+'Tab. 6A -Drogi'!I538</f>
        <v>0</v>
      </c>
      <c r="G64" s="930">
        <f>+'Tab. 6C - Ochrona zdrowia'!J66+'Tab. 6A -Drogi'!J538</f>
        <v>0</v>
      </c>
      <c r="H64" s="930">
        <f>+'Tab. 6C - Ochrona zdrowia'!K66+'Tab. 6A -Drogi'!K538</f>
        <v>0</v>
      </c>
      <c r="I64" s="930">
        <f>+'Tab. 6C - Ochrona zdrowia'!L66+'Tab. 6A -Drogi'!L538</f>
        <v>0</v>
      </c>
      <c r="J64" s="1620">
        <f>B64+C64+D64+E64+F64+G64+H64+I64</f>
        <v>49043728</v>
      </c>
      <c r="K64" s="3484"/>
      <c r="L64" s="3484"/>
      <c r="M64" s="404">
        <f>J64-J59</f>
        <v>0</v>
      </c>
    </row>
    <row r="65" spans="1:15" s="407" customFormat="1" ht="15" customHeight="1">
      <c r="A65" s="408" t="s">
        <v>15</v>
      </c>
      <c r="B65" s="773">
        <f>+'Tab. 6A -Drogi'!E539+'Tab. 6C - Ochrona zdrowia'!E67</f>
        <v>4693764</v>
      </c>
      <c r="C65" s="238">
        <f>+'Tab. 6A -Drogi'!F539+'Tab. 6C - Ochrona zdrowia'!F67</f>
        <v>4000167</v>
      </c>
      <c r="D65" s="238">
        <f>+'Tab. 6A -Drogi'!G539+'Tab. 6C - Ochrona zdrowia'!G67</f>
        <v>4937259</v>
      </c>
      <c r="E65" s="930">
        <f>+'Tab. 6A -Drogi'!H539+'Tab. 6C - Ochrona zdrowia'!H67</f>
        <v>0</v>
      </c>
      <c r="F65" s="930">
        <f>+'Tab. 6A -Drogi'!I539+'Tab. 6C - Ochrona zdrowia'!I67</f>
        <v>0</v>
      </c>
      <c r="G65" s="930">
        <f>+'Tab. 6A -Drogi'!J539+'Tab. 6C - Ochrona zdrowia'!J67</f>
        <v>0</v>
      </c>
      <c r="H65" s="930">
        <f>+'Tab. 6A -Drogi'!K539+'Tab. 6C - Ochrona zdrowia'!K67</f>
        <v>0</v>
      </c>
      <c r="I65" s="930">
        <f>+'Tab. 6A -Drogi'!L539+'Tab. 6C - Ochrona zdrowia'!L67</f>
        <v>0</v>
      </c>
      <c r="J65" s="1620">
        <f>B65+C65+D65+E65+F65+G65+H65+I65</f>
        <v>13631190</v>
      </c>
      <c r="K65" s="3484"/>
      <c r="L65" s="3484"/>
      <c r="M65" s="404">
        <f>J65-J58</f>
        <v>0</v>
      </c>
    </row>
    <row r="66" spans="1:15" s="407" customFormat="1" ht="15" customHeight="1">
      <c r="A66" s="408" t="s">
        <v>16</v>
      </c>
      <c r="B66" s="773">
        <f>+'Tab. 6A -Drogi'!E540+'Tab. 6G - Roln i ochrona środ.'!E120</f>
        <v>28772061</v>
      </c>
      <c r="C66" s="773">
        <f>+'Tab. 6A -Drogi'!F540+'Tab. 6G - Roln i ochrona środ.'!F120</f>
        <v>8419285</v>
      </c>
      <c r="D66" s="773">
        <f>+'Tab. 6A -Drogi'!G540+'Tab. 6G - Roln i ochrona środ.'!G120</f>
        <v>8419285</v>
      </c>
      <c r="E66" s="773">
        <f>+'Tab. 6A -Drogi'!H540+'Tab. 6G - Roln i ochrona środ.'!H120</f>
        <v>8419285</v>
      </c>
      <c r="F66" s="773">
        <f>+'Tab. 6A -Drogi'!I540+'Tab. 6G - Roln i ochrona środ.'!I120</f>
        <v>8419285</v>
      </c>
      <c r="G66" s="912">
        <f>+'Tab. 6A -Drogi'!J540+'Tab. 6G - Roln i ochrona środ.'!J120</f>
        <v>0</v>
      </c>
      <c r="H66" s="912">
        <f>+'Tab. 6A -Drogi'!K540+'Tab. 6G - Roln i ochrona środ.'!K120</f>
        <v>0</v>
      </c>
      <c r="I66" s="912">
        <f>+'Tab. 6A -Drogi'!L540+'Tab. 6G - Roln i ochrona środ.'!L120</f>
        <v>0</v>
      </c>
      <c r="J66" s="1620">
        <f>B66+C66+D66+E66+F66+G66+H66+I66</f>
        <v>62449201</v>
      </c>
      <c r="K66" s="3484"/>
      <c r="L66" s="3484"/>
      <c r="M66" s="404">
        <f>J66-J55</f>
        <v>0</v>
      </c>
    </row>
    <row r="67" spans="1:15" s="407" customFormat="1" ht="14.25" customHeight="1">
      <c r="A67" s="906" t="s">
        <v>176</v>
      </c>
      <c r="B67" s="774">
        <f>+'Tab. 6F - Kultura'!E19+'Tab. 6D - Oświata'!E113+'Tab. 6A -Drogi'!E537</f>
        <v>23298471</v>
      </c>
      <c r="C67" s="907">
        <f>+'Tab. 6F - Kultura'!F19+'Tab. 6D - Oświata'!F113+'Tab. 6A -Drogi'!F537</f>
        <v>13980246</v>
      </c>
      <c r="D67" s="907">
        <f>+'Tab. 6F - Kultura'!G19+'Tab. 6D - Oświata'!G113+'Tab. 6A -Drogi'!G537</f>
        <v>26479969</v>
      </c>
      <c r="E67" s="907">
        <f>+'Tab. 6F - Kultura'!H19+'Tab. 6D - Oświata'!H113+'Tab. 6A -Drogi'!H537</f>
        <v>39323352</v>
      </c>
      <c r="F67" s="907">
        <f>+'Tab. 6F - Kultura'!I19+'Tab. 6D - Oświata'!I113+'Tab. 6A -Drogi'!I537</f>
        <v>33387250</v>
      </c>
      <c r="G67" s="907">
        <f>+'Tab. 6F - Kultura'!J19+'Tab. 6D - Oświata'!J113+'Tab. 6A -Drogi'!J537</f>
        <v>5675073</v>
      </c>
      <c r="H67" s="907">
        <f>+'Tab. 6F - Kultura'!K19+'Tab. 6D - Oświata'!K113+'Tab. 6A -Drogi'!K537</f>
        <v>1650729</v>
      </c>
      <c r="I67" s="908">
        <f>+'Tab. 6F - Kultura'!L19+'Tab. 6D - Oświata'!L113+'Tab. 6A -Drogi'!L537</f>
        <v>0</v>
      </c>
      <c r="J67" s="1620">
        <f>B67+C67+D67+E67+F67+G67+H67+I67</f>
        <v>143795090</v>
      </c>
      <c r="K67" s="3484"/>
      <c r="L67" s="3484"/>
      <c r="M67" s="404"/>
    </row>
    <row r="68" spans="1:15" s="407" customFormat="1" ht="14.25" customHeight="1">
      <c r="A68" s="401" t="s">
        <v>18</v>
      </c>
      <c r="B68" s="772">
        <f t="shared" ref="B68:I68" si="30">SUM(B69:B69)</f>
        <v>524900</v>
      </c>
      <c r="C68" s="775">
        <f t="shared" si="30"/>
        <v>10200</v>
      </c>
      <c r="D68" s="775">
        <f t="shared" si="30"/>
        <v>6072995</v>
      </c>
      <c r="E68" s="775">
        <f t="shared" si="30"/>
        <v>33990393</v>
      </c>
      <c r="F68" s="775">
        <f t="shared" si="30"/>
        <v>48335099</v>
      </c>
      <c r="G68" s="775">
        <f t="shared" si="30"/>
        <v>16344492</v>
      </c>
      <c r="H68" s="775">
        <f t="shared" si="30"/>
        <v>10092500</v>
      </c>
      <c r="I68" s="932">
        <f t="shared" si="30"/>
        <v>0</v>
      </c>
      <c r="J68" s="1637">
        <f>+J69</f>
        <v>115370579</v>
      </c>
      <c r="K68" s="3484"/>
      <c r="L68" s="3484"/>
      <c r="M68" s="404"/>
    </row>
    <row r="69" spans="1:15" s="407" customFormat="1" ht="15.75" customHeight="1" thickBot="1">
      <c r="A69" s="933" t="s">
        <v>34</v>
      </c>
      <c r="B69" s="2224">
        <f>+'Tab. 6D - Oświata'!E115+'Tab. 6F - Kultura'!E22+'Tab. 6C - Ochrona zdrowia'!E69</f>
        <v>524900</v>
      </c>
      <c r="C69" s="1177">
        <f>+'Tab. 6D - Oświata'!F115+'Tab. 6F - Kultura'!F22+'Tab. 6C - Ochrona zdrowia'!F69</f>
        <v>10200</v>
      </c>
      <c r="D69" s="935">
        <f>+'Tab. 6D - Oświata'!G115+'Tab. 6F - Kultura'!G22+'Tab. 6C - Ochrona zdrowia'!G69</f>
        <v>6072995</v>
      </c>
      <c r="E69" s="935">
        <f>+'Tab. 6D - Oświata'!H115+'Tab. 6F - Kultura'!H22+'Tab. 6C - Ochrona zdrowia'!H69</f>
        <v>33990393</v>
      </c>
      <c r="F69" s="935">
        <f>+'Tab. 6D - Oświata'!I115+'Tab. 6F - Kultura'!I22+'Tab. 6C - Ochrona zdrowia'!I69</f>
        <v>48335099</v>
      </c>
      <c r="G69" s="935">
        <f>+'Tab. 6D - Oświata'!J115+'Tab. 6F - Kultura'!J22+'Tab. 6C - Ochrona zdrowia'!J69</f>
        <v>16344492</v>
      </c>
      <c r="H69" s="935">
        <f>+'Tab. 6D - Oświata'!K115+'Tab. 6F - Kultura'!K22+'Tab. 6C - Ochrona zdrowia'!K69</f>
        <v>10092500</v>
      </c>
      <c r="I69" s="934">
        <f>+'Tab. 6D - Oświata'!L115+'Tab. 6F - Kultura'!L22+'Tab. 6C - Ochrona zdrowia'!L69</f>
        <v>0</v>
      </c>
      <c r="J69" s="1638">
        <f>B69+C69+D69+E69+F69+G69+H69+I69</f>
        <v>115370579</v>
      </c>
      <c r="K69" s="3485"/>
      <c r="L69" s="3485"/>
      <c r="M69" s="404"/>
      <c r="N69" s="913"/>
      <c r="O69" s="2667"/>
    </row>
    <row r="70" spans="1:15" s="407" customFormat="1" ht="9.75" customHeight="1" thickBot="1">
      <c r="A70" s="924"/>
      <c r="B70" s="898"/>
      <c r="C70" s="898"/>
      <c r="D70" s="898"/>
      <c r="E70" s="898"/>
      <c r="F70" s="898"/>
      <c r="G70" s="915"/>
      <c r="H70" s="914"/>
      <c r="I70" s="914"/>
      <c r="J70" s="916"/>
      <c r="K70" s="916"/>
      <c r="L70" s="916"/>
      <c r="M70" s="404"/>
      <c r="O70" s="2668"/>
    </row>
    <row r="71" spans="1:15" s="901" customFormat="1" ht="18" customHeight="1" thickBot="1">
      <c r="A71" s="936" t="s">
        <v>26</v>
      </c>
      <c r="B71" s="937">
        <f>+B52-B60-B56</f>
        <v>403555949</v>
      </c>
      <c r="C71" s="937">
        <f t="shared" ref="C71:K71" si="31">+C52-C60-C56</f>
        <v>181271310</v>
      </c>
      <c r="D71" s="937">
        <f t="shared" si="31"/>
        <v>225178729</v>
      </c>
      <c r="E71" s="937">
        <f t="shared" si="31"/>
        <v>286643941</v>
      </c>
      <c r="F71" s="937">
        <f t="shared" si="31"/>
        <v>228074212</v>
      </c>
      <c r="G71" s="937">
        <f t="shared" si="31"/>
        <v>61311387</v>
      </c>
      <c r="H71" s="937">
        <f t="shared" si="31"/>
        <v>33173283</v>
      </c>
      <c r="I71" s="937">
        <f t="shared" si="31"/>
        <v>10208912</v>
      </c>
      <c r="J71" s="937">
        <f t="shared" si="31"/>
        <v>1463054048</v>
      </c>
      <c r="K71" s="937" t="e">
        <f t="shared" si="31"/>
        <v>#VALUE!</v>
      </c>
      <c r="L71" s="939">
        <f>+D71+E71+F71+G71+H71+I71+'Tab. 6C - Ochrona zdrowia'!P92+'Tab. 6C - Ochrona zdrowia'!P97</f>
        <v>878226789</v>
      </c>
      <c r="M71" s="920">
        <f>+D71+E71+F71+G71+H71+I71+M72-L71</f>
        <v>0</v>
      </c>
      <c r="N71" s="921" t="e">
        <f>J54+J55+J57+J58+J59+#REF!-J71</f>
        <v>#REF!</v>
      </c>
      <c r="O71" s="2669"/>
    </row>
    <row r="72" spans="1:15" s="901" customFormat="1" ht="18" customHeight="1" thickBot="1">
      <c r="A72" s="936" t="s">
        <v>27</v>
      </c>
      <c r="B72" s="940">
        <f t="shared" ref="B72:I72" si="32">+B62-B68</f>
        <v>56764296</v>
      </c>
      <c r="C72" s="940">
        <f t="shared" si="32"/>
        <v>49825689</v>
      </c>
      <c r="D72" s="941">
        <f t="shared" si="32"/>
        <v>65454250</v>
      </c>
      <c r="E72" s="941">
        <f t="shared" si="32"/>
        <v>47742637</v>
      </c>
      <c r="F72" s="941">
        <f t="shared" si="32"/>
        <v>41806535</v>
      </c>
      <c r="G72" s="941">
        <f t="shared" si="32"/>
        <v>5675073</v>
      </c>
      <c r="H72" s="940">
        <f t="shared" si="32"/>
        <v>1650729</v>
      </c>
      <c r="I72" s="940">
        <f t="shared" si="32"/>
        <v>0</v>
      </c>
      <c r="J72" s="938">
        <f>SUM(C72:I72)+B72</f>
        <v>268919209</v>
      </c>
      <c r="K72" s="942" t="s">
        <v>22</v>
      </c>
      <c r="L72" s="942" t="s">
        <v>22</v>
      </c>
      <c r="M72" s="920">
        <f>+'Tab. 6C - Ochrona zdrowia'!P92+'Tab. 6C - Ochrona zdrowia'!P97</f>
        <v>33636325</v>
      </c>
      <c r="N72" s="901" t="s">
        <v>342</v>
      </c>
      <c r="O72" s="2669"/>
    </row>
    <row r="73" spans="1:15" s="945" customFormat="1" ht="15" customHeight="1" thickBot="1">
      <c r="A73" s="3015"/>
      <c r="B73" s="943"/>
      <c r="C73" s="943"/>
      <c r="D73" s="943"/>
      <c r="E73" s="943"/>
      <c r="F73" s="943"/>
      <c r="G73" s="943"/>
      <c r="H73" s="943"/>
      <c r="I73" s="943"/>
      <c r="J73" s="943"/>
      <c r="K73" s="943"/>
      <c r="L73" s="943"/>
      <c r="M73" s="944"/>
      <c r="O73" s="2670"/>
    </row>
    <row r="74" spans="1:15" s="945" customFormat="1" ht="18" customHeight="1" thickBot="1">
      <c r="A74" s="946" t="s">
        <v>35</v>
      </c>
      <c r="B74" s="947">
        <f>B75+B76</f>
        <v>496582705</v>
      </c>
      <c r="C74" s="947">
        <f t="shared" ref="C74:D74" si="33">C75+C76</f>
        <v>451211624</v>
      </c>
      <c r="D74" s="947">
        <f t="shared" si="33"/>
        <v>663483416</v>
      </c>
      <c r="E74" s="947">
        <f t="shared" ref="E74:L74" si="34">E75+E76</f>
        <v>655970097</v>
      </c>
      <c r="F74" s="947">
        <f t="shared" si="34"/>
        <v>555088441</v>
      </c>
      <c r="G74" s="947">
        <f t="shared" si="34"/>
        <v>188829117</v>
      </c>
      <c r="H74" s="947">
        <f t="shared" si="34"/>
        <v>72180118</v>
      </c>
      <c r="I74" s="947">
        <f t="shared" si="34"/>
        <v>46173091</v>
      </c>
      <c r="J74" s="948">
        <f t="shared" si="34"/>
        <v>3163154934</v>
      </c>
      <c r="K74" s="949">
        <f>K75+K76</f>
        <v>2666572229</v>
      </c>
      <c r="L74" s="949">
        <f t="shared" si="34"/>
        <v>2215360605</v>
      </c>
      <c r="M74" s="944"/>
      <c r="O74" s="2670"/>
    </row>
    <row r="75" spans="1:15" s="945" customFormat="1" ht="18" customHeight="1" thickTop="1" thickBot="1">
      <c r="A75" s="3111" t="s">
        <v>36</v>
      </c>
      <c r="B75" s="950">
        <f t="shared" ref="B75:L75" si="35">B13+B49</f>
        <v>408134767</v>
      </c>
      <c r="C75" s="950">
        <f t="shared" si="35"/>
        <v>185036701</v>
      </c>
      <c r="D75" s="950">
        <f t="shared" si="35"/>
        <v>231298837</v>
      </c>
      <c r="E75" s="950">
        <f t="shared" si="35"/>
        <v>254746024</v>
      </c>
      <c r="F75" s="950">
        <f t="shared" si="35"/>
        <v>223369347</v>
      </c>
      <c r="G75" s="950">
        <f t="shared" si="35"/>
        <v>83424443</v>
      </c>
      <c r="H75" s="950">
        <f t="shared" si="35"/>
        <v>70507873</v>
      </c>
      <c r="I75" s="950">
        <f t="shared" si="35"/>
        <v>46028591</v>
      </c>
      <c r="J75" s="951">
        <f t="shared" si="35"/>
        <v>1536182908</v>
      </c>
      <c r="K75" s="952">
        <f t="shared" si="35"/>
        <v>1128048141</v>
      </c>
      <c r="L75" s="952">
        <f t="shared" si="35"/>
        <v>943011440</v>
      </c>
      <c r="M75" s="944"/>
      <c r="O75" s="2671"/>
    </row>
    <row r="76" spans="1:15" s="945" customFormat="1" ht="18" customHeight="1" thickBot="1">
      <c r="A76" s="3112" t="s">
        <v>37</v>
      </c>
      <c r="B76" s="950">
        <f t="shared" ref="B76:L76" si="36">B14+B50</f>
        <v>88447938</v>
      </c>
      <c r="C76" s="950">
        <f t="shared" si="36"/>
        <v>266174923</v>
      </c>
      <c r="D76" s="950">
        <f t="shared" si="36"/>
        <v>432184579</v>
      </c>
      <c r="E76" s="950">
        <f t="shared" si="36"/>
        <v>401224073</v>
      </c>
      <c r="F76" s="950">
        <f t="shared" si="36"/>
        <v>331719094</v>
      </c>
      <c r="G76" s="950">
        <f t="shared" si="36"/>
        <v>105404674</v>
      </c>
      <c r="H76" s="950">
        <f t="shared" si="36"/>
        <v>1672245</v>
      </c>
      <c r="I76" s="950">
        <f t="shared" si="36"/>
        <v>144500</v>
      </c>
      <c r="J76" s="951">
        <f t="shared" si="36"/>
        <v>1626972026</v>
      </c>
      <c r="K76" s="952">
        <f t="shared" si="36"/>
        <v>1538524088</v>
      </c>
      <c r="L76" s="952">
        <f t="shared" si="36"/>
        <v>1272349165</v>
      </c>
      <c r="M76" s="944"/>
      <c r="O76" s="2672"/>
    </row>
    <row r="77" spans="1:15" s="945" customFormat="1" ht="18" customHeight="1" thickBot="1">
      <c r="A77" s="3114" t="s">
        <v>38</v>
      </c>
      <c r="B77" s="953">
        <f t="shared" ref="B77:J77" si="37">B38+B72</f>
        <v>126045766</v>
      </c>
      <c r="C77" s="953">
        <f t="shared" si="37"/>
        <v>270687405</v>
      </c>
      <c r="D77" s="953">
        <f t="shared" si="37"/>
        <v>459450209</v>
      </c>
      <c r="E77" s="953">
        <f>E38+E72</f>
        <v>341577778</v>
      </c>
      <c r="F77" s="953">
        <f t="shared" si="37"/>
        <v>301781786</v>
      </c>
      <c r="G77" s="953">
        <f t="shared" si="37"/>
        <v>135398391</v>
      </c>
      <c r="H77" s="953">
        <f t="shared" si="37"/>
        <v>36613469</v>
      </c>
      <c r="I77" s="953">
        <f t="shared" si="37"/>
        <v>31994737</v>
      </c>
      <c r="J77" s="953">
        <f t="shared" si="37"/>
        <v>1717016255</v>
      </c>
      <c r="K77" s="954" t="s">
        <v>22</v>
      </c>
      <c r="L77" s="954" t="s">
        <v>22</v>
      </c>
      <c r="M77" s="944">
        <f>'Tab. 6A -Drogi'!D22+'Tab. 6A -Drogi'!D535+'Tab. 6B Polit społ i rozwój prz'!D18+'Tab. 6C - Ochrona zdrowia'!D65+'Tab. 6D - Oświata'!D20+'Tab. 6E - Administracja'!D20+'Tab. 6E - Administracja'!D245+'Tab. 6F - Kultura'!D19+'Tab. 6G - Roln i ochrona środ.'!D21+'Tab. 6G - Roln i ochrona środ.'!D115+'Tab. 6H - Kultura fiz. i turyst'!D18+'Tab.6I - Planow. przestrz.'!D19+'Tab. 6C - Ochrona zdrowia'!D16</f>
        <v>1717016255</v>
      </c>
      <c r="N77" s="945" t="s">
        <v>199</v>
      </c>
      <c r="O77" s="2672"/>
    </row>
    <row r="78" spans="1:15" s="945" customFormat="1" ht="18.75" customHeight="1" thickTop="1">
      <c r="A78" s="3113" t="s">
        <v>39</v>
      </c>
      <c r="B78" s="950">
        <f>B84+B88</f>
        <v>90551927</v>
      </c>
      <c r="C78" s="950">
        <f>C84+C88</f>
        <v>88274456</v>
      </c>
      <c r="D78" s="950">
        <f t="shared" ref="C78:D79" si="38">D84+D88</f>
        <v>122035129</v>
      </c>
      <c r="E78" s="950">
        <f>E84+E88</f>
        <v>121404818</v>
      </c>
      <c r="F78" s="950">
        <f t="shared" ref="F78:I79" si="39">F84+F88</f>
        <v>88030999</v>
      </c>
      <c r="G78" s="950">
        <f t="shared" si="39"/>
        <v>43957371</v>
      </c>
      <c r="H78" s="950">
        <f t="shared" si="39"/>
        <v>36413469</v>
      </c>
      <c r="I78" s="950">
        <f t="shared" si="39"/>
        <v>31850237</v>
      </c>
      <c r="J78" s="950">
        <f>J84+J88</f>
        <v>635935120</v>
      </c>
      <c r="K78" s="955" t="s">
        <v>22</v>
      </c>
      <c r="L78" s="955" t="s">
        <v>22</v>
      </c>
      <c r="M78" s="944">
        <f>J77-M77</f>
        <v>0</v>
      </c>
      <c r="N78" s="956"/>
      <c r="O78" s="2673"/>
    </row>
    <row r="79" spans="1:15" s="945" customFormat="1" ht="16.5" customHeight="1" thickBot="1">
      <c r="A79" s="2490" t="s">
        <v>40</v>
      </c>
      <c r="B79" s="957">
        <f>B85+B89</f>
        <v>35493839</v>
      </c>
      <c r="C79" s="957">
        <f t="shared" si="38"/>
        <v>182412949</v>
      </c>
      <c r="D79" s="957">
        <f t="shared" si="38"/>
        <v>337415080</v>
      </c>
      <c r="E79" s="957">
        <f>E85+E89</f>
        <v>220172960</v>
      </c>
      <c r="F79" s="957">
        <f t="shared" si="39"/>
        <v>213750787</v>
      </c>
      <c r="G79" s="957">
        <f t="shared" si="39"/>
        <v>91441020</v>
      </c>
      <c r="H79" s="957">
        <f t="shared" si="39"/>
        <v>200000</v>
      </c>
      <c r="I79" s="957">
        <f t="shared" si="39"/>
        <v>144500</v>
      </c>
      <c r="J79" s="957">
        <f>J85+J89</f>
        <v>1081081135</v>
      </c>
      <c r="K79" s="958" t="s">
        <v>22</v>
      </c>
      <c r="L79" s="958" t="s">
        <v>22</v>
      </c>
      <c r="M79" s="944">
        <f>M77-J83-J87</f>
        <v>0</v>
      </c>
      <c r="O79" s="2674"/>
    </row>
    <row r="80" spans="1:15" s="945" customFormat="1" ht="18" hidden="1" customHeight="1" thickBot="1">
      <c r="A80" s="2491" t="s">
        <v>41</v>
      </c>
      <c r="B80" s="959">
        <f>B78+B79-B77</f>
        <v>0</v>
      </c>
      <c r="C80" s="959">
        <f>C78+C79-C77</f>
        <v>0</v>
      </c>
      <c r="D80" s="959">
        <f t="shared" ref="D80:I80" si="40">D78+D79-D77</f>
        <v>0</v>
      </c>
      <c r="E80" s="959">
        <f>E78+E79-E77</f>
        <v>0</v>
      </c>
      <c r="F80" s="959">
        <f>F78+F79-F77</f>
        <v>0</v>
      </c>
      <c r="G80" s="959">
        <f t="shared" si="40"/>
        <v>0</v>
      </c>
      <c r="H80" s="959">
        <f t="shared" si="40"/>
        <v>0</v>
      </c>
      <c r="I80" s="959">
        <f t="shared" si="40"/>
        <v>0</v>
      </c>
      <c r="J80" s="959">
        <f>J78+J79-J77</f>
        <v>0</v>
      </c>
      <c r="K80" s="944"/>
      <c r="L80" s="944"/>
      <c r="M80" s="944"/>
      <c r="N80" s="956"/>
      <c r="O80" s="2672"/>
    </row>
    <row r="81" spans="1:15" s="945" customFormat="1" ht="15.75" hidden="1" customHeight="1" thickBot="1">
      <c r="A81" s="2492"/>
      <c r="B81" s="959"/>
      <c r="C81" s="959"/>
      <c r="D81" s="2297">
        <v>2018</v>
      </c>
      <c r="E81" s="2297">
        <v>2019</v>
      </c>
      <c r="F81" s="2297">
        <v>2020</v>
      </c>
      <c r="G81" s="2297">
        <v>2021</v>
      </c>
      <c r="H81" s="2297">
        <v>2022</v>
      </c>
      <c r="I81" s="2297">
        <v>2023</v>
      </c>
      <c r="J81" s="959"/>
      <c r="K81" s="944"/>
      <c r="L81" s="944"/>
      <c r="M81" s="944"/>
      <c r="O81" s="2672"/>
    </row>
    <row r="82" spans="1:15" s="945" customFormat="1" ht="18" hidden="1" customHeight="1" thickBot="1">
      <c r="A82" s="2493" t="s">
        <v>42</v>
      </c>
      <c r="B82" s="960">
        <f t="shared" ref="B82:J82" si="41">B27-B83</f>
        <v>0</v>
      </c>
      <c r="C82" s="960">
        <f t="shared" si="41"/>
        <v>0</v>
      </c>
      <c r="D82" s="960">
        <f t="shared" si="41"/>
        <v>0</v>
      </c>
      <c r="E82" s="960">
        <f>E27-E83</f>
        <v>0</v>
      </c>
      <c r="F82" s="960">
        <f t="shared" si="41"/>
        <v>0</v>
      </c>
      <c r="G82" s="960">
        <f t="shared" si="41"/>
        <v>0</v>
      </c>
      <c r="H82" s="960">
        <f t="shared" si="41"/>
        <v>0</v>
      </c>
      <c r="I82" s="960">
        <f t="shared" si="41"/>
        <v>0</v>
      </c>
      <c r="J82" s="960">
        <f t="shared" si="41"/>
        <v>0</v>
      </c>
      <c r="K82" s="944"/>
      <c r="L82" s="944">
        <f>J83-L83</f>
        <v>0</v>
      </c>
      <c r="M82" s="944"/>
      <c r="N82" s="956">
        <f>M83+M87-M77</f>
        <v>0</v>
      </c>
      <c r="O82" s="2673"/>
    </row>
    <row r="83" spans="1:15" s="945" customFormat="1" ht="18" hidden="1" customHeight="1" thickBot="1">
      <c r="A83" s="2494" t="s">
        <v>43</v>
      </c>
      <c r="B83" s="961">
        <f t="shared" ref="B83:D83" si="42">B84+B85</f>
        <v>69281470</v>
      </c>
      <c r="C83" s="961">
        <f t="shared" si="42"/>
        <v>220861716</v>
      </c>
      <c r="D83" s="961">
        <f t="shared" si="42"/>
        <v>393995959</v>
      </c>
      <c r="E83" s="961">
        <f>E84+E85</f>
        <v>293835141</v>
      </c>
      <c r="F83" s="961">
        <f t="shared" ref="F83:N83" si="43">F84+F85</f>
        <v>259975251</v>
      </c>
      <c r="G83" s="961">
        <f t="shared" si="43"/>
        <v>129723318</v>
      </c>
      <c r="H83" s="961">
        <f t="shared" si="43"/>
        <v>34962740</v>
      </c>
      <c r="I83" s="961">
        <f t="shared" si="43"/>
        <v>31994737</v>
      </c>
      <c r="J83" s="962">
        <f>J84+J85</f>
        <v>1448097046</v>
      </c>
      <c r="K83" s="944"/>
      <c r="L83" s="944">
        <f>'Tab. 6A -Drogi'!D22+'Tab. 6B Polit społ i rozwój prz'!D18+'Tab. 6D - Oświata'!D20+'Tab. 6E - Administracja'!D20+'Tab. 6G - Roln i ochrona środ.'!D21+'Tab. 6H - Kultura fiz. i turyst'!D18+'Tab.6I - Planow. przestrz.'!D19+'Tab. 6C - Ochrona zdrowia'!D16</f>
        <v>1448097046</v>
      </c>
      <c r="M83" s="962">
        <f>M84+M85</f>
        <v>1448097046</v>
      </c>
      <c r="N83" s="2675">
        <f t="shared" si="43"/>
        <v>0</v>
      </c>
      <c r="O83" s="2679" t="s">
        <v>337</v>
      </c>
    </row>
    <row r="84" spans="1:15" s="945" customFormat="1" ht="20.25" hidden="1" customHeight="1">
      <c r="A84" s="2543" t="s">
        <v>39</v>
      </c>
      <c r="B84" s="963">
        <f>'Tab. 6A -Drogi'!E678+'Tab. 6B Polit społ i rozwój prz'!E283+'Tab. 6D - Oświata'!E143+'Tab. 6E - Administracja'!E270+'Tab. 6G - Roln i ochrona środ.'!E144+'Tab. 6H - Kultura fiz. i turyst'!E299+'Tab.6I - Planow. przestrz.'!E119</f>
        <v>33787631</v>
      </c>
      <c r="C84" s="963">
        <f>'Tab. 6A -Drogi'!F678+'Tab. 6B Polit społ i rozwój prz'!F283+'Tab. 6D - Oświata'!F143+'Tab. 6E - Administracja'!F270+'Tab. 6G - Roln i ochrona środ.'!F144+'Tab. 6H - Kultura fiz. i turyst'!F299+'Tab.6I - Planow. przestrz.'!F119</f>
        <v>40630767</v>
      </c>
      <c r="D84" s="963">
        <f>'Tab. 6A -Drogi'!G678+'Tab. 6B Polit społ i rozwój prz'!G283+'Tab. 6D - Oświata'!G143+'Tab. 6E - Administracja'!G270+'Tab. 6G - Roln i ochrona środ.'!G144+'Tab. 6H - Kultura fiz. i turyst'!G299+'Tab.6I - Planow. przestrz.'!G119+'Tab. 6C - Ochrona zdrowia'!G113</f>
        <v>60624530</v>
      </c>
      <c r="E84" s="963">
        <f>'Tab. 6A -Drogi'!H678+'Tab. 6B Polit społ i rozwój prz'!H283+'Tab. 6D - Oświata'!H143+'Tab. 6E - Administracja'!H270+'Tab. 6G - Roln i ochrona środ.'!H144+'Tab. 6H - Kultura fiz. i turyst'!H299+'Tab.6I - Planow. przestrz.'!H119+'Tab. 6C - Ochrona zdrowia'!H113</f>
        <v>73662181</v>
      </c>
      <c r="F84" s="963">
        <f>'Tab. 6A -Drogi'!I678+'Tab. 6B Polit społ i rozwój prz'!I283+'Tab. 6D - Oświata'!I143+'Tab. 6E - Administracja'!I270+'Tab. 6G - Roln i ochrona środ.'!I144+'Tab. 6H - Kultura fiz. i turyst'!I299+'Tab.6I - Planow. przestrz.'!I119+'Tab. 6C - Ochrona zdrowia'!I113</f>
        <v>46224464</v>
      </c>
      <c r="G84" s="963">
        <f>'Tab. 6A -Drogi'!J678+'Tab. 6B Polit społ i rozwój prz'!J283+'Tab. 6D - Oświata'!J143+'Tab. 6E - Administracja'!J270+'Tab. 6G - Roln i ochrona środ.'!J144+'Tab. 6H - Kultura fiz. i turyst'!J299+'Tab.6I - Planow. przestrz.'!J119+'Tab. 6C - Ochrona zdrowia'!J113</f>
        <v>38282298</v>
      </c>
      <c r="H84" s="963">
        <f>'Tab. 6A -Drogi'!K678+'Tab. 6B Polit społ i rozwój prz'!K283+'Tab. 6D - Oświata'!K143+'Tab. 6E - Administracja'!K270+'Tab. 6G - Roln i ochrona środ.'!K144+'Tab. 6H - Kultura fiz. i turyst'!K299+'Tab.6I - Planow. przestrz.'!K119</f>
        <v>34762740</v>
      </c>
      <c r="I84" s="963">
        <f>'Tab. 6A -Drogi'!L678+'Tab. 6B Polit społ i rozwój prz'!L283+'Tab. 6D - Oświata'!L143+'Tab. 6E - Administracja'!L270+'Tab. 6G - Roln i ochrona środ.'!L144+'Tab. 6H - Kultura fiz. i turyst'!L299+'Tab.6I - Planow. przestrz.'!L119</f>
        <v>31850237</v>
      </c>
      <c r="J84" s="964">
        <f>B84+C84+D84+E84+F84+G84+H84+I84+2029435+2998719+2055406+3812897+2520257</f>
        <v>373241562</v>
      </c>
      <c r="K84" s="956"/>
      <c r="M84" s="1142">
        <f>'Tab. 6A -Drogi'!D678+'Tab. 6B Polit społ i rozwój prz'!D283+'Tab. 6D - Oświata'!D143+'Tab. 6E - Administracja'!D270+'Tab. 6G - Roln i ochrona środ.'!D144+'Tab. 6H - Kultura fiz. i turyst'!D299+'Tab.6I - Planow. przestrz.'!D119+'Tab. 6C - Ochrona zdrowia'!D113</f>
        <v>373241562</v>
      </c>
      <c r="N84" s="1142">
        <f>J84-M84</f>
        <v>0</v>
      </c>
      <c r="O84" s="2680"/>
    </row>
    <row r="85" spans="1:15" s="945" customFormat="1" ht="18" hidden="1" customHeight="1" thickBot="1">
      <c r="A85" s="2538" t="s">
        <v>40</v>
      </c>
      <c r="B85" s="963">
        <f>'Tab. 6A -Drogi'!E679+'Tab. 6B Polit społ i rozwój prz'!E284+'Tab. 6D - Oświata'!E144+'Tab. 6E - Administracja'!E271+'Tab. 6G - Roln i ochrona środ.'!E145+'Tab. 6H - Kultura fiz. i turyst'!E300+'Tab.6I - Planow. przestrz.'!E120</f>
        <v>35493839</v>
      </c>
      <c r="C85" s="963">
        <f>'Tab. 6A -Drogi'!F679+'Tab. 6B Polit społ i rozwój prz'!F284+'Tab. 6D - Oświata'!F144+'Tab. 6E - Administracja'!F271+'Tab. 6G - Roln i ochrona środ.'!F145+'Tab. 6H - Kultura fiz. i turyst'!F300+'Tab.6I - Planow. przestrz.'!F120</f>
        <v>180230949</v>
      </c>
      <c r="D85" s="963">
        <f>'Tab. 6A -Drogi'!G679+'Tab. 6B Polit społ i rozwój prz'!G284+'Tab. 6D - Oświata'!G144+'Tab. 6E - Administracja'!G271+'Tab. 6G - Roln i ochrona środ.'!G145+'Tab. 6H - Kultura fiz. i turyst'!G300+'Tab.6I - Planow. przestrz.'!G120+'Tab. 6C - Ochrona zdrowia'!G114</f>
        <v>333371429</v>
      </c>
      <c r="E85" s="963">
        <f>'Tab. 6A -Drogi'!H679+'Tab. 6B Polit społ i rozwój prz'!H284+'Tab. 6D - Oświata'!H144+'Tab. 6E - Administracja'!H271+'Tab. 6G - Roln i ochrona środ.'!H145+'Tab. 6H - Kultura fiz. i turyst'!H300+'Tab.6I - Planow. przestrz.'!H120+'Tab. 6C - Ochrona zdrowia'!H114</f>
        <v>220172960</v>
      </c>
      <c r="F85" s="963">
        <f>'Tab. 6A -Drogi'!I679+'Tab. 6B Polit społ i rozwój prz'!I284+'Tab. 6D - Oświata'!I144+'Tab. 6E - Administracja'!I271+'Tab. 6G - Roln i ochrona środ.'!I145+'Tab. 6H - Kultura fiz. i turyst'!I300+'Tab.6I - Planow. przestrz.'!I120+'Tab. 6C - Ochrona zdrowia'!I114</f>
        <v>213750787</v>
      </c>
      <c r="G85" s="963">
        <f>'Tab. 6A -Drogi'!J679+'Tab. 6B Polit społ i rozwój prz'!J284+'Tab. 6D - Oświata'!J144+'Tab. 6E - Administracja'!J271+'Tab. 6G - Roln i ochrona środ.'!J145+'Tab. 6H - Kultura fiz. i turyst'!J300+'Tab.6I - Planow. przestrz.'!J120+'Tab. 6C - Ochrona zdrowia'!J114</f>
        <v>91441020</v>
      </c>
      <c r="H85" s="963">
        <f>'Tab. 6A -Drogi'!K679+'Tab. 6B Polit społ i rozwój prz'!K284+'Tab. 6D - Oświata'!K144+'Tab. 6E - Administracja'!K271+'Tab. 6G - Roln i ochrona środ.'!K145+'Tab. 6H - Kultura fiz. i turyst'!K300+'Tab.6I - Planow. przestrz.'!K120</f>
        <v>200000</v>
      </c>
      <c r="I85" s="963">
        <f>'Tab. 6A -Drogi'!L679+'Tab. 6B Polit społ i rozwój prz'!L284+'Tab. 6D - Oświata'!L144+'Tab. 6E - Administracja'!L271+'Tab. 6G - Roln i ochrona środ.'!L145+'Tab. 6H - Kultura fiz. i turyst'!L300+'Tab.6I - Planow. przestrz.'!L120</f>
        <v>144500</v>
      </c>
      <c r="J85" s="964">
        <f>B85+C85+D85+E85+F85+G85+H85+I85+11590+299481-61071-200000</f>
        <v>1074855484</v>
      </c>
      <c r="K85" s="956"/>
      <c r="L85" s="956"/>
      <c r="M85" s="1142">
        <f>'Tab. 6A -Drogi'!D679+'Tab. 6B Polit społ i rozwój prz'!D284+'Tab. 6E - Administracja'!D271+'Tab. 6G - Roln i ochrona środ.'!D145+'Tab. 6H - Kultura fiz. i turyst'!D300+'Tab.6I - Planow. przestrz.'!D120+'Tab. 6C - Ochrona zdrowia'!D114</f>
        <v>1074855484</v>
      </c>
      <c r="N85" s="2623">
        <f>J85-M85</f>
        <v>0</v>
      </c>
      <c r="O85" s="2681"/>
    </row>
    <row r="86" spans="1:15" s="945" customFormat="1" ht="24" hidden="1" customHeight="1" thickBot="1">
      <c r="A86" s="2493" t="s">
        <v>44</v>
      </c>
      <c r="B86" s="2612">
        <f t="shared" ref="B86:J86" si="44">B72-B87</f>
        <v>0</v>
      </c>
      <c r="C86" s="2498">
        <f>C72-C87</f>
        <v>0</v>
      </c>
      <c r="D86" s="2612">
        <f t="shared" si="44"/>
        <v>0</v>
      </c>
      <c r="E86" s="2612">
        <f>E72-E87</f>
        <v>0</v>
      </c>
      <c r="F86" s="2612">
        <f>F72-F87</f>
        <v>0</v>
      </c>
      <c r="G86" s="2612">
        <f t="shared" si="44"/>
        <v>0</v>
      </c>
      <c r="H86" s="2612">
        <f t="shared" si="44"/>
        <v>0</v>
      </c>
      <c r="I86" s="2612">
        <f t="shared" si="44"/>
        <v>0</v>
      </c>
      <c r="J86" s="2612">
        <f t="shared" si="44"/>
        <v>0</v>
      </c>
      <c r="K86" s="2622"/>
      <c r="L86" s="2622"/>
      <c r="M86" s="2623"/>
      <c r="N86" s="2653"/>
      <c r="O86" s="2682"/>
    </row>
    <row r="87" spans="1:15" s="945" customFormat="1" ht="20.25" hidden="1" customHeight="1" thickBot="1">
      <c r="A87" s="2494" t="s">
        <v>43</v>
      </c>
      <c r="B87" s="2609">
        <f>B88+B89</f>
        <v>56764296</v>
      </c>
      <c r="C87" s="2499">
        <f t="shared" ref="C87:J87" si="45">C88+C89</f>
        <v>49825689</v>
      </c>
      <c r="D87" s="2609">
        <f t="shared" si="45"/>
        <v>65454250</v>
      </c>
      <c r="E87" s="2609">
        <f t="shared" si="45"/>
        <v>47742637</v>
      </c>
      <c r="F87" s="2609">
        <f t="shared" si="45"/>
        <v>41806535</v>
      </c>
      <c r="G87" s="2609">
        <f t="shared" si="45"/>
        <v>5675073</v>
      </c>
      <c r="H87" s="2609">
        <f>H88+H89</f>
        <v>1650729</v>
      </c>
      <c r="I87" s="2609">
        <f>I88+I89</f>
        <v>0</v>
      </c>
      <c r="J87" s="2619">
        <f t="shared" si="45"/>
        <v>268919209</v>
      </c>
      <c r="K87" s="2501"/>
      <c r="L87" s="2501"/>
      <c r="M87" s="2619">
        <f t="shared" ref="M87:N87" si="46">M88+M89</f>
        <v>268919209</v>
      </c>
      <c r="N87" s="2619">
        <f t="shared" si="46"/>
        <v>0</v>
      </c>
      <c r="O87" s="2539" t="s">
        <v>337</v>
      </c>
    </row>
    <row r="88" spans="1:15" s="945" customFormat="1" ht="19.5" hidden="1" customHeight="1">
      <c r="A88" s="2553" t="s">
        <v>39</v>
      </c>
      <c r="B88" s="2554">
        <f>'Tab. 6A -Drogi'!E685+'Tab. 6F - Kultura'!E19</f>
        <v>56764296</v>
      </c>
      <c r="C88" s="2554">
        <f>'Tab. 6A -Drogi'!F685+'Tab. 6F - Kultura'!F19</f>
        <v>47643689</v>
      </c>
      <c r="D88" s="2554">
        <f>'Tab. 6A -Drogi'!G685+'Tab. 6F - Kultura'!G19</f>
        <v>61410599</v>
      </c>
      <c r="E88" s="2554">
        <f>'Tab. 6A -Drogi'!H685+'Tab. 6F - Kultura'!H19</f>
        <v>47742637</v>
      </c>
      <c r="F88" s="2554">
        <f>'Tab. 6A -Drogi'!I685+'Tab. 6F - Kultura'!I19</f>
        <v>41806535</v>
      </c>
      <c r="G88" s="2554">
        <f>'Tab. 6A -Drogi'!J685+'Tab. 6F - Kultura'!J19</f>
        <v>5675073</v>
      </c>
      <c r="H88" s="2554">
        <f>'Tab. 6A -Drogi'!K685+'Tab. 6F - Kultura'!K19</f>
        <v>1650729</v>
      </c>
      <c r="I88" s="2554">
        <f>'Tab. 6A -Drogi'!L685+'Tab. 6F - Kultura'!L19</f>
        <v>0</v>
      </c>
      <c r="J88" s="2555">
        <f>B88+C88+D88+E88+F88+G88+H88+I88</f>
        <v>262693558</v>
      </c>
      <c r="K88" s="956"/>
      <c r="L88" s="956"/>
      <c r="M88" s="1142">
        <f>'Tab. 6A -Drogi'!D546+'Tab. 6A -Drogi'!D609+'Tab. 6A -Drogi'!D654+'Tab. 6F - Kultura'!D19+'Tab. 6A -Drogi'!D582</f>
        <v>262693558</v>
      </c>
      <c r="N88" s="1142">
        <f>J88-M88</f>
        <v>0</v>
      </c>
      <c r="O88" s="2556"/>
    </row>
    <row r="89" spans="1:15" s="945" customFormat="1" ht="19.5" hidden="1" customHeight="1">
      <c r="A89" s="2591" t="s">
        <v>40</v>
      </c>
      <c r="B89" s="2592">
        <f>'Tab. 6A -Drogi'!E686+'Tab. 6C - Ochrona zdrowia'!E65+'Tab. 6G - Roln i ochrona środ.'!E126</f>
        <v>0</v>
      </c>
      <c r="C89" s="2592">
        <f>'Tab. 6A -Drogi'!F686+'Tab. 6C - Ochrona zdrowia'!F65+'Tab. 6G - Roln i ochrona środ.'!F126</f>
        <v>2182000</v>
      </c>
      <c r="D89" s="2592">
        <f>'Tab. 6A -Drogi'!G686+'Tab. 6C - Ochrona zdrowia'!G65+'Tab. 6G - Roln i ochrona środ.'!G126</f>
        <v>4043651</v>
      </c>
      <c r="E89" s="2592">
        <f>'Tab. 6A -Drogi'!H686+'Tab. 6C - Ochrona zdrowia'!H65+'Tab. 6G - Roln i ochrona środ.'!H126</f>
        <v>0</v>
      </c>
      <c r="F89" s="2592">
        <f>'Tab. 6A -Drogi'!I686+'Tab. 6C - Ochrona zdrowia'!I65+'Tab. 6G - Roln i ochrona środ.'!I126</f>
        <v>0</v>
      </c>
      <c r="G89" s="2592">
        <f>'Tab. 6A -Drogi'!J686+'Tab. 6C - Ochrona zdrowia'!J65+'Tab. 6G - Roln i ochrona środ.'!J126</f>
        <v>0</v>
      </c>
      <c r="H89" s="2592">
        <f>'Tab. 6A -Drogi'!K686+'Tab. 6C - Ochrona zdrowia'!K65+'Tab. 6G - Roln i ochrona środ.'!K126</f>
        <v>0</v>
      </c>
      <c r="I89" s="2592">
        <f>'Tab. 6A -Drogi'!L686+'Tab. 6C - Ochrona zdrowia'!L65+'Tab. 6G - Roln i ochrona środ.'!L126</f>
        <v>0</v>
      </c>
      <c r="J89" s="2593">
        <f>B89+C89+D89+E89+F89+G89+H89+I89</f>
        <v>6225651</v>
      </c>
      <c r="K89" s="956"/>
      <c r="L89" s="956"/>
      <c r="M89" s="1142">
        <f>'Tab. 6A -Drogi'!D686+'Tab. 6C - Ochrona zdrowia'!D65+'Tab. 6G - Roln i ochrona środ.'!D126</f>
        <v>6225651</v>
      </c>
      <c r="N89" s="1142">
        <f>J89-M89</f>
        <v>0</v>
      </c>
      <c r="O89" s="2594"/>
    </row>
    <row r="90" spans="1:15" s="945" customFormat="1" ht="18" hidden="1" customHeight="1">
      <c r="A90" s="2595"/>
      <c r="B90" s="959">
        <f>B87+B83-B77</f>
        <v>0</v>
      </c>
      <c r="C90" s="959">
        <f>C87+C83-C77</f>
        <v>0</v>
      </c>
      <c r="D90" s="959">
        <f t="shared" ref="D90:I90" si="47">D87+D83-D77</f>
        <v>0</v>
      </c>
      <c r="E90" s="959">
        <f t="shared" si="47"/>
        <v>0</v>
      </c>
      <c r="F90" s="959">
        <f t="shared" si="47"/>
        <v>0</v>
      </c>
      <c r="G90" s="959">
        <f t="shared" si="47"/>
        <v>0</v>
      </c>
      <c r="H90" s="959">
        <f t="shared" si="47"/>
        <v>0</v>
      </c>
      <c r="I90" s="959">
        <f t="shared" si="47"/>
        <v>0</v>
      </c>
      <c r="J90" s="959">
        <f>J87+J83-J77</f>
        <v>0</v>
      </c>
      <c r="K90" s="956"/>
      <c r="L90" s="956"/>
      <c r="M90" s="956"/>
    </row>
    <row r="91" spans="1:15" s="945" customFormat="1" ht="18" hidden="1" customHeight="1">
      <c r="A91" s="2595"/>
      <c r="B91" s="959"/>
      <c r="C91" s="959"/>
      <c r="D91" s="959"/>
      <c r="E91" s="959"/>
      <c r="F91" s="959"/>
      <c r="G91" s="959"/>
      <c r="H91" s="959"/>
      <c r="I91" s="959"/>
      <c r="J91" s="959"/>
      <c r="K91" s="956"/>
      <c r="L91" s="956"/>
      <c r="M91" s="956"/>
    </row>
    <row r="92" spans="1:15" s="945" customFormat="1" ht="18" hidden="1" customHeight="1" thickBot="1">
      <c r="A92" s="3016"/>
      <c r="B92" s="943">
        <f t="shared" ref="B92:J92" si="48">+B71-B48</f>
        <v>0</v>
      </c>
      <c r="C92" s="943">
        <f t="shared" si="48"/>
        <v>0</v>
      </c>
      <c r="D92" s="943">
        <f t="shared" si="48"/>
        <v>0</v>
      </c>
      <c r="E92" s="943">
        <f t="shared" si="48"/>
        <v>0</v>
      </c>
      <c r="F92" s="943">
        <f t="shared" si="48"/>
        <v>0</v>
      </c>
      <c r="G92" s="943">
        <f t="shared" si="48"/>
        <v>0</v>
      </c>
      <c r="H92" s="943">
        <f t="shared" si="48"/>
        <v>0</v>
      </c>
      <c r="I92" s="943">
        <f t="shared" si="48"/>
        <v>0</v>
      </c>
      <c r="J92" s="943">
        <f t="shared" si="48"/>
        <v>0</v>
      </c>
      <c r="K92" s="943"/>
      <c r="L92" s="943"/>
      <c r="M92" s="956"/>
      <c r="O92" s="2530"/>
    </row>
    <row r="93" spans="1:15" s="945" customFormat="1" ht="18" hidden="1" customHeight="1" thickBot="1">
      <c r="A93" s="3017"/>
      <c r="B93" s="943">
        <f t="shared" ref="B93:J93" si="49">B12+B48</f>
        <v>496582705</v>
      </c>
      <c r="C93" s="943">
        <f t="shared" si="49"/>
        <v>451211624</v>
      </c>
      <c r="D93" s="943">
        <f t="shared" si="49"/>
        <v>663483416</v>
      </c>
      <c r="E93" s="943">
        <f t="shared" si="49"/>
        <v>655970097</v>
      </c>
      <c r="F93" s="943">
        <f t="shared" si="49"/>
        <v>555088441</v>
      </c>
      <c r="G93" s="943">
        <f t="shared" si="49"/>
        <v>188829117</v>
      </c>
      <c r="H93" s="943">
        <f t="shared" si="49"/>
        <v>72180118</v>
      </c>
      <c r="I93" s="943">
        <f t="shared" si="49"/>
        <v>46173091</v>
      </c>
      <c r="J93" s="943">
        <f t="shared" si="49"/>
        <v>3163154934</v>
      </c>
      <c r="K93" s="943"/>
      <c r="L93" s="943"/>
      <c r="M93" s="956"/>
      <c r="O93" s="2531"/>
    </row>
    <row r="94" spans="1:15" s="945" customFormat="1" ht="16.5" hidden="1" customHeight="1" thickBot="1">
      <c r="A94" s="3017"/>
      <c r="B94" s="2107" t="s">
        <v>367</v>
      </c>
      <c r="C94" s="2108" t="s">
        <v>5</v>
      </c>
      <c r="D94" s="1836" t="s">
        <v>6</v>
      </c>
      <c r="E94" s="1827" t="s">
        <v>170</v>
      </c>
      <c r="F94" s="2109" t="s">
        <v>172</v>
      </c>
      <c r="G94" s="2109" t="s">
        <v>212</v>
      </c>
      <c r="H94" s="2109" t="s">
        <v>213</v>
      </c>
      <c r="I94" s="2109" t="s">
        <v>211</v>
      </c>
      <c r="J94" s="2110" t="s">
        <v>45</v>
      </c>
      <c r="K94" s="2110" t="s">
        <v>321</v>
      </c>
      <c r="L94" s="2110" t="s">
        <v>409</v>
      </c>
      <c r="M94" s="956"/>
      <c r="O94" s="2531"/>
    </row>
    <row r="95" spans="1:15" s="945" customFormat="1" ht="18" hidden="1" customHeight="1">
      <c r="A95" s="3017"/>
      <c r="B95" s="943"/>
      <c r="C95" s="943"/>
      <c r="D95" s="1837"/>
      <c r="E95" s="943"/>
      <c r="F95" s="943"/>
      <c r="G95" s="943"/>
      <c r="H95" s="943"/>
      <c r="I95" s="943"/>
      <c r="J95" s="943"/>
      <c r="K95" s="967"/>
      <c r="L95" s="967"/>
      <c r="M95" s="956"/>
      <c r="O95" s="2531"/>
    </row>
    <row r="96" spans="1:15" s="945" customFormat="1" ht="18" hidden="1" customHeight="1">
      <c r="A96" s="3017"/>
      <c r="B96" s="943"/>
      <c r="C96" s="943"/>
      <c r="D96" s="1837"/>
      <c r="E96" s="943"/>
      <c r="F96" s="943"/>
      <c r="G96" s="943"/>
      <c r="H96" s="943"/>
      <c r="I96" s="943"/>
      <c r="J96" s="943"/>
      <c r="K96" s="967"/>
      <c r="L96" s="967"/>
      <c r="M96" s="956"/>
      <c r="O96" s="2531"/>
    </row>
    <row r="97" spans="1:15" s="407" customFormat="1" ht="12.75" hidden="1" customHeight="1">
      <c r="A97" s="2495"/>
      <c r="B97" s="898"/>
      <c r="C97" s="898">
        <f>+C13+C49</f>
        <v>185036701</v>
      </c>
      <c r="D97" s="1627">
        <f>+D13+D49</f>
        <v>231298837</v>
      </c>
      <c r="E97" s="898"/>
      <c r="F97" s="898"/>
      <c r="G97" s="898"/>
      <c r="H97" s="898"/>
      <c r="I97" s="898"/>
      <c r="J97" s="898"/>
      <c r="M97" s="913"/>
      <c r="O97" s="2532"/>
    </row>
    <row r="98" spans="1:15" s="407" customFormat="1" ht="28.5" hidden="1" customHeight="1">
      <c r="A98" s="2496"/>
      <c r="B98" s="969"/>
      <c r="C98" s="969">
        <f>+C14+C50</f>
        <v>266174923</v>
      </c>
      <c r="D98" s="1838">
        <f>+D14+D50</f>
        <v>432184579</v>
      </c>
      <c r="E98" s="969"/>
      <c r="F98" s="969"/>
      <c r="G98" s="969"/>
      <c r="H98" s="969"/>
      <c r="I98" s="969"/>
      <c r="J98" s="968"/>
      <c r="K98" s="968"/>
      <c r="L98" s="968"/>
      <c r="M98" s="913"/>
      <c r="O98" s="2532"/>
    </row>
    <row r="99" spans="1:15" s="407" customFormat="1" ht="8.25" hidden="1" customHeight="1" thickBot="1">
      <c r="A99" s="2495"/>
      <c r="B99" s="898"/>
      <c r="C99" s="898"/>
      <c r="D99" s="1627"/>
      <c r="E99" s="898"/>
      <c r="F99" s="898"/>
      <c r="G99" s="898"/>
      <c r="H99" s="898"/>
      <c r="I99" s="898"/>
      <c r="J99" s="898"/>
      <c r="M99" s="913"/>
      <c r="O99" s="2532"/>
    </row>
    <row r="100" spans="1:15" s="407" customFormat="1" ht="12.75" hidden="1" customHeight="1">
      <c r="A100" s="2497"/>
      <c r="B100" s="970"/>
      <c r="C100" s="971">
        <f t="shared" ref="C100:J100" si="50">+C101+C102</f>
        <v>451211624</v>
      </c>
      <c r="D100" s="1839">
        <f>+D101+D102</f>
        <v>663483416</v>
      </c>
      <c r="E100" s="971"/>
      <c r="F100" s="971"/>
      <c r="G100" s="971"/>
      <c r="H100" s="971"/>
      <c r="I100" s="971"/>
      <c r="J100" s="970">
        <f t="shared" si="50"/>
        <v>3163154934</v>
      </c>
      <c r="K100" s="972"/>
      <c r="L100" s="972"/>
      <c r="M100" s="913"/>
      <c r="O100" s="2533"/>
    </row>
    <row r="101" spans="1:15" s="407" customFormat="1" ht="12.75" hidden="1" customHeight="1">
      <c r="A101" s="924"/>
      <c r="B101" s="973"/>
      <c r="C101" s="974">
        <f>+C13+C49</f>
        <v>185036701</v>
      </c>
      <c r="D101" s="1840">
        <f>+D13+D49</f>
        <v>231298837</v>
      </c>
      <c r="E101" s="974"/>
      <c r="F101" s="974"/>
      <c r="G101" s="974"/>
      <c r="H101" s="974"/>
      <c r="I101" s="974"/>
      <c r="J101" s="973">
        <f>+J13+J49</f>
        <v>1536182908</v>
      </c>
      <c r="K101" s="975"/>
      <c r="L101" s="975"/>
      <c r="M101" s="913"/>
    </row>
    <row r="102" spans="1:15" s="407" customFormat="1" ht="12.75" hidden="1" customHeight="1" thickBot="1">
      <c r="A102" s="924"/>
      <c r="B102" s="976"/>
      <c r="C102" s="977">
        <f>+C14+C50</f>
        <v>266174923</v>
      </c>
      <c r="D102" s="1841">
        <f>+D14+D50</f>
        <v>432184579</v>
      </c>
      <c r="E102" s="977"/>
      <c r="F102" s="977"/>
      <c r="G102" s="977"/>
      <c r="H102" s="977"/>
      <c r="I102" s="977"/>
      <c r="J102" s="976">
        <f>+J14+J50</f>
        <v>1626972026</v>
      </c>
      <c r="K102" s="978"/>
      <c r="L102" s="978"/>
      <c r="M102" s="913"/>
    </row>
    <row r="103" spans="1:15" s="407" customFormat="1" ht="21.75" hidden="1" customHeight="1">
      <c r="A103" s="979" t="s">
        <v>46</v>
      </c>
      <c r="B103" s="980"/>
      <c r="C103" s="980">
        <f>+C71+C37</f>
        <v>451211624</v>
      </c>
      <c r="D103" s="1842">
        <f>+D71+D37</f>
        <v>663483416</v>
      </c>
      <c r="E103" s="980"/>
      <c r="F103" s="980"/>
      <c r="G103" s="980"/>
      <c r="H103" s="980"/>
      <c r="I103" s="980"/>
      <c r="J103" s="980">
        <f>+J71+J37</f>
        <v>3163154934.3000002</v>
      </c>
      <c r="K103" s="981"/>
      <c r="L103" s="981"/>
      <c r="M103" s="913"/>
    </row>
    <row r="104" spans="1:15" s="407" customFormat="1" ht="9.75" hidden="1" customHeight="1">
      <c r="A104" s="979"/>
      <c r="B104" s="969"/>
      <c r="C104" s="969">
        <f t="shared" ref="C104:J104" si="51">+C103-C100</f>
        <v>0</v>
      </c>
      <c r="D104" s="1838">
        <f t="shared" si="51"/>
        <v>0</v>
      </c>
      <c r="E104" s="969"/>
      <c r="F104" s="969"/>
      <c r="G104" s="969"/>
      <c r="H104" s="969"/>
      <c r="I104" s="969"/>
      <c r="J104" s="969">
        <f t="shared" si="51"/>
        <v>0.30000019073486328</v>
      </c>
      <c r="K104" s="898"/>
      <c r="L104" s="898"/>
      <c r="M104" s="913"/>
    </row>
    <row r="105" spans="1:15" s="407" customFormat="1" ht="15.75" hidden="1" customHeight="1" thickBot="1">
      <c r="A105" s="979" t="s">
        <v>47</v>
      </c>
      <c r="B105" s="980"/>
      <c r="C105" s="980">
        <f>+C72+C38</f>
        <v>270687405</v>
      </c>
      <c r="D105" s="1842">
        <f>+D72+D38</f>
        <v>459450209</v>
      </c>
      <c r="E105" s="980"/>
      <c r="F105" s="980"/>
      <c r="G105" s="980"/>
      <c r="H105" s="980"/>
      <c r="I105" s="980"/>
      <c r="J105" s="980">
        <f>+J72+J38</f>
        <v>1717016255</v>
      </c>
      <c r="K105" s="898"/>
      <c r="L105" s="898"/>
      <c r="M105" s="913"/>
    </row>
    <row r="106" spans="1:15" ht="1.5" hidden="1" customHeight="1">
      <c r="A106" s="3488" t="s">
        <v>535</v>
      </c>
      <c r="B106" s="982"/>
      <c r="C106" s="984"/>
      <c r="D106" s="1843"/>
      <c r="E106" s="983"/>
      <c r="F106" s="982"/>
      <c r="G106" s="982"/>
      <c r="H106" s="982"/>
      <c r="I106" s="982"/>
      <c r="J106" s="982"/>
      <c r="K106" s="984"/>
      <c r="L106" s="984"/>
      <c r="M106" s="2562"/>
      <c r="N106" s="868"/>
      <c r="O106" s="868"/>
    </row>
    <row r="107" spans="1:15" s="891" customFormat="1" ht="27.75" hidden="1" customHeight="1" thickBot="1">
      <c r="A107" s="3489"/>
      <c r="B107" s="985">
        <f t="shared" ref="B107:L107" si="52">+B71+B37</f>
        <v>496582705.30000001</v>
      </c>
      <c r="C107" s="987">
        <f t="shared" si="52"/>
        <v>451211624</v>
      </c>
      <c r="D107" s="1844">
        <f t="shared" si="52"/>
        <v>663483416</v>
      </c>
      <c r="E107" s="986">
        <f t="shared" si="52"/>
        <v>655970097</v>
      </c>
      <c r="F107" s="985">
        <f t="shared" si="52"/>
        <v>555088441</v>
      </c>
      <c r="G107" s="985">
        <f t="shared" si="52"/>
        <v>188829117</v>
      </c>
      <c r="H107" s="985">
        <f t="shared" si="52"/>
        <v>72180118</v>
      </c>
      <c r="I107" s="985">
        <f t="shared" si="52"/>
        <v>46173091</v>
      </c>
      <c r="J107" s="985">
        <f t="shared" si="52"/>
        <v>3163154934.3000002</v>
      </c>
      <c r="K107" s="987" t="e">
        <f t="shared" si="52"/>
        <v>#VALUE!</v>
      </c>
      <c r="L107" s="987">
        <f t="shared" si="52"/>
        <v>2215360605</v>
      </c>
      <c r="M107" s="3166"/>
      <c r="N107" s="2111"/>
      <c r="O107" s="2111"/>
    </row>
    <row r="108" spans="1:15" hidden="1">
      <c r="A108" s="1" t="s">
        <v>48</v>
      </c>
      <c r="B108" s="2">
        <f>+B18+B54</f>
        <v>401720246.30000001</v>
      </c>
      <c r="C108" s="2">
        <f t="shared" ref="C108:L108" si="53">+C18+C54</f>
        <v>174424217</v>
      </c>
      <c r="D108" s="2">
        <f t="shared" si="53"/>
        <v>210459527</v>
      </c>
      <c r="E108" s="2">
        <f t="shared" si="53"/>
        <v>261705221</v>
      </c>
      <c r="F108" s="2">
        <f t="shared" si="53"/>
        <v>238996797</v>
      </c>
      <c r="G108" s="2">
        <f t="shared" si="53"/>
        <v>69272063</v>
      </c>
      <c r="H108" s="2">
        <f t="shared" si="53"/>
        <v>36302873</v>
      </c>
      <c r="I108" s="2">
        <f t="shared" si="53"/>
        <v>14576542</v>
      </c>
      <c r="J108" s="2">
        <f t="shared" si="53"/>
        <v>1441093811.3</v>
      </c>
      <c r="K108" s="2">
        <f t="shared" si="53"/>
        <v>1039373565</v>
      </c>
      <c r="L108" s="2">
        <f t="shared" si="53"/>
        <v>864949348</v>
      </c>
      <c r="M108" s="2562"/>
      <c r="N108" s="868"/>
      <c r="O108" s="868"/>
    </row>
    <row r="109" spans="1:15" hidden="1">
      <c r="A109" s="1" t="s">
        <v>49</v>
      </c>
      <c r="B109" s="2112">
        <f>+B57</f>
        <v>8217368</v>
      </c>
      <c r="C109" s="2113">
        <f t="shared" ref="C109:D109" si="54">+C57</f>
        <v>7874823</v>
      </c>
      <c r="D109" s="1845">
        <f t="shared" si="54"/>
        <v>17227273</v>
      </c>
      <c r="E109" s="1828">
        <f t="shared" ref="E109:L109" si="55">+E57</f>
        <v>66958930</v>
      </c>
      <c r="F109" s="2112">
        <f t="shared" si="55"/>
        <v>30232378</v>
      </c>
      <c r="G109" s="2112">
        <f>+G57</f>
        <v>16856941</v>
      </c>
      <c r="H109" s="2112">
        <f t="shared" si="55"/>
        <v>1472245</v>
      </c>
      <c r="I109" s="2112">
        <f t="shared" si="55"/>
        <v>0</v>
      </c>
      <c r="J109" s="2112">
        <f t="shared" si="55"/>
        <v>148839958</v>
      </c>
      <c r="K109" s="2114">
        <f t="shared" ref="K109" si="56">+K57</f>
        <v>140622590</v>
      </c>
      <c r="L109" s="2114">
        <f t="shared" si="55"/>
        <v>132747767</v>
      </c>
      <c r="M109" s="2562"/>
      <c r="N109" s="868"/>
      <c r="O109" s="868"/>
    </row>
    <row r="110" spans="1:15" ht="13.5" hidden="1" thickBot="1">
      <c r="A110" s="3085" t="s">
        <v>13</v>
      </c>
      <c r="B110" s="2112">
        <f t="shared" ref="B110:L110" si="57">+B19+B59</f>
        <v>2982123</v>
      </c>
      <c r="C110" s="2113">
        <f t="shared" si="57"/>
        <v>25478987</v>
      </c>
      <c r="D110" s="3086">
        <f t="shared" si="57"/>
        <v>29313490</v>
      </c>
      <c r="E110" s="1828">
        <f t="shared" si="57"/>
        <v>4582983</v>
      </c>
      <c r="F110" s="2112">
        <f t="shared" si="57"/>
        <v>3882448</v>
      </c>
      <c r="G110" s="2112">
        <f t="shared" si="57"/>
        <v>1075392</v>
      </c>
      <c r="H110" s="2112">
        <f t="shared" si="57"/>
        <v>666312</v>
      </c>
      <c r="I110" s="2112">
        <f t="shared" si="57"/>
        <v>640586</v>
      </c>
      <c r="J110" s="2112">
        <f t="shared" si="57"/>
        <v>68622321</v>
      </c>
      <c r="K110" s="2114">
        <f t="shared" si="57"/>
        <v>65640198</v>
      </c>
      <c r="L110" s="2114">
        <f t="shared" si="57"/>
        <v>40161211</v>
      </c>
      <c r="M110" s="2935"/>
      <c r="N110" s="1067"/>
      <c r="O110" s="1067"/>
    </row>
    <row r="111" spans="1:15" hidden="1">
      <c r="A111" s="1" t="s">
        <v>15</v>
      </c>
      <c r="B111" s="2072">
        <f t="shared" ref="B111:L111" si="58">+B20+B58</f>
        <v>14174089</v>
      </c>
      <c r="C111" s="2073">
        <f t="shared" si="58"/>
        <v>6133734</v>
      </c>
      <c r="D111" s="2074">
        <f t="shared" si="58"/>
        <v>11765831</v>
      </c>
      <c r="E111" s="2075">
        <f t="shared" si="58"/>
        <v>4157433</v>
      </c>
      <c r="F111" s="2072">
        <f t="shared" si="58"/>
        <v>0</v>
      </c>
      <c r="G111" s="2072">
        <f t="shared" si="58"/>
        <v>0</v>
      </c>
      <c r="H111" s="2072">
        <f t="shared" si="58"/>
        <v>0</v>
      </c>
      <c r="I111" s="2072">
        <f t="shared" si="58"/>
        <v>0</v>
      </c>
      <c r="J111" s="2072">
        <f t="shared" si="58"/>
        <v>36231087</v>
      </c>
      <c r="K111" s="3084">
        <f t="shared" si="58"/>
        <v>22056998</v>
      </c>
      <c r="L111" s="3084">
        <f t="shared" si="58"/>
        <v>15923264</v>
      </c>
    </row>
    <row r="112" spans="1:15" hidden="1">
      <c r="A112" s="364" t="s">
        <v>50</v>
      </c>
      <c r="B112" s="3">
        <f t="shared" ref="B112:L112" si="59">+B21+B55</f>
        <v>0</v>
      </c>
      <c r="C112" s="1813">
        <f t="shared" si="59"/>
        <v>10003578</v>
      </c>
      <c r="D112" s="1845">
        <f t="shared" si="59"/>
        <v>16807247</v>
      </c>
      <c r="E112" s="1828">
        <f t="shared" si="59"/>
        <v>26258486</v>
      </c>
      <c r="F112" s="3">
        <f t="shared" si="59"/>
        <v>9699890</v>
      </c>
      <c r="G112" s="3">
        <f t="shared" si="59"/>
        <v>0</v>
      </c>
      <c r="H112" s="3">
        <f t="shared" si="59"/>
        <v>0</v>
      </c>
      <c r="I112" s="3">
        <f t="shared" si="59"/>
        <v>0</v>
      </c>
      <c r="J112" s="1379">
        <f t="shared" si="59"/>
        <v>62769201</v>
      </c>
      <c r="K112" s="1289">
        <f t="shared" si="59"/>
        <v>62769201</v>
      </c>
      <c r="L112" s="1289">
        <f t="shared" si="59"/>
        <v>52765623</v>
      </c>
    </row>
    <row r="113" spans="1:13" hidden="1">
      <c r="A113" s="364" t="s">
        <v>19</v>
      </c>
      <c r="B113" s="3">
        <f t="shared" ref="B113:L113" si="60">+B25</f>
        <v>729416</v>
      </c>
      <c r="C113" s="1813">
        <f t="shared" si="60"/>
        <v>872316</v>
      </c>
      <c r="D113" s="1845">
        <f t="shared" si="60"/>
        <v>966412</v>
      </c>
      <c r="E113" s="1828">
        <f t="shared" si="60"/>
        <v>13577874</v>
      </c>
      <c r="F113" s="3">
        <f t="shared" si="60"/>
        <v>25984348</v>
      </c>
      <c r="G113" s="3">
        <f t="shared" si="60"/>
        <v>5606076</v>
      </c>
      <c r="H113" s="3">
        <f t="shared" si="60"/>
        <v>0</v>
      </c>
      <c r="I113" s="3">
        <f t="shared" si="60"/>
        <v>0</v>
      </c>
      <c r="J113" s="1379">
        <f t="shared" si="60"/>
        <v>47736442</v>
      </c>
      <c r="K113" s="1289">
        <f t="shared" ref="K113" si="61">+K25</f>
        <v>47007026</v>
      </c>
      <c r="L113" s="1289">
        <f t="shared" si="60"/>
        <v>46134710</v>
      </c>
    </row>
    <row r="114" spans="1:13" hidden="1">
      <c r="A114" s="364" t="s">
        <v>17</v>
      </c>
      <c r="B114" s="3">
        <f t="shared" ref="B114:L114" si="62">+B22</f>
        <v>0</v>
      </c>
      <c r="C114" s="1813">
        <f t="shared" si="62"/>
        <v>0</v>
      </c>
      <c r="D114" s="1845">
        <f t="shared" si="62"/>
        <v>12869758</v>
      </c>
      <c r="E114" s="1828">
        <f t="shared" si="62"/>
        <v>3189386</v>
      </c>
      <c r="F114" s="3">
        <f t="shared" si="62"/>
        <v>4581649</v>
      </c>
      <c r="G114" s="3">
        <f t="shared" si="62"/>
        <v>886081</v>
      </c>
      <c r="H114" s="3">
        <f t="shared" si="62"/>
        <v>0</v>
      </c>
      <c r="I114" s="3">
        <f t="shared" si="62"/>
        <v>0</v>
      </c>
      <c r="J114" s="3">
        <f t="shared" si="62"/>
        <v>21526874</v>
      </c>
      <c r="K114" s="1289">
        <f t="shared" ref="K114" si="63">+K22</f>
        <v>21526874</v>
      </c>
      <c r="L114" s="1289">
        <f t="shared" si="62"/>
        <v>21526874</v>
      </c>
    </row>
    <row r="115" spans="1:13" ht="13.5" hidden="1" thickBot="1">
      <c r="A115" s="988" t="s">
        <v>20</v>
      </c>
      <c r="B115" s="5">
        <f t="shared" ref="B115:L115" si="64">+B26</f>
        <v>68759463</v>
      </c>
      <c r="C115" s="1814">
        <f t="shared" si="64"/>
        <v>226423969</v>
      </c>
      <c r="D115" s="1846">
        <f t="shared" si="64"/>
        <v>364073878</v>
      </c>
      <c r="E115" s="1829">
        <f t="shared" si="64"/>
        <v>275539784</v>
      </c>
      <c r="F115" s="5">
        <f t="shared" si="64"/>
        <v>241710931</v>
      </c>
      <c r="G115" s="5">
        <f t="shared" si="64"/>
        <v>95132564</v>
      </c>
      <c r="H115" s="5">
        <f t="shared" si="64"/>
        <v>33738688</v>
      </c>
      <c r="I115" s="5">
        <f t="shared" si="64"/>
        <v>30955963</v>
      </c>
      <c r="J115" s="5">
        <f t="shared" si="64"/>
        <v>1336335240</v>
      </c>
      <c r="K115" s="1290">
        <f t="shared" ref="K115" si="65">+K26</f>
        <v>1267575777</v>
      </c>
      <c r="L115" s="1290">
        <f t="shared" si="64"/>
        <v>1041151808</v>
      </c>
    </row>
    <row r="116" spans="1:13" s="891" customFormat="1" ht="18" hidden="1" customHeight="1">
      <c r="A116" s="989"/>
      <c r="B116" s="991">
        <f t="shared" ref="B116:L116" si="66">SUM(B108:B115)</f>
        <v>496582705.30000001</v>
      </c>
      <c r="C116" s="990">
        <f t="shared" si="66"/>
        <v>451211624</v>
      </c>
      <c r="D116" s="1847">
        <f t="shared" si="66"/>
        <v>663483416</v>
      </c>
      <c r="E116" s="990">
        <f t="shared" si="66"/>
        <v>655970097</v>
      </c>
      <c r="F116" s="990">
        <f t="shared" si="66"/>
        <v>555088441</v>
      </c>
      <c r="G116" s="990">
        <f t="shared" si="66"/>
        <v>188829117</v>
      </c>
      <c r="H116" s="990">
        <f t="shared" si="66"/>
        <v>72180118</v>
      </c>
      <c r="I116" s="990">
        <f t="shared" si="66"/>
        <v>46173091</v>
      </c>
      <c r="J116" s="990">
        <f t="shared" si="66"/>
        <v>3163154934.3000002</v>
      </c>
      <c r="K116" s="990">
        <f t="shared" si="66"/>
        <v>2666572229</v>
      </c>
      <c r="L116" s="990">
        <f t="shared" si="66"/>
        <v>2215360605</v>
      </c>
      <c r="M116" s="2385"/>
    </row>
    <row r="117" spans="1:13" ht="18" hidden="1" customHeight="1" thickBot="1">
      <c r="A117" s="992"/>
      <c r="B117" s="993">
        <f t="shared" ref="B117:J117" si="67">+B116-B74</f>
        <v>0.30000001192092896</v>
      </c>
      <c r="C117" s="993">
        <f t="shared" si="67"/>
        <v>0</v>
      </c>
      <c r="D117" s="3018">
        <f t="shared" si="67"/>
        <v>0</v>
      </c>
      <c r="E117" s="993">
        <f t="shared" si="67"/>
        <v>0</v>
      </c>
      <c r="F117" s="993">
        <f t="shared" si="67"/>
        <v>0</v>
      </c>
      <c r="G117" s="993">
        <f t="shared" si="67"/>
        <v>0</v>
      </c>
      <c r="H117" s="993">
        <f t="shared" si="67"/>
        <v>0</v>
      </c>
      <c r="I117" s="993">
        <f t="shared" si="67"/>
        <v>0</v>
      </c>
      <c r="J117" s="993">
        <f t="shared" si="67"/>
        <v>0.30000019073486328</v>
      </c>
      <c r="K117" s="993"/>
      <c r="L117" s="993"/>
    </row>
    <row r="118" spans="1:13" ht="30" hidden="1" customHeight="1" thickBot="1">
      <c r="A118" s="3019" t="s">
        <v>536</v>
      </c>
      <c r="B118" s="994">
        <f t="shared" ref="B118:J118" si="68">+B72+B38</f>
        <v>126045766</v>
      </c>
      <c r="C118" s="1815">
        <f t="shared" si="68"/>
        <v>270687405</v>
      </c>
      <c r="D118" s="1848">
        <f t="shared" si="68"/>
        <v>459450209</v>
      </c>
      <c r="E118" s="995">
        <f t="shared" si="68"/>
        <v>341577778</v>
      </c>
      <c r="F118" s="994">
        <f t="shared" si="68"/>
        <v>301781786</v>
      </c>
      <c r="G118" s="994">
        <f t="shared" si="68"/>
        <v>135398391</v>
      </c>
      <c r="H118" s="994">
        <f t="shared" si="68"/>
        <v>36613469</v>
      </c>
      <c r="I118" s="994">
        <f t="shared" si="68"/>
        <v>31994737</v>
      </c>
      <c r="J118" s="994">
        <f t="shared" si="68"/>
        <v>1717016255</v>
      </c>
      <c r="K118" s="996" t="s">
        <v>22</v>
      </c>
      <c r="L118" s="996" t="s">
        <v>22</v>
      </c>
    </row>
    <row r="119" spans="1:13" ht="14.25" hidden="1" customHeight="1">
      <c r="A119" s="364" t="s">
        <v>13</v>
      </c>
      <c r="B119" s="4">
        <f t="shared" ref="B119:L119" si="69">+B64+B29</f>
        <v>2951841</v>
      </c>
      <c r="C119" s="1813">
        <f t="shared" si="69"/>
        <v>25461540</v>
      </c>
      <c r="D119" s="1845">
        <f t="shared" si="69"/>
        <v>29314504</v>
      </c>
      <c r="E119" s="1828">
        <f t="shared" si="69"/>
        <v>4601231</v>
      </c>
      <c r="F119" s="3">
        <f t="shared" si="69"/>
        <v>3876631</v>
      </c>
      <c r="G119" s="3">
        <f t="shared" si="69"/>
        <v>1109676</v>
      </c>
      <c r="H119" s="3">
        <f t="shared" si="69"/>
        <v>666312</v>
      </c>
      <c r="I119" s="3">
        <f t="shared" si="69"/>
        <v>640586</v>
      </c>
      <c r="J119" s="997">
        <f t="shared" si="69"/>
        <v>68622321</v>
      </c>
      <c r="K119" s="3">
        <f t="shared" si="69"/>
        <v>0</v>
      </c>
      <c r="L119" s="3">
        <f t="shared" si="69"/>
        <v>0</v>
      </c>
    </row>
    <row r="120" spans="1:13" ht="14.25" hidden="1" customHeight="1">
      <c r="A120" s="364" t="s">
        <v>15</v>
      </c>
      <c r="B120" s="4">
        <f t="shared" ref="B120:L120" si="70">+B30+B65</f>
        <v>14168595</v>
      </c>
      <c r="C120" s="1813">
        <f t="shared" si="70"/>
        <v>5739934</v>
      </c>
      <c r="D120" s="1845">
        <f t="shared" si="70"/>
        <v>12165125</v>
      </c>
      <c r="E120" s="1828">
        <f t="shared" si="70"/>
        <v>4157433</v>
      </c>
      <c r="F120" s="3">
        <f t="shared" si="70"/>
        <v>0</v>
      </c>
      <c r="G120" s="3">
        <f t="shared" si="70"/>
        <v>0</v>
      </c>
      <c r="H120" s="3">
        <f t="shared" si="70"/>
        <v>0</v>
      </c>
      <c r="I120" s="3">
        <f t="shared" si="70"/>
        <v>0</v>
      </c>
      <c r="J120" s="997">
        <f t="shared" si="70"/>
        <v>36231087</v>
      </c>
      <c r="K120" s="3">
        <f t="shared" si="70"/>
        <v>0</v>
      </c>
      <c r="L120" s="3">
        <f t="shared" si="70"/>
        <v>0</v>
      </c>
    </row>
    <row r="121" spans="1:13" ht="14.25" hidden="1" customHeight="1">
      <c r="A121" s="364" t="s">
        <v>50</v>
      </c>
      <c r="B121" s="4">
        <f t="shared" ref="B121:L121" si="71">+B31+B66</f>
        <v>28772061</v>
      </c>
      <c r="C121" s="1813">
        <f t="shared" si="71"/>
        <v>8419285</v>
      </c>
      <c r="D121" s="1845">
        <f t="shared" si="71"/>
        <v>8739285</v>
      </c>
      <c r="E121" s="1828">
        <f t="shared" si="71"/>
        <v>8419285</v>
      </c>
      <c r="F121" s="3">
        <f t="shared" si="71"/>
        <v>8419285</v>
      </c>
      <c r="G121" s="3">
        <f t="shared" si="71"/>
        <v>0</v>
      </c>
      <c r="H121" s="3">
        <f t="shared" si="71"/>
        <v>0</v>
      </c>
      <c r="I121" s="3">
        <f t="shared" si="71"/>
        <v>0</v>
      </c>
      <c r="J121" s="997">
        <f t="shared" si="71"/>
        <v>62769201</v>
      </c>
      <c r="K121" s="3">
        <f t="shared" si="71"/>
        <v>0</v>
      </c>
      <c r="L121" s="3">
        <f t="shared" si="71"/>
        <v>0</v>
      </c>
    </row>
    <row r="122" spans="1:13" ht="14.25" hidden="1" customHeight="1">
      <c r="A122" s="1" t="s">
        <v>12</v>
      </c>
      <c r="B122" s="4">
        <f t="shared" ref="B122:L122" si="72">+B67</f>
        <v>23298471</v>
      </c>
      <c r="C122" s="1813">
        <f t="shared" si="72"/>
        <v>13980246</v>
      </c>
      <c r="D122" s="1845">
        <f t="shared" si="72"/>
        <v>26479969</v>
      </c>
      <c r="E122" s="1828">
        <f t="shared" si="72"/>
        <v>39323352</v>
      </c>
      <c r="F122" s="3">
        <f t="shared" si="72"/>
        <v>33387250</v>
      </c>
      <c r="G122" s="3">
        <f t="shared" si="72"/>
        <v>5675073</v>
      </c>
      <c r="H122" s="3">
        <f t="shared" si="72"/>
        <v>1650729</v>
      </c>
      <c r="I122" s="3">
        <f t="shared" si="72"/>
        <v>0</v>
      </c>
      <c r="J122" s="997">
        <f t="shared" si="72"/>
        <v>143795090</v>
      </c>
      <c r="K122" s="3">
        <f t="shared" ref="K122" si="73">+K67</f>
        <v>0</v>
      </c>
      <c r="L122" s="3">
        <f t="shared" si="72"/>
        <v>0</v>
      </c>
    </row>
    <row r="123" spans="1:13" ht="14.25" hidden="1" customHeight="1">
      <c r="A123" s="364" t="s">
        <v>17</v>
      </c>
      <c r="B123" s="4">
        <f>+B32</f>
        <v>0</v>
      </c>
      <c r="C123" s="4">
        <f t="shared" ref="C123:L123" si="74">+C32</f>
        <v>0</v>
      </c>
      <c r="D123" s="4">
        <f t="shared" si="74"/>
        <v>12869758</v>
      </c>
      <c r="E123" s="4">
        <f t="shared" si="74"/>
        <v>3189386</v>
      </c>
      <c r="F123" s="4">
        <f t="shared" si="74"/>
        <v>4581649</v>
      </c>
      <c r="G123" s="4">
        <f t="shared" si="74"/>
        <v>886081</v>
      </c>
      <c r="H123" s="4">
        <f t="shared" si="74"/>
        <v>0</v>
      </c>
      <c r="I123" s="4">
        <f t="shared" si="74"/>
        <v>0</v>
      </c>
      <c r="J123" s="4">
        <f t="shared" si="74"/>
        <v>21526874</v>
      </c>
      <c r="K123" s="4">
        <f t="shared" si="74"/>
        <v>0</v>
      </c>
      <c r="L123" s="4">
        <f t="shared" si="74"/>
        <v>0</v>
      </c>
    </row>
    <row r="124" spans="1:13" ht="14.25" hidden="1" customHeight="1">
      <c r="A124" s="364" t="s">
        <v>19</v>
      </c>
      <c r="B124" s="4">
        <f t="shared" ref="B124:L124" si="75">+B34</f>
        <v>292115</v>
      </c>
      <c r="C124" s="1813">
        <f t="shared" si="75"/>
        <v>650534</v>
      </c>
      <c r="D124" s="1845">
        <f t="shared" si="75"/>
        <v>980250</v>
      </c>
      <c r="E124" s="1828">
        <f t="shared" si="75"/>
        <v>14147910</v>
      </c>
      <c r="F124" s="3">
        <f t="shared" si="75"/>
        <v>25977542</v>
      </c>
      <c r="G124" s="3">
        <f t="shared" si="75"/>
        <v>5688091</v>
      </c>
      <c r="H124" s="3">
        <f t="shared" si="75"/>
        <v>0</v>
      </c>
      <c r="I124" s="3">
        <f t="shared" si="75"/>
        <v>0</v>
      </c>
      <c r="J124" s="997">
        <f t="shared" si="75"/>
        <v>47736442</v>
      </c>
      <c r="K124" s="3">
        <f t="shared" ref="K124" si="76">+K34</f>
        <v>0</v>
      </c>
      <c r="L124" s="3">
        <f t="shared" si="75"/>
        <v>0</v>
      </c>
    </row>
    <row r="125" spans="1:13" ht="14.25" hidden="1" customHeight="1" thickBot="1">
      <c r="A125" s="988" t="s">
        <v>20</v>
      </c>
      <c r="B125" s="999">
        <f t="shared" ref="B125:L125" si="77">+B35</f>
        <v>56562683</v>
      </c>
      <c r="C125" s="1816">
        <f t="shared" si="77"/>
        <v>216435866</v>
      </c>
      <c r="D125" s="1849">
        <f t="shared" si="77"/>
        <v>368901318</v>
      </c>
      <c r="E125" s="1830">
        <f t="shared" si="77"/>
        <v>267739181</v>
      </c>
      <c r="F125" s="998">
        <f t="shared" si="77"/>
        <v>225539429</v>
      </c>
      <c r="G125" s="998">
        <f t="shared" si="77"/>
        <v>122039470</v>
      </c>
      <c r="H125" s="998">
        <f t="shared" si="77"/>
        <v>34296428</v>
      </c>
      <c r="I125" s="998">
        <f t="shared" si="77"/>
        <v>31354151</v>
      </c>
      <c r="J125" s="1000">
        <f t="shared" si="77"/>
        <v>1336335240</v>
      </c>
      <c r="K125" s="998">
        <f t="shared" ref="K125" si="78">+K35</f>
        <v>0</v>
      </c>
      <c r="L125" s="998">
        <f t="shared" si="77"/>
        <v>0</v>
      </c>
    </row>
    <row r="126" spans="1:13" ht="14.25" hidden="1" customHeight="1">
      <c r="A126" s="1001"/>
      <c r="B126" s="1002">
        <f t="shared" ref="B126:L126" si="79">SUM(B119:B125)</f>
        <v>126045766</v>
      </c>
      <c r="C126" s="1002">
        <f t="shared" si="79"/>
        <v>270687405</v>
      </c>
      <c r="D126" s="1850">
        <f t="shared" si="79"/>
        <v>459450209</v>
      </c>
      <c r="E126" s="1002">
        <f t="shared" si="79"/>
        <v>341577778</v>
      </c>
      <c r="F126" s="1002">
        <f t="shared" si="79"/>
        <v>301781786</v>
      </c>
      <c r="G126" s="1002">
        <f t="shared" si="79"/>
        <v>135398391</v>
      </c>
      <c r="H126" s="1002">
        <f t="shared" si="79"/>
        <v>36613469</v>
      </c>
      <c r="I126" s="1002">
        <f t="shared" si="79"/>
        <v>31994737</v>
      </c>
      <c r="J126" s="1002">
        <f t="shared" si="79"/>
        <v>1717016255</v>
      </c>
      <c r="K126" s="1002">
        <f t="shared" si="79"/>
        <v>0</v>
      </c>
      <c r="L126" s="1002">
        <f t="shared" si="79"/>
        <v>0</v>
      </c>
    </row>
    <row r="127" spans="1:13" ht="14.25" hidden="1" customHeight="1">
      <c r="A127" s="1003"/>
      <c r="B127" s="1004">
        <f t="shared" ref="B127:J127" si="80">+B126-B77</f>
        <v>0</v>
      </c>
      <c r="C127" s="1004">
        <f t="shared" si="80"/>
        <v>0</v>
      </c>
      <c r="D127" s="1851">
        <f t="shared" si="80"/>
        <v>0</v>
      </c>
      <c r="E127" s="1004">
        <f t="shared" si="80"/>
        <v>0</v>
      </c>
      <c r="F127" s="1004">
        <f t="shared" si="80"/>
        <v>0</v>
      </c>
      <c r="G127" s="1004">
        <f t="shared" si="80"/>
        <v>0</v>
      </c>
      <c r="H127" s="1004">
        <f t="shared" si="80"/>
        <v>0</v>
      </c>
      <c r="I127" s="1004">
        <f t="shared" si="80"/>
        <v>0</v>
      </c>
      <c r="J127" s="1004">
        <f t="shared" si="80"/>
        <v>0</v>
      </c>
      <c r="K127" s="1002"/>
      <c r="L127" s="1002"/>
    </row>
    <row r="128" spans="1:13" ht="13.5" hidden="1" thickBot="1">
      <c r="A128" s="868"/>
      <c r="B128" s="1005" t="s">
        <v>367</v>
      </c>
      <c r="C128" s="1812" t="s">
        <v>5</v>
      </c>
      <c r="D128" s="1852" t="s">
        <v>6</v>
      </c>
      <c r="E128" s="1827" t="s">
        <v>170</v>
      </c>
      <c r="F128" s="965" t="s">
        <v>172</v>
      </c>
      <c r="G128" s="965" t="s">
        <v>212</v>
      </c>
      <c r="H128" s="965" t="s">
        <v>213</v>
      </c>
      <c r="I128" s="965" t="s">
        <v>211</v>
      </c>
      <c r="J128" s="966" t="s">
        <v>45</v>
      </c>
      <c r="K128" s="1006" t="s">
        <v>321</v>
      </c>
      <c r="L128" s="1006" t="s">
        <v>409</v>
      </c>
    </row>
    <row r="129" spans="1:15" ht="3" hidden="1" customHeight="1">
      <c r="A129" s="3490" t="s">
        <v>537</v>
      </c>
      <c r="B129" s="1008"/>
      <c r="C129" s="1008"/>
      <c r="D129" s="1853"/>
      <c r="E129" s="1009"/>
      <c r="F129" s="1007"/>
      <c r="G129" s="1007"/>
      <c r="H129" s="1007"/>
      <c r="I129" s="1007"/>
      <c r="J129" s="1007"/>
      <c r="K129" s="1010"/>
      <c r="L129" s="1010"/>
    </row>
    <row r="130" spans="1:15" ht="27" hidden="1" customHeight="1" thickBot="1">
      <c r="A130" s="3491"/>
      <c r="B130" s="1011">
        <f t="shared" ref="B130:L130" si="81">SUM(B131:B138)</f>
        <v>496582705.30000001</v>
      </c>
      <c r="C130" s="1013">
        <f t="shared" si="81"/>
        <v>451315927</v>
      </c>
      <c r="D130" s="1854">
        <f t="shared" si="81"/>
        <v>716013248</v>
      </c>
      <c r="E130" s="1012">
        <f t="shared" si="81"/>
        <v>615514186</v>
      </c>
      <c r="F130" s="1011">
        <f t="shared" si="81"/>
        <v>490910866</v>
      </c>
      <c r="G130" s="1011">
        <f t="shared" si="81"/>
        <v>113084244</v>
      </c>
      <c r="H130" s="1011">
        <f t="shared" si="81"/>
        <v>45581871</v>
      </c>
      <c r="I130" s="1011">
        <f t="shared" si="81"/>
        <v>40454091</v>
      </c>
      <c r="J130" s="1011">
        <f t="shared" si="81"/>
        <v>3003093463.3000002</v>
      </c>
      <c r="K130" s="1013">
        <f t="shared" si="81"/>
        <v>2506510758</v>
      </c>
      <c r="L130" s="1013">
        <f t="shared" si="81"/>
        <v>2055194831</v>
      </c>
    </row>
    <row r="131" spans="1:15" hidden="1">
      <c r="A131" s="1014" t="s">
        <v>48</v>
      </c>
      <c r="B131" s="3089">
        <v>401719706.30000001</v>
      </c>
      <c r="C131" s="1817">
        <v>174421956</v>
      </c>
      <c r="D131" s="1855">
        <v>225292848</v>
      </c>
      <c r="E131" s="1831">
        <v>250727832</v>
      </c>
      <c r="F131" s="1015">
        <v>218771425</v>
      </c>
      <c r="G131" s="1015">
        <v>25032690</v>
      </c>
      <c r="H131" s="1015">
        <v>9834431</v>
      </c>
      <c r="I131" s="1015">
        <v>8672492</v>
      </c>
      <c r="J131" s="1015">
        <v>1348109705.3</v>
      </c>
      <c r="K131" s="1016">
        <v>946389999</v>
      </c>
      <c r="L131" s="1016">
        <v>771968043</v>
      </c>
      <c r="N131" s="879"/>
      <c r="O131" s="879"/>
    </row>
    <row r="132" spans="1:15" hidden="1">
      <c r="A132" s="1014" t="s">
        <v>49</v>
      </c>
      <c r="B132" s="3089">
        <v>8217368</v>
      </c>
      <c r="C132" s="1817">
        <v>7874823</v>
      </c>
      <c r="D132" s="1855">
        <v>19795420</v>
      </c>
      <c r="E132" s="1831">
        <v>64390783</v>
      </c>
      <c r="F132" s="1015">
        <v>30232378</v>
      </c>
      <c r="G132" s="1015">
        <v>16856941</v>
      </c>
      <c r="H132" s="1015">
        <v>1472245</v>
      </c>
      <c r="I132" s="1015">
        <v>0</v>
      </c>
      <c r="J132" s="1015">
        <v>148839958</v>
      </c>
      <c r="K132" s="1016">
        <v>140622590</v>
      </c>
      <c r="L132" s="1016">
        <v>132747767</v>
      </c>
      <c r="N132" s="879"/>
      <c r="O132" s="879"/>
    </row>
    <row r="133" spans="1:15" hidden="1">
      <c r="A133" s="153" t="s">
        <v>13</v>
      </c>
      <c r="B133" s="3089">
        <v>2982180</v>
      </c>
      <c r="C133" s="1817">
        <v>25479231</v>
      </c>
      <c r="D133" s="1855">
        <v>29536068</v>
      </c>
      <c r="E133" s="1831">
        <v>4580779</v>
      </c>
      <c r="F133" s="1015">
        <v>3783610</v>
      </c>
      <c r="G133" s="1015">
        <v>1075392</v>
      </c>
      <c r="H133" s="1015">
        <v>666312</v>
      </c>
      <c r="I133" s="1015">
        <v>567846</v>
      </c>
      <c r="J133" s="1015">
        <v>68671418</v>
      </c>
      <c r="K133" s="1016">
        <v>65689238</v>
      </c>
      <c r="L133" s="1016">
        <v>40210007</v>
      </c>
      <c r="N133" s="879"/>
      <c r="O133" s="879"/>
    </row>
    <row r="134" spans="1:15" hidden="1">
      <c r="A134" s="153" t="s">
        <v>15</v>
      </c>
      <c r="B134" s="3089">
        <v>14174089</v>
      </c>
      <c r="C134" s="1817">
        <v>6133734</v>
      </c>
      <c r="D134" s="1855">
        <v>12758843</v>
      </c>
      <c r="E134" s="1831">
        <v>2426653</v>
      </c>
      <c r="F134" s="1015">
        <v>0</v>
      </c>
      <c r="G134" s="1015">
        <v>0</v>
      </c>
      <c r="H134" s="1015">
        <v>0</v>
      </c>
      <c r="I134" s="1015">
        <v>0</v>
      </c>
      <c r="J134" s="1015">
        <v>35493319</v>
      </c>
      <c r="K134" s="1016">
        <v>21319230</v>
      </c>
      <c r="L134" s="1016">
        <v>15185496</v>
      </c>
      <c r="N134" s="879"/>
      <c r="O134" s="879"/>
    </row>
    <row r="135" spans="1:15" hidden="1">
      <c r="A135" s="153" t="s">
        <v>50</v>
      </c>
      <c r="B135" s="3089">
        <v>0</v>
      </c>
      <c r="C135" s="1817">
        <v>10003578</v>
      </c>
      <c r="D135" s="1855">
        <v>22098500</v>
      </c>
      <c r="E135" s="1831">
        <v>16484263</v>
      </c>
      <c r="F135" s="1015">
        <v>14182860</v>
      </c>
      <c r="G135" s="1015">
        <v>0</v>
      </c>
      <c r="H135" s="1015">
        <v>0</v>
      </c>
      <c r="I135" s="1015">
        <v>0</v>
      </c>
      <c r="J135" s="1015">
        <v>62769201</v>
      </c>
      <c r="K135" s="1016">
        <v>62769201</v>
      </c>
      <c r="L135" s="1016">
        <v>52765623</v>
      </c>
      <c r="N135" s="879"/>
      <c r="O135" s="879"/>
    </row>
    <row r="136" spans="1:15" hidden="1">
      <c r="A136" s="153" t="s">
        <v>19</v>
      </c>
      <c r="B136" s="3089">
        <v>770242</v>
      </c>
      <c r="C136" s="1817">
        <v>1000275</v>
      </c>
      <c r="D136" s="1855">
        <v>1361378</v>
      </c>
      <c r="E136" s="1831">
        <v>13721857</v>
      </c>
      <c r="F136" s="1015">
        <v>26053854</v>
      </c>
      <c r="G136" s="1015">
        <v>5606076</v>
      </c>
      <c r="H136" s="1015">
        <v>0</v>
      </c>
      <c r="I136" s="1015">
        <v>0</v>
      </c>
      <c r="J136" s="1015">
        <v>48513682</v>
      </c>
      <c r="K136" s="1016">
        <v>47743440</v>
      </c>
      <c r="L136" s="1016">
        <v>46743165</v>
      </c>
      <c r="N136" s="879"/>
      <c r="O136" s="879"/>
    </row>
    <row r="137" spans="1:15" hidden="1">
      <c r="A137" s="153" t="s">
        <v>17</v>
      </c>
      <c r="B137" s="3089">
        <v>0</v>
      </c>
      <c r="C137" s="1817">
        <v>0</v>
      </c>
      <c r="D137" s="1855">
        <v>11485758</v>
      </c>
      <c r="E137" s="1831">
        <v>3189386</v>
      </c>
      <c r="F137" s="1015">
        <v>4581649</v>
      </c>
      <c r="G137" s="1015">
        <v>886081</v>
      </c>
      <c r="H137" s="1015">
        <v>0</v>
      </c>
      <c r="I137" s="1015">
        <v>0</v>
      </c>
      <c r="J137" s="1015">
        <v>20142874</v>
      </c>
      <c r="K137" s="1016">
        <v>20142874</v>
      </c>
      <c r="L137" s="1016">
        <v>20142874</v>
      </c>
      <c r="N137" s="879"/>
      <c r="O137" s="879"/>
    </row>
    <row r="138" spans="1:15" ht="13.5" hidden="1" thickBot="1">
      <c r="A138" s="559" t="s">
        <v>20</v>
      </c>
      <c r="B138" s="3090">
        <v>68719120</v>
      </c>
      <c r="C138" s="1818">
        <v>226402330</v>
      </c>
      <c r="D138" s="1856">
        <v>393684433</v>
      </c>
      <c r="E138" s="1832">
        <v>259992633</v>
      </c>
      <c r="F138" s="1017">
        <v>193305090</v>
      </c>
      <c r="G138" s="1017">
        <v>63627064</v>
      </c>
      <c r="H138" s="1017">
        <v>33608883</v>
      </c>
      <c r="I138" s="1017">
        <v>31213753</v>
      </c>
      <c r="J138" s="1017">
        <v>1270553306</v>
      </c>
      <c r="K138" s="1018">
        <v>1201834186</v>
      </c>
      <c r="L138" s="1018">
        <v>975431856</v>
      </c>
      <c r="N138" s="879"/>
      <c r="O138" s="879"/>
    </row>
    <row r="139" spans="1:15" hidden="1">
      <c r="A139" s="1020"/>
      <c r="B139" s="1022">
        <f t="shared" ref="B139:L139" si="82">SUM(B131:B138)</f>
        <v>496582705.30000001</v>
      </c>
      <c r="C139" s="1021">
        <f t="shared" si="82"/>
        <v>451315927</v>
      </c>
      <c r="D139" s="1857">
        <f t="shared" si="82"/>
        <v>716013248</v>
      </c>
      <c r="E139" s="1021">
        <f t="shared" si="82"/>
        <v>615514186</v>
      </c>
      <c r="F139" s="1021">
        <f t="shared" si="82"/>
        <v>490910866</v>
      </c>
      <c r="G139" s="1021">
        <f t="shared" si="82"/>
        <v>113084244</v>
      </c>
      <c r="H139" s="1021">
        <f t="shared" si="82"/>
        <v>45581871</v>
      </c>
      <c r="I139" s="1021">
        <f t="shared" si="82"/>
        <v>40454091</v>
      </c>
      <c r="J139" s="1021">
        <f t="shared" si="82"/>
        <v>3003093463.3000002</v>
      </c>
      <c r="K139" s="1021">
        <f t="shared" si="82"/>
        <v>2506510758</v>
      </c>
      <c r="L139" s="1021">
        <f t="shared" si="82"/>
        <v>2055194831</v>
      </c>
    </row>
    <row r="140" spans="1:15" hidden="1">
      <c r="A140" s="1023" t="s">
        <v>41</v>
      </c>
      <c r="B140" s="1025">
        <f>+B139-B130</f>
        <v>0</v>
      </c>
      <c r="C140" s="1024">
        <f>+C139-C130</f>
        <v>0</v>
      </c>
      <c r="D140" s="1858">
        <f>+D139-D130</f>
        <v>0</v>
      </c>
      <c r="E140" s="1024">
        <f>+E139-E130</f>
        <v>0</v>
      </c>
      <c r="F140" s="1024">
        <f>+F139-F130</f>
        <v>0</v>
      </c>
      <c r="G140" s="1024"/>
      <c r="H140" s="1024"/>
      <c r="I140" s="1024"/>
      <c r="J140" s="1024">
        <f>+J139-J130</f>
        <v>0</v>
      </c>
      <c r="K140" s="1024">
        <f>+K139-K130</f>
        <v>0</v>
      </c>
      <c r="L140" s="1024">
        <f>+L139-L130</f>
        <v>0</v>
      </c>
    </row>
    <row r="141" spans="1:15" ht="3.75" hidden="1" customHeight="1" thickBot="1">
      <c r="A141" s="992"/>
      <c r="B141" s="1026"/>
      <c r="C141" s="1026"/>
      <c r="D141" s="1859"/>
      <c r="E141" s="1026"/>
      <c r="F141" s="1026"/>
      <c r="G141" s="1026"/>
      <c r="H141" s="1026"/>
      <c r="I141" s="1026"/>
      <c r="J141" s="1026"/>
    </row>
    <row r="142" spans="1:15" ht="32.25" hidden="1" customHeight="1" thickBot="1">
      <c r="A142" s="3020" t="s">
        <v>494</v>
      </c>
      <c r="B142" s="1027">
        <f t="shared" ref="B142:J142" si="83">SUM(B143:B149)</f>
        <v>126045766</v>
      </c>
      <c r="C142" s="1819">
        <f t="shared" si="83"/>
        <v>270791649</v>
      </c>
      <c r="D142" s="1860">
        <f t="shared" si="83"/>
        <v>472992365</v>
      </c>
      <c r="E142" s="1028">
        <f t="shared" si="83"/>
        <v>348170064</v>
      </c>
      <c r="F142" s="1027">
        <f t="shared" si="83"/>
        <v>268917852</v>
      </c>
      <c r="G142" s="1027">
        <f t="shared" si="83"/>
        <v>82357391</v>
      </c>
      <c r="H142" s="1027">
        <f t="shared" si="83"/>
        <v>35776859</v>
      </c>
      <c r="I142" s="1027">
        <f t="shared" si="83"/>
        <v>32142634</v>
      </c>
      <c r="J142" s="1027">
        <f t="shared" si="83"/>
        <v>1648341037</v>
      </c>
      <c r="K142" s="1029"/>
      <c r="L142" s="1029"/>
    </row>
    <row r="143" spans="1:15" hidden="1">
      <c r="A143" s="153" t="s">
        <v>13</v>
      </c>
      <c r="B143" s="1015">
        <v>2951841</v>
      </c>
      <c r="C143" s="1817">
        <v>25461540</v>
      </c>
      <c r="D143" s="1855">
        <v>29541764</v>
      </c>
      <c r="E143" s="1831">
        <v>4595748</v>
      </c>
      <c r="F143" s="1015">
        <v>3783610</v>
      </c>
      <c r="G143" s="1015">
        <v>1102757</v>
      </c>
      <c r="H143" s="1015">
        <v>666312</v>
      </c>
      <c r="I143" s="1015">
        <v>567846</v>
      </c>
      <c r="J143" s="1015">
        <v>68671418</v>
      </c>
      <c r="K143" s="1030">
        <v>0</v>
      </c>
      <c r="L143" s="1030"/>
    </row>
    <row r="144" spans="1:15" ht="14.25" hidden="1" customHeight="1">
      <c r="A144" s="153" t="s">
        <v>15</v>
      </c>
      <c r="B144" s="1015">
        <v>14168595</v>
      </c>
      <c r="C144" s="1817">
        <v>5739934</v>
      </c>
      <c r="D144" s="1855">
        <v>13158137</v>
      </c>
      <c r="E144" s="1831">
        <v>2426653</v>
      </c>
      <c r="F144" s="1015">
        <v>0</v>
      </c>
      <c r="G144" s="1015">
        <v>0</v>
      </c>
      <c r="H144" s="1015">
        <v>0</v>
      </c>
      <c r="I144" s="1015">
        <v>0</v>
      </c>
      <c r="J144" s="1015">
        <v>35493319</v>
      </c>
      <c r="K144" s="1030">
        <v>0</v>
      </c>
      <c r="L144" s="1030"/>
    </row>
    <row r="145" spans="1:12" ht="14.25" hidden="1" customHeight="1">
      <c r="A145" s="153" t="s">
        <v>50</v>
      </c>
      <c r="B145" s="1015">
        <v>28772061</v>
      </c>
      <c r="C145" s="1817">
        <v>8419285</v>
      </c>
      <c r="D145" s="1855">
        <v>8739285</v>
      </c>
      <c r="E145" s="1831">
        <v>8419285</v>
      </c>
      <c r="F145" s="1015">
        <v>8419285</v>
      </c>
      <c r="G145" s="1015">
        <v>0</v>
      </c>
      <c r="H145" s="1015">
        <v>0</v>
      </c>
      <c r="I145" s="1015">
        <v>0</v>
      </c>
      <c r="J145" s="1015">
        <v>62769201</v>
      </c>
      <c r="K145" s="1030">
        <v>0</v>
      </c>
      <c r="L145" s="1030"/>
    </row>
    <row r="146" spans="1:12" hidden="1">
      <c r="A146" s="1014" t="s">
        <v>12</v>
      </c>
      <c r="B146" s="1015">
        <v>23298471</v>
      </c>
      <c r="C146" s="1817">
        <v>13980246</v>
      </c>
      <c r="D146" s="1855">
        <v>26403369</v>
      </c>
      <c r="E146" s="1831">
        <v>37802099</v>
      </c>
      <c r="F146" s="1015">
        <v>33387250</v>
      </c>
      <c r="G146" s="1015">
        <v>5675073</v>
      </c>
      <c r="H146" s="1015">
        <v>1650729</v>
      </c>
      <c r="I146" s="1015">
        <v>0</v>
      </c>
      <c r="J146" s="1015">
        <v>142197237</v>
      </c>
      <c r="K146" s="1030">
        <v>0</v>
      </c>
      <c r="L146" s="1030"/>
    </row>
    <row r="147" spans="1:12" hidden="1">
      <c r="A147" s="3088" t="s">
        <v>17</v>
      </c>
      <c r="B147" s="1015">
        <v>0</v>
      </c>
      <c r="C147" s="1817">
        <v>0</v>
      </c>
      <c r="D147" s="1855">
        <v>11485758</v>
      </c>
      <c r="E147" s="1831">
        <v>3189386</v>
      </c>
      <c r="F147" s="1015">
        <v>4581649</v>
      </c>
      <c r="G147" s="1015">
        <v>886081</v>
      </c>
      <c r="H147" s="1015">
        <v>0</v>
      </c>
      <c r="I147" s="1015">
        <v>0</v>
      </c>
      <c r="J147" s="1015">
        <v>20142874</v>
      </c>
      <c r="K147" s="1030">
        <v>0</v>
      </c>
      <c r="L147" s="1030"/>
    </row>
    <row r="148" spans="1:12" ht="13.5" hidden="1" customHeight="1">
      <c r="A148" s="3088" t="s">
        <v>19</v>
      </c>
      <c r="B148" s="1015">
        <v>292115</v>
      </c>
      <c r="C148" s="1817">
        <v>696268</v>
      </c>
      <c r="D148" s="1855">
        <v>1239354</v>
      </c>
      <c r="E148" s="1831">
        <v>14467808</v>
      </c>
      <c r="F148" s="1015">
        <v>26130046</v>
      </c>
      <c r="G148" s="1015">
        <v>5688091</v>
      </c>
      <c r="H148" s="1015">
        <v>0</v>
      </c>
      <c r="I148" s="1015">
        <v>0</v>
      </c>
      <c r="J148" s="1015">
        <v>48513682</v>
      </c>
      <c r="K148" s="1030">
        <v>0</v>
      </c>
      <c r="L148" s="1030"/>
    </row>
    <row r="149" spans="1:12" ht="13.5" hidden="1" thickBot="1">
      <c r="A149" s="3087" t="s">
        <v>20</v>
      </c>
      <c r="B149" s="1019">
        <v>56562683</v>
      </c>
      <c r="C149" s="1818">
        <v>216494376</v>
      </c>
      <c r="D149" s="1856">
        <v>382424698</v>
      </c>
      <c r="E149" s="1832">
        <v>277269085</v>
      </c>
      <c r="F149" s="1410">
        <v>192616012</v>
      </c>
      <c r="G149" s="1410">
        <v>69005389</v>
      </c>
      <c r="H149" s="1410">
        <v>33459818</v>
      </c>
      <c r="I149" s="1410">
        <v>31574788</v>
      </c>
      <c r="J149" s="1410">
        <v>1270553306</v>
      </c>
      <c r="K149" s="1030">
        <v>0</v>
      </c>
      <c r="L149" s="1030"/>
    </row>
    <row r="150" spans="1:12" ht="13.5" hidden="1" thickBot="1">
      <c r="A150" s="2472"/>
      <c r="B150" s="1408">
        <f t="shared" ref="B150:J150" si="84">SUM(B143:B149)</f>
        <v>126045766</v>
      </c>
      <c r="C150" s="1820">
        <f t="shared" si="84"/>
        <v>270791649</v>
      </c>
      <c r="D150" s="1861">
        <f t="shared" si="84"/>
        <v>472992365</v>
      </c>
      <c r="E150" s="1833">
        <f t="shared" si="84"/>
        <v>348170064</v>
      </c>
      <c r="F150" s="1409">
        <f t="shared" si="84"/>
        <v>268917852</v>
      </c>
      <c r="G150" s="1409">
        <f t="shared" si="84"/>
        <v>82357391</v>
      </c>
      <c r="H150" s="1409">
        <f t="shared" si="84"/>
        <v>35776859</v>
      </c>
      <c r="I150" s="1409">
        <f t="shared" si="84"/>
        <v>32142634</v>
      </c>
      <c r="J150" s="1031">
        <f t="shared" si="84"/>
        <v>1648341037</v>
      </c>
      <c r="K150" s="1032"/>
      <c r="L150" s="1032"/>
    </row>
    <row r="151" spans="1:12" ht="17.25" hidden="1" customHeight="1" thickBot="1">
      <c r="A151" s="2473"/>
      <c r="B151" s="1005" t="s">
        <v>367</v>
      </c>
      <c r="C151" s="1812" t="s">
        <v>5</v>
      </c>
      <c r="D151" s="1852" t="s">
        <v>6</v>
      </c>
      <c r="E151" s="1827" t="s">
        <v>170</v>
      </c>
      <c r="F151" s="965" t="s">
        <v>172</v>
      </c>
      <c r="G151" s="965" t="s">
        <v>212</v>
      </c>
      <c r="H151" s="965" t="s">
        <v>213</v>
      </c>
      <c r="I151" s="965" t="s">
        <v>211</v>
      </c>
      <c r="J151" s="966" t="s">
        <v>45</v>
      </c>
    </row>
    <row r="152" spans="1:12" ht="11.25" hidden="1" customHeight="1" thickBot="1">
      <c r="A152" s="2474"/>
      <c r="B152" s="1034"/>
      <c r="C152" s="1034"/>
      <c r="D152" s="1862"/>
      <c r="E152" s="1035"/>
      <c r="F152" s="1033"/>
      <c r="G152" s="1033"/>
      <c r="H152" s="1033"/>
      <c r="I152" s="1033"/>
      <c r="J152" s="1033"/>
      <c r="K152" s="1036"/>
      <c r="L152" s="1036"/>
    </row>
    <row r="153" spans="1:12" ht="18" hidden="1" customHeight="1" thickBot="1">
      <c r="A153" s="3071" t="s">
        <v>51</v>
      </c>
      <c r="B153" s="1037">
        <f t="shared" ref="B153:J153" si="85">+B107-B130</f>
        <v>0</v>
      </c>
      <c r="C153" s="1821">
        <f t="shared" si="85"/>
        <v>-104303</v>
      </c>
      <c r="D153" s="1863">
        <f t="shared" si="85"/>
        <v>-52529832</v>
      </c>
      <c r="E153" s="1038">
        <f t="shared" si="85"/>
        <v>40455911</v>
      </c>
      <c r="F153" s="1037">
        <f t="shared" si="85"/>
        <v>64177575</v>
      </c>
      <c r="G153" s="1037">
        <f t="shared" si="85"/>
        <v>75744873</v>
      </c>
      <c r="H153" s="1037">
        <f t="shared" si="85"/>
        <v>26598247</v>
      </c>
      <c r="I153" s="1037">
        <f t="shared" si="85"/>
        <v>5719000</v>
      </c>
      <c r="J153" s="1037">
        <f t="shared" si="85"/>
        <v>160061471</v>
      </c>
      <c r="K153" s="1039"/>
      <c r="L153" s="1039"/>
    </row>
    <row r="154" spans="1:12" hidden="1">
      <c r="A154" s="3073" t="s">
        <v>12</v>
      </c>
      <c r="B154" s="1040">
        <f t="shared" ref="B154:J154" si="86">+B108-B131</f>
        <v>540</v>
      </c>
      <c r="C154" s="1822">
        <f t="shared" si="86"/>
        <v>2261</v>
      </c>
      <c r="D154" s="1864">
        <f t="shared" si="86"/>
        <v>-14833321</v>
      </c>
      <c r="E154" s="1041">
        <f t="shared" si="86"/>
        <v>10977389</v>
      </c>
      <c r="F154" s="1040">
        <f t="shared" si="86"/>
        <v>20225372</v>
      </c>
      <c r="G154" s="1040">
        <f t="shared" si="86"/>
        <v>44239373</v>
      </c>
      <c r="H154" s="1040">
        <f t="shared" si="86"/>
        <v>26468442</v>
      </c>
      <c r="I154" s="1040">
        <f t="shared" si="86"/>
        <v>5904050</v>
      </c>
      <c r="J154" s="1042">
        <f t="shared" si="86"/>
        <v>92984106</v>
      </c>
      <c r="K154" s="1043"/>
      <c r="L154" s="1043"/>
    </row>
    <row r="155" spans="1:12" hidden="1">
      <c r="A155" s="3073" t="s">
        <v>49</v>
      </c>
      <c r="B155" s="1042">
        <f t="shared" ref="B155:J155" si="87">+B109-B132</f>
        <v>0</v>
      </c>
      <c r="C155" s="1823">
        <f t="shared" si="87"/>
        <v>0</v>
      </c>
      <c r="D155" s="1865">
        <f t="shared" si="87"/>
        <v>-2568147</v>
      </c>
      <c r="E155" s="1834">
        <f t="shared" si="87"/>
        <v>2568147</v>
      </c>
      <c r="F155" s="1042">
        <f t="shared" si="87"/>
        <v>0</v>
      </c>
      <c r="G155" s="1042">
        <f t="shared" si="87"/>
        <v>0</v>
      </c>
      <c r="H155" s="1042">
        <f t="shared" si="87"/>
        <v>0</v>
      </c>
      <c r="I155" s="1042">
        <f t="shared" si="87"/>
        <v>0</v>
      </c>
      <c r="J155" s="1042">
        <f t="shared" si="87"/>
        <v>0</v>
      </c>
      <c r="K155" s="1043"/>
      <c r="L155" s="1043"/>
    </row>
    <row r="156" spans="1:12" hidden="1">
      <c r="A156" s="3073" t="s">
        <v>13</v>
      </c>
      <c r="B156" s="3076">
        <f t="shared" ref="B156:J156" si="88">+B110-B133</f>
        <v>-57</v>
      </c>
      <c r="C156" s="1823">
        <f t="shared" si="88"/>
        <v>-244</v>
      </c>
      <c r="D156" s="1865">
        <f t="shared" si="88"/>
        <v>-222578</v>
      </c>
      <c r="E156" s="1834">
        <f t="shared" si="88"/>
        <v>2204</v>
      </c>
      <c r="F156" s="1042">
        <f t="shared" si="88"/>
        <v>98838</v>
      </c>
      <c r="G156" s="1042">
        <f t="shared" si="88"/>
        <v>0</v>
      </c>
      <c r="H156" s="1042">
        <f t="shared" si="88"/>
        <v>0</v>
      </c>
      <c r="I156" s="1042">
        <f t="shared" si="88"/>
        <v>72740</v>
      </c>
      <c r="J156" s="3101">
        <f t="shared" si="88"/>
        <v>-49097</v>
      </c>
      <c r="K156" s="1043"/>
      <c r="L156" s="1043"/>
    </row>
    <row r="157" spans="1:12" hidden="1">
      <c r="A157" s="3073" t="s">
        <v>15</v>
      </c>
      <c r="B157" s="3075">
        <f t="shared" ref="B157:J157" si="89">+B111-B134</f>
        <v>0</v>
      </c>
      <c r="C157" s="1823">
        <f t="shared" si="89"/>
        <v>0</v>
      </c>
      <c r="D157" s="1865">
        <f t="shared" si="89"/>
        <v>-993012</v>
      </c>
      <c r="E157" s="1834">
        <f t="shared" si="89"/>
        <v>1730780</v>
      </c>
      <c r="F157" s="1042">
        <f t="shared" si="89"/>
        <v>0</v>
      </c>
      <c r="G157" s="1042">
        <f t="shared" si="89"/>
        <v>0</v>
      </c>
      <c r="H157" s="1042">
        <f t="shared" si="89"/>
        <v>0</v>
      </c>
      <c r="I157" s="1042">
        <f t="shared" si="89"/>
        <v>0</v>
      </c>
      <c r="J157" s="3101">
        <f t="shared" si="89"/>
        <v>737768</v>
      </c>
      <c r="K157" s="1043"/>
      <c r="L157" s="1043"/>
    </row>
    <row r="158" spans="1:12" hidden="1">
      <c r="A158" s="3073" t="s">
        <v>50</v>
      </c>
      <c r="B158" s="1042">
        <f t="shared" ref="B158:J158" si="90">+B112-B135</f>
        <v>0</v>
      </c>
      <c r="C158" s="1823">
        <f t="shared" si="90"/>
        <v>0</v>
      </c>
      <c r="D158" s="1865">
        <f t="shared" si="90"/>
        <v>-5291253</v>
      </c>
      <c r="E158" s="1834">
        <f t="shared" si="90"/>
        <v>9774223</v>
      </c>
      <c r="F158" s="1042">
        <f t="shared" si="90"/>
        <v>-4482970</v>
      </c>
      <c r="G158" s="1042">
        <f t="shared" si="90"/>
        <v>0</v>
      </c>
      <c r="H158" s="1042">
        <f t="shared" si="90"/>
        <v>0</v>
      </c>
      <c r="I158" s="1042">
        <f t="shared" si="90"/>
        <v>0</v>
      </c>
      <c r="J158" s="1042">
        <f t="shared" si="90"/>
        <v>0</v>
      </c>
      <c r="K158" s="1043"/>
      <c r="L158" s="1043"/>
    </row>
    <row r="159" spans="1:12" hidden="1">
      <c r="A159" s="3073" t="s">
        <v>19</v>
      </c>
      <c r="B159" s="1042">
        <f t="shared" ref="B159:J159" si="91">+B113-B136</f>
        <v>-40826</v>
      </c>
      <c r="C159" s="1823">
        <f t="shared" si="91"/>
        <v>-127959</v>
      </c>
      <c r="D159" s="1865">
        <f t="shared" si="91"/>
        <v>-394966</v>
      </c>
      <c r="E159" s="1834">
        <f t="shared" si="91"/>
        <v>-143983</v>
      </c>
      <c r="F159" s="1042">
        <f t="shared" si="91"/>
        <v>-69506</v>
      </c>
      <c r="G159" s="1042">
        <f t="shared" si="91"/>
        <v>0</v>
      </c>
      <c r="H159" s="1042">
        <f t="shared" si="91"/>
        <v>0</v>
      </c>
      <c r="I159" s="1042">
        <f t="shared" si="91"/>
        <v>0</v>
      </c>
      <c r="J159" s="3101">
        <f t="shared" si="91"/>
        <v>-777240</v>
      </c>
      <c r="K159" s="1043"/>
      <c r="L159" s="1043"/>
    </row>
    <row r="160" spans="1:12" hidden="1">
      <c r="A160" s="3073" t="s">
        <v>17</v>
      </c>
      <c r="B160" s="1042">
        <f t="shared" ref="B160:J160" si="92">+B114-B137</f>
        <v>0</v>
      </c>
      <c r="C160" s="1823">
        <f t="shared" si="92"/>
        <v>0</v>
      </c>
      <c r="D160" s="1865">
        <f t="shared" si="92"/>
        <v>1384000</v>
      </c>
      <c r="E160" s="1834">
        <f t="shared" si="92"/>
        <v>0</v>
      </c>
      <c r="F160" s="1042">
        <f t="shared" si="92"/>
        <v>0</v>
      </c>
      <c r="G160" s="1042">
        <f t="shared" si="92"/>
        <v>0</v>
      </c>
      <c r="H160" s="1042">
        <f t="shared" si="92"/>
        <v>0</v>
      </c>
      <c r="I160" s="1042">
        <f t="shared" si="92"/>
        <v>0</v>
      </c>
      <c r="J160" s="3101">
        <f t="shared" si="92"/>
        <v>1384000</v>
      </c>
      <c r="K160" s="1043"/>
      <c r="L160" s="1043"/>
    </row>
    <row r="161" spans="1:17" ht="13.5" hidden="1" thickBot="1">
      <c r="A161" s="3073" t="s">
        <v>20</v>
      </c>
      <c r="B161" s="1046">
        <f t="shared" ref="B161:J161" si="93">+B115-B138</f>
        <v>40343</v>
      </c>
      <c r="C161" s="1824">
        <f t="shared" si="93"/>
        <v>21639</v>
      </c>
      <c r="D161" s="1866">
        <f t="shared" si="93"/>
        <v>-29610555</v>
      </c>
      <c r="E161" s="1835">
        <f t="shared" si="93"/>
        <v>15547151</v>
      </c>
      <c r="F161" s="1046">
        <f t="shared" si="93"/>
        <v>48405841</v>
      </c>
      <c r="G161" s="1046">
        <f t="shared" si="93"/>
        <v>31505500</v>
      </c>
      <c r="H161" s="1046">
        <f t="shared" si="93"/>
        <v>129805</v>
      </c>
      <c r="I161" s="1046">
        <f t="shared" si="93"/>
        <v>-257790</v>
      </c>
      <c r="J161" s="3101">
        <f t="shared" si="93"/>
        <v>65781934</v>
      </c>
      <c r="K161" s="1043">
        <f>+I161-I171</f>
        <v>-37153</v>
      </c>
      <c r="L161" s="1043">
        <f>+J161-J171</f>
        <v>0</v>
      </c>
      <c r="Q161" s="879">
        <f>+J161-J171</f>
        <v>0</v>
      </c>
    </row>
    <row r="162" spans="1:17" ht="15" hidden="1" customHeight="1" thickBot="1">
      <c r="A162" s="3072"/>
      <c r="B162" s="1047">
        <f t="shared" ref="B162:J162" si="94">SUM(B154:B161)</f>
        <v>0</v>
      </c>
      <c r="C162" s="1825">
        <f t="shared" si="94"/>
        <v>-104303</v>
      </c>
      <c r="D162" s="1867">
        <f t="shared" si="94"/>
        <v>-52529832</v>
      </c>
      <c r="E162" s="1048">
        <f t="shared" si="94"/>
        <v>40455911</v>
      </c>
      <c r="F162" s="1047">
        <f t="shared" si="94"/>
        <v>64177575</v>
      </c>
      <c r="G162" s="1047">
        <f t="shared" si="94"/>
        <v>75744873</v>
      </c>
      <c r="H162" s="1047">
        <f t="shared" si="94"/>
        <v>26598247</v>
      </c>
      <c r="I162" s="1047">
        <f t="shared" si="94"/>
        <v>5719000</v>
      </c>
      <c r="J162" s="1047">
        <f t="shared" si="94"/>
        <v>160061471</v>
      </c>
      <c r="K162" s="1049"/>
      <c r="L162" s="1049"/>
    </row>
    <row r="163" spans="1:17" ht="14.25" hidden="1" customHeight="1" thickBot="1">
      <c r="A163" s="2475" t="s">
        <v>41</v>
      </c>
      <c r="B163" s="1052">
        <f t="shared" ref="B163:J163" si="95">+B107-B130</f>
        <v>0</v>
      </c>
      <c r="C163" s="1051">
        <f t="shared" si="95"/>
        <v>-104303</v>
      </c>
      <c r="D163" s="1868">
        <f t="shared" si="95"/>
        <v>-52529832</v>
      </c>
      <c r="E163" s="1051">
        <f t="shared" si="95"/>
        <v>40455911</v>
      </c>
      <c r="F163" s="1051">
        <f t="shared" si="95"/>
        <v>64177575</v>
      </c>
      <c r="G163" s="1051">
        <f t="shared" si="95"/>
        <v>75744873</v>
      </c>
      <c r="H163" s="1051">
        <f t="shared" si="95"/>
        <v>26598247</v>
      </c>
      <c r="I163" s="1051">
        <f t="shared" si="95"/>
        <v>5719000</v>
      </c>
      <c r="J163" s="1051">
        <f t="shared" si="95"/>
        <v>160061471</v>
      </c>
      <c r="K163" s="1051"/>
      <c r="L163" s="1051"/>
    </row>
    <row r="164" spans="1:17" ht="16.5" hidden="1" customHeight="1" thickBot="1">
      <c r="A164" s="3074" t="s">
        <v>52</v>
      </c>
      <c r="B164" s="1053">
        <f t="shared" ref="B164:I171" si="96">+B118-B142</f>
        <v>0</v>
      </c>
      <c r="C164" s="1826">
        <f t="shared" si="96"/>
        <v>-104244</v>
      </c>
      <c r="D164" s="1869">
        <f t="shared" si="96"/>
        <v>-13542156</v>
      </c>
      <c r="E164" s="1054">
        <f t="shared" si="96"/>
        <v>-6592286</v>
      </c>
      <c r="F164" s="1053">
        <f t="shared" si="96"/>
        <v>32863934</v>
      </c>
      <c r="G164" s="1053">
        <f t="shared" si="96"/>
        <v>53041000</v>
      </c>
      <c r="H164" s="1053">
        <f t="shared" si="96"/>
        <v>836610</v>
      </c>
      <c r="I164" s="1053">
        <f t="shared" si="96"/>
        <v>-147897</v>
      </c>
      <c r="J164" s="1053">
        <f>SUM(J165:J171)</f>
        <v>68675218</v>
      </c>
      <c r="K164" s="1055"/>
      <c r="L164" s="1055"/>
    </row>
    <row r="165" spans="1:17" hidden="1">
      <c r="A165" s="3073" t="s">
        <v>13</v>
      </c>
      <c r="B165" s="1042">
        <f t="shared" si="96"/>
        <v>0</v>
      </c>
      <c r="C165" s="1823">
        <f t="shared" si="96"/>
        <v>0</v>
      </c>
      <c r="D165" s="1865">
        <f t="shared" si="96"/>
        <v>-227260</v>
      </c>
      <c r="E165" s="1834">
        <f t="shared" si="96"/>
        <v>5483</v>
      </c>
      <c r="F165" s="1042">
        <f t="shared" si="96"/>
        <v>93021</v>
      </c>
      <c r="G165" s="1042">
        <f t="shared" si="96"/>
        <v>6919</v>
      </c>
      <c r="H165" s="1042">
        <f t="shared" si="96"/>
        <v>0</v>
      </c>
      <c r="I165" s="1042">
        <f t="shared" si="96"/>
        <v>72740</v>
      </c>
      <c r="J165" s="3100">
        <f t="shared" ref="J165:J171" si="97">+J119-J143</f>
        <v>-49097</v>
      </c>
      <c r="K165" s="1056"/>
      <c r="L165" s="1056"/>
    </row>
    <row r="166" spans="1:17" ht="13.5" hidden="1" thickBot="1">
      <c r="A166" s="3073" t="s">
        <v>15</v>
      </c>
      <c r="B166" s="1042">
        <f t="shared" si="96"/>
        <v>0</v>
      </c>
      <c r="C166" s="1823">
        <f t="shared" si="96"/>
        <v>0</v>
      </c>
      <c r="D166" s="1865">
        <f t="shared" si="96"/>
        <v>-993012</v>
      </c>
      <c r="E166" s="1834">
        <f t="shared" si="96"/>
        <v>1730780</v>
      </c>
      <c r="F166" s="1042">
        <f t="shared" si="96"/>
        <v>0</v>
      </c>
      <c r="G166" s="1042">
        <f t="shared" si="96"/>
        <v>0</v>
      </c>
      <c r="H166" s="1042">
        <f t="shared" si="96"/>
        <v>0</v>
      </c>
      <c r="I166" s="1042">
        <f t="shared" si="96"/>
        <v>0</v>
      </c>
      <c r="J166" s="3100">
        <f t="shared" si="97"/>
        <v>737768</v>
      </c>
      <c r="K166" s="1056"/>
      <c r="L166" s="1056"/>
      <c r="N166" s="1067"/>
      <c r="O166" s="1067"/>
    </row>
    <row r="167" spans="1:17" ht="13.5" hidden="1" thickBot="1">
      <c r="A167" s="3073" t="s">
        <v>54</v>
      </c>
      <c r="B167" s="1042">
        <f t="shared" si="96"/>
        <v>0</v>
      </c>
      <c r="C167" s="3079">
        <f t="shared" si="96"/>
        <v>0</v>
      </c>
      <c r="D167" s="1865">
        <f t="shared" si="96"/>
        <v>0</v>
      </c>
      <c r="E167" s="1834">
        <f t="shared" si="96"/>
        <v>0</v>
      </c>
      <c r="F167" s="1042">
        <f t="shared" si="96"/>
        <v>0</v>
      </c>
      <c r="G167" s="1042">
        <f t="shared" si="96"/>
        <v>0</v>
      </c>
      <c r="H167" s="1042">
        <f t="shared" si="96"/>
        <v>0</v>
      </c>
      <c r="I167" s="1042">
        <f t="shared" si="96"/>
        <v>0</v>
      </c>
      <c r="J167" s="1057">
        <f t="shared" si="97"/>
        <v>0</v>
      </c>
      <c r="K167" s="1056"/>
      <c r="L167" s="1056"/>
      <c r="N167" s="2441"/>
      <c r="O167" s="2441"/>
    </row>
    <row r="168" spans="1:17" ht="13.5" hidden="1" thickBot="1">
      <c r="A168" s="3073" t="s">
        <v>12</v>
      </c>
      <c r="B168" s="1042">
        <f t="shared" si="96"/>
        <v>0</v>
      </c>
      <c r="C168" s="3078">
        <f t="shared" si="96"/>
        <v>0</v>
      </c>
      <c r="D168" s="1865">
        <f t="shared" si="96"/>
        <v>76600</v>
      </c>
      <c r="E168" s="1834">
        <f t="shared" si="96"/>
        <v>1521253</v>
      </c>
      <c r="F168" s="1042">
        <f t="shared" si="96"/>
        <v>0</v>
      </c>
      <c r="G168" s="1042">
        <f t="shared" si="96"/>
        <v>0</v>
      </c>
      <c r="H168" s="1042">
        <f t="shared" si="96"/>
        <v>0</v>
      </c>
      <c r="I168" s="1042">
        <f t="shared" si="96"/>
        <v>0</v>
      </c>
      <c r="J168" s="1057">
        <f t="shared" si="97"/>
        <v>1597853</v>
      </c>
      <c r="K168" s="1056"/>
      <c r="L168" s="1056"/>
      <c r="N168" s="2441"/>
      <c r="O168" s="2441"/>
    </row>
    <row r="169" spans="1:17" ht="13.5" hidden="1" thickBot="1">
      <c r="A169" s="1044" t="s">
        <v>17</v>
      </c>
      <c r="B169" s="1042">
        <f t="shared" si="96"/>
        <v>0</v>
      </c>
      <c r="C169" s="3077">
        <f t="shared" si="96"/>
        <v>0</v>
      </c>
      <c r="D169" s="3080">
        <f t="shared" si="96"/>
        <v>1384000</v>
      </c>
      <c r="E169" s="3081">
        <f t="shared" si="96"/>
        <v>0</v>
      </c>
      <c r="F169" s="3075">
        <f t="shared" si="96"/>
        <v>0</v>
      </c>
      <c r="G169" s="3075">
        <f t="shared" si="96"/>
        <v>0</v>
      </c>
      <c r="H169" s="3075">
        <f t="shared" si="96"/>
        <v>0</v>
      </c>
      <c r="I169" s="3075">
        <f t="shared" si="96"/>
        <v>0</v>
      </c>
      <c r="J169" s="3102">
        <f t="shared" si="97"/>
        <v>1384000</v>
      </c>
      <c r="K169" s="2479"/>
      <c r="L169" s="2479"/>
      <c r="N169" s="1066"/>
      <c r="O169" s="2441"/>
    </row>
    <row r="170" spans="1:17" ht="13.5" hidden="1" customHeight="1" thickBot="1">
      <c r="A170" s="1044" t="s">
        <v>19</v>
      </c>
      <c r="B170" s="1042">
        <f t="shared" si="96"/>
        <v>0</v>
      </c>
      <c r="C170" s="1823">
        <f t="shared" si="96"/>
        <v>-45734</v>
      </c>
      <c r="D170" s="1865">
        <f t="shared" si="96"/>
        <v>-259104</v>
      </c>
      <c r="E170" s="1834">
        <f t="shared" si="96"/>
        <v>-319898</v>
      </c>
      <c r="F170" s="1042">
        <f t="shared" si="96"/>
        <v>-152504</v>
      </c>
      <c r="G170" s="1042">
        <f t="shared" si="96"/>
        <v>0</v>
      </c>
      <c r="H170" s="1042">
        <f t="shared" si="96"/>
        <v>0</v>
      </c>
      <c r="I170" s="1042">
        <f t="shared" si="96"/>
        <v>0</v>
      </c>
      <c r="J170" s="3100">
        <f t="shared" si="97"/>
        <v>-777240</v>
      </c>
      <c r="K170" s="1056"/>
      <c r="L170" s="1056"/>
      <c r="O170" s="2441"/>
    </row>
    <row r="171" spans="1:17" ht="13.5" hidden="1" thickBot="1">
      <c r="A171" s="1045" t="s">
        <v>20</v>
      </c>
      <c r="B171" s="1046">
        <f t="shared" si="96"/>
        <v>0</v>
      </c>
      <c r="C171" s="1824">
        <f t="shared" si="96"/>
        <v>-58510</v>
      </c>
      <c r="D171" s="1866">
        <f t="shared" si="96"/>
        <v>-13523380</v>
      </c>
      <c r="E171" s="1835">
        <f t="shared" si="96"/>
        <v>-9529904</v>
      </c>
      <c r="F171" s="1046">
        <f t="shared" si="96"/>
        <v>32923417</v>
      </c>
      <c r="G171" s="1046">
        <f t="shared" si="96"/>
        <v>53034081</v>
      </c>
      <c r="H171" s="1046">
        <f t="shared" si="96"/>
        <v>836610</v>
      </c>
      <c r="I171" s="1046">
        <f t="shared" si="96"/>
        <v>-220637</v>
      </c>
      <c r="J171" s="3100">
        <f t="shared" si="97"/>
        <v>65781934</v>
      </c>
      <c r="K171" s="1056"/>
      <c r="L171" s="1056"/>
      <c r="O171" s="2441"/>
    </row>
    <row r="172" spans="1:17" ht="13.5" hidden="1" thickBot="1">
      <c r="A172" s="1058"/>
      <c r="B172" s="1060">
        <f t="shared" ref="B172:J172" si="98">SUM(B165:B171)</f>
        <v>0</v>
      </c>
      <c r="C172" s="1059">
        <f t="shared" si="98"/>
        <v>-104244</v>
      </c>
      <c r="D172" s="1870">
        <f t="shared" si="98"/>
        <v>-13542156</v>
      </c>
      <c r="E172" s="1059">
        <f t="shared" si="98"/>
        <v>-6592286</v>
      </c>
      <c r="F172" s="1059">
        <f t="shared" si="98"/>
        <v>32863934</v>
      </c>
      <c r="G172" s="1059">
        <f t="shared" si="98"/>
        <v>53041000</v>
      </c>
      <c r="H172" s="1059">
        <f t="shared" si="98"/>
        <v>836610</v>
      </c>
      <c r="I172" s="1059">
        <f t="shared" si="98"/>
        <v>-147897</v>
      </c>
      <c r="J172" s="1059">
        <f t="shared" si="98"/>
        <v>68675218</v>
      </c>
      <c r="K172" s="1061"/>
      <c r="L172" s="1061"/>
      <c r="O172" s="2441"/>
    </row>
    <row r="173" spans="1:17" ht="2.25" hidden="1" customHeight="1" thickBot="1">
      <c r="A173" s="868"/>
      <c r="B173" s="1062"/>
      <c r="J173" s="868"/>
      <c r="O173" s="2441"/>
    </row>
    <row r="174" spans="1:17" ht="13.5" hidden="1" thickBot="1">
      <c r="A174" s="1050" t="s">
        <v>41</v>
      </c>
      <c r="B174" s="1064">
        <f t="shared" ref="B174:J174" si="99">+B118-B142</f>
        <v>0</v>
      </c>
      <c r="C174" s="1063">
        <f t="shared" si="99"/>
        <v>-104244</v>
      </c>
      <c r="D174" s="1063">
        <f t="shared" si="99"/>
        <v>-13542156</v>
      </c>
      <c r="E174" s="1063">
        <f t="shared" si="99"/>
        <v>-6592286</v>
      </c>
      <c r="F174" s="1063">
        <f t="shared" si="99"/>
        <v>32863934</v>
      </c>
      <c r="G174" s="1063">
        <f t="shared" si="99"/>
        <v>53041000</v>
      </c>
      <c r="H174" s="1063">
        <f t="shared" si="99"/>
        <v>836610</v>
      </c>
      <c r="I174" s="1063">
        <f t="shared" si="99"/>
        <v>-147897</v>
      </c>
      <c r="J174" s="1063">
        <f t="shared" si="99"/>
        <v>68675218</v>
      </c>
      <c r="O174" s="2441"/>
    </row>
    <row r="175" spans="1:17" ht="14.25" hidden="1" customHeight="1" thickBot="1">
      <c r="A175" s="868"/>
      <c r="B175" s="874">
        <f>+B174-B172</f>
        <v>0</v>
      </c>
      <c r="C175" s="874">
        <f t="shared" ref="C175:J175" si="100">+C174-C172</f>
        <v>0</v>
      </c>
      <c r="D175" s="874">
        <f t="shared" si="100"/>
        <v>0</v>
      </c>
      <c r="E175" s="874">
        <f>+E174-E172</f>
        <v>0</v>
      </c>
      <c r="F175" s="874">
        <f>+F174-F172</f>
        <v>0</v>
      </c>
      <c r="G175" s="874">
        <f>+G174-G172</f>
        <v>0</v>
      </c>
      <c r="H175" s="874">
        <f>+H174-H172</f>
        <v>0</v>
      </c>
      <c r="I175" s="874">
        <f>+I174-I172</f>
        <v>0</v>
      </c>
      <c r="J175" s="874">
        <f t="shared" si="100"/>
        <v>0</v>
      </c>
      <c r="O175" s="2441"/>
    </row>
    <row r="176" spans="1:17" ht="12" hidden="1" customHeight="1">
      <c r="A176" s="868"/>
      <c r="J176" s="874"/>
      <c r="O176" s="1066"/>
    </row>
    <row r="177" spans="1:10" hidden="1">
      <c r="A177" s="868"/>
      <c r="J177" s="868"/>
    </row>
    <row r="178" spans="1:10" hidden="1">
      <c r="A178" s="868"/>
    </row>
    <row r="179" spans="1:10" hidden="1">
      <c r="A179" s="868"/>
      <c r="J179" s="868"/>
    </row>
    <row r="180" spans="1:10" hidden="1">
      <c r="A180" s="868"/>
      <c r="J180" s="868"/>
    </row>
    <row r="181" spans="1:10" ht="41.25" hidden="1" customHeight="1">
      <c r="A181" s="868"/>
    </row>
    <row r="182" spans="1:10" hidden="1">
      <c r="A182" s="868"/>
      <c r="J182" s="868"/>
    </row>
    <row r="183" spans="1:10" hidden="1">
      <c r="A183" s="868"/>
      <c r="J183" s="868"/>
    </row>
    <row r="184" spans="1:10" hidden="1">
      <c r="A184" s="868"/>
      <c r="J184" s="868"/>
    </row>
    <row r="185" spans="1:10" hidden="1">
      <c r="A185" s="868"/>
      <c r="J185" s="868"/>
    </row>
    <row r="186" spans="1:10" hidden="1">
      <c r="A186" s="868"/>
      <c r="J186" s="868"/>
    </row>
    <row r="187" spans="1:10" hidden="1">
      <c r="A187" s="868"/>
      <c r="J187" s="868"/>
    </row>
    <row r="188" spans="1:10" hidden="1">
      <c r="A188" s="868"/>
      <c r="J188" s="868"/>
    </row>
    <row r="189" spans="1:10" hidden="1">
      <c r="A189" s="868"/>
      <c r="J189" s="868"/>
    </row>
    <row r="190" spans="1:10" hidden="1">
      <c r="A190" s="868"/>
      <c r="J190" s="868"/>
    </row>
    <row r="191" spans="1:10" hidden="1">
      <c r="A191" s="868"/>
      <c r="J191" s="868"/>
    </row>
    <row r="192" spans="1:10" hidden="1">
      <c r="A192" s="868"/>
      <c r="J192" s="868"/>
    </row>
    <row r="193" spans="1:10" hidden="1">
      <c r="A193" s="868"/>
      <c r="J193" s="868"/>
    </row>
    <row r="194" spans="1:10" hidden="1">
      <c r="A194" s="868"/>
      <c r="J194" s="868"/>
    </row>
    <row r="195" spans="1:10" hidden="1">
      <c r="A195" s="868"/>
      <c r="J195" s="868"/>
    </row>
    <row r="196" spans="1:10" hidden="1">
      <c r="A196" s="868"/>
      <c r="J196" s="868"/>
    </row>
    <row r="197" spans="1:10" hidden="1">
      <c r="A197" s="868"/>
      <c r="J197" s="868"/>
    </row>
    <row r="198" spans="1:10" hidden="1">
      <c r="A198" s="868"/>
      <c r="J198" s="868"/>
    </row>
    <row r="199" spans="1:10" hidden="1">
      <c r="A199" s="868"/>
      <c r="J199" s="868"/>
    </row>
    <row r="200" spans="1:10" hidden="1">
      <c r="A200" s="868"/>
      <c r="J200" s="868"/>
    </row>
    <row r="201" spans="1:10" hidden="1">
      <c r="A201" s="868"/>
      <c r="J201" s="868"/>
    </row>
    <row r="202" spans="1:10" hidden="1">
      <c r="A202" s="868"/>
      <c r="J202" s="868"/>
    </row>
    <row r="203" spans="1:10" hidden="1">
      <c r="A203" s="868"/>
      <c r="J203" s="868"/>
    </row>
    <row r="204" spans="1:10" hidden="1">
      <c r="A204" s="868"/>
      <c r="J204" s="868"/>
    </row>
    <row r="205" spans="1:10" hidden="1">
      <c r="A205" s="868"/>
      <c r="J205" s="868"/>
    </row>
    <row r="206" spans="1:10" hidden="1">
      <c r="A206" s="868"/>
      <c r="J206" s="868"/>
    </row>
    <row r="207" spans="1:10" hidden="1">
      <c r="A207" s="868"/>
      <c r="J207" s="868"/>
    </row>
    <row r="208" spans="1:10" hidden="1">
      <c r="A208" s="868"/>
      <c r="J208" s="868"/>
    </row>
    <row r="209" spans="1:15" hidden="1">
      <c r="A209" s="868"/>
      <c r="J209" s="868"/>
    </row>
    <row r="210" spans="1:15" ht="13.5" hidden="1" thickBot="1">
      <c r="A210" s="868"/>
      <c r="J210" s="868"/>
      <c r="O210" s="1067"/>
    </row>
    <row r="211" spans="1:15" ht="13.5" hidden="1" thickBot="1">
      <c r="A211" s="868"/>
      <c r="J211" s="868"/>
      <c r="O211" s="2441"/>
    </row>
    <row r="212" spans="1:15" ht="13.5" hidden="1" thickBot="1">
      <c r="A212" s="868"/>
      <c r="J212" s="868"/>
      <c r="O212" s="2441"/>
    </row>
    <row r="213" spans="1:15" ht="13.5" hidden="1" thickBot="1">
      <c r="A213" s="868"/>
      <c r="J213" s="868"/>
      <c r="O213" s="2441"/>
    </row>
    <row r="214" spans="1:15" ht="13.5" hidden="1" thickBot="1">
      <c r="A214" s="868"/>
      <c r="J214" s="868"/>
      <c r="O214" s="2441"/>
    </row>
    <row r="215" spans="1:15" ht="13.5" hidden="1" thickBot="1">
      <c r="A215" s="868"/>
      <c r="J215" s="868"/>
      <c r="O215" s="2441"/>
    </row>
    <row r="216" spans="1:15" ht="13.5" hidden="1" thickBot="1">
      <c r="A216" s="868"/>
      <c r="J216" s="868"/>
      <c r="O216" s="2441"/>
    </row>
    <row r="217" spans="1:15" ht="13.5" hidden="1" thickBot="1">
      <c r="A217" s="868"/>
      <c r="J217" s="868"/>
      <c r="O217" s="2441"/>
    </row>
    <row r="218" spans="1:15" ht="13.5" hidden="1" thickBot="1">
      <c r="A218" s="868"/>
      <c r="J218" s="868"/>
      <c r="O218" s="2441"/>
    </row>
    <row r="219" spans="1:15" ht="13.5" hidden="1" thickBot="1">
      <c r="A219" s="868"/>
      <c r="J219" s="868"/>
      <c r="O219" s="2441"/>
    </row>
    <row r="220" spans="1:15" ht="13.5" hidden="1" thickBot="1">
      <c r="A220" s="868"/>
      <c r="J220" s="868"/>
      <c r="O220" s="2441"/>
    </row>
    <row r="221" spans="1:15" ht="13.5" hidden="1" thickBot="1">
      <c r="A221" s="868"/>
      <c r="J221" s="868"/>
      <c r="O221" s="2441"/>
    </row>
    <row r="222" spans="1:15" ht="13.5" hidden="1" thickBot="1">
      <c r="A222" s="868"/>
      <c r="J222" s="868"/>
      <c r="O222" s="2441"/>
    </row>
    <row r="223" spans="1:15" ht="13.5" hidden="1" thickBot="1">
      <c r="A223" s="868"/>
      <c r="J223" s="868"/>
      <c r="O223" s="2441"/>
    </row>
    <row r="224" spans="1:15" hidden="1">
      <c r="A224" s="868"/>
      <c r="J224" s="868"/>
      <c r="O224" s="1066"/>
    </row>
    <row r="225" spans="1:10" hidden="1">
      <c r="A225" s="868"/>
      <c r="J225" s="868"/>
    </row>
    <row r="226" spans="1:10" hidden="1">
      <c r="A226" s="868"/>
      <c r="J226" s="868"/>
    </row>
    <row r="227" spans="1:10" hidden="1">
      <c r="A227" s="868"/>
      <c r="J227" s="868"/>
    </row>
    <row r="228" spans="1:10" hidden="1">
      <c r="A228" s="868"/>
      <c r="J228" s="868"/>
    </row>
    <row r="229" spans="1:10" hidden="1">
      <c r="A229" s="868"/>
      <c r="J229" s="868"/>
    </row>
    <row r="230" spans="1:10" hidden="1">
      <c r="A230" s="868"/>
      <c r="J230" s="868"/>
    </row>
    <row r="231" spans="1:10" hidden="1">
      <c r="A231" s="868"/>
      <c r="J231" s="868"/>
    </row>
    <row r="232" spans="1:10" hidden="1">
      <c r="A232" s="868"/>
      <c r="J232" s="868"/>
    </row>
    <row r="233" spans="1:10" hidden="1">
      <c r="A233" s="868"/>
      <c r="J233" s="868"/>
    </row>
    <row r="234" spans="1:10" hidden="1">
      <c r="A234" s="868"/>
      <c r="J234" s="868"/>
    </row>
    <row r="235" spans="1:10" hidden="1">
      <c r="A235" s="868"/>
      <c r="J235" s="868"/>
    </row>
    <row r="236" spans="1:10" hidden="1">
      <c r="A236" s="868"/>
      <c r="J236" s="868"/>
    </row>
    <row r="237" spans="1:10" hidden="1">
      <c r="A237" s="868"/>
      <c r="J237" s="868"/>
    </row>
    <row r="238" spans="1:10" hidden="1">
      <c r="A238" s="868"/>
      <c r="J238" s="868"/>
    </row>
    <row r="239" spans="1:10" hidden="1">
      <c r="A239" s="868"/>
      <c r="J239" s="868"/>
    </row>
    <row r="240" spans="1:10" hidden="1">
      <c r="A240" s="868"/>
      <c r="J240" s="868"/>
    </row>
    <row r="241" spans="1:10" hidden="1">
      <c r="A241" s="868"/>
      <c r="J241" s="868"/>
    </row>
    <row r="242" spans="1:10" hidden="1">
      <c r="A242" s="868"/>
      <c r="J242" s="868"/>
    </row>
    <row r="243" spans="1:10" hidden="1">
      <c r="A243" s="868"/>
      <c r="J243" s="868"/>
    </row>
    <row r="244" spans="1:10" hidden="1">
      <c r="A244" s="868"/>
      <c r="J244" s="868"/>
    </row>
    <row r="245" spans="1:10" hidden="1">
      <c r="A245" s="868"/>
      <c r="J245" s="868"/>
    </row>
    <row r="246" spans="1:10" hidden="1">
      <c r="A246" s="868"/>
      <c r="J246" s="868"/>
    </row>
    <row r="247" spans="1:10" hidden="1">
      <c r="A247" s="868"/>
      <c r="J247" s="868"/>
    </row>
    <row r="248" spans="1:10" hidden="1">
      <c r="A248" s="868"/>
      <c r="J248" s="868"/>
    </row>
    <row r="249" spans="1:10" hidden="1">
      <c r="A249" s="868"/>
      <c r="J249" s="868"/>
    </row>
    <row r="250" spans="1:10" hidden="1">
      <c r="A250" s="868"/>
      <c r="J250" s="868"/>
    </row>
    <row r="251" spans="1:10" hidden="1">
      <c r="A251" s="868"/>
      <c r="J251" s="868"/>
    </row>
    <row r="252" spans="1:10" hidden="1">
      <c r="A252" s="868"/>
      <c r="J252" s="868"/>
    </row>
    <row r="253" spans="1:10" hidden="1">
      <c r="A253" s="868"/>
      <c r="J253" s="868"/>
    </row>
    <row r="254" spans="1:10" hidden="1">
      <c r="A254" s="868"/>
      <c r="J254" s="868"/>
    </row>
    <row r="255" spans="1:10" hidden="1">
      <c r="A255" s="868"/>
      <c r="J255" s="868"/>
    </row>
    <row r="256" spans="1:10" hidden="1">
      <c r="A256" s="868"/>
      <c r="J256" s="868"/>
    </row>
    <row r="257" spans="1:10" hidden="1">
      <c r="A257" s="868"/>
      <c r="J257" s="868"/>
    </row>
    <row r="258" spans="1:10" hidden="1">
      <c r="A258" s="868"/>
      <c r="J258" s="868"/>
    </row>
    <row r="259" spans="1:10" hidden="1">
      <c r="A259" s="868"/>
      <c r="J259" s="868"/>
    </row>
    <row r="260" spans="1:10" hidden="1">
      <c r="A260" s="868"/>
      <c r="J260" s="868"/>
    </row>
    <row r="261" spans="1:10" hidden="1">
      <c r="A261" s="868"/>
      <c r="J261" s="868"/>
    </row>
    <row r="262" spans="1:10" hidden="1">
      <c r="A262" s="868"/>
      <c r="J262" s="868"/>
    </row>
    <row r="263" spans="1:10" hidden="1">
      <c r="A263" s="868"/>
      <c r="J263" s="868"/>
    </row>
    <row r="264" spans="1:10" hidden="1">
      <c r="A264" s="868"/>
      <c r="J264" s="868"/>
    </row>
    <row r="265" spans="1:10" hidden="1">
      <c r="A265" s="868"/>
      <c r="J265" s="868"/>
    </row>
    <row r="266" spans="1:10" hidden="1">
      <c r="A266" s="868"/>
      <c r="J266" s="868"/>
    </row>
    <row r="267" spans="1:10" hidden="1">
      <c r="A267" s="868"/>
      <c r="J267" s="868"/>
    </row>
    <row r="268" spans="1:10" hidden="1">
      <c r="A268" s="868"/>
      <c r="J268" s="868"/>
    </row>
    <row r="269" spans="1:10" hidden="1">
      <c r="A269" s="868"/>
      <c r="J269" s="868"/>
    </row>
    <row r="270" spans="1:10" hidden="1">
      <c r="A270" s="868"/>
      <c r="J270" s="868"/>
    </row>
    <row r="271" spans="1:10" hidden="1">
      <c r="A271" s="868"/>
      <c r="J271" s="868"/>
    </row>
    <row r="272" spans="1:10" hidden="1">
      <c r="A272" s="868"/>
      <c r="J272" s="868"/>
    </row>
    <row r="273" spans="1:10" hidden="1">
      <c r="A273" s="868"/>
      <c r="J273" s="868"/>
    </row>
    <row r="274" spans="1:10" hidden="1">
      <c r="A274" s="868"/>
      <c r="J274" s="868"/>
    </row>
    <row r="275" spans="1:10" hidden="1">
      <c r="A275" s="868"/>
      <c r="J275" s="868"/>
    </row>
    <row r="276" spans="1:10" hidden="1">
      <c r="A276" s="868"/>
      <c r="J276" s="868"/>
    </row>
    <row r="277" spans="1:10" hidden="1">
      <c r="A277" s="868"/>
      <c r="J277" s="868"/>
    </row>
    <row r="278" spans="1:10" hidden="1">
      <c r="A278" s="868"/>
      <c r="J278" s="868"/>
    </row>
    <row r="279" spans="1:10" hidden="1">
      <c r="A279" s="868"/>
      <c r="J279" s="868"/>
    </row>
    <row r="280" spans="1:10" hidden="1">
      <c r="A280" s="868"/>
      <c r="J280" s="868"/>
    </row>
    <row r="281" spans="1:10" hidden="1">
      <c r="A281" s="868"/>
      <c r="J281" s="868"/>
    </row>
    <row r="282" spans="1:10" hidden="1">
      <c r="A282" s="868"/>
      <c r="J282" s="868"/>
    </row>
    <row r="283" spans="1:10" hidden="1">
      <c r="A283" s="868"/>
      <c r="J283" s="868"/>
    </row>
    <row r="284" spans="1:10" hidden="1">
      <c r="A284" s="868"/>
      <c r="J284" s="868"/>
    </row>
    <row r="285" spans="1:10" hidden="1">
      <c r="A285" s="868"/>
      <c r="J285" s="868"/>
    </row>
    <row r="286" spans="1:10" hidden="1">
      <c r="A286" s="868"/>
      <c r="J286" s="868"/>
    </row>
    <row r="287" spans="1:10" hidden="1">
      <c r="A287" s="868"/>
      <c r="J287" s="868"/>
    </row>
    <row r="288" spans="1:10" hidden="1">
      <c r="A288" s="868"/>
      <c r="J288" s="868"/>
    </row>
    <row r="289" spans="1:10" hidden="1">
      <c r="A289" s="868"/>
      <c r="J289" s="868"/>
    </row>
    <row r="290" spans="1:10" hidden="1">
      <c r="A290" s="868"/>
      <c r="J290" s="868"/>
    </row>
    <row r="291" spans="1:10" hidden="1">
      <c r="A291" s="868"/>
      <c r="J291" s="868"/>
    </row>
    <row r="292" spans="1:10" hidden="1">
      <c r="A292" s="868"/>
      <c r="J292" s="868"/>
    </row>
    <row r="293" spans="1:10" hidden="1">
      <c r="A293" s="868"/>
      <c r="J293" s="868"/>
    </row>
    <row r="294" spans="1:10" hidden="1">
      <c r="A294" s="868"/>
      <c r="J294" s="868"/>
    </row>
    <row r="295" spans="1:10" hidden="1">
      <c r="A295" s="868"/>
      <c r="J295" s="868"/>
    </row>
    <row r="296" spans="1:10" hidden="1">
      <c r="A296" s="868"/>
      <c r="J296" s="868"/>
    </row>
    <row r="297" spans="1:10" hidden="1">
      <c r="A297" s="868"/>
      <c r="J297" s="868"/>
    </row>
    <row r="298" spans="1:10" hidden="1">
      <c r="A298" s="868"/>
      <c r="J298" s="868"/>
    </row>
    <row r="299" spans="1:10" hidden="1">
      <c r="A299" s="868"/>
      <c r="J299" s="868"/>
    </row>
    <row r="300" spans="1:10" hidden="1">
      <c r="A300" s="868"/>
      <c r="J300" s="868"/>
    </row>
    <row r="301" spans="1:10">
      <c r="A301" s="868"/>
      <c r="J301" s="868"/>
    </row>
    <row r="302" spans="1:10">
      <c r="A302" s="868"/>
      <c r="J302" s="868"/>
    </row>
    <row r="303" spans="1:10">
      <c r="A303" s="868"/>
      <c r="J303" s="868"/>
    </row>
    <row r="304" spans="1:10">
      <c r="A304" s="868"/>
      <c r="J304" s="868"/>
    </row>
    <row r="305" spans="1:10">
      <c r="A305" s="868"/>
      <c r="J305" s="868"/>
    </row>
    <row r="306" spans="1:10">
      <c r="A306" s="868"/>
      <c r="J306" s="868"/>
    </row>
    <row r="307" spans="1:10">
      <c r="A307" s="868"/>
      <c r="J307" s="868"/>
    </row>
    <row r="308" spans="1:10">
      <c r="A308" s="868"/>
      <c r="J308" s="868"/>
    </row>
    <row r="309" spans="1:10">
      <c r="A309" s="868"/>
      <c r="J309" s="868"/>
    </row>
    <row r="310" spans="1:10">
      <c r="A310" s="868"/>
      <c r="J310" s="868"/>
    </row>
    <row r="311" spans="1:10">
      <c r="A311" s="868"/>
      <c r="J311" s="868"/>
    </row>
    <row r="312" spans="1:10">
      <c r="A312" s="868"/>
      <c r="J312" s="868"/>
    </row>
    <row r="313" spans="1:10">
      <c r="A313" s="868"/>
      <c r="J313" s="868"/>
    </row>
    <row r="314" spans="1:10">
      <c r="A314" s="868"/>
      <c r="J314" s="868"/>
    </row>
    <row r="315" spans="1:10">
      <c r="A315" s="868"/>
      <c r="J315" s="868"/>
    </row>
    <row r="316" spans="1:10">
      <c r="A316" s="868"/>
      <c r="J316" s="868"/>
    </row>
    <row r="317" spans="1:10">
      <c r="A317" s="868"/>
      <c r="J317" s="868"/>
    </row>
    <row r="318" spans="1:10">
      <c r="A318" s="868"/>
      <c r="J318" s="868"/>
    </row>
    <row r="319" spans="1:10">
      <c r="A319" s="868"/>
      <c r="J319" s="868"/>
    </row>
    <row r="320" spans="1:10">
      <c r="A320" s="868"/>
      <c r="J320" s="868"/>
    </row>
    <row r="321" spans="1:10">
      <c r="A321" s="868"/>
      <c r="J321" s="868"/>
    </row>
    <row r="322" spans="1:10">
      <c r="A322" s="868"/>
      <c r="J322" s="868"/>
    </row>
    <row r="323" spans="1:10">
      <c r="A323" s="868"/>
      <c r="J323" s="868"/>
    </row>
    <row r="324" spans="1:10">
      <c r="A324" s="868"/>
      <c r="J324" s="868"/>
    </row>
    <row r="325" spans="1:10">
      <c r="A325" s="868"/>
      <c r="J325" s="868"/>
    </row>
    <row r="326" spans="1:10">
      <c r="A326" s="868"/>
      <c r="J326" s="868"/>
    </row>
    <row r="327" spans="1:10">
      <c r="A327" s="868"/>
      <c r="J327" s="868"/>
    </row>
    <row r="328" spans="1:10">
      <c r="A328" s="868"/>
      <c r="J328" s="868"/>
    </row>
    <row r="329" spans="1:10">
      <c r="A329" s="868"/>
      <c r="J329" s="868"/>
    </row>
    <row r="330" spans="1:10">
      <c r="A330" s="868"/>
      <c r="J330" s="868"/>
    </row>
    <row r="331" spans="1:10">
      <c r="A331" s="868"/>
      <c r="J331" s="868"/>
    </row>
    <row r="332" spans="1:10">
      <c r="A332" s="868"/>
      <c r="J332" s="868"/>
    </row>
    <row r="333" spans="1:10">
      <c r="A333" s="868"/>
      <c r="J333" s="868"/>
    </row>
    <row r="334" spans="1:10">
      <c r="A334" s="868"/>
      <c r="J334" s="868"/>
    </row>
    <row r="335" spans="1:10">
      <c r="A335" s="868"/>
      <c r="J335" s="868"/>
    </row>
    <row r="336" spans="1:10">
      <c r="A336" s="868"/>
      <c r="J336" s="868"/>
    </row>
    <row r="337" spans="1:13">
      <c r="A337" s="868"/>
      <c r="J337" s="868"/>
    </row>
    <row r="338" spans="1:13">
      <c r="A338" s="868"/>
      <c r="J338" s="868"/>
    </row>
    <row r="339" spans="1:13">
      <c r="A339" s="868"/>
      <c r="J339" s="868"/>
    </row>
    <row r="340" spans="1:13">
      <c r="A340" s="868"/>
      <c r="J340" s="868"/>
    </row>
    <row r="341" spans="1:13">
      <c r="A341" s="868"/>
      <c r="J341" s="868"/>
    </row>
    <row r="342" spans="1:13">
      <c r="A342" s="868"/>
      <c r="J342" s="868"/>
    </row>
    <row r="343" spans="1:13">
      <c r="A343" s="868"/>
      <c r="J343" s="868"/>
    </row>
    <row r="344" spans="1:13">
      <c r="A344" s="868"/>
      <c r="J344" s="868"/>
    </row>
    <row r="345" spans="1:13">
      <c r="A345" s="868"/>
      <c r="J345" s="868"/>
    </row>
    <row r="346" spans="1:13">
      <c r="A346" s="868"/>
      <c r="J346" s="868"/>
    </row>
    <row r="347" spans="1:13">
      <c r="A347" s="868"/>
      <c r="J347" s="868"/>
    </row>
    <row r="348" spans="1:13">
      <c r="A348" s="868"/>
      <c r="J348" s="868"/>
    </row>
    <row r="349" spans="1:13" ht="13.5" thickBot="1">
      <c r="A349" s="868"/>
      <c r="J349" s="868"/>
    </row>
    <row r="350" spans="1:13" ht="45">
      <c r="A350" s="1065" t="s">
        <v>61</v>
      </c>
      <c r="B350" s="1066"/>
      <c r="C350" s="1066"/>
      <c r="D350" s="1066"/>
      <c r="E350" s="1066"/>
      <c r="F350" s="1066"/>
      <c r="G350" s="1066"/>
      <c r="H350" s="1066"/>
      <c r="I350" s="1066"/>
      <c r="J350" s="1066"/>
      <c r="K350" s="3021"/>
      <c r="L350" s="3021"/>
      <c r="M350" s="3021"/>
    </row>
    <row r="351" spans="1:13">
      <c r="A351" s="868"/>
      <c r="J351" s="868"/>
      <c r="K351" s="2562"/>
      <c r="L351" s="2562"/>
      <c r="M351" s="2562"/>
    </row>
    <row r="352" spans="1:13">
      <c r="A352" s="868"/>
      <c r="J352" s="868"/>
      <c r="K352" s="2562"/>
      <c r="L352" s="2562"/>
      <c r="M352" s="2562"/>
    </row>
    <row r="353" spans="1:13">
      <c r="A353" s="868"/>
      <c r="J353" s="868"/>
      <c r="K353" s="2562"/>
      <c r="L353" s="2562"/>
      <c r="M353" s="2562"/>
    </row>
    <row r="354" spans="1:13">
      <c r="A354" s="868"/>
      <c r="J354" s="868"/>
      <c r="K354" s="2562"/>
      <c r="L354" s="2562"/>
      <c r="M354" s="2562"/>
    </row>
    <row r="355" spans="1:13">
      <c r="A355" s="868"/>
      <c r="J355" s="868"/>
      <c r="K355" s="2562"/>
      <c r="L355" s="2562"/>
      <c r="M355" s="2562"/>
    </row>
    <row r="356" spans="1:13">
      <c r="A356" s="868"/>
      <c r="J356" s="868"/>
      <c r="K356" s="2562"/>
      <c r="L356" s="2562"/>
      <c r="M356" s="2562"/>
    </row>
    <row r="357" spans="1:13">
      <c r="A357" s="868"/>
      <c r="J357" s="868"/>
      <c r="K357" s="2562"/>
      <c r="L357" s="2562"/>
      <c r="M357" s="2562"/>
    </row>
    <row r="358" spans="1:13">
      <c r="A358" s="868"/>
      <c r="J358" s="868"/>
      <c r="K358" s="2562"/>
      <c r="L358" s="2562"/>
      <c r="M358" s="2562"/>
    </row>
    <row r="359" spans="1:13">
      <c r="A359" s="868"/>
      <c r="J359" s="868"/>
      <c r="K359" s="2562"/>
      <c r="L359" s="2562"/>
      <c r="M359" s="2562"/>
    </row>
    <row r="360" spans="1:13">
      <c r="A360" s="868"/>
      <c r="J360" s="868"/>
      <c r="K360" s="2562"/>
      <c r="L360" s="2562"/>
      <c r="M360" s="2562"/>
    </row>
    <row r="361" spans="1:13" ht="13.5" thickBot="1">
      <c r="A361" s="1067"/>
      <c r="B361" s="1067"/>
      <c r="C361" s="1067"/>
      <c r="D361" s="1067"/>
      <c r="E361" s="1067"/>
      <c r="F361" s="1067"/>
      <c r="G361" s="1067"/>
      <c r="H361" s="1067"/>
      <c r="I361" s="1067"/>
      <c r="J361" s="1067"/>
      <c r="K361" s="2935"/>
      <c r="L361" s="2935"/>
      <c r="M361" s="2935"/>
    </row>
    <row r="362" spans="1:13">
      <c r="A362" s="868"/>
      <c r="J362" s="868"/>
    </row>
    <row r="363" spans="1:13" ht="13.5" thickBot="1">
      <c r="A363" s="1067"/>
      <c r="J363" s="868"/>
    </row>
    <row r="364" spans="1:13" ht="13.5" thickBot="1">
      <c r="A364" s="2441"/>
      <c r="J364" s="868"/>
    </row>
    <row r="365" spans="1:13" ht="13.5" thickBot="1">
      <c r="A365" s="2441"/>
      <c r="J365" s="868"/>
    </row>
    <row r="366" spans="1:13" ht="13.5" thickBot="1">
      <c r="A366" s="2441"/>
      <c r="J366" s="868"/>
    </row>
    <row r="367" spans="1:13" ht="13.5" thickBot="1">
      <c r="A367" s="2441"/>
      <c r="J367" s="868"/>
    </row>
    <row r="368" spans="1:13" ht="13.5" thickBot="1">
      <c r="A368" s="2441"/>
      <c r="J368" s="868"/>
    </row>
    <row r="369" spans="1:15" ht="13.5" thickBot="1">
      <c r="A369" s="2441"/>
      <c r="J369" s="868"/>
      <c r="N369" s="1067"/>
      <c r="O369" s="1067"/>
    </row>
    <row r="370" spans="1:15" ht="13.5" thickBot="1">
      <c r="A370" s="2441"/>
      <c r="C370" s="1067"/>
      <c r="J370" s="868"/>
      <c r="N370" s="2441"/>
      <c r="O370" s="2441"/>
    </row>
    <row r="371" spans="1:15" ht="13.5" thickBot="1">
      <c r="A371" s="2441"/>
      <c r="C371" s="2441"/>
      <c r="D371" s="1067"/>
      <c r="E371" s="1067"/>
      <c r="F371" s="1067"/>
      <c r="G371" s="1067"/>
      <c r="H371" s="1067"/>
      <c r="I371" s="1067"/>
      <c r="J371" s="1067"/>
      <c r="K371" s="2935"/>
      <c r="L371" s="2935"/>
      <c r="N371" s="2441"/>
      <c r="O371" s="2441"/>
    </row>
    <row r="372" spans="1:15" ht="13.5" thickBot="1">
      <c r="A372" s="2441"/>
      <c r="C372" s="1066"/>
      <c r="D372" s="1066"/>
      <c r="E372" s="1066"/>
      <c r="F372" s="1066"/>
      <c r="G372" s="1066"/>
      <c r="H372" s="1066"/>
      <c r="I372" s="1066"/>
      <c r="J372" s="1066"/>
      <c r="K372" s="3021"/>
      <c r="L372" s="3021"/>
      <c r="N372" s="1066"/>
      <c r="O372" s="2441"/>
    </row>
    <row r="373" spans="1:15" ht="13.5" thickBot="1">
      <c r="A373" s="2441"/>
      <c r="J373" s="868"/>
      <c r="O373" s="2441"/>
    </row>
    <row r="374" spans="1:15" ht="13.5" thickBot="1">
      <c r="A374" s="2441"/>
      <c r="J374" s="868"/>
      <c r="O374" s="2441"/>
    </row>
    <row r="375" spans="1:15" ht="13.5" thickBot="1">
      <c r="A375" s="2441"/>
      <c r="J375" s="868"/>
      <c r="O375" s="2441"/>
    </row>
    <row r="376" spans="1:15" ht="13.5" thickBot="1">
      <c r="A376" s="2441"/>
      <c r="J376" s="868"/>
      <c r="O376" s="2441"/>
    </row>
    <row r="377" spans="1:15" ht="13.5" thickBot="1">
      <c r="A377" s="2441"/>
      <c r="J377" s="868"/>
      <c r="O377" s="1066"/>
    </row>
    <row r="378" spans="1:15" ht="13.5" thickBot="1">
      <c r="A378" s="2441"/>
      <c r="J378" s="868"/>
    </row>
    <row r="379" spans="1:15" ht="13.5" thickBot="1">
      <c r="A379" s="2441"/>
      <c r="J379" s="868"/>
    </row>
    <row r="380" spans="1:15">
      <c r="A380" s="1066"/>
      <c r="J380" s="868"/>
    </row>
    <row r="381" spans="1:15">
      <c r="A381" s="868"/>
      <c r="J381" s="868"/>
    </row>
    <row r="382" spans="1:15">
      <c r="A382" s="868"/>
      <c r="J382" s="868"/>
    </row>
    <row r="383" spans="1:15">
      <c r="A383" s="868"/>
      <c r="J383" s="868"/>
    </row>
    <row r="384" spans="1:15">
      <c r="A384" s="868"/>
      <c r="J384" s="868"/>
    </row>
    <row r="385" spans="1:10">
      <c r="A385" s="868"/>
      <c r="J385" s="868"/>
    </row>
    <row r="386" spans="1:10">
      <c r="A386" s="868"/>
      <c r="J386" s="868"/>
    </row>
    <row r="387" spans="1:10">
      <c r="A387" s="868"/>
      <c r="J387" s="868"/>
    </row>
    <row r="388" spans="1:10">
      <c r="A388" s="868"/>
      <c r="J388" s="868"/>
    </row>
    <row r="389" spans="1:10">
      <c r="A389" s="868"/>
      <c r="J389" s="868"/>
    </row>
    <row r="390" spans="1:10">
      <c r="A390" s="868"/>
      <c r="J390" s="868"/>
    </row>
    <row r="391" spans="1:10">
      <c r="A391" s="868"/>
      <c r="J391" s="868"/>
    </row>
    <row r="392" spans="1:10">
      <c r="A392" s="868"/>
      <c r="J392" s="868"/>
    </row>
    <row r="393" spans="1:10">
      <c r="A393" s="868"/>
      <c r="J393" s="868"/>
    </row>
    <row r="394" spans="1:10">
      <c r="A394" s="868"/>
      <c r="J394" s="868"/>
    </row>
    <row r="395" spans="1:10">
      <c r="A395" s="868"/>
      <c r="J395" s="868"/>
    </row>
    <row r="396" spans="1:10">
      <c r="A396" s="868"/>
      <c r="J396" s="868"/>
    </row>
    <row r="397" spans="1:10">
      <c r="A397" s="868"/>
      <c r="J397" s="868"/>
    </row>
    <row r="398" spans="1:10">
      <c r="A398" s="868"/>
      <c r="J398" s="868"/>
    </row>
    <row r="399" spans="1:10">
      <c r="A399" s="868"/>
      <c r="J399" s="868"/>
    </row>
    <row r="400" spans="1:10">
      <c r="A400" s="868"/>
      <c r="J400" s="868"/>
    </row>
    <row r="401" spans="1:10">
      <c r="A401" s="868"/>
      <c r="J401" s="868"/>
    </row>
    <row r="402" spans="1:10">
      <c r="A402" s="868"/>
      <c r="J402" s="868"/>
    </row>
    <row r="403" spans="1:10">
      <c r="A403" s="868"/>
      <c r="J403" s="868"/>
    </row>
    <row r="404" spans="1:10">
      <c r="A404" s="868"/>
      <c r="J404" s="868"/>
    </row>
    <row r="405" spans="1:10">
      <c r="A405" s="868"/>
      <c r="J405" s="868"/>
    </row>
    <row r="406" spans="1:10">
      <c r="A406" s="868"/>
      <c r="J406" s="868"/>
    </row>
    <row r="407" spans="1:10">
      <c r="A407" s="868"/>
      <c r="J407" s="868"/>
    </row>
    <row r="408" spans="1:10">
      <c r="A408" s="868"/>
      <c r="J408" s="868"/>
    </row>
    <row r="409" spans="1:10">
      <c r="A409" s="868"/>
      <c r="J409" s="868"/>
    </row>
    <row r="410" spans="1:10">
      <c r="A410" s="868"/>
      <c r="J410" s="868"/>
    </row>
    <row r="411" spans="1:10">
      <c r="A411" s="868"/>
      <c r="J411" s="868"/>
    </row>
    <row r="412" spans="1:10">
      <c r="A412" s="868"/>
      <c r="J412" s="868"/>
    </row>
    <row r="413" spans="1:10">
      <c r="A413" s="868"/>
      <c r="J413" s="868"/>
    </row>
    <row r="414" spans="1:10">
      <c r="A414" s="868"/>
      <c r="J414" s="868"/>
    </row>
    <row r="415" spans="1:10">
      <c r="A415" s="868"/>
      <c r="J415" s="868"/>
    </row>
    <row r="416" spans="1:10">
      <c r="A416" s="868"/>
      <c r="J416" s="868"/>
    </row>
    <row r="417" spans="1:10">
      <c r="A417" s="868"/>
      <c r="J417" s="868"/>
    </row>
    <row r="418" spans="1:10">
      <c r="A418" s="868"/>
      <c r="J418" s="868"/>
    </row>
    <row r="419" spans="1:10">
      <c r="A419" s="868"/>
      <c r="J419" s="868"/>
    </row>
    <row r="420" spans="1:10">
      <c r="A420" s="868"/>
      <c r="J420" s="868"/>
    </row>
    <row r="421" spans="1:10">
      <c r="A421" s="868"/>
      <c r="J421" s="868"/>
    </row>
    <row r="422" spans="1:10">
      <c r="A422" s="868"/>
      <c r="J422" s="868"/>
    </row>
    <row r="423" spans="1:10">
      <c r="A423" s="868"/>
      <c r="J423" s="868"/>
    </row>
    <row r="424" spans="1:10">
      <c r="A424" s="868"/>
      <c r="J424" s="868"/>
    </row>
    <row r="425" spans="1:10">
      <c r="A425" s="868"/>
      <c r="J425" s="868"/>
    </row>
    <row r="426" spans="1:10">
      <c r="A426" s="868"/>
      <c r="J426" s="868"/>
    </row>
    <row r="427" spans="1:10">
      <c r="A427" s="868"/>
      <c r="J427" s="868"/>
    </row>
    <row r="428" spans="1:10">
      <c r="A428" s="868"/>
      <c r="J428" s="868"/>
    </row>
    <row r="429" spans="1:10">
      <c r="A429" s="868"/>
      <c r="J429" s="868"/>
    </row>
    <row r="430" spans="1:10">
      <c r="A430" s="868"/>
      <c r="J430" s="868"/>
    </row>
    <row r="431" spans="1:10">
      <c r="A431" s="868"/>
      <c r="J431" s="868"/>
    </row>
    <row r="432" spans="1:10">
      <c r="A432" s="868"/>
      <c r="J432" s="868"/>
    </row>
    <row r="433" spans="1:10">
      <c r="A433" s="868"/>
      <c r="J433" s="868"/>
    </row>
    <row r="434" spans="1:10">
      <c r="A434" s="868"/>
      <c r="J434" s="868"/>
    </row>
    <row r="435" spans="1:10">
      <c r="A435" s="868"/>
      <c r="J435" s="868"/>
    </row>
    <row r="436" spans="1:10">
      <c r="A436" s="868"/>
      <c r="J436" s="868"/>
    </row>
    <row r="437" spans="1:10">
      <c r="A437" s="868"/>
      <c r="J437" s="868"/>
    </row>
    <row r="438" spans="1:10">
      <c r="A438" s="868"/>
      <c r="J438" s="868"/>
    </row>
    <row r="439" spans="1:10">
      <c r="A439" s="868"/>
      <c r="J439" s="868"/>
    </row>
    <row r="440" spans="1:10">
      <c r="A440" s="868"/>
      <c r="J440" s="868"/>
    </row>
    <row r="441" spans="1:10">
      <c r="A441" s="868"/>
      <c r="J441" s="868"/>
    </row>
    <row r="442" spans="1:10">
      <c r="A442" s="868"/>
      <c r="J442" s="868"/>
    </row>
    <row r="443" spans="1:10">
      <c r="A443" s="868"/>
      <c r="J443" s="868"/>
    </row>
    <row r="444" spans="1:10">
      <c r="A444" s="868"/>
      <c r="J444" s="868"/>
    </row>
    <row r="445" spans="1:10">
      <c r="A445" s="868"/>
      <c r="J445" s="868"/>
    </row>
    <row r="446" spans="1:10">
      <c r="A446" s="868"/>
      <c r="J446" s="868"/>
    </row>
    <row r="447" spans="1:10">
      <c r="A447" s="868"/>
      <c r="J447" s="868"/>
    </row>
    <row r="448" spans="1:10">
      <c r="A448" s="868"/>
      <c r="J448" s="868"/>
    </row>
    <row r="449" spans="1:10">
      <c r="A449" s="868"/>
      <c r="J449" s="868"/>
    </row>
    <row r="450" spans="1:10">
      <c r="A450" s="868"/>
      <c r="J450" s="868"/>
    </row>
    <row r="451" spans="1:10">
      <c r="A451" s="868"/>
      <c r="J451" s="868"/>
    </row>
    <row r="452" spans="1:10">
      <c r="A452" s="868"/>
      <c r="J452" s="868"/>
    </row>
    <row r="453" spans="1:10">
      <c r="A453" s="868"/>
      <c r="J453" s="868"/>
    </row>
    <row r="454" spans="1:10">
      <c r="A454" s="868"/>
      <c r="J454" s="868"/>
    </row>
    <row r="455" spans="1:10">
      <c r="A455" s="868"/>
      <c r="J455" s="868"/>
    </row>
    <row r="456" spans="1:10">
      <c r="A456" s="868"/>
      <c r="J456" s="868"/>
    </row>
    <row r="457" spans="1:10">
      <c r="A457" s="868"/>
      <c r="J457" s="868"/>
    </row>
    <row r="458" spans="1:10">
      <c r="A458" s="868"/>
      <c r="J458" s="868"/>
    </row>
    <row r="459" spans="1:10">
      <c r="A459" s="868"/>
      <c r="J459" s="868"/>
    </row>
    <row r="460" spans="1:10">
      <c r="A460" s="868"/>
      <c r="J460" s="868"/>
    </row>
    <row r="461" spans="1:10">
      <c r="A461" s="868"/>
      <c r="J461" s="868"/>
    </row>
    <row r="462" spans="1:10">
      <c r="A462" s="868"/>
      <c r="J462" s="868"/>
    </row>
    <row r="463" spans="1:10">
      <c r="A463" s="868"/>
      <c r="J463" s="868"/>
    </row>
    <row r="464" spans="1:10">
      <c r="A464" s="868"/>
      <c r="J464" s="868"/>
    </row>
    <row r="465" spans="1:15">
      <c r="A465" s="868"/>
      <c r="J465" s="868"/>
    </row>
    <row r="466" spans="1:15">
      <c r="A466" s="868"/>
      <c r="J466" s="868"/>
    </row>
    <row r="467" spans="1:15">
      <c r="A467" s="868"/>
      <c r="J467" s="868"/>
    </row>
    <row r="468" spans="1:15">
      <c r="A468" s="868"/>
      <c r="J468" s="868"/>
    </row>
    <row r="469" spans="1:15">
      <c r="A469" s="868"/>
      <c r="J469" s="868"/>
    </row>
    <row r="470" spans="1:15">
      <c r="A470" s="868"/>
      <c r="J470" s="868"/>
    </row>
    <row r="471" spans="1:15">
      <c r="A471" s="868"/>
      <c r="J471" s="868"/>
    </row>
    <row r="472" spans="1:15">
      <c r="A472" s="868"/>
      <c r="J472" s="868"/>
    </row>
    <row r="473" spans="1:15">
      <c r="A473" s="868"/>
      <c r="J473" s="868"/>
    </row>
    <row r="474" spans="1:15">
      <c r="A474" s="868"/>
      <c r="J474" s="868"/>
    </row>
    <row r="475" spans="1:15">
      <c r="A475" s="868"/>
      <c r="J475" s="868"/>
    </row>
    <row r="476" spans="1:15">
      <c r="A476" s="868"/>
      <c r="J476" s="868"/>
    </row>
    <row r="477" spans="1:15">
      <c r="A477" s="868"/>
      <c r="J477" s="868"/>
    </row>
    <row r="478" spans="1:15" ht="13.5" thickBot="1">
      <c r="A478" s="868"/>
      <c r="J478" s="868"/>
      <c r="O478" s="1067"/>
    </row>
    <row r="479" spans="1:15" ht="13.5" thickBot="1">
      <c r="A479" s="868"/>
      <c r="J479" s="868"/>
      <c r="O479" s="2441"/>
    </row>
    <row r="480" spans="1:15" ht="13.5" thickBot="1">
      <c r="A480" s="868"/>
      <c r="J480" s="868"/>
      <c r="O480" s="2441"/>
    </row>
    <row r="481" spans="1:15" ht="13.5" thickBot="1">
      <c r="A481" s="868"/>
      <c r="J481" s="868"/>
      <c r="O481" s="2441"/>
    </row>
    <row r="482" spans="1:15" ht="13.5" thickBot="1">
      <c r="A482" s="868"/>
      <c r="J482" s="868"/>
      <c r="N482" s="1067"/>
      <c r="O482" s="2441"/>
    </row>
    <row r="483" spans="1:15" ht="13.5" thickBot="1">
      <c r="A483" s="868"/>
      <c r="J483" s="868"/>
      <c r="N483" s="2441"/>
      <c r="O483" s="2441"/>
    </row>
    <row r="484" spans="1:15" ht="13.5" thickBot="1">
      <c r="A484" s="868"/>
      <c r="J484" s="868"/>
      <c r="N484" s="2441"/>
      <c r="O484" s="2441"/>
    </row>
    <row r="485" spans="1:15" ht="13.5" thickBot="1">
      <c r="A485" s="868"/>
      <c r="J485" s="868"/>
      <c r="N485" s="2441"/>
      <c r="O485" s="2441"/>
    </row>
    <row r="486" spans="1:15" ht="13.5" thickBot="1">
      <c r="A486" s="868"/>
      <c r="J486" s="868"/>
      <c r="N486" s="2441"/>
      <c r="O486" s="2441"/>
    </row>
    <row r="487" spans="1:15" ht="13.5" thickBot="1">
      <c r="A487" s="1067"/>
      <c r="B487" s="1067"/>
      <c r="C487" s="1067"/>
      <c r="D487" s="1067"/>
      <c r="E487" s="1067"/>
      <c r="F487" s="1067"/>
      <c r="G487" s="1067"/>
      <c r="H487" s="1067"/>
      <c r="I487" s="1067"/>
      <c r="J487" s="1067"/>
      <c r="K487" s="2935"/>
      <c r="L487" s="2935"/>
      <c r="N487" s="2441"/>
      <c r="O487" s="2441"/>
    </row>
    <row r="488" spans="1:15" ht="13.5" thickBot="1">
      <c r="A488" s="2441"/>
      <c r="B488" s="1066"/>
      <c r="C488" s="1066"/>
      <c r="D488" s="1066"/>
      <c r="E488" s="1066"/>
      <c r="F488" s="1066"/>
      <c r="G488" s="1066"/>
      <c r="H488" s="1066"/>
      <c r="I488" s="1066"/>
      <c r="J488" s="1066"/>
      <c r="K488" s="3021"/>
      <c r="L488" s="3021"/>
      <c r="N488" s="1066"/>
      <c r="O488" s="2441"/>
    </row>
    <row r="489" spans="1:15" ht="13.5" thickBot="1">
      <c r="A489" s="2441"/>
      <c r="J489" s="868"/>
      <c r="O489" s="2441"/>
    </row>
    <row r="490" spans="1:15" ht="13.5" thickBot="1">
      <c r="A490" s="2441"/>
      <c r="J490" s="868"/>
      <c r="O490" s="2441"/>
    </row>
    <row r="491" spans="1:15" ht="13.5" thickBot="1">
      <c r="A491" s="2441"/>
      <c r="J491" s="868"/>
      <c r="O491" s="2441"/>
    </row>
    <row r="492" spans="1:15" ht="13.5" thickBot="1">
      <c r="A492" s="2441"/>
      <c r="J492" s="868"/>
      <c r="O492" s="2441"/>
    </row>
    <row r="493" spans="1:15" ht="13.5" thickBot="1">
      <c r="A493" s="2441"/>
      <c r="J493" s="868"/>
      <c r="O493" s="2441"/>
    </row>
    <row r="494" spans="1:15" ht="13.5" thickBot="1">
      <c r="A494" s="2441"/>
      <c r="J494" s="868"/>
      <c r="O494" s="2441"/>
    </row>
    <row r="495" spans="1:15">
      <c r="A495" s="1066"/>
      <c r="J495" s="868"/>
      <c r="O495" s="1066"/>
    </row>
    <row r="496" spans="1:15">
      <c r="A496" s="868"/>
      <c r="J496" s="868"/>
    </row>
    <row r="497" spans="1:10">
      <c r="A497" s="868"/>
      <c r="J497" s="868"/>
    </row>
    <row r="498" spans="1:10">
      <c r="A498" s="868"/>
      <c r="J498" s="868"/>
    </row>
    <row r="499" spans="1:10">
      <c r="A499" s="868"/>
      <c r="J499" s="868"/>
    </row>
    <row r="500" spans="1:10">
      <c r="A500" s="868"/>
      <c r="J500" s="868"/>
    </row>
    <row r="501" spans="1:10">
      <c r="A501" s="868"/>
      <c r="J501" s="868"/>
    </row>
    <row r="502" spans="1:10">
      <c r="A502" s="868"/>
      <c r="J502" s="868"/>
    </row>
    <row r="503" spans="1:10">
      <c r="A503" s="868"/>
      <c r="J503" s="868"/>
    </row>
    <row r="504" spans="1:10">
      <c r="A504" s="868"/>
      <c r="J504" s="868"/>
    </row>
    <row r="505" spans="1:10">
      <c r="A505" s="868"/>
      <c r="J505" s="868"/>
    </row>
    <row r="506" spans="1:10">
      <c r="A506" s="868"/>
      <c r="J506" s="868"/>
    </row>
    <row r="507" spans="1:10">
      <c r="A507" s="868"/>
      <c r="J507" s="868"/>
    </row>
    <row r="508" spans="1:10">
      <c r="A508" s="868"/>
      <c r="J508" s="868"/>
    </row>
    <row r="509" spans="1:10">
      <c r="A509" s="868"/>
      <c r="J509" s="868"/>
    </row>
    <row r="510" spans="1:10">
      <c r="A510" s="868"/>
      <c r="J510" s="868"/>
    </row>
    <row r="511" spans="1:10">
      <c r="A511" s="868"/>
      <c r="J511" s="868"/>
    </row>
    <row r="512" spans="1:10">
      <c r="A512" s="868"/>
      <c r="J512" s="868"/>
    </row>
    <row r="513" spans="1:10">
      <c r="A513" s="868"/>
      <c r="J513" s="868"/>
    </row>
    <row r="514" spans="1:10">
      <c r="A514" s="868"/>
      <c r="J514" s="868"/>
    </row>
    <row r="515" spans="1:10">
      <c r="A515" s="868"/>
      <c r="J515" s="868"/>
    </row>
    <row r="516" spans="1:10">
      <c r="A516" s="868"/>
      <c r="J516" s="868"/>
    </row>
    <row r="517" spans="1:10">
      <c r="A517" s="868"/>
      <c r="J517" s="868"/>
    </row>
    <row r="518" spans="1:10">
      <c r="A518" s="868"/>
      <c r="J518" s="868"/>
    </row>
    <row r="519" spans="1:10">
      <c r="A519" s="868"/>
      <c r="J519" s="868"/>
    </row>
    <row r="520" spans="1:10">
      <c r="A520" s="868"/>
      <c r="J520" s="868"/>
    </row>
    <row r="521" spans="1:10">
      <c r="A521" s="868"/>
      <c r="J521" s="868"/>
    </row>
    <row r="522" spans="1:10">
      <c r="A522" s="868"/>
      <c r="J522" s="868"/>
    </row>
    <row r="523" spans="1:10">
      <c r="A523" s="868"/>
      <c r="J523" s="868"/>
    </row>
    <row r="524" spans="1:10">
      <c r="A524" s="868"/>
      <c r="J524" s="868"/>
    </row>
    <row r="525" spans="1:10">
      <c r="A525" s="868"/>
      <c r="J525" s="868"/>
    </row>
    <row r="526" spans="1:10">
      <c r="A526" s="868"/>
      <c r="J526" s="868"/>
    </row>
    <row r="527" spans="1:10">
      <c r="A527" s="868"/>
      <c r="J527" s="868"/>
    </row>
    <row r="528" spans="1:10">
      <c r="A528" s="868"/>
      <c r="J528" s="868"/>
    </row>
    <row r="529" spans="1:10">
      <c r="A529" s="868"/>
      <c r="J529" s="868"/>
    </row>
    <row r="530" spans="1:10">
      <c r="A530" s="868"/>
      <c r="J530" s="868"/>
    </row>
    <row r="531" spans="1:10">
      <c r="A531" s="868"/>
      <c r="J531" s="868"/>
    </row>
    <row r="532" spans="1:10">
      <c r="A532" s="868"/>
      <c r="J532" s="868"/>
    </row>
    <row r="533" spans="1:10">
      <c r="A533" s="868"/>
      <c r="J533" s="868"/>
    </row>
    <row r="534" spans="1:10">
      <c r="A534" s="868"/>
      <c r="J534" s="868"/>
    </row>
    <row r="535" spans="1:10">
      <c r="A535" s="868"/>
      <c r="J535" s="868"/>
    </row>
    <row r="536" spans="1:10">
      <c r="A536" s="868"/>
      <c r="J536" s="868"/>
    </row>
    <row r="537" spans="1:10">
      <c r="A537" s="868"/>
      <c r="J537" s="868"/>
    </row>
    <row r="538" spans="1:10">
      <c r="A538" s="868"/>
      <c r="J538" s="868"/>
    </row>
    <row r="539" spans="1:10">
      <c r="A539" s="868"/>
      <c r="J539" s="868"/>
    </row>
    <row r="540" spans="1:10">
      <c r="A540" s="868"/>
      <c r="J540" s="868"/>
    </row>
    <row r="541" spans="1:10">
      <c r="A541" s="868"/>
      <c r="J541" s="868"/>
    </row>
    <row r="542" spans="1:10">
      <c r="A542" s="868"/>
      <c r="J542" s="868"/>
    </row>
    <row r="543" spans="1:10">
      <c r="A543" s="868"/>
      <c r="J543" s="868"/>
    </row>
    <row r="544" spans="1:10">
      <c r="A544" s="868"/>
      <c r="J544" s="868"/>
    </row>
    <row r="545" spans="1:10">
      <c r="A545" s="868"/>
      <c r="J545" s="868"/>
    </row>
    <row r="546" spans="1:10">
      <c r="A546" s="868"/>
      <c r="J546" s="868"/>
    </row>
    <row r="547" spans="1:10">
      <c r="A547" s="868"/>
      <c r="J547" s="868"/>
    </row>
    <row r="548" spans="1:10">
      <c r="A548" s="868"/>
      <c r="J548" s="868"/>
    </row>
    <row r="549" spans="1:10">
      <c r="A549" s="868"/>
      <c r="J549" s="868"/>
    </row>
    <row r="550" spans="1:10">
      <c r="A550" s="868"/>
      <c r="J550" s="868"/>
    </row>
    <row r="551" spans="1:10">
      <c r="A551" s="868"/>
      <c r="J551" s="868"/>
    </row>
    <row r="552" spans="1:10">
      <c r="A552" s="868"/>
      <c r="J552" s="868"/>
    </row>
    <row r="553" spans="1:10">
      <c r="A553" s="868"/>
      <c r="J553" s="868"/>
    </row>
    <row r="554" spans="1:10">
      <c r="A554" s="868"/>
      <c r="J554" s="868"/>
    </row>
    <row r="555" spans="1:10">
      <c r="A555" s="868"/>
      <c r="J555" s="868"/>
    </row>
    <row r="556" spans="1:10">
      <c r="A556" s="868"/>
      <c r="J556" s="868"/>
    </row>
    <row r="557" spans="1:10">
      <c r="A557" s="868"/>
      <c r="J557" s="868"/>
    </row>
    <row r="558" spans="1:10">
      <c r="A558" s="868"/>
      <c r="J558" s="868"/>
    </row>
    <row r="559" spans="1:10">
      <c r="A559" s="868"/>
      <c r="J559" s="868"/>
    </row>
    <row r="560" spans="1:10">
      <c r="A560" s="868"/>
      <c r="J560" s="868"/>
    </row>
    <row r="561" spans="1:10">
      <c r="A561" s="868"/>
      <c r="J561" s="868"/>
    </row>
    <row r="562" spans="1:10">
      <c r="A562" s="868"/>
      <c r="J562" s="868"/>
    </row>
    <row r="563" spans="1:10">
      <c r="A563" s="868"/>
      <c r="J563" s="868"/>
    </row>
    <row r="564" spans="1:10">
      <c r="A564" s="868"/>
      <c r="J564" s="868"/>
    </row>
    <row r="565" spans="1:10">
      <c r="A565" s="868"/>
      <c r="J565" s="868"/>
    </row>
    <row r="566" spans="1:10">
      <c r="A566" s="868"/>
      <c r="J566" s="868"/>
    </row>
    <row r="567" spans="1:10">
      <c r="A567" s="868"/>
      <c r="J567" s="868"/>
    </row>
    <row r="568" spans="1:10">
      <c r="A568" s="868"/>
      <c r="J568" s="868"/>
    </row>
    <row r="569" spans="1:10">
      <c r="A569" s="868"/>
      <c r="J569" s="868"/>
    </row>
    <row r="570" spans="1:10">
      <c r="A570" s="868"/>
      <c r="J570" s="868"/>
    </row>
    <row r="571" spans="1:10">
      <c r="A571" s="868"/>
      <c r="J571" s="868"/>
    </row>
    <row r="572" spans="1:10">
      <c r="A572" s="868"/>
      <c r="J572" s="868"/>
    </row>
    <row r="573" spans="1:10">
      <c r="A573" s="868"/>
      <c r="J573" s="868"/>
    </row>
    <row r="574" spans="1:10">
      <c r="A574" s="868"/>
      <c r="J574" s="868"/>
    </row>
    <row r="575" spans="1:10">
      <c r="A575" s="868"/>
      <c r="J575" s="868"/>
    </row>
    <row r="576" spans="1:10">
      <c r="A576" s="868"/>
      <c r="J576" s="868"/>
    </row>
    <row r="577" spans="1:10">
      <c r="A577" s="868"/>
      <c r="J577" s="868"/>
    </row>
    <row r="578" spans="1:10">
      <c r="A578" s="868"/>
      <c r="J578" s="868"/>
    </row>
    <row r="579" spans="1:10">
      <c r="A579" s="868"/>
      <c r="J579" s="868"/>
    </row>
    <row r="580" spans="1:10">
      <c r="A580" s="868"/>
      <c r="J580" s="868"/>
    </row>
    <row r="581" spans="1:10">
      <c r="A581" s="868"/>
      <c r="J581" s="868"/>
    </row>
    <row r="582" spans="1:10">
      <c r="A582" s="868"/>
      <c r="J582" s="868"/>
    </row>
    <row r="583" spans="1:10">
      <c r="A583" s="868"/>
      <c r="J583" s="868"/>
    </row>
    <row r="584" spans="1:10">
      <c r="A584" s="868"/>
      <c r="J584" s="868"/>
    </row>
    <row r="585" spans="1:10">
      <c r="A585" s="868"/>
      <c r="J585" s="868"/>
    </row>
    <row r="586" spans="1:10">
      <c r="A586" s="868"/>
      <c r="J586" s="868"/>
    </row>
    <row r="587" spans="1:10">
      <c r="A587" s="868"/>
      <c r="J587" s="868"/>
    </row>
    <row r="588" spans="1:10">
      <c r="A588" s="868"/>
      <c r="J588" s="868"/>
    </row>
    <row r="589" spans="1:10">
      <c r="A589" s="868"/>
      <c r="J589" s="868"/>
    </row>
    <row r="590" spans="1:10">
      <c r="A590" s="868"/>
      <c r="J590" s="868"/>
    </row>
    <row r="591" spans="1:10">
      <c r="A591" s="868"/>
      <c r="J591" s="868"/>
    </row>
    <row r="592" spans="1:10">
      <c r="A592" s="868"/>
      <c r="J592" s="868"/>
    </row>
    <row r="593" spans="1:10">
      <c r="A593" s="868"/>
      <c r="J593" s="868"/>
    </row>
    <row r="594" spans="1:10">
      <c r="A594" s="868"/>
      <c r="J594" s="868"/>
    </row>
    <row r="595" spans="1:10">
      <c r="A595" s="868"/>
      <c r="J595" s="868"/>
    </row>
    <row r="596" spans="1:10">
      <c r="A596" s="868"/>
      <c r="J596" s="868"/>
    </row>
    <row r="597" spans="1:10">
      <c r="A597" s="868"/>
      <c r="J597" s="868"/>
    </row>
    <row r="598" spans="1:10">
      <c r="A598" s="868"/>
      <c r="J598" s="868"/>
    </row>
    <row r="599" spans="1:10">
      <c r="A599" s="868"/>
      <c r="J599" s="868"/>
    </row>
    <row r="600" spans="1:10">
      <c r="A600" s="868"/>
      <c r="J600" s="868"/>
    </row>
    <row r="601" spans="1:10">
      <c r="A601" s="868"/>
      <c r="J601" s="868"/>
    </row>
    <row r="602" spans="1:10">
      <c r="A602" s="868"/>
      <c r="J602" s="868"/>
    </row>
    <row r="603" spans="1:10">
      <c r="A603" s="868"/>
      <c r="J603" s="868"/>
    </row>
    <row r="604" spans="1:10">
      <c r="A604" s="868"/>
      <c r="J604" s="868"/>
    </row>
    <row r="605" spans="1:10">
      <c r="A605" s="868"/>
      <c r="J605" s="868"/>
    </row>
    <row r="606" spans="1:10">
      <c r="A606" s="868"/>
      <c r="J606" s="868"/>
    </row>
    <row r="607" spans="1:10">
      <c r="A607" s="868"/>
      <c r="J607" s="868"/>
    </row>
    <row r="608" spans="1:10">
      <c r="A608" s="868"/>
      <c r="J608" s="868"/>
    </row>
    <row r="609" spans="1:10">
      <c r="A609" s="868"/>
      <c r="J609" s="868"/>
    </row>
    <row r="610" spans="1:10">
      <c r="A610" s="868"/>
      <c r="J610" s="868"/>
    </row>
    <row r="611" spans="1:10">
      <c r="A611" s="868"/>
      <c r="J611" s="868"/>
    </row>
    <row r="612" spans="1:10">
      <c r="A612" s="868"/>
      <c r="J612" s="868"/>
    </row>
    <row r="613" spans="1:10">
      <c r="A613" s="868"/>
      <c r="J613" s="868"/>
    </row>
    <row r="614" spans="1:10">
      <c r="A614" s="868"/>
      <c r="J614" s="868"/>
    </row>
    <row r="615" spans="1:10">
      <c r="A615" s="868"/>
      <c r="J615" s="868"/>
    </row>
    <row r="616" spans="1:10">
      <c r="A616" s="868"/>
      <c r="J616" s="868"/>
    </row>
    <row r="617" spans="1:10">
      <c r="A617" s="868"/>
      <c r="J617" s="868"/>
    </row>
    <row r="618" spans="1:10">
      <c r="A618" s="868"/>
      <c r="J618" s="868"/>
    </row>
    <row r="619" spans="1:10">
      <c r="A619" s="868"/>
      <c r="J619" s="868"/>
    </row>
    <row r="620" spans="1:10">
      <c r="A620" s="868"/>
      <c r="J620" s="868"/>
    </row>
    <row r="621" spans="1:10">
      <c r="A621" s="868"/>
      <c r="J621" s="868"/>
    </row>
    <row r="622" spans="1:10">
      <c r="A622" s="868"/>
      <c r="J622" s="868"/>
    </row>
    <row r="623" spans="1:10">
      <c r="A623" s="868"/>
      <c r="J623" s="868"/>
    </row>
    <row r="624" spans="1:10">
      <c r="A624" s="868"/>
      <c r="J624" s="868"/>
    </row>
    <row r="625" spans="1:10">
      <c r="A625" s="868"/>
      <c r="J625" s="868"/>
    </row>
    <row r="626" spans="1:10">
      <c r="A626" s="868"/>
      <c r="J626" s="868"/>
    </row>
    <row r="627" spans="1:10">
      <c r="A627" s="868"/>
      <c r="J627" s="868"/>
    </row>
    <row r="628" spans="1:10">
      <c r="A628" s="868"/>
      <c r="J628" s="868"/>
    </row>
    <row r="629" spans="1:10">
      <c r="A629" s="868"/>
      <c r="J629" s="868"/>
    </row>
    <row r="630" spans="1:10">
      <c r="A630" s="868"/>
      <c r="J630" s="868"/>
    </row>
    <row r="631" spans="1:10">
      <c r="A631" s="868"/>
      <c r="J631" s="868"/>
    </row>
    <row r="632" spans="1:10">
      <c r="A632" s="868"/>
      <c r="J632" s="868"/>
    </row>
    <row r="633" spans="1:10">
      <c r="A633" s="868"/>
      <c r="J633" s="868"/>
    </row>
    <row r="634" spans="1:10">
      <c r="A634" s="868"/>
      <c r="J634" s="868"/>
    </row>
    <row r="635" spans="1:10">
      <c r="A635" s="868"/>
      <c r="J635" s="868"/>
    </row>
    <row r="636" spans="1:10">
      <c r="A636" s="868"/>
      <c r="J636" s="868"/>
    </row>
    <row r="637" spans="1:10">
      <c r="A637" s="868"/>
      <c r="J637" s="868"/>
    </row>
    <row r="638" spans="1:10">
      <c r="A638" s="868"/>
      <c r="J638" s="868"/>
    </row>
    <row r="639" spans="1:10">
      <c r="A639" s="868"/>
      <c r="J639" s="868"/>
    </row>
    <row r="640" spans="1:10">
      <c r="A640" s="868"/>
      <c r="J640" s="868"/>
    </row>
    <row r="641" spans="1:10">
      <c r="A641" s="868"/>
      <c r="J641" s="868"/>
    </row>
    <row r="642" spans="1:10">
      <c r="A642" s="868"/>
      <c r="J642" s="868"/>
    </row>
    <row r="643" spans="1:10">
      <c r="A643" s="868"/>
      <c r="J643" s="868"/>
    </row>
    <row r="644" spans="1:10">
      <c r="A644" s="868"/>
      <c r="J644" s="868"/>
    </row>
    <row r="645" spans="1:10">
      <c r="A645" s="868"/>
      <c r="J645" s="868"/>
    </row>
    <row r="646" spans="1:10">
      <c r="A646" s="868"/>
      <c r="J646" s="868"/>
    </row>
    <row r="647" spans="1:10">
      <c r="A647" s="868"/>
      <c r="J647" s="868"/>
    </row>
    <row r="648" spans="1:10">
      <c r="A648" s="868"/>
      <c r="J648" s="868"/>
    </row>
    <row r="649" spans="1:10">
      <c r="A649" s="868"/>
      <c r="J649" s="868"/>
    </row>
    <row r="650" spans="1:10">
      <c r="A650" s="868"/>
      <c r="J650" s="868"/>
    </row>
    <row r="651" spans="1:10">
      <c r="A651" s="868"/>
      <c r="J651" s="868"/>
    </row>
    <row r="652" spans="1:10">
      <c r="A652" s="868"/>
      <c r="J652" s="868"/>
    </row>
    <row r="653" spans="1:10">
      <c r="A653" s="868"/>
      <c r="J653" s="868"/>
    </row>
    <row r="654" spans="1:10">
      <c r="A654" s="868"/>
      <c r="J654" s="868"/>
    </row>
    <row r="655" spans="1:10">
      <c r="A655" s="868"/>
      <c r="J655" s="868"/>
    </row>
    <row r="656" spans="1:10">
      <c r="A656" s="868"/>
      <c r="J656" s="868"/>
    </row>
    <row r="657" spans="1:10">
      <c r="A657" s="868"/>
      <c r="J657" s="868"/>
    </row>
    <row r="658" spans="1:10">
      <c r="A658" s="868"/>
      <c r="J658" s="868"/>
    </row>
    <row r="659" spans="1:10">
      <c r="A659" s="868"/>
      <c r="J659" s="868"/>
    </row>
    <row r="660" spans="1:10">
      <c r="A660" s="868"/>
      <c r="J660" s="868"/>
    </row>
    <row r="661" spans="1:10">
      <c r="A661" s="868"/>
      <c r="J661" s="868"/>
    </row>
    <row r="662" spans="1:10">
      <c r="A662" s="868"/>
      <c r="J662" s="868"/>
    </row>
    <row r="663" spans="1:10">
      <c r="A663" s="868"/>
      <c r="J663" s="868"/>
    </row>
    <row r="664" spans="1:10">
      <c r="A664" s="868"/>
      <c r="J664" s="868"/>
    </row>
    <row r="665" spans="1:10">
      <c r="A665" s="868"/>
      <c r="J665" s="868"/>
    </row>
    <row r="666" spans="1:10">
      <c r="A666" s="868"/>
      <c r="J666" s="868"/>
    </row>
    <row r="667" spans="1:10">
      <c r="A667" s="868"/>
      <c r="J667" s="868"/>
    </row>
    <row r="668" spans="1:10">
      <c r="A668" s="868"/>
      <c r="J668" s="868"/>
    </row>
    <row r="669" spans="1:10">
      <c r="A669" s="868"/>
      <c r="J669" s="868"/>
    </row>
    <row r="670" spans="1:10">
      <c r="A670" s="868"/>
      <c r="J670" s="868"/>
    </row>
    <row r="671" spans="1:10">
      <c r="A671" s="868"/>
      <c r="J671" s="868"/>
    </row>
    <row r="672" spans="1:10">
      <c r="A672" s="868"/>
      <c r="J672" s="868"/>
    </row>
    <row r="673" spans="1:10">
      <c r="A673" s="868"/>
      <c r="J673" s="868"/>
    </row>
    <row r="674" spans="1:10">
      <c r="A674" s="868"/>
      <c r="J674" s="868"/>
    </row>
    <row r="675" spans="1:10">
      <c r="A675" s="868"/>
      <c r="J675" s="868"/>
    </row>
    <row r="676" spans="1:10">
      <c r="A676" s="868"/>
      <c r="J676" s="868"/>
    </row>
    <row r="677" spans="1:10">
      <c r="A677" s="868"/>
      <c r="J677" s="868"/>
    </row>
    <row r="678" spans="1:10">
      <c r="A678" s="868"/>
      <c r="J678" s="868"/>
    </row>
    <row r="679" spans="1:10">
      <c r="A679" s="868"/>
      <c r="J679" s="868"/>
    </row>
    <row r="680" spans="1:10">
      <c r="A680" s="868"/>
      <c r="J680" s="868"/>
    </row>
    <row r="681" spans="1:10">
      <c r="A681" s="868"/>
      <c r="J681" s="868"/>
    </row>
    <row r="682" spans="1:10">
      <c r="A682" s="868"/>
      <c r="J682" s="868"/>
    </row>
    <row r="683" spans="1:10">
      <c r="A683" s="868"/>
      <c r="J683" s="868"/>
    </row>
    <row r="684" spans="1:10">
      <c r="A684" s="868"/>
      <c r="J684" s="868"/>
    </row>
    <row r="685" spans="1:10">
      <c r="A685" s="868"/>
      <c r="J685" s="868"/>
    </row>
    <row r="686" spans="1:10">
      <c r="A686" s="868"/>
      <c r="J686" s="868"/>
    </row>
    <row r="687" spans="1:10">
      <c r="A687" s="868"/>
      <c r="J687" s="868"/>
    </row>
    <row r="688" spans="1:10">
      <c r="A688" s="868"/>
      <c r="J688" s="868"/>
    </row>
    <row r="689" spans="1:10">
      <c r="A689" s="868"/>
      <c r="J689" s="868"/>
    </row>
    <row r="690" spans="1:10">
      <c r="A690" s="868"/>
      <c r="J690" s="868"/>
    </row>
    <row r="691" spans="1:10">
      <c r="A691" s="868"/>
      <c r="J691" s="868"/>
    </row>
    <row r="692" spans="1:10">
      <c r="A692" s="868"/>
      <c r="J692" s="868"/>
    </row>
    <row r="693" spans="1:10">
      <c r="A693" s="868"/>
      <c r="J693" s="868"/>
    </row>
    <row r="694" spans="1:10">
      <c r="A694" s="868"/>
      <c r="J694" s="868"/>
    </row>
    <row r="695" spans="1:10">
      <c r="A695" s="868"/>
      <c r="J695" s="868"/>
    </row>
    <row r="696" spans="1:10">
      <c r="A696" s="868"/>
      <c r="J696" s="868"/>
    </row>
    <row r="697" spans="1:10">
      <c r="A697" s="868"/>
      <c r="J697" s="868"/>
    </row>
    <row r="698" spans="1:10">
      <c r="A698" s="868"/>
      <c r="J698" s="868"/>
    </row>
    <row r="699" spans="1:10">
      <c r="A699" s="868"/>
      <c r="J699" s="868"/>
    </row>
    <row r="700" spans="1:10">
      <c r="A700" s="868"/>
      <c r="J700" s="868"/>
    </row>
    <row r="701" spans="1:10">
      <c r="A701" s="868"/>
      <c r="J701" s="868"/>
    </row>
    <row r="702" spans="1:10">
      <c r="A702" s="868"/>
      <c r="J702" s="868"/>
    </row>
    <row r="703" spans="1:10">
      <c r="A703" s="868"/>
      <c r="J703" s="868"/>
    </row>
    <row r="704" spans="1:10">
      <c r="A704" s="868"/>
      <c r="J704" s="868"/>
    </row>
    <row r="705" spans="1:10">
      <c r="A705" s="868"/>
      <c r="J705" s="868"/>
    </row>
    <row r="706" spans="1:10">
      <c r="A706" s="868"/>
      <c r="J706" s="868"/>
    </row>
    <row r="707" spans="1:10">
      <c r="A707" s="868"/>
      <c r="J707" s="868"/>
    </row>
    <row r="708" spans="1:10">
      <c r="A708" s="868"/>
      <c r="J708" s="868"/>
    </row>
    <row r="709" spans="1:10">
      <c r="A709" s="868"/>
      <c r="J709" s="868"/>
    </row>
    <row r="710" spans="1:10">
      <c r="A710" s="868"/>
      <c r="J710" s="868"/>
    </row>
    <row r="711" spans="1:10">
      <c r="A711" s="868"/>
      <c r="J711" s="868"/>
    </row>
    <row r="712" spans="1:10">
      <c r="A712" s="868"/>
      <c r="J712" s="868"/>
    </row>
    <row r="713" spans="1:10">
      <c r="A713" s="868"/>
      <c r="J713" s="868"/>
    </row>
    <row r="714" spans="1:10">
      <c r="A714" s="868"/>
      <c r="J714" s="868"/>
    </row>
    <row r="715" spans="1:10">
      <c r="A715" s="868"/>
      <c r="J715" s="868"/>
    </row>
    <row r="716" spans="1:10">
      <c r="A716" s="868"/>
      <c r="J716" s="868"/>
    </row>
    <row r="717" spans="1:10">
      <c r="A717" s="868"/>
      <c r="J717" s="868"/>
    </row>
    <row r="718" spans="1:10">
      <c r="A718" s="868"/>
      <c r="J718" s="868"/>
    </row>
    <row r="719" spans="1:10">
      <c r="A719" s="868"/>
      <c r="J719" s="868"/>
    </row>
    <row r="720" spans="1:10">
      <c r="A720" s="868"/>
      <c r="J720" s="868"/>
    </row>
    <row r="721" spans="1:10">
      <c r="A721" s="868"/>
      <c r="J721" s="868"/>
    </row>
    <row r="722" spans="1:10">
      <c r="A722" s="868"/>
      <c r="J722" s="868"/>
    </row>
    <row r="723" spans="1:10">
      <c r="A723" s="868"/>
      <c r="J723" s="868"/>
    </row>
    <row r="724" spans="1:10">
      <c r="A724" s="868"/>
      <c r="J724" s="868"/>
    </row>
    <row r="725" spans="1:10">
      <c r="A725" s="868"/>
      <c r="J725" s="868"/>
    </row>
    <row r="726" spans="1:10">
      <c r="A726" s="868"/>
      <c r="J726" s="868"/>
    </row>
    <row r="727" spans="1:10">
      <c r="A727" s="868"/>
      <c r="J727" s="868"/>
    </row>
    <row r="728" spans="1:10">
      <c r="A728" s="868"/>
      <c r="J728" s="868"/>
    </row>
    <row r="729" spans="1:10">
      <c r="A729" s="868"/>
      <c r="J729" s="868"/>
    </row>
    <row r="730" spans="1:10">
      <c r="A730" s="868"/>
      <c r="J730" s="868"/>
    </row>
    <row r="731" spans="1:10">
      <c r="A731" s="868"/>
      <c r="J731" s="868"/>
    </row>
    <row r="732" spans="1:10">
      <c r="A732" s="868"/>
      <c r="J732" s="868"/>
    </row>
    <row r="733" spans="1:10">
      <c r="A733" s="868"/>
      <c r="J733" s="868"/>
    </row>
    <row r="734" spans="1:10">
      <c r="A734" s="868"/>
      <c r="J734" s="868"/>
    </row>
    <row r="735" spans="1:10">
      <c r="A735" s="868"/>
      <c r="J735" s="868"/>
    </row>
    <row r="736" spans="1:10">
      <c r="A736" s="868"/>
      <c r="J736" s="868"/>
    </row>
    <row r="737" spans="1:10">
      <c r="A737" s="868"/>
      <c r="J737" s="868"/>
    </row>
    <row r="738" spans="1:10">
      <c r="A738" s="868"/>
      <c r="J738" s="868"/>
    </row>
    <row r="739" spans="1:10">
      <c r="A739" s="868"/>
      <c r="J739" s="868"/>
    </row>
    <row r="740" spans="1:10">
      <c r="A740" s="868"/>
      <c r="J740" s="868"/>
    </row>
    <row r="741" spans="1:10">
      <c r="A741" s="868"/>
      <c r="J741" s="868"/>
    </row>
    <row r="742" spans="1:10">
      <c r="A742" s="868"/>
      <c r="J742" s="868"/>
    </row>
    <row r="743" spans="1:10">
      <c r="A743" s="868"/>
      <c r="J743" s="868"/>
    </row>
    <row r="744" spans="1:10">
      <c r="A744" s="868"/>
      <c r="J744" s="868"/>
    </row>
    <row r="745" spans="1:10">
      <c r="A745" s="868"/>
      <c r="J745" s="868"/>
    </row>
    <row r="746" spans="1:10">
      <c r="A746" s="868"/>
      <c r="J746" s="868"/>
    </row>
    <row r="747" spans="1:10">
      <c r="A747" s="868"/>
      <c r="J747" s="868"/>
    </row>
    <row r="748" spans="1:10">
      <c r="A748" s="868"/>
      <c r="J748" s="868"/>
    </row>
    <row r="749" spans="1:10">
      <c r="A749" s="868"/>
      <c r="J749" s="868"/>
    </row>
    <row r="750" spans="1:10">
      <c r="A750" s="868"/>
      <c r="J750" s="868"/>
    </row>
    <row r="751" spans="1:10">
      <c r="A751" s="868"/>
      <c r="J751" s="868"/>
    </row>
    <row r="752" spans="1:10">
      <c r="A752" s="868"/>
      <c r="J752" s="868"/>
    </row>
    <row r="753" spans="1:10">
      <c r="A753" s="868"/>
      <c r="J753" s="868"/>
    </row>
    <row r="754" spans="1:10">
      <c r="A754" s="868"/>
      <c r="J754" s="868"/>
    </row>
    <row r="755" spans="1:10">
      <c r="A755" s="868"/>
      <c r="J755" s="868"/>
    </row>
    <row r="756" spans="1:10">
      <c r="A756" s="868"/>
      <c r="J756" s="868"/>
    </row>
    <row r="757" spans="1:10">
      <c r="A757" s="868"/>
      <c r="J757" s="868"/>
    </row>
    <row r="758" spans="1:10">
      <c r="A758" s="868"/>
      <c r="J758" s="868"/>
    </row>
    <row r="759" spans="1:10">
      <c r="A759" s="868"/>
      <c r="J759" s="868"/>
    </row>
    <row r="760" spans="1:10">
      <c r="A760" s="868"/>
      <c r="J760" s="868"/>
    </row>
    <row r="761" spans="1:10">
      <c r="A761" s="868"/>
      <c r="J761" s="868"/>
    </row>
    <row r="762" spans="1:10">
      <c r="A762" s="868"/>
      <c r="J762" s="868"/>
    </row>
    <row r="763" spans="1:10">
      <c r="A763" s="868"/>
      <c r="J763" s="868"/>
    </row>
    <row r="764" spans="1:10">
      <c r="A764" s="868"/>
      <c r="J764" s="868"/>
    </row>
    <row r="765" spans="1:10">
      <c r="A765" s="868"/>
      <c r="J765" s="868"/>
    </row>
    <row r="766" spans="1:10">
      <c r="A766" s="868"/>
      <c r="J766" s="868"/>
    </row>
    <row r="767" spans="1:10">
      <c r="A767" s="868"/>
      <c r="J767" s="868"/>
    </row>
    <row r="768" spans="1:10">
      <c r="A768" s="868"/>
      <c r="J768" s="868"/>
    </row>
    <row r="769" spans="1:10">
      <c r="A769" s="868"/>
      <c r="J769" s="868"/>
    </row>
    <row r="770" spans="1:10">
      <c r="A770" s="868"/>
      <c r="J770" s="868"/>
    </row>
    <row r="771" spans="1:10">
      <c r="A771" s="868"/>
      <c r="J771" s="868"/>
    </row>
    <row r="772" spans="1:10">
      <c r="A772" s="868"/>
      <c r="J772" s="868"/>
    </row>
    <row r="773" spans="1:10">
      <c r="A773" s="868"/>
      <c r="J773" s="868"/>
    </row>
    <row r="774" spans="1:10">
      <c r="A774" s="868"/>
      <c r="J774" s="868"/>
    </row>
    <row r="775" spans="1:10">
      <c r="A775" s="868"/>
      <c r="J775" s="868"/>
    </row>
    <row r="776" spans="1:10">
      <c r="A776" s="868"/>
      <c r="J776" s="868"/>
    </row>
    <row r="777" spans="1:10">
      <c r="A777" s="868"/>
      <c r="J777" s="868"/>
    </row>
    <row r="778" spans="1:10">
      <c r="A778" s="868"/>
      <c r="J778" s="868"/>
    </row>
    <row r="779" spans="1:10">
      <c r="A779" s="868"/>
      <c r="J779" s="868"/>
    </row>
    <row r="780" spans="1:10">
      <c r="A780" s="868"/>
      <c r="J780" s="868"/>
    </row>
    <row r="781" spans="1:10">
      <c r="A781" s="868"/>
      <c r="J781" s="868"/>
    </row>
    <row r="782" spans="1:10">
      <c r="A782" s="868"/>
      <c r="J782" s="868"/>
    </row>
    <row r="783" spans="1:10">
      <c r="A783" s="868"/>
      <c r="J783" s="868"/>
    </row>
    <row r="784" spans="1:10">
      <c r="A784" s="868"/>
      <c r="J784" s="868"/>
    </row>
    <row r="785" spans="1:10">
      <c r="A785" s="868"/>
      <c r="J785" s="868"/>
    </row>
    <row r="786" spans="1:10">
      <c r="A786" s="868"/>
      <c r="J786" s="868"/>
    </row>
    <row r="787" spans="1:10">
      <c r="A787" s="868"/>
      <c r="J787" s="868"/>
    </row>
    <row r="788" spans="1:10">
      <c r="A788" s="868"/>
      <c r="J788" s="868"/>
    </row>
    <row r="789" spans="1:10">
      <c r="A789" s="868"/>
      <c r="J789" s="868"/>
    </row>
    <row r="790" spans="1:10">
      <c r="A790" s="868"/>
      <c r="J790" s="868"/>
    </row>
    <row r="791" spans="1:10">
      <c r="A791" s="868"/>
      <c r="J791" s="868"/>
    </row>
    <row r="792" spans="1:10">
      <c r="A792" s="868"/>
      <c r="J792" s="868"/>
    </row>
    <row r="793" spans="1:10">
      <c r="A793" s="868"/>
      <c r="J793" s="868"/>
    </row>
    <row r="794" spans="1:10">
      <c r="A794" s="868"/>
      <c r="J794" s="868"/>
    </row>
    <row r="795" spans="1:10">
      <c r="A795" s="868"/>
      <c r="J795" s="868"/>
    </row>
    <row r="796" spans="1:10">
      <c r="A796" s="868"/>
      <c r="J796" s="868"/>
    </row>
    <row r="797" spans="1:10">
      <c r="A797" s="868"/>
      <c r="J797" s="868"/>
    </row>
    <row r="798" spans="1:10">
      <c r="A798" s="868"/>
      <c r="J798" s="868"/>
    </row>
    <row r="799" spans="1:10">
      <c r="A799" s="868"/>
      <c r="J799" s="868"/>
    </row>
    <row r="800" spans="1:10">
      <c r="A800" s="868"/>
      <c r="J800" s="868"/>
    </row>
    <row r="801" spans="1:10">
      <c r="A801" s="868"/>
      <c r="J801" s="868"/>
    </row>
    <row r="802" spans="1:10">
      <c r="A802" s="868"/>
      <c r="J802" s="868"/>
    </row>
    <row r="803" spans="1:10">
      <c r="A803" s="868"/>
      <c r="J803" s="868"/>
    </row>
    <row r="804" spans="1:10">
      <c r="A804" s="868"/>
      <c r="J804" s="868"/>
    </row>
    <row r="805" spans="1:10">
      <c r="A805" s="868"/>
      <c r="J805" s="868"/>
    </row>
    <row r="806" spans="1:10">
      <c r="A806" s="868"/>
      <c r="J806" s="868"/>
    </row>
    <row r="807" spans="1:10">
      <c r="A807" s="868"/>
      <c r="J807" s="868"/>
    </row>
    <row r="808" spans="1:10">
      <c r="A808" s="868"/>
      <c r="J808" s="868"/>
    </row>
    <row r="809" spans="1:10">
      <c r="A809" s="868"/>
      <c r="J809" s="868"/>
    </row>
    <row r="810" spans="1:10">
      <c r="A810" s="868"/>
      <c r="J810" s="868"/>
    </row>
    <row r="811" spans="1:10">
      <c r="A811" s="868"/>
      <c r="J811" s="868"/>
    </row>
    <row r="812" spans="1:10">
      <c r="A812" s="868"/>
      <c r="J812" s="868"/>
    </row>
    <row r="813" spans="1:10">
      <c r="A813" s="868"/>
      <c r="J813" s="868"/>
    </row>
    <row r="814" spans="1:10">
      <c r="A814" s="868"/>
      <c r="J814" s="868"/>
    </row>
    <row r="815" spans="1:10">
      <c r="A815" s="868"/>
      <c r="J815" s="868"/>
    </row>
    <row r="816" spans="1:10">
      <c r="A816" s="868"/>
      <c r="J816" s="868"/>
    </row>
    <row r="817" spans="1:10">
      <c r="A817" s="868"/>
      <c r="J817" s="868"/>
    </row>
    <row r="818" spans="1:10">
      <c r="A818" s="868"/>
      <c r="J818" s="868"/>
    </row>
    <row r="819" spans="1:10">
      <c r="A819" s="868"/>
      <c r="J819" s="868"/>
    </row>
    <row r="820" spans="1:10">
      <c r="A820" s="868"/>
      <c r="J820" s="868"/>
    </row>
    <row r="821" spans="1:10">
      <c r="A821" s="868"/>
      <c r="J821" s="868"/>
    </row>
    <row r="822" spans="1:10">
      <c r="A822" s="868"/>
      <c r="J822" s="868"/>
    </row>
    <row r="823" spans="1:10">
      <c r="A823" s="868"/>
      <c r="J823" s="868"/>
    </row>
    <row r="824" spans="1:10">
      <c r="A824" s="868"/>
      <c r="J824" s="868"/>
    </row>
    <row r="825" spans="1:10">
      <c r="A825" s="868"/>
      <c r="J825" s="868"/>
    </row>
    <row r="826" spans="1:10">
      <c r="A826" s="868"/>
      <c r="J826" s="868"/>
    </row>
    <row r="827" spans="1:10">
      <c r="A827" s="868"/>
      <c r="J827" s="868"/>
    </row>
    <row r="828" spans="1:10">
      <c r="A828" s="868"/>
      <c r="J828" s="868"/>
    </row>
    <row r="829" spans="1:10">
      <c r="A829" s="868"/>
      <c r="J829" s="868"/>
    </row>
    <row r="830" spans="1:10">
      <c r="A830" s="868"/>
      <c r="J830" s="868"/>
    </row>
    <row r="831" spans="1:10">
      <c r="A831" s="868"/>
      <c r="J831" s="868"/>
    </row>
    <row r="832" spans="1:10">
      <c r="A832" s="868"/>
      <c r="J832" s="868"/>
    </row>
    <row r="833" spans="1:10">
      <c r="A833" s="868"/>
      <c r="J833" s="868"/>
    </row>
    <row r="834" spans="1:10">
      <c r="A834" s="868"/>
      <c r="J834" s="868"/>
    </row>
    <row r="835" spans="1:10">
      <c r="A835" s="868"/>
      <c r="J835" s="868"/>
    </row>
    <row r="836" spans="1:10">
      <c r="A836" s="868"/>
      <c r="J836" s="868"/>
    </row>
    <row r="837" spans="1:10">
      <c r="A837" s="868"/>
      <c r="J837" s="868"/>
    </row>
    <row r="838" spans="1:10">
      <c r="A838" s="868"/>
      <c r="J838" s="868"/>
    </row>
    <row r="839" spans="1:10">
      <c r="A839" s="868"/>
      <c r="J839" s="868"/>
    </row>
    <row r="840" spans="1:10">
      <c r="A840" s="868"/>
      <c r="J840" s="868"/>
    </row>
    <row r="841" spans="1:10">
      <c r="A841" s="868"/>
      <c r="J841" s="868"/>
    </row>
    <row r="842" spans="1:10">
      <c r="A842" s="868"/>
      <c r="J842" s="868"/>
    </row>
    <row r="843" spans="1:10">
      <c r="A843" s="868"/>
      <c r="J843" s="868"/>
    </row>
    <row r="844" spans="1:10">
      <c r="A844" s="868"/>
      <c r="J844" s="868"/>
    </row>
    <row r="845" spans="1:10">
      <c r="A845" s="868"/>
      <c r="J845" s="868"/>
    </row>
    <row r="846" spans="1:10">
      <c r="A846" s="868"/>
      <c r="J846" s="868"/>
    </row>
    <row r="847" spans="1:10">
      <c r="A847" s="868"/>
      <c r="J847" s="868"/>
    </row>
    <row r="848" spans="1:10">
      <c r="A848" s="868"/>
      <c r="J848" s="868"/>
    </row>
    <row r="849" spans="1:10">
      <c r="A849" s="868"/>
      <c r="J849" s="868"/>
    </row>
    <row r="850" spans="1:10">
      <c r="A850" s="868"/>
      <c r="J850" s="868"/>
    </row>
    <row r="851" spans="1:10">
      <c r="A851" s="868"/>
      <c r="J851" s="868"/>
    </row>
    <row r="852" spans="1:10">
      <c r="A852" s="868"/>
      <c r="J852" s="868"/>
    </row>
    <row r="853" spans="1:10">
      <c r="A853" s="868"/>
      <c r="J853" s="868"/>
    </row>
    <row r="854" spans="1:10">
      <c r="A854" s="868"/>
      <c r="J854" s="868"/>
    </row>
    <row r="855" spans="1:10">
      <c r="A855" s="868"/>
      <c r="J855" s="868"/>
    </row>
    <row r="856" spans="1:10">
      <c r="A856" s="868"/>
      <c r="J856" s="868"/>
    </row>
    <row r="857" spans="1:10">
      <c r="A857" s="868"/>
      <c r="J857" s="868"/>
    </row>
    <row r="858" spans="1:10">
      <c r="A858" s="868"/>
      <c r="J858" s="868"/>
    </row>
    <row r="859" spans="1:10">
      <c r="A859" s="868"/>
      <c r="J859" s="868"/>
    </row>
    <row r="860" spans="1:10">
      <c r="A860" s="868"/>
      <c r="J860" s="868"/>
    </row>
    <row r="861" spans="1:10">
      <c r="A861" s="868"/>
      <c r="J861" s="868"/>
    </row>
    <row r="862" spans="1:10">
      <c r="A862" s="868"/>
      <c r="J862" s="868"/>
    </row>
    <row r="863" spans="1:10">
      <c r="A863" s="868"/>
      <c r="J863" s="868"/>
    </row>
    <row r="864" spans="1:10">
      <c r="A864" s="868"/>
      <c r="J864" s="868"/>
    </row>
    <row r="865" spans="1:10">
      <c r="A865" s="868"/>
      <c r="J865" s="868"/>
    </row>
    <row r="866" spans="1:10">
      <c r="A866" s="868"/>
      <c r="J866" s="868"/>
    </row>
    <row r="867" spans="1:10">
      <c r="A867" s="868"/>
      <c r="J867" s="868"/>
    </row>
    <row r="868" spans="1:10">
      <c r="A868" s="868"/>
      <c r="J868" s="868"/>
    </row>
    <row r="869" spans="1:10">
      <c r="A869" s="868"/>
      <c r="J869" s="868"/>
    </row>
    <row r="870" spans="1:10">
      <c r="A870" s="868"/>
      <c r="J870" s="868"/>
    </row>
    <row r="871" spans="1:10">
      <c r="A871" s="868"/>
      <c r="J871" s="868"/>
    </row>
    <row r="872" spans="1:10">
      <c r="A872" s="868"/>
      <c r="J872" s="868"/>
    </row>
    <row r="873" spans="1:10">
      <c r="A873" s="868"/>
      <c r="J873" s="868"/>
    </row>
    <row r="874" spans="1:10">
      <c r="A874" s="868"/>
      <c r="J874" s="868"/>
    </row>
    <row r="875" spans="1:10">
      <c r="A875" s="868"/>
      <c r="J875" s="868"/>
    </row>
    <row r="876" spans="1:10">
      <c r="A876" s="868"/>
      <c r="J876" s="868"/>
    </row>
    <row r="877" spans="1:10">
      <c r="A877" s="868"/>
      <c r="J877" s="868"/>
    </row>
    <row r="878" spans="1:10">
      <c r="A878" s="868"/>
      <c r="J878" s="868"/>
    </row>
    <row r="879" spans="1:10">
      <c r="A879" s="868"/>
      <c r="J879" s="868"/>
    </row>
    <row r="880" spans="1:10">
      <c r="A880" s="868"/>
      <c r="J880" s="868"/>
    </row>
    <row r="881" spans="1:10">
      <c r="A881" s="868"/>
      <c r="J881" s="868"/>
    </row>
    <row r="882" spans="1:10">
      <c r="A882" s="868"/>
      <c r="J882" s="868"/>
    </row>
    <row r="883" spans="1:10">
      <c r="A883" s="868"/>
      <c r="J883" s="868"/>
    </row>
    <row r="884" spans="1:10">
      <c r="A884" s="868"/>
      <c r="J884" s="868"/>
    </row>
    <row r="885" spans="1:10">
      <c r="A885" s="868"/>
      <c r="J885" s="868"/>
    </row>
    <row r="886" spans="1:10">
      <c r="A886" s="868"/>
      <c r="J886" s="868"/>
    </row>
    <row r="887" spans="1:10">
      <c r="A887" s="868"/>
      <c r="J887" s="868"/>
    </row>
    <row r="888" spans="1:10">
      <c r="A888" s="868"/>
      <c r="J888" s="868"/>
    </row>
    <row r="889" spans="1:10">
      <c r="A889" s="868"/>
      <c r="J889" s="868"/>
    </row>
    <row r="890" spans="1:10">
      <c r="A890" s="868"/>
      <c r="J890" s="868"/>
    </row>
    <row r="891" spans="1:10">
      <c r="A891" s="868"/>
      <c r="J891" s="868"/>
    </row>
    <row r="892" spans="1:10">
      <c r="A892" s="868"/>
      <c r="J892" s="868"/>
    </row>
    <row r="893" spans="1:10">
      <c r="A893" s="868"/>
      <c r="J893" s="868"/>
    </row>
    <row r="894" spans="1:10">
      <c r="A894" s="868"/>
      <c r="J894" s="868"/>
    </row>
    <row r="895" spans="1:10">
      <c r="A895" s="868"/>
      <c r="J895" s="868"/>
    </row>
    <row r="896" spans="1:10">
      <c r="A896" s="868"/>
      <c r="J896" s="868"/>
    </row>
    <row r="897" spans="1:10">
      <c r="A897" s="868"/>
      <c r="J897" s="868"/>
    </row>
    <row r="898" spans="1:10">
      <c r="A898" s="868"/>
      <c r="J898" s="868"/>
    </row>
    <row r="899" spans="1:10">
      <c r="A899" s="868"/>
      <c r="J899" s="868"/>
    </row>
    <row r="900" spans="1:10">
      <c r="A900" s="868"/>
      <c r="J900" s="868"/>
    </row>
    <row r="901" spans="1:10">
      <c r="A901" s="868"/>
      <c r="J901" s="868"/>
    </row>
    <row r="902" spans="1:10">
      <c r="A902" s="868"/>
      <c r="J902" s="868"/>
    </row>
    <row r="903" spans="1:10">
      <c r="A903" s="868"/>
      <c r="J903" s="868"/>
    </row>
    <row r="904" spans="1:10">
      <c r="A904" s="868"/>
      <c r="J904" s="868"/>
    </row>
    <row r="905" spans="1:10">
      <c r="A905" s="868"/>
      <c r="J905" s="868"/>
    </row>
    <row r="906" spans="1:10">
      <c r="A906" s="868"/>
      <c r="J906" s="868"/>
    </row>
    <row r="907" spans="1:10">
      <c r="A907" s="868"/>
      <c r="J907" s="868"/>
    </row>
    <row r="908" spans="1:10">
      <c r="A908" s="868"/>
      <c r="J908" s="868"/>
    </row>
    <row r="909" spans="1:10">
      <c r="A909" s="868"/>
      <c r="J909" s="868"/>
    </row>
    <row r="910" spans="1:10">
      <c r="A910" s="868"/>
      <c r="J910" s="868"/>
    </row>
    <row r="911" spans="1:10">
      <c r="A911" s="868"/>
      <c r="J911" s="868"/>
    </row>
    <row r="912" spans="1:10">
      <c r="A912" s="868"/>
      <c r="J912" s="868"/>
    </row>
    <row r="913" spans="1:10">
      <c r="A913" s="868"/>
      <c r="J913" s="868"/>
    </row>
    <row r="914" spans="1:10">
      <c r="A914" s="868"/>
      <c r="J914" s="868"/>
    </row>
    <row r="915" spans="1:10">
      <c r="A915" s="868"/>
      <c r="J915" s="868"/>
    </row>
    <row r="916" spans="1:10">
      <c r="A916" s="868"/>
      <c r="J916" s="868"/>
    </row>
    <row r="917" spans="1:10">
      <c r="A917" s="868"/>
      <c r="J917" s="868"/>
    </row>
    <row r="918" spans="1:10">
      <c r="A918" s="868"/>
      <c r="J918" s="868"/>
    </row>
    <row r="919" spans="1:10">
      <c r="A919" s="868"/>
      <c r="J919" s="868"/>
    </row>
    <row r="920" spans="1:10">
      <c r="A920" s="868"/>
      <c r="J920" s="868"/>
    </row>
    <row r="921" spans="1:10">
      <c r="A921" s="868"/>
      <c r="J921" s="868"/>
    </row>
    <row r="922" spans="1:10">
      <c r="A922" s="868"/>
      <c r="J922" s="868"/>
    </row>
    <row r="923" spans="1:10">
      <c r="A923" s="868"/>
      <c r="J923" s="868"/>
    </row>
    <row r="924" spans="1:10">
      <c r="A924" s="868"/>
      <c r="J924" s="868"/>
    </row>
    <row r="925" spans="1:10">
      <c r="A925" s="868"/>
      <c r="J925" s="868"/>
    </row>
    <row r="926" spans="1:10">
      <c r="A926" s="868"/>
      <c r="J926" s="868"/>
    </row>
    <row r="927" spans="1:10">
      <c r="A927" s="868"/>
      <c r="J927" s="868"/>
    </row>
    <row r="928" spans="1:10">
      <c r="A928" s="868"/>
      <c r="J928" s="868"/>
    </row>
    <row r="929" spans="1:10">
      <c r="A929" s="868"/>
      <c r="J929" s="868"/>
    </row>
    <row r="930" spans="1:10">
      <c r="A930" s="868"/>
      <c r="J930" s="868"/>
    </row>
    <row r="931" spans="1:10">
      <c r="A931" s="868"/>
      <c r="J931" s="868"/>
    </row>
    <row r="932" spans="1:10">
      <c r="A932" s="868"/>
      <c r="J932" s="868"/>
    </row>
    <row r="933" spans="1:10">
      <c r="A933" s="868"/>
      <c r="J933" s="868"/>
    </row>
    <row r="934" spans="1:10">
      <c r="A934" s="868"/>
      <c r="J934" s="868"/>
    </row>
    <row r="935" spans="1:10">
      <c r="A935" s="868"/>
      <c r="J935" s="868"/>
    </row>
    <row r="936" spans="1:10">
      <c r="A936" s="868"/>
      <c r="J936" s="868"/>
    </row>
    <row r="937" spans="1:10">
      <c r="A937" s="868"/>
      <c r="J937" s="868"/>
    </row>
    <row r="938" spans="1:10">
      <c r="A938" s="868"/>
      <c r="J938" s="868"/>
    </row>
    <row r="939" spans="1:10">
      <c r="A939" s="868"/>
      <c r="J939" s="868"/>
    </row>
    <row r="940" spans="1:10">
      <c r="A940" s="868"/>
      <c r="J940" s="868"/>
    </row>
    <row r="941" spans="1:10">
      <c r="A941" s="868"/>
      <c r="J941" s="868"/>
    </row>
    <row r="942" spans="1:10">
      <c r="A942" s="868"/>
      <c r="J942" s="868"/>
    </row>
    <row r="943" spans="1:10">
      <c r="A943" s="868"/>
      <c r="J943" s="868"/>
    </row>
    <row r="944" spans="1:10">
      <c r="A944" s="868"/>
      <c r="J944" s="868"/>
    </row>
    <row r="945" spans="1:10">
      <c r="A945" s="868"/>
      <c r="J945" s="868"/>
    </row>
    <row r="946" spans="1:10">
      <c r="A946" s="868"/>
      <c r="J946" s="868"/>
    </row>
    <row r="947" spans="1:10">
      <c r="A947" s="868"/>
      <c r="J947" s="868"/>
    </row>
    <row r="948" spans="1:10">
      <c r="A948" s="868"/>
      <c r="J948" s="868"/>
    </row>
    <row r="949" spans="1:10">
      <c r="A949" s="868"/>
      <c r="J949" s="868"/>
    </row>
    <row r="950" spans="1:10">
      <c r="A950" s="868"/>
      <c r="J950" s="868"/>
    </row>
    <row r="951" spans="1:10">
      <c r="A951" s="868"/>
      <c r="J951" s="868"/>
    </row>
    <row r="952" spans="1:10">
      <c r="A952" s="868"/>
      <c r="J952" s="868"/>
    </row>
    <row r="953" spans="1:10">
      <c r="A953" s="868"/>
      <c r="J953" s="868"/>
    </row>
    <row r="954" spans="1:10">
      <c r="A954" s="868"/>
      <c r="J954" s="868"/>
    </row>
    <row r="955" spans="1:10">
      <c r="A955" s="868"/>
      <c r="J955" s="868"/>
    </row>
    <row r="956" spans="1:10">
      <c r="A956" s="868"/>
      <c r="J956" s="868"/>
    </row>
    <row r="957" spans="1:10">
      <c r="A957" s="868"/>
      <c r="J957" s="868"/>
    </row>
    <row r="958" spans="1:10">
      <c r="A958" s="868"/>
      <c r="J958" s="868"/>
    </row>
    <row r="959" spans="1:10">
      <c r="A959" s="868"/>
      <c r="J959" s="868"/>
    </row>
    <row r="960" spans="1:10">
      <c r="A960" s="868"/>
      <c r="J960" s="868"/>
    </row>
    <row r="961" spans="1:10">
      <c r="A961" s="868"/>
      <c r="J961" s="868"/>
    </row>
    <row r="962" spans="1:10">
      <c r="A962" s="868"/>
      <c r="J962" s="868"/>
    </row>
    <row r="963" spans="1:10">
      <c r="A963" s="868"/>
      <c r="J963" s="868"/>
    </row>
    <row r="964" spans="1:10">
      <c r="A964" s="868"/>
      <c r="J964" s="868"/>
    </row>
    <row r="965" spans="1:10">
      <c r="A965" s="868"/>
      <c r="J965" s="868"/>
    </row>
    <row r="966" spans="1:10">
      <c r="A966" s="868"/>
      <c r="J966" s="868"/>
    </row>
    <row r="967" spans="1:10">
      <c r="A967" s="868"/>
      <c r="J967" s="868"/>
    </row>
    <row r="968" spans="1:10">
      <c r="A968" s="868"/>
      <c r="J968" s="868"/>
    </row>
    <row r="969" spans="1:10">
      <c r="A969" s="868"/>
      <c r="J969" s="868"/>
    </row>
    <row r="970" spans="1:10">
      <c r="A970" s="868"/>
      <c r="J970" s="868"/>
    </row>
    <row r="971" spans="1:10">
      <c r="A971" s="868"/>
      <c r="J971" s="868"/>
    </row>
    <row r="972" spans="1:10">
      <c r="A972" s="868"/>
      <c r="J972" s="868"/>
    </row>
    <row r="973" spans="1:10">
      <c r="A973" s="868"/>
      <c r="J973" s="868"/>
    </row>
    <row r="974" spans="1:10">
      <c r="A974" s="868"/>
      <c r="J974" s="868"/>
    </row>
    <row r="975" spans="1:10">
      <c r="A975" s="868"/>
      <c r="J975" s="868"/>
    </row>
    <row r="976" spans="1:10">
      <c r="A976" s="868"/>
      <c r="J976" s="868"/>
    </row>
    <row r="977" spans="1:10">
      <c r="A977" s="868"/>
      <c r="J977" s="868"/>
    </row>
    <row r="978" spans="1:10">
      <c r="A978" s="868"/>
      <c r="J978" s="868"/>
    </row>
    <row r="979" spans="1:10">
      <c r="A979" s="868"/>
      <c r="J979" s="868"/>
    </row>
    <row r="980" spans="1:10">
      <c r="A980" s="868"/>
      <c r="J980" s="868"/>
    </row>
    <row r="981" spans="1:10">
      <c r="A981" s="868"/>
      <c r="J981" s="868"/>
    </row>
    <row r="982" spans="1:10">
      <c r="A982" s="868"/>
      <c r="J982" s="868"/>
    </row>
    <row r="983" spans="1:10">
      <c r="A983" s="868"/>
      <c r="J983" s="868"/>
    </row>
    <row r="984" spans="1:10">
      <c r="A984" s="868"/>
      <c r="J984" s="868"/>
    </row>
    <row r="985" spans="1:10">
      <c r="A985" s="868"/>
      <c r="J985" s="868"/>
    </row>
    <row r="986" spans="1:10">
      <c r="A986" s="868"/>
      <c r="J986" s="868"/>
    </row>
    <row r="987" spans="1:10">
      <c r="A987" s="868"/>
      <c r="J987" s="868"/>
    </row>
    <row r="988" spans="1:10">
      <c r="A988" s="868"/>
      <c r="J988" s="868"/>
    </row>
    <row r="989" spans="1:10">
      <c r="A989" s="868"/>
      <c r="J989" s="868"/>
    </row>
    <row r="990" spans="1:10">
      <c r="A990" s="868"/>
      <c r="J990" s="868"/>
    </row>
    <row r="991" spans="1:10">
      <c r="A991" s="868"/>
      <c r="J991" s="868"/>
    </row>
    <row r="992" spans="1:10">
      <c r="A992" s="868"/>
      <c r="J992" s="868"/>
    </row>
    <row r="993" spans="1:10">
      <c r="A993" s="868"/>
      <c r="J993" s="868"/>
    </row>
    <row r="994" spans="1:10">
      <c r="A994" s="868"/>
      <c r="J994" s="868"/>
    </row>
    <row r="995" spans="1:10">
      <c r="A995" s="868"/>
      <c r="J995" s="868"/>
    </row>
    <row r="996" spans="1:10">
      <c r="A996" s="868"/>
      <c r="J996" s="868"/>
    </row>
    <row r="997" spans="1:10">
      <c r="A997" s="868"/>
      <c r="J997" s="868"/>
    </row>
    <row r="998" spans="1:10">
      <c r="A998" s="868"/>
      <c r="J998" s="868"/>
    </row>
    <row r="999" spans="1:10">
      <c r="A999" s="868"/>
      <c r="J999" s="868"/>
    </row>
    <row r="1000" spans="1:10">
      <c r="A1000" s="868"/>
      <c r="J1000" s="868"/>
    </row>
    <row r="1001" spans="1:10">
      <c r="A1001" s="868"/>
      <c r="J1001" s="868"/>
    </row>
    <row r="1002" spans="1:10">
      <c r="A1002" s="868"/>
      <c r="J1002" s="868"/>
    </row>
    <row r="1003" spans="1:10">
      <c r="A1003" s="868"/>
      <c r="J1003" s="868"/>
    </row>
    <row r="1004" spans="1:10">
      <c r="A1004" s="868"/>
      <c r="J1004" s="868"/>
    </row>
    <row r="1005" spans="1:10">
      <c r="A1005" s="868"/>
      <c r="J1005" s="868"/>
    </row>
  </sheetData>
  <mergeCells count="22">
    <mergeCell ref="A106:A107"/>
    <mergeCell ref="A129:A130"/>
    <mergeCell ref="A5:J5"/>
    <mergeCell ref="A7:J7"/>
    <mergeCell ref="J8:J10"/>
    <mergeCell ref="B8:B9"/>
    <mergeCell ref="A43:J43"/>
    <mergeCell ref="J44:J46"/>
    <mergeCell ref="B44:B45"/>
    <mergeCell ref="D8:I9"/>
    <mergeCell ref="C8:C10"/>
    <mergeCell ref="C44:C46"/>
    <mergeCell ref="D44:I45"/>
    <mergeCell ref="K8:K10"/>
    <mergeCell ref="K27:K35"/>
    <mergeCell ref="K44:K46"/>
    <mergeCell ref="K62:K69"/>
    <mergeCell ref="N11:O11"/>
    <mergeCell ref="L8:L10"/>
    <mergeCell ref="L27:L35"/>
    <mergeCell ref="L44:L46"/>
    <mergeCell ref="L62:L69"/>
  </mergeCells>
  <printOptions horizontalCentered="1"/>
  <pageMargins left="0.23622047244094491" right="0.19685039370078741" top="0.43307086614173229" bottom="0.31496062992125984" header="0.15748031496062992" footer="0.15748031496062992"/>
  <pageSetup paperSize="9" scale="70" firstPageNumber="27" orientation="landscape" useFirstPageNumber="1" r:id="rId1"/>
  <headerFooter alignWithMargins="0">
    <oddHeader>&amp;C&amp;"Arial,Kursywa"Wieloletnia prognoza finansowa Województwa Zachodniopomorskiego 
____________________________________________________________________________________________________________________</oddHeader>
    <oddFooter>&amp;C&amp;8&amp;P</oddFooter>
  </headerFooter>
  <rowBreaks count="1" manualBreakCount="1">
    <brk id="42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00B050"/>
  </sheetPr>
  <dimension ref="A1:S548"/>
  <sheetViews>
    <sheetView showGridLines="0" view="pageBreakPreview" topLeftCell="A4" zoomScaleSheetLayoutView="100" workbookViewId="0">
      <pane xSplit="2" ySplit="4" topLeftCell="C8" activePane="bottomRight" state="frozen"/>
      <selection activeCell="A4" sqref="A1:XFD1048576"/>
      <selection pane="topRight" activeCell="A4" sqref="A1:XFD1048576"/>
      <selection pane="bottomLeft" activeCell="A4" sqref="A1:XFD1048576"/>
      <selection pane="bottomRight" activeCell="O181" sqref="O181"/>
    </sheetView>
  </sheetViews>
  <sheetFormatPr defaultRowHeight="11.25"/>
  <cols>
    <col min="1" max="1" width="2.85546875" style="642" customWidth="1"/>
    <col min="2" max="2" width="60.42578125" style="499" customWidth="1"/>
    <col min="3" max="3" width="10.5703125" style="499" customWidth="1"/>
    <col min="4" max="4" width="14.140625" style="499" customWidth="1"/>
    <col min="5" max="5" width="13.28515625" style="499" customWidth="1"/>
    <col min="6" max="6" width="10.28515625" style="499" customWidth="1"/>
    <col min="7" max="7" width="9.7109375" style="499" customWidth="1"/>
    <col min="8" max="8" width="10.140625" style="499" customWidth="1"/>
    <col min="9" max="9" width="10.7109375" style="499" customWidth="1"/>
    <col min="10" max="10" width="10.42578125" style="499" customWidth="1"/>
    <col min="11" max="12" width="9.28515625" style="499" customWidth="1"/>
    <col min="13" max="13" width="11.85546875" style="499" hidden="1" customWidth="1"/>
    <col min="14" max="14" width="11.42578125" style="499" customWidth="1"/>
    <col min="15" max="15" width="15.28515625" style="678" customWidth="1"/>
    <col min="16" max="16" width="11.85546875" style="499" hidden="1" customWidth="1"/>
    <col min="17" max="33" width="0" style="499" hidden="1" customWidth="1"/>
    <col min="34" max="251" width="9.140625" style="499"/>
    <col min="252" max="252" width="2.85546875" style="499" customWidth="1"/>
    <col min="253" max="253" width="50.7109375" style="499" customWidth="1"/>
    <col min="254" max="254" width="9.42578125" style="499" customWidth="1"/>
    <col min="255" max="255" width="11.85546875" style="499" customWidth="1"/>
    <col min="256" max="256" width="8.42578125" style="499" bestFit="1" customWidth="1"/>
    <col min="257" max="259" width="0" style="499" hidden="1" customWidth="1"/>
    <col min="260" max="260" width="6" style="499" bestFit="1" customWidth="1"/>
    <col min="261" max="261" width="9.5703125" style="499" customWidth="1"/>
    <col min="262" max="262" width="9.85546875" style="499" customWidth="1"/>
    <col min="263" max="263" width="9.7109375" style="499" customWidth="1"/>
    <col min="264" max="264" width="9.5703125" style="499" customWidth="1"/>
    <col min="265" max="265" width="9.85546875" style="499" customWidth="1"/>
    <col min="266" max="266" width="6.5703125" style="499" customWidth="1"/>
    <col min="267" max="267" width="6" style="499" bestFit="1" customWidth="1"/>
    <col min="268" max="268" width="6.28515625" style="499" customWidth="1"/>
    <col min="269" max="269" width="11.7109375" style="499" customWidth="1"/>
    <col min="270" max="270" width="0" style="499" hidden="1" customWidth="1"/>
    <col min="271" max="271" width="14.5703125" style="499" customWidth="1"/>
    <col min="272" max="272" width="11.85546875" style="499" customWidth="1"/>
    <col min="273" max="507" width="9.140625" style="499"/>
    <col min="508" max="508" width="2.85546875" style="499" customWidth="1"/>
    <col min="509" max="509" width="50.7109375" style="499" customWidth="1"/>
    <col min="510" max="510" width="9.42578125" style="499" customWidth="1"/>
    <col min="511" max="511" width="11.85546875" style="499" customWidth="1"/>
    <col min="512" max="512" width="8.42578125" style="499" bestFit="1" customWidth="1"/>
    <col min="513" max="515" width="0" style="499" hidden="1" customWidth="1"/>
    <col min="516" max="516" width="6" style="499" bestFit="1" customWidth="1"/>
    <col min="517" max="517" width="9.5703125" style="499" customWidth="1"/>
    <col min="518" max="518" width="9.85546875" style="499" customWidth="1"/>
    <col min="519" max="519" width="9.7109375" style="499" customWidth="1"/>
    <col min="520" max="520" width="9.5703125" style="499" customWidth="1"/>
    <col min="521" max="521" width="9.85546875" style="499" customWidth="1"/>
    <col min="522" max="522" width="6.5703125" style="499" customWidth="1"/>
    <col min="523" max="523" width="6" style="499" bestFit="1" customWidth="1"/>
    <col min="524" max="524" width="6.28515625" style="499" customWidth="1"/>
    <col min="525" max="525" width="11.7109375" style="499" customWidth="1"/>
    <col min="526" max="526" width="0" style="499" hidden="1" customWidth="1"/>
    <col min="527" max="527" width="14.5703125" style="499" customWidth="1"/>
    <col min="528" max="528" width="11.85546875" style="499" customWidth="1"/>
    <col min="529" max="763" width="9.140625" style="499"/>
    <col min="764" max="764" width="2.85546875" style="499" customWidth="1"/>
    <col min="765" max="765" width="50.7109375" style="499" customWidth="1"/>
    <col min="766" max="766" width="9.42578125" style="499" customWidth="1"/>
    <col min="767" max="767" width="11.85546875" style="499" customWidth="1"/>
    <col min="768" max="768" width="8.42578125" style="499" bestFit="1" customWidth="1"/>
    <col min="769" max="771" width="0" style="499" hidden="1" customWidth="1"/>
    <col min="772" max="772" width="6" style="499" bestFit="1" customWidth="1"/>
    <col min="773" max="773" width="9.5703125" style="499" customWidth="1"/>
    <col min="774" max="774" width="9.85546875" style="499" customWidth="1"/>
    <col min="775" max="775" width="9.7109375" style="499" customWidth="1"/>
    <col min="776" max="776" width="9.5703125" style="499" customWidth="1"/>
    <col min="777" max="777" width="9.85546875" style="499" customWidth="1"/>
    <col min="778" max="778" width="6.5703125" style="499" customWidth="1"/>
    <col min="779" max="779" width="6" style="499" bestFit="1" customWidth="1"/>
    <col min="780" max="780" width="6.28515625" style="499" customWidth="1"/>
    <col min="781" max="781" width="11.7109375" style="499" customWidth="1"/>
    <col min="782" max="782" width="0" style="499" hidden="1" customWidth="1"/>
    <col min="783" max="783" width="14.5703125" style="499" customWidth="1"/>
    <col min="784" max="784" width="11.85546875" style="499" customWidth="1"/>
    <col min="785" max="1019" width="9.140625" style="499"/>
    <col min="1020" max="1020" width="2.85546875" style="499" customWidth="1"/>
    <col min="1021" max="1021" width="50.7109375" style="499" customWidth="1"/>
    <col min="1022" max="1022" width="9.42578125" style="499" customWidth="1"/>
    <col min="1023" max="1023" width="11.85546875" style="499" customWidth="1"/>
    <col min="1024" max="1024" width="8.42578125" style="499" bestFit="1" customWidth="1"/>
    <col min="1025" max="1027" width="0" style="499" hidden="1" customWidth="1"/>
    <col min="1028" max="1028" width="6" style="499" bestFit="1" customWidth="1"/>
    <col min="1029" max="1029" width="9.5703125" style="499" customWidth="1"/>
    <col min="1030" max="1030" width="9.85546875" style="499" customWidth="1"/>
    <col min="1031" max="1031" width="9.7109375" style="499" customWidth="1"/>
    <col min="1032" max="1032" width="9.5703125" style="499" customWidth="1"/>
    <col min="1033" max="1033" width="9.85546875" style="499" customWidth="1"/>
    <col min="1034" max="1034" width="6.5703125" style="499" customWidth="1"/>
    <col min="1035" max="1035" width="6" style="499" bestFit="1" customWidth="1"/>
    <col min="1036" max="1036" width="6.28515625" style="499" customWidth="1"/>
    <col min="1037" max="1037" width="11.7109375" style="499" customWidth="1"/>
    <col min="1038" max="1038" width="0" style="499" hidden="1" customWidth="1"/>
    <col min="1039" max="1039" width="14.5703125" style="499" customWidth="1"/>
    <col min="1040" max="1040" width="11.85546875" style="499" customWidth="1"/>
    <col min="1041" max="1275" width="9.140625" style="499"/>
    <col min="1276" max="1276" width="2.85546875" style="499" customWidth="1"/>
    <col min="1277" max="1277" width="50.7109375" style="499" customWidth="1"/>
    <col min="1278" max="1278" width="9.42578125" style="499" customWidth="1"/>
    <col min="1279" max="1279" width="11.85546875" style="499" customWidth="1"/>
    <col min="1280" max="1280" width="8.42578125" style="499" bestFit="1" customWidth="1"/>
    <col min="1281" max="1283" width="0" style="499" hidden="1" customWidth="1"/>
    <col min="1284" max="1284" width="6" style="499" bestFit="1" customWidth="1"/>
    <col min="1285" max="1285" width="9.5703125" style="499" customWidth="1"/>
    <col min="1286" max="1286" width="9.85546875" style="499" customWidth="1"/>
    <col min="1287" max="1287" width="9.7109375" style="499" customWidth="1"/>
    <col min="1288" max="1288" width="9.5703125" style="499" customWidth="1"/>
    <col min="1289" max="1289" width="9.85546875" style="499" customWidth="1"/>
    <col min="1290" max="1290" width="6.5703125" style="499" customWidth="1"/>
    <col min="1291" max="1291" width="6" style="499" bestFit="1" customWidth="1"/>
    <col min="1292" max="1292" width="6.28515625" style="499" customWidth="1"/>
    <col min="1293" max="1293" width="11.7109375" style="499" customWidth="1"/>
    <col min="1294" max="1294" width="0" style="499" hidden="1" customWidth="1"/>
    <col min="1295" max="1295" width="14.5703125" style="499" customWidth="1"/>
    <col min="1296" max="1296" width="11.85546875" style="499" customWidth="1"/>
    <col min="1297" max="1531" width="9.140625" style="499"/>
    <col min="1532" max="1532" width="2.85546875" style="499" customWidth="1"/>
    <col min="1533" max="1533" width="50.7109375" style="499" customWidth="1"/>
    <col min="1534" max="1534" width="9.42578125" style="499" customWidth="1"/>
    <col min="1535" max="1535" width="11.85546875" style="499" customWidth="1"/>
    <col min="1536" max="1536" width="8.42578125" style="499" bestFit="1" customWidth="1"/>
    <col min="1537" max="1539" width="0" style="499" hidden="1" customWidth="1"/>
    <col min="1540" max="1540" width="6" style="499" bestFit="1" customWidth="1"/>
    <col min="1541" max="1541" width="9.5703125" style="499" customWidth="1"/>
    <col min="1542" max="1542" width="9.85546875" style="499" customWidth="1"/>
    <col min="1543" max="1543" width="9.7109375" style="499" customWidth="1"/>
    <col min="1544" max="1544" width="9.5703125" style="499" customWidth="1"/>
    <col min="1545" max="1545" width="9.85546875" style="499" customWidth="1"/>
    <col min="1546" max="1546" width="6.5703125" style="499" customWidth="1"/>
    <col min="1547" max="1547" width="6" style="499" bestFit="1" customWidth="1"/>
    <col min="1548" max="1548" width="6.28515625" style="499" customWidth="1"/>
    <col min="1549" max="1549" width="11.7109375" style="499" customWidth="1"/>
    <col min="1550" max="1550" width="0" style="499" hidden="1" customWidth="1"/>
    <col min="1551" max="1551" width="14.5703125" style="499" customWidth="1"/>
    <col min="1552" max="1552" width="11.85546875" style="499" customWidth="1"/>
    <col min="1553" max="1787" width="9.140625" style="499"/>
    <col min="1788" max="1788" width="2.85546875" style="499" customWidth="1"/>
    <col min="1789" max="1789" width="50.7109375" style="499" customWidth="1"/>
    <col min="1790" max="1790" width="9.42578125" style="499" customWidth="1"/>
    <col min="1791" max="1791" width="11.85546875" style="499" customWidth="1"/>
    <col min="1792" max="1792" width="8.42578125" style="499" bestFit="1" customWidth="1"/>
    <col min="1793" max="1795" width="0" style="499" hidden="1" customWidth="1"/>
    <col min="1796" max="1796" width="6" style="499" bestFit="1" customWidth="1"/>
    <col min="1797" max="1797" width="9.5703125" style="499" customWidth="1"/>
    <col min="1798" max="1798" width="9.85546875" style="499" customWidth="1"/>
    <col min="1799" max="1799" width="9.7109375" style="499" customWidth="1"/>
    <col min="1800" max="1800" width="9.5703125" style="499" customWidth="1"/>
    <col min="1801" max="1801" width="9.85546875" style="499" customWidth="1"/>
    <col min="1802" max="1802" width="6.5703125" style="499" customWidth="1"/>
    <col min="1803" max="1803" width="6" style="499" bestFit="1" customWidth="1"/>
    <col min="1804" max="1804" width="6.28515625" style="499" customWidth="1"/>
    <col min="1805" max="1805" width="11.7109375" style="499" customWidth="1"/>
    <col min="1806" max="1806" width="0" style="499" hidden="1" customWidth="1"/>
    <col min="1807" max="1807" width="14.5703125" style="499" customWidth="1"/>
    <col min="1808" max="1808" width="11.85546875" style="499" customWidth="1"/>
    <col min="1809" max="2043" width="9.140625" style="499"/>
    <col min="2044" max="2044" width="2.85546875" style="499" customWidth="1"/>
    <col min="2045" max="2045" width="50.7109375" style="499" customWidth="1"/>
    <col min="2046" max="2046" width="9.42578125" style="499" customWidth="1"/>
    <col min="2047" max="2047" width="11.85546875" style="499" customWidth="1"/>
    <col min="2048" max="2048" width="8.42578125" style="499" bestFit="1" customWidth="1"/>
    <col min="2049" max="2051" width="0" style="499" hidden="1" customWidth="1"/>
    <col min="2052" max="2052" width="6" style="499" bestFit="1" customWidth="1"/>
    <col min="2053" max="2053" width="9.5703125" style="499" customWidth="1"/>
    <col min="2054" max="2054" width="9.85546875" style="499" customWidth="1"/>
    <col min="2055" max="2055" width="9.7109375" style="499" customWidth="1"/>
    <col min="2056" max="2056" width="9.5703125" style="499" customWidth="1"/>
    <col min="2057" max="2057" width="9.85546875" style="499" customWidth="1"/>
    <col min="2058" max="2058" width="6.5703125" style="499" customWidth="1"/>
    <col min="2059" max="2059" width="6" style="499" bestFit="1" customWidth="1"/>
    <col min="2060" max="2060" width="6.28515625" style="499" customWidth="1"/>
    <col min="2061" max="2061" width="11.7109375" style="499" customWidth="1"/>
    <col min="2062" max="2062" width="0" style="499" hidden="1" customWidth="1"/>
    <col min="2063" max="2063" width="14.5703125" style="499" customWidth="1"/>
    <col min="2064" max="2064" width="11.85546875" style="499" customWidth="1"/>
    <col min="2065" max="2299" width="9.140625" style="499"/>
    <col min="2300" max="2300" width="2.85546875" style="499" customWidth="1"/>
    <col min="2301" max="2301" width="50.7109375" style="499" customWidth="1"/>
    <col min="2302" max="2302" width="9.42578125" style="499" customWidth="1"/>
    <col min="2303" max="2303" width="11.85546875" style="499" customWidth="1"/>
    <col min="2304" max="2304" width="8.42578125" style="499" bestFit="1" customWidth="1"/>
    <col min="2305" max="2307" width="0" style="499" hidden="1" customWidth="1"/>
    <col min="2308" max="2308" width="6" style="499" bestFit="1" customWidth="1"/>
    <col min="2309" max="2309" width="9.5703125" style="499" customWidth="1"/>
    <col min="2310" max="2310" width="9.85546875" style="499" customWidth="1"/>
    <col min="2311" max="2311" width="9.7109375" style="499" customWidth="1"/>
    <col min="2312" max="2312" width="9.5703125" style="499" customWidth="1"/>
    <col min="2313" max="2313" width="9.85546875" style="499" customWidth="1"/>
    <col min="2314" max="2314" width="6.5703125" style="499" customWidth="1"/>
    <col min="2315" max="2315" width="6" style="499" bestFit="1" customWidth="1"/>
    <col min="2316" max="2316" width="6.28515625" style="499" customWidth="1"/>
    <col min="2317" max="2317" width="11.7109375" style="499" customWidth="1"/>
    <col min="2318" max="2318" width="0" style="499" hidden="1" customWidth="1"/>
    <col min="2319" max="2319" width="14.5703125" style="499" customWidth="1"/>
    <col min="2320" max="2320" width="11.85546875" style="499" customWidth="1"/>
    <col min="2321" max="2555" width="9.140625" style="499"/>
    <col min="2556" max="2556" width="2.85546875" style="499" customWidth="1"/>
    <col min="2557" max="2557" width="50.7109375" style="499" customWidth="1"/>
    <col min="2558" max="2558" width="9.42578125" style="499" customWidth="1"/>
    <col min="2559" max="2559" width="11.85546875" style="499" customWidth="1"/>
    <col min="2560" max="2560" width="8.42578125" style="499" bestFit="1" customWidth="1"/>
    <col min="2561" max="2563" width="0" style="499" hidden="1" customWidth="1"/>
    <col min="2564" max="2564" width="6" style="499" bestFit="1" customWidth="1"/>
    <col min="2565" max="2565" width="9.5703125" style="499" customWidth="1"/>
    <col min="2566" max="2566" width="9.85546875" style="499" customWidth="1"/>
    <col min="2567" max="2567" width="9.7109375" style="499" customWidth="1"/>
    <col min="2568" max="2568" width="9.5703125" style="499" customWidth="1"/>
    <col min="2569" max="2569" width="9.85546875" style="499" customWidth="1"/>
    <col min="2570" max="2570" width="6.5703125" style="499" customWidth="1"/>
    <col min="2571" max="2571" width="6" style="499" bestFit="1" customWidth="1"/>
    <col min="2572" max="2572" width="6.28515625" style="499" customWidth="1"/>
    <col min="2573" max="2573" width="11.7109375" style="499" customWidth="1"/>
    <col min="2574" max="2574" width="0" style="499" hidden="1" customWidth="1"/>
    <col min="2575" max="2575" width="14.5703125" style="499" customWidth="1"/>
    <col min="2576" max="2576" width="11.85546875" style="499" customWidth="1"/>
    <col min="2577" max="2811" width="9.140625" style="499"/>
    <col min="2812" max="2812" width="2.85546875" style="499" customWidth="1"/>
    <col min="2813" max="2813" width="50.7109375" style="499" customWidth="1"/>
    <col min="2814" max="2814" width="9.42578125" style="499" customWidth="1"/>
    <col min="2815" max="2815" width="11.85546875" style="499" customWidth="1"/>
    <col min="2816" max="2816" width="8.42578125" style="499" bestFit="1" customWidth="1"/>
    <col min="2817" max="2819" width="0" style="499" hidden="1" customWidth="1"/>
    <col min="2820" max="2820" width="6" style="499" bestFit="1" customWidth="1"/>
    <col min="2821" max="2821" width="9.5703125" style="499" customWidth="1"/>
    <col min="2822" max="2822" width="9.85546875" style="499" customWidth="1"/>
    <col min="2823" max="2823" width="9.7109375" style="499" customWidth="1"/>
    <col min="2824" max="2824" width="9.5703125" style="499" customWidth="1"/>
    <col min="2825" max="2825" width="9.85546875" style="499" customWidth="1"/>
    <col min="2826" max="2826" width="6.5703125" style="499" customWidth="1"/>
    <col min="2827" max="2827" width="6" style="499" bestFit="1" customWidth="1"/>
    <col min="2828" max="2828" width="6.28515625" style="499" customWidth="1"/>
    <col min="2829" max="2829" width="11.7109375" style="499" customWidth="1"/>
    <col min="2830" max="2830" width="0" style="499" hidden="1" customWidth="1"/>
    <col min="2831" max="2831" width="14.5703125" style="499" customWidth="1"/>
    <col min="2832" max="2832" width="11.85546875" style="499" customWidth="1"/>
    <col min="2833" max="3067" width="9.140625" style="499"/>
    <col min="3068" max="3068" width="2.85546875" style="499" customWidth="1"/>
    <col min="3069" max="3069" width="50.7109375" style="499" customWidth="1"/>
    <col min="3070" max="3070" width="9.42578125" style="499" customWidth="1"/>
    <col min="3071" max="3071" width="11.85546875" style="499" customWidth="1"/>
    <col min="3072" max="3072" width="8.42578125" style="499" bestFit="1" customWidth="1"/>
    <col min="3073" max="3075" width="0" style="499" hidden="1" customWidth="1"/>
    <col min="3076" max="3076" width="6" style="499" bestFit="1" customWidth="1"/>
    <col min="3077" max="3077" width="9.5703125" style="499" customWidth="1"/>
    <col min="3078" max="3078" width="9.85546875" style="499" customWidth="1"/>
    <col min="3079" max="3079" width="9.7109375" style="499" customWidth="1"/>
    <col min="3080" max="3080" width="9.5703125" style="499" customWidth="1"/>
    <col min="3081" max="3081" width="9.85546875" style="499" customWidth="1"/>
    <col min="3082" max="3082" width="6.5703125" style="499" customWidth="1"/>
    <col min="3083" max="3083" width="6" style="499" bestFit="1" customWidth="1"/>
    <col min="3084" max="3084" width="6.28515625" style="499" customWidth="1"/>
    <col min="3085" max="3085" width="11.7109375" style="499" customWidth="1"/>
    <col min="3086" max="3086" width="0" style="499" hidden="1" customWidth="1"/>
    <col min="3087" max="3087" width="14.5703125" style="499" customWidth="1"/>
    <col min="3088" max="3088" width="11.85546875" style="499" customWidth="1"/>
    <col min="3089" max="3323" width="9.140625" style="499"/>
    <col min="3324" max="3324" width="2.85546875" style="499" customWidth="1"/>
    <col min="3325" max="3325" width="50.7109375" style="499" customWidth="1"/>
    <col min="3326" max="3326" width="9.42578125" style="499" customWidth="1"/>
    <col min="3327" max="3327" width="11.85546875" style="499" customWidth="1"/>
    <col min="3328" max="3328" width="8.42578125" style="499" bestFit="1" customWidth="1"/>
    <col min="3329" max="3331" width="0" style="499" hidden="1" customWidth="1"/>
    <col min="3332" max="3332" width="6" style="499" bestFit="1" customWidth="1"/>
    <col min="3333" max="3333" width="9.5703125" style="499" customWidth="1"/>
    <col min="3334" max="3334" width="9.85546875" style="499" customWidth="1"/>
    <col min="3335" max="3335" width="9.7109375" style="499" customWidth="1"/>
    <col min="3336" max="3336" width="9.5703125" style="499" customWidth="1"/>
    <col min="3337" max="3337" width="9.85546875" style="499" customWidth="1"/>
    <col min="3338" max="3338" width="6.5703125" style="499" customWidth="1"/>
    <col min="3339" max="3339" width="6" style="499" bestFit="1" customWidth="1"/>
    <col min="3340" max="3340" width="6.28515625" style="499" customWidth="1"/>
    <col min="3341" max="3341" width="11.7109375" style="499" customWidth="1"/>
    <col min="3342" max="3342" width="0" style="499" hidden="1" customWidth="1"/>
    <col min="3343" max="3343" width="14.5703125" style="499" customWidth="1"/>
    <col min="3344" max="3344" width="11.85546875" style="499" customWidth="1"/>
    <col min="3345" max="3579" width="9.140625" style="499"/>
    <col min="3580" max="3580" width="2.85546875" style="499" customWidth="1"/>
    <col min="3581" max="3581" width="50.7109375" style="499" customWidth="1"/>
    <col min="3582" max="3582" width="9.42578125" style="499" customWidth="1"/>
    <col min="3583" max="3583" width="11.85546875" style="499" customWidth="1"/>
    <col min="3584" max="3584" width="8.42578125" style="499" bestFit="1" customWidth="1"/>
    <col min="3585" max="3587" width="0" style="499" hidden="1" customWidth="1"/>
    <col min="3588" max="3588" width="6" style="499" bestFit="1" customWidth="1"/>
    <col min="3589" max="3589" width="9.5703125" style="499" customWidth="1"/>
    <col min="3590" max="3590" width="9.85546875" style="499" customWidth="1"/>
    <col min="3591" max="3591" width="9.7109375" style="499" customWidth="1"/>
    <col min="3592" max="3592" width="9.5703125" style="499" customWidth="1"/>
    <col min="3593" max="3593" width="9.85546875" style="499" customWidth="1"/>
    <col min="3594" max="3594" width="6.5703125" style="499" customWidth="1"/>
    <col min="3595" max="3595" width="6" style="499" bestFit="1" customWidth="1"/>
    <col min="3596" max="3596" width="6.28515625" style="499" customWidth="1"/>
    <col min="3597" max="3597" width="11.7109375" style="499" customWidth="1"/>
    <col min="3598" max="3598" width="0" style="499" hidden="1" customWidth="1"/>
    <col min="3599" max="3599" width="14.5703125" style="499" customWidth="1"/>
    <col min="3600" max="3600" width="11.85546875" style="499" customWidth="1"/>
    <col min="3601" max="3835" width="9.140625" style="499"/>
    <col min="3836" max="3836" width="2.85546875" style="499" customWidth="1"/>
    <col min="3837" max="3837" width="50.7109375" style="499" customWidth="1"/>
    <col min="3838" max="3838" width="9.42578125" style="499" customWidth="1"/>
    <col min="3839" max="3839" width="11.85546875" style="499" customWidth="1"/>
    <col min="3840" max="3840" width="8.42578125" style="499" bestFit="1" customWidth="1"/>
    <col min="3841" max="3843" width="0" style="499" hidden="1" customWidth="1"/>
    <col min="3844" max="3844" width="6" style="499" bestFit="1" customWidth="1"/>
    <col min="3845" max="3845" width="9.5703125" style="499" customWidth="1"/>
    <col min="3846" max="3846" width="9.85546875" style="499" customWidth="1"/>
    <col min="3847" max="3847" width="9.7109375" style="499" customWidth="1"/>
    <col min="3848" max="3848" width="9.5703125" style="499" customWidth="1"/>
    <col min="3849" max="3849" width="9.85546875" style="499" customWidth="1"/>
    <col min="3850" max="3850" width="6.5703125" style="499" customWidth="1"/>
    <col min="3851" max="3851" width="6" style="499" bestFit="1" customWidth="1"/>
    <col min="3852" max="3852" width="6.28515625" style="499" customWidth="1"/>
    <col min="3853" max="3853" width="11.7109375" style="499" customWidth="1"/>
    <col min="3854" max="3854" width="0" style="499" hidden="1" customWidth="1"/>
    <col min="3855" max="3855" width="14.5703125" style="499" customWidth="1"/>
    <col min="3856" max="3856" width="11.85546875" style="499" customWidth="1"/>
    <col min="3857" max="4091" width="9.140625" style="499"/>
    <col min="4092" max="4092" width="2.85546875" style="499" customWidth="1"/>
    <col min="4093" max="4093" width="50.7109375" style="499" customWidth="1"/>
    <col min="4094" max="4094" width="9.42578125" style="499" customWidth="1"/>
    <col min="4095" max="4095" width="11.85546875" style="499" customWidth="1"/>
    <col min="4096" max="4096" width="8.42578125" style="499" bestFit="1" customWidth="1"/>
    <col min="4097" max="4099" width="0" style="499" hidden="1" customWidth="1"/>
    <col min="4100" max="4100" width="6" style="499" bestFit="1" customWidth="1"/>
    <col min="4101" max="4101" width="9.5703125" style="499" customWidth="1"/>
    <col min="4102" max="4102" width="9.85546875" style="499" customWidth="1"/>
    <col min="4103" max="4103" width="9.7109375" style="499" customWidth="1"/>
    <col min="4104" max="4104" width="9.5703125" style="499" customWidth="1"/>
    <col min="4105" max="4105" width="9.85546875" style="499" customWidth="1"/>
    <col min="4106" max="4106" width="6.5703125" style="499" customWidth="1"/>
    <col min="4107" max="4107" width="6" style="499" bestFit="1" customWidth="1"/>
    <col min="4108" max="4108" width="6.28515625" style="499" customWidth="1"/>
    <col min="4109" max="4109" width="11.7109375" style="499" customWidth="1"/>
    <col min="4110" max="4110" width="0" style="499" hidden="1" customWidth="1"/>
    <col min="4111" max="4111" width="14.5703125" style="499" customWidth="1"/>
    <col min="4112" max="4112" width="11.85546875" style="499" customWidth="1"/>
    <col min="4113" max="4347" width="9.140625" style="499"/>
    <col min="4348" max="4348" width="2.85546875" style="499" customWidth="1"/>
    <col min="4349" max="4349" width="50.7109375" style="499" customWidth="1"/>
    <col min="4350" max="4350" width="9.42578125" style="499" customWidth="1"/>
    <col min="4351" max="4351" width="11.85546875" style="499" customWidth="1"/>
    <col min="4352" max="4352" width="8.42578125" style="499" bestFit="1" customWidth="1"/>
    <col min="4353" max="4355" width="0" style="499" hidden="1" customWidth="1"/>
    <col min="4356" max="4356" width="6" style="499" bestFit="1" customWidth="1"/>
    <col min="4357" max="4357" width="9.5703125" style="499" customWidth="1"/>
    <col min="4358" max="4358" width="9.85546875" style="499" customWidth="1"/>
    <col min="4359" max="4359" width="9.7109375" style="499" customWidth="1"/>
    <col min="4360" max="4360" width="9.5703125" style="499" customWidth="1"/>
    <col min="4361" max="4361" width="9.85546875" style="499" customWidth="1"/>
    <col min="4362" max="4362" width="6.5703125" style="499" customWidth="1"/>
    <col min="4363" max="4363" width="6" style="499" bestFit="1" customWidth="1"/>
    <col min="4364" max="4364" width="6.28515625" style="499" customWidth="1"/>
    <col min="4365" max="4365" width="11.7109375" style="499" customWidth="1"/>
    <col min="4366" max="4366" width="0" style="499" hidden="1" customWidth="1"/>
    <col min="4367" max="4367" width="14.5703125" style="499" customWidth="1"/>
    <col min="4368" max="4368" width="11.85546875" style="499" customWidth="1"/>
    <col min="4369" max="4603" width="9.140625" style="499"/>
    <col min="4604" max="4604" width="2.85546875" style="499" customWidth="1"/>
    <col min="4605" max="4605" width="50.7109375" style="499" customWidth="1"/>
    <col min="4606" max="4606" width="9.42578125" style="499" customWidth="1"/>
    <col min="4607" max="4607" width="11.85546875" style="499" customWidth="1"/>
    <col min="4608" max="4608" width="8.42578125" style="499" bestFit="1" customWidth="1"/>
    <col min="4609" max="4611" width="0" style="499" hidden="1" customWidth="1"/>
    <col min="4612" max="4612" width="6" style="499" bestFit="1" customWidth="1"/>
    <col min="4613" max="4613" width="9.5703125" style="499" customWidth="1"/>
    <col min="4614" max="4614" width="9.85546875" style="499" customWidth="1"/>
    <col min="4615" max="4615" width="9.7109375" style="499" customWidth="1"/>
    <col min="4616" max="4616" width="9.5703125" style="499" customWidth="1"/>
    <col min="4617" max="4617" width="9.85546875" style="499" customWidth="1"/>
    <col min="4618" max="4618" width="6.5703125" style="499" customWidth="1"/>
    <col min="4619" max="4619" width="6" style="499" bestFit="1" customWidth="1"/>
    <col min="4620" max="4620" width="6.28515625" style="499" customWidth="1"/>
    <col min="4621" max="4621" width="11.7109375" style="499" customWidth="1"/>
    <col min="4622" max="4622" width="0" style="499" hidden="1" customWidth="1"/>
    <col min="4623" max="4623" width="14.5703125" style="499" customWidth="1"/>
    <col min="4624" max="4624" width="11.85546875" style="499" customWidth="1"/>
    <col min="4625" max="4859" width="9.140625" style="499"/>
    <col min="4860" max="4860" width="2.85546875" style="499" customWidth="1"/>
    <col min="4861" max="4861" width="50.7109375" style="499" customWidth="1"/>
    <col min="4862" max="4862" width="9.42578125" style="499" customWidth="1"/>
    <col min="4863" max="4863" width="11.85546875" style="499" customWidth="1"/>
    <col min="4864" max="4864" width="8.42578125" style="499" bestFit="1" customWidth="1"/>
    <col min="4865" max="4867" width="0" style="499" hidden="1" customWidth="1"/>
    <col min="4868" max="4868" width="6" style="499" bestFit="1" customWidth="1"/>
    <col min="4869" max="4869" width="9.5703125" style="499" customWidth="1"/>
    <col min="4870" max="4870" width="9.85546875" style="499" customWidth="1"/>
    <col min="4871" max="4871" width="9.7109375" style="499" customWidth="1"/>
    <col min="4872" max="4872" width="9.5703125" style="499" customWidth="1"/>
    <col min="4873" max="4873" width="9.85546875" style="499" customWidth="1"/>
    <col min="4874" max="4874" width="6.5703125" style="499" customWidth="1"/>
    <col min="4875" max="4875" width="6" style="499" bestFit="1" customWidth="1"/>
    <col min="4876" max="4876" width="6.28515625" style="499" customWidth="1"/>
    <col min="4877" max="4877" width="11.7109375" style="499" customWidth="1"/>
    <col min="4878" max="4878" width="0" style="499" hidden="1" customWidth="1"/>
    <col min="4879" max="4879" width="14.5703125" style="499" customWidth="1"/>
    <col min="4880" max="4880" width="11.85546875" style="499" customWidth="1"/>
    <col min="4881" max="5115" width="9.140625" style="499"/>
    <col min="5116" max="5116" width="2.85546875" style="499" customWidth="1"/>
    <col min="5117" max="5117" width="50.7109375" style="499" customWidth="1"/>
    <col min="5118" max="5118" width="9.42578125" style="499" customWidth="1"/>
    <col min="5119" max="5119" width="11.85546875" style="499" customWidth="1"/>
    <col min="5120" max="5120" width="8.42578125" style="499" bestFit="1" customWidth="1"/>
    <col min="5121" max="5123" width="0" style="499" hidden="1" customWidth="1"/>
    <col min="5124" max="5124" width="6" style="499" bestFit="1" customWidth="1"/>
    <col min="5125" max="5125" width="9.5703125" style="499" customWidth="1"/>
    <col min="5126" max="5126" width="9.85546875" style="499" customWidth="1"/>
    <col min="5127" max="5127" width="9.7109375" style="499" customWidth="1"/>
    <col min="5128" max="5128" width="9.5703125" style="499" customWidth="1"/>
    <col min="5129" max="5129" width="9.85546875" style="499" customWidth="1"/>
    <col min="5130" max="5130" width="6.5703125" style="499" customWidth="1"/>
    <col min="5131" max="5131" width="6" style="499" bestFit="1" customWidth="1"/>
    <col min="5132" max="5132" width="6.28515625" style="499" customWidth="1"/>
    <col min="5133" max="5133" width="11.7109375" style="499" customWidth="1"/>
    <col min="5134" max="5134" width="0" style="499" hidden="1" customWidth="1"/>
    <col min="5135" max="5135" width="14.5703125" style="499" customWidth="1"/>
    <col min="5136" max="5136" width="11.85546875" style="499" customWidth="1"/>
    <col min="5137" max="5371" width="9.140625" style="499"/>
    <col min="5372" max="5372" width="2.85546875" style="499" customWidth="1"/>
    <col min="5373" max="5373" width="50.7109375" style="499" customWidth="1"/>
    <col min="5374" max="5374" width="9.42578125" style="499" customWidth="1"/>
    <col min="5375" max="5375" width="11.85546875" style="499" customWidth="1"/>
    <col min="5376" max="5376" width="8.42578125" style="499" bestFit="1" customWidth="1"/>
    <col min="5377" max="5379" width="0" style="499" hidden="1" customWidth="1"/>
    <col min="5380" max="5380" width="6" style="499" bestFit="1" customWidth="1"/>
    <col min="5381" max="5381" width="9.5703125" style="499" customWidth="1"/>
    <col min="5382" max="5382" width="9.85546875" style="499" customWidth="1"/>
    <col min="5383" max="5383" width="9.7109375" style="499" customWidth="1"/>
    <col min="5384" max="5384" width="9.5703125" style="499" customWidth="1"/>
    <col min="5385" max="5385" width="9.85546875" style="499" customWidth="1"/>
    <col min="5386" max="5386" width="6.5703125" style="499" customWidth="1"/>
    <col min="5387" max="5387" width="6" style="499" bestFit="1" customWidth="1"/>
    <col min="5388" max="5388" width="6.28515625" style="499" customWidth="1"/>
    <col min="5389" max="5389" width="11.7109375" style="499" customWidth="1"/>
    <col min="5390" max="5390" width="0" style="499" hidden="1" customWidth="1"/>
    <col min="5391" max="5391" width="14.5703125" style="499" customWidth="1"/>
    <col min="5392" max="5392" width="11.85546875" style="499" customWidth="1"/>
    <col min="5393" max="5627" width="9.140625" style="499"/>
    <col min="5628" max="5628" width="2.85546875" style="499" customWidth="1"/>
    <col min="5629" max="5629" width="50.7109375" style="499" customWidth="1"/>
    <col min="5630" max="5630" width="9.42578125" style="499" customWidth="1"/>
    <col min="5631" max="5631" width="11.85546875" style="499" customWidth="1"/>
    <col min="5632" max="5632" width="8.42578125" style="499" bestFit="1" customWidth="1"/>
    <col min="5633" max="5635" width="0" style="499" hidden="1" customWidth="1"/>
    <col min="5636" max="5636" width="6" style="499" bestFit="1" customWidth="1"/>
    <col min="5637" max="5637" width="9.5703125" style="499" customWidth="1"/>
    <col min="5638" max="5638" width="9.85546875" style="499" customWidth="1"/>
    <col min="5639" max="5639" width="9.7109375" style="499" customWidth="1"/>
    <col min="5640" max="5640" width="9.5703125" style="499" customWidth="1"/>
    <col min="5641" max="5641" width="9.85546875" style="499" customWidth="1"/>
    <col min="5642" max="5642" width="6.5703125" style="499" customWidth="1"/>
    <col min="5643" max="5643" width="6" style="499" bestFit="1" customWidth="1"/>
    <col min="5644" max="5644" width="6.28515625" style="499" customWidth="1"/>
    <col min="5645" max="5645" width="11.7109375" style="499" customWidth="1"/>
    <col min="5646" max="5646" width="0" style="499" hidden="1" customWidth="1"/>
    <col min="5647" max="5647" width="14.5703125" style="499" customWidth="1"/>
    <col min="5648" max="5648" width="11.85546875" style="499" customWidth="1"/>
    <col min="5649" max="5883" width="9.140625" style="499"/>
    <col min="5884" max="5884" width="2.85546875" style="499" customWidth="1"/>
    <col min="5885" max="5885" width="50.7109375" style="499" customWidth="1"/>
    <col min="5886" max="5886" width="9.42578125" style="499" customWidth="1"/>
    <col min="5887" max="5887" width="11.85546875" style="499" customWidth="1"/>
    <col min="5888" max="5888" width="8.42578125" style="499" bestFit="1" customWidth="1"/>
    <col min="5889" max="5891" width="0" style="499" hidden="1" customWidth="1"/>
    <col min="5892" max="5892" width="6" style="499" bestFit="1" customWidth="1"/>
    <col min="5893" max="5893" width="9.5703125" style="499" customWidth="1"/>
    <col min="5894" max="5894" width="9.85546875" style="499" customWidth="1"/>
    <col min="5895" max="5895" width="9.7109375" style="499" customWidth="1"/>
    <col min="5896" max="5896" width="9.5703125" style="499" customWidth="1"/>
    <col min="5897" max="5897" width="9.85546875" style="499" customWidth="1"/>
    <col min="5898" max="5898" width="6.5703125" style="499" customWidth="1"/>
    <col min="5899" max="5899" width="6" style="499" bestFit="1" customWidth="1"/>
    <col min="5900" max="5900" width="6.28515625" style="499" customWidth="1"/>
    <col min="5901" max="5901" width="11.7109375" style="499" customWidth="1"/>
    <col min="5902" max="5902" width="0" style="499" hidden="1" customWidth="1"/>
    <col min="5903" max="5903" width="14.5703125" style="499" customWidth="1"/>
    <col min="5904" max="5904" width="11.85546875" style="499" customWidth="1"/>
    <col min="5905" max="6139" width="9.140625" style="499"/>
    <col min="6140" max="6140" width="2.85546875" style="499" customWidth="1"/>
    <col min="6141" max="6141" width="50.7109375" style="499" customWidth="1"/>
    <col min="6142" max="6142" width="9.42578125" style="499" customWidth="1"/>
    <col min="6143" max="6143" width="11.85546875" style="499" customWidth="1"/>
    <col min="6144" max="6144" width="8.42578125" style="499" bestFit="1" customWidth="1"/>
    <col min="6145" max="6147" width="0" style="499" hidden="1" customWidth="1"/>
    <col min="6148" max="6148" width="6" style="499" bestFit="1" customWidth="1"/>
    <col min="6149" max="6149" width="9.5703125" style="499" customWidth="1"/>
    <col min="6150" max="6150" width="9.85546875" style="499" customWidth="1"/>
    <col min="6151" max="6151" width="9.7109375" style="499" customWidth="1"/>
    <col min="6152" max="6152" width="9.5703125" style="499" customWidth="1"/>
    <col min="6153" max="6153" width="9.85546875" style="499" customWidth="1"/>
    <col min="6154" max="6154" width="6.5703125" style="499" customWidth="1"/>
    <col min="6155" max="6155" width="6" style="499" bestFit="1" customWidth="1"/>
    <col min="6156" max="6156" width="6.28515625" style="499" customWidth="1"/>
    <col min="6157" max="6157" width="11.7109375" style="499" customWidth="1"/>
    <col min="6158" max="6158" width="0" style="499" hidden="1" customWidth="1"/>
    <col min="6159" max="6159" width="14.5703125" style="499" customWidth="1"/>
    <col min="6160" max="6160" width="11.85546875" style="499" customWidth="1"/>
    <col min="6161" max="6395" width="9.140625" style="499"/>
    <col min="6396" max="6396" width="2.85546875" style="499" customWidth="1"/>
    <col min="6397" max="6397" width="50.7109375" style="499" customWidth="1"/>
    <col min="6398" max="6398" width="9.42578125" style="499" customWidth="1"/>
    <col min="6399" max="6399" width="11.85546875" style="499" customWidth="1"/>
    <col min="6400" max="6400" width="8.42578125" style="499" bestFit="1" customWidth="1"/>
    <col min="6401" max="6403" width="0" style="499" hidden="1" customWidth="1"/>
    <col min="6404" max="6404" width="6" style="499" bestFit="1" customWidth="1"/>
    <col min="6405" max="6405" width="9.5703125" style="499" customWidth="1"/>
    <col min="6406" max="6406" width="9.85546875" style="499" customWidth="1"/>
    <col min="6407" max="6407" width="9.7109375" style="499" customWidth="1"/>
    <col min="6408" max="6408" width="9.5703125" style="499" customWidth="1"/>
    <col min="6409" max="6409" width="9.85546875" style="499" customWidth="1"/>
    <col min="6410" max="6410" width="6.5703125" style="499" customWidth="1"/>
    <col min="6411" max="6411" width="6" style="499" bestFit="1" customWidth="1"/>
    <col min="6412" max="6412" width="6.28515625" style="499" customWidth="1"/>
    <col min="6413" max="6413" width="11.7109375" style="499" customWidth="1"/>
    <col min="6414" max="6414" width="0" style="499" hidden="1" customWidth="1"/>
    <col min="6415" max="6415" width="14.5703125" style="499" customWidth="1"/>
    <col min="6416" max="6416" width="11.85546875" style="499" customWidth="1"/>
    <col min="6417" max="6651" width="9.140625" style="499"/>
    <col min="6652" max="6652" width="2.85546875" style="499" customWidth="1"/>
    <col min="6653" max="6653" width="50.7109375" style="499" customWidth="1"/>
    <col min="6654" max="6654" width="9.42578125" style="499" customWidth="1"/>
    <col min="6655" max="6655" width="11.85546875" style="499" customWidth="1"/>
    <col min="6656" max="6656" width="8.42578125" style="499" bestFit="1" customWidth="1"/>
    <col min="6657" max="6659" width="0" style="499" hidden="1" customWidth="1"/>
    <col min="6660" max="6660" width="6" style="499" bestFit="1" customWidth="1"/>
    <col min="6661" max="6661" width="9.5703125" style="499" customWidth="1"/>
    <col min="6662" max="6662" width="9.85546875" style="499" customWidth="1"/>
    <col min="6663" max="6663" width="9.7109375" style="499" customWidth="1"/>
    <col min="6664" max="6664" width="9.5703125" style="499" customWidth="1"/>
    <col min="6665" max="6665" width="9.85546875" style="499" customWidth="1"/>
    <col min="6666" max="6666" width="6.5703125" style="499" customWidth="1"/>
    <col min="6667" max="6667" width="6" style="499" bestFit="1" customWidth="1"/>
    <col min="6668" max="6668" width="6.28515625" style="499" customWidth="1"/>
    <col min="6669" max="6669" width="11.7109375" style="499" customWidth="1"/>
    <col min="6670" max="6670" width="0" style="499" hidden="1" customWidth="1"/>
    <col min="6671" max="6671" width="14.5703125" style="499" customWidth="1"/>
    <col min="6672" max="6672" width="11.85546875" style="499" customWidth="1"/>
    <col min="6673" max="6907" width="9.140625" style="499"/>
    <col min="6908" max="6908" width="2.85546875" style="499" customWidth="1"/>
    <col min="6909" max="6909" width="50.7109375" style="499" customWidth="1"/>
    <col min="6910" max="6910" width="9.42578125" style="499" customWidth="1"/>
    <col min="6911" max="6911" width="11.85546875" style="499" customWidth="1"/>
    <col min="6912" max="6912" width="8.42578125" style="499" bestFit="1" customWidth="1"/>
    <col min="6913" max="6915" width="0" style="499" hidden="1" customWidth="1"/>
    <col min="6916" max="6916" width="6" style="499" bestFit="1" customWidth="1"/>
    <col min="6917" max="6917" width="9.5703125" style="499" customWidth="1"/>
    <col min="6918" max="6918" width="9.85546875" style="499" customWidth="1"/>
    <col min="6919" max="6919" width="9.7109375" style="499" customWidth="1"/>
    <col min="6920" max="6920" width="9.5703125" style="499" customWidth="1"/>
    <col min="6921" max="6921" width="9.85546875" style="499" customWidth="1"/>
    <col min="6922" max="6922" width="6.5703125" style="499" customWidth="1"/>
    <col min="6923" max="6923" width="6" style="499" bestFit="1" customWidth="1"/>
    <col min="6924" max="6924" width="6.28515625" style="499" customWidth="1"/>
    <col min="6925" max="6925" width="11.7109375" style="499" customWidth="1"/>
    <col min="6926" max="6926" width="0" style="499" hidden="1" customWidth="1"/>
    <col min="6927" max="6927" width="14.5703125" style="499" customWidth="1"/>
    <col min="6928" max="6928" width="11.85546875" style="499" customWidth="1"/>
    <col min="6929" max="7163" width="9.140625" style="499"/>
    <col min="7164" max="7164" width="2.85546875" style="499" customWidth="1"/>
    <col min="7165" max="7165" width="50.7109375" style="499" customWidth="1"/>
    <col min="7166" max="7166" width="9.42578125" style="499" customWidth="1"/>
    <col min="7167" max="7167" width="11.85546875" style="499" customWidth="1"/>
    <col min="7168" max="7168" width="8.42578125" style="499" bestFit="1" customWidth="1"/>
    <col min="7169" max="7171" width="0" style="499" hidden="1" customWidth="1"/>
    <col min="7172" max="7172" width="6" style="499" bestFit="1" customWidth="1"/>
    <col min="7173" max="7173" width="9.5703125" style="499" customWidth="1"/>
    <col min="7174" max="7174" width="9.85546875" style="499" customWidth="1"/>
    <col min="7175" max="7175" width="9.7109375" style="499" customWidth="1"/>
    <col min="7176" max="7176" width="9.5703125" style="499" customWidth="1"/>
    <col min="7177" max="7177" width="9.85546875" style="499" customWidth="1"/>
    <col min="7178" max="7178" width="6.5703125" style="499" customWidth="1"/>
    <col min="7179" max="7179" width="6" style="499" bestFit="1" customWidth="1"/>
    <col min="7180" max="7180" width="6.28515625" style="499" customWidth="1"/>
    <col min="7181" max="7181" width="11.7109375" style="499" customWidth="1"/>
    <col min="7182" max="7182" width="0" style="499" hidden="1" customWidth="1"/>
    <col min="7183" max="7183" width="14.5703125" style="499" customWidth="1"/>
    <col min="7184" max="7184" width="11.85546875" style="499" customWidth="1"/>
    <col min="7185" max="7419" width="9.140625" style="499"/>
    <col min="7420" max="7420" width="2.85546875" style="499" customWidth="1"/>
    <col min="7421" max="7421" width="50.7109375" style="499" customWidth="1"/>
    <col min="7422" max="7422" width="9.42578125" style="499" customWidth="1"/>
    <col min="7423" max="7423" width="11.85546875" style="499" customWidth="1"/>
    <col min="7424" max="7424" width="8.42578125" style="499" bestFit="1" customWidth="1"/>
    <col min="7425" max="7427" width="0" style="499" hidden="1" customWidth="1"/>
    <col min="7428" max="7428" width="6" style="499" bestFit="1" customWidth="1"/>
    <col min="7429" max="7429" width="9.5703125" style="499" customWidth="1"/>
    <col min="7430" max="7430" width="9.85546875" style="499" customWidth="1"/>
    <col min="7431" max="7431" width="9.7109375" style="499" customWidth="1"/>
    <col min="7432" max="7432" width="9.5703125" style="499" customWidth="1"/>
    <col min="7433" max="7433" width="9.85546875" style="499" customWidth="1"/>
    <col min="7434" max="7434" width="6.5703125" style="499" customWidth="1"/>
    <col min="7435" max="7435" width="6" style="499" bestFit="1" customWidth="1"/>
    <col min="7436" max="7436" width="6.28515625" style="499" customWidth="1"/>
    <col min="7437" max="7437" width="11.7109375" style="499" customWidth="1"/>
    <col min="7438" max="7438" width="0" style="499" hidden="1" customWidth="1"/>
    <col min="7439" max="7439" width="14.5703125" style="499" customWidth="1"/>
    <col min="7440" max="7440" width="11.85546875" style="499" customWidth="1"/>
    <col min="7441" max="7675" width="9.140625" style="499"/>
    <col min="7676" max="7676" width="2.85546875" style="499" customWidth="1"/>
    <col min="7677" max="7677" width="50.7109375" style="499" customWidth="1"/>
    <col min="7678" max="7678" width="9.42578125" style="499" customWidth="1"/>
    <col min="7679" max="7679" width="11.85546875" style="499" customWidth="1"/>
    <col min="7680" max="7680" width="8.42578125" style="499" bestFit="1" customWidth="1"/>
    <col min="7681" max="7683" width="0" style="499" hidden="1" customWidth="1"/>
    <col min="7684" max="7684" width="6" style="499" bestFit="1" customWidth="1"/>
    <col min="7685" max="7685" width="9.5703125" style="499" customWidth="1"/>
    <col min="7686" max="7686" width="9.85546875" style="499" customWidth="1"/>
    <col min="7687" max="7687" width="9.7109375" style="499" customWidth="1"/>
    <col min="7688" max="7688" width="9.5703125" style="499" customWidth="1"/>
    <col min="7689" max="7689" width="9.85546875" style="499" customWidth="1"/>
    <col min="7690" max="7690" width="6.5703125" style="499" customWidth="1"/>
    <col min="7691" max="7691" width="6" style="499" bestFit="1" customWidth="1"/>
    <col min="7692" max="7692" width="6.28515625" style="499" customWidth="1"/>
    <col min="7693" max="7693" width="11.7109375" style="499" customWidth="1"/>
    <col min="7694" max="7694" width="0" style="499" hidden="1" customWidth="1"/>
    <col min="7695" max="7695" width="14.5703125" style="499" customWidth="1"/>
    <col min="7696" max="7696" width="11.85546875" style="499" customWidth="1"/>
    <col min="7697" max="7931" width="9.140625" style="499"/>
    <col min="7932" max="7932" width="2.85546875" style="499" customWidth="1"/>
    <col min="7933" max="7933" width="50.7109375" style="499" customWidth="1"/>
    <col min="7934" max="7934" width="9.42578125" style="499" customWidth="1"/>
    <col min="7935" max="7935" width="11.85546875" style="499" customWidth="1"/>
    <col min="7936" max="7936" width="8.42578125" style="499" bestFit="1" customWidth="1"/>
    <col min="7937" max="7939" width="0" style="499" hidden="1" customWidth="1"/>
    <col min="7940" max="7940" width="6" style="499" bestFit="1" customWidth="1"/>
    <col min="7941" max="7941" width="9.5703125" style="499" customWidth="1"/>
    <col min="7942" max="7942" width="9.85546875" style="499" customWidth="1"/>
    <col min="7943" max="7943" width="9.7109375" style="499" customWidth="1"/>
    <col min="7944" max="7944" width="9.5703125" style="499" customWidth="1"/>
    <col min="7945" max="7945" width="9.85546875" style="499" customWidth="1"/>
    <col min="7946" max="7946" width="6.5703125" style="499" customWidth="1"/>
    <col min="7947" max="7947" width="6" style="499" bestFit="1" customWidth="1"/>
    <col min="7948" max="7948" width="6.28515625" style="499" customWidth="1"/>
    <col min="7949" max="7949" width="11.7109375" style="499" customWidth="1"/>
    <col min="7950" max="7950" width="0" style="499" hidden="1" customWidth="1"/>
    <col min="7951" max="7951" width="14.5703125" style="499" customWidth="1"/>
    <col min="7952" max="7952" width="11.85546875" style="499" customWidth="1"/>
    <col min="7953" max="8187" width="9.140625" style="499"/>
    <col min="8188" max="8188" width="2.85546875" style="499" customWidth="1"/>
    <col min="8189" max="8189" width="50.7109375" style="499" customWidth="1"/>
    <col min="8190" max="8190" width="9.42578125" style="499" customWidth="1"/>
    <col min="8191" max="8191" width="11.85546875" style="499" customWidth="1"/>
    <col min="8192" max="8192" width="8.42578125" style="499" bestFit="1" customWidth="1"/>
    <col min="8193" max="8195" width="0" style="499" hidden="1" customWidth="1"/>
    <col min="8196" max="8196" width="6" style="499" bestFit="1" customWidth="1"/>
    <col min="8197" max="8197" width="9.5703125" style="499" customWidth="1"/>
    <col min="8198" max="8198" width="9.85546875" style="499" customWidth="1"/>
    <col min="8199" max="8199" width="9.7109375" style="499" customWidth="1"/>
    <col min="8200" max="8200" width="9.5703125" style="499" customWidth="1"/>
    <col min="8201" max="8201" width="9.85546875" style="499" customWidth="1"/>
    <col min="8202" max="8202" width="6.5703125" style="499" customWidth="1"/>
    <col min="8203" max="8203" width="6" style="499" bestFit="1" customWidth="1"/>
    <col min="8204" max="8204" width="6.28515625" style="499" customWidth="1"/>
    <col min="8205" max="8205" width="11.7109375" style="499" customWidth="1"/>
    <col min="8206" max="8206" width="0" style="499" hidden="1" customWidth="1"/>
    <col min="8207" max="8207" width="14.5703125" style="499" customWidth="1"/>
    <col min="8208" max="8208" width="11.85546875" style="499" customWidth="1"/>
    <col min="8209" max="8443" width="9.140625" style="499"/>
    <col min="8444" max="8444" width="2.85546875" style="499" customWidth="1"/>
    <col min="8445" max="8445" width="50.7109375" style="499" customWidth="1"/>
    <col min="8446" max="8446" width="9.42578125" style="499" customWidth="1"/>
    <col min="8447" max="8447" width="11.85546875" style="499" customWidth="1"/>
    <col min="8448" max="8448" width="8.42578125" style="499" bestFit="1" customWidth="1"/>
    <col min="8449" max="8451" width="0" style="499" hidden="1" customWidth="1"/>
    <col min="8452" max="8452" width="6" style="499" bestFit="1" customWidth="1"/>
    <col min="8453" max="8453" width="9.5703125" style="499" customWidth="1"/>
    <col min="8454" max="8454" width="9.85546875" style="499" customWidth="1"/>
    <col min="8455" max="8455" width="9.7109375" style="499" customWidth="1"/>
    <col min="8456" max="8456" width="9.5703125" style="499" customWidth="1"/>
    <col min="8457" max="8457" width="9.85546875" style="499" customWidth="1"/>
    <col min="8458" max="8458" width="6.5703125" style="499" customWidth="1"/>
    <col min="8459" max="8459" width="6" style="499" bestFit="1" customWidth="1"/>
    <col min="8460" max="8460" width="6.28515625" style="499" customWidth="1"/>
    <col min="8461" max="8461" width="11.7109375" style="499" customWidth="1"/>
    <col min="8462" max="8462" width="0" style="499" hidden="1" customWidth="1"/>
    <col min="8463" max="8463" width="14.5703125" style="499" customWidth="1"/>
    <col min="8464" max="8464" width="11.85546875" style="499" customWidth="1"/>
    <col min="8465" max="8699" width="9.140625" style="499"/>
    <col min="8700" max="8700" width="2.85546875" style="499" customWidth="1"/>
    <col min="8701" max="8701" width="50.7109375" style="499" customWidth="1"/>
    <col min="8702" max="8702" width="9.42578125" style="499" customWidth="1"/>
    <col min="8703" max="8703" width="11.85546875" style="499" customWidth="1"/>
    <col min="8704" max="8704" width="8.42578125" style="499" bestFit="1" customWidth="1"/>
    <col min="8705" max="8707" width="0" style="499" hidden="1" customWidth="1"/>
    <col min="8708" max="8708" width="6" style="499" bestFit="1" customWidth="1"/>
    <col min="8709" max="8709" width="9.5703125" style="499" customWidth="1"/>
    <col min="8710" max="8710" width="9.85546875" style="499" customWidth="1"/>
    <col min="8711" max="8711" width="9.7109375" style="499" customWidth="1"/>
    <col min="8712" max="8712" width="9.5703125" style="499" customWidth="1"/>
    <col min="8713" max="8713" width="9.85546875" style="499" customWidth="1"/>
    <col min="8714" max="8714" width="6.5703125" style="499" customWidth="1"/>
    <col min="8715" max="8715" width="6" style="499" bestFit="1" customWidth="1"/>
    <col min="8716" max="8716" width="6.28515625" style="499" customWidth="1"/>
    <col min="8717" max="8717" width="11.7109375" style="499" customWidth="1"/>
    <col min="8718" max="8718" width="0" style="499" hidden="1" customWidth="1"/>
    <col min="8719" max="8719" width="14.5703125" style="499" customWidth="1"/>
    <col min="8720" max="8720" width="11.85546875" style="499" customWidth="1"/>
    <col min="8721" max="8955" width="9.140625" style="499"/>
    <col min="8956" max="8956" width="2.85546875" style="499" customWidth="1"/>
    <col min="8957" max="8957" width="50.7109375" style="499" customWidth="1"/>
    <col min="8958" max="8958" width="9.42578125" style="499" customWidth="1"/>
    <col min="8959" max="8959" width="11.85546875" style="499" customWidth="1"/>
    <col min="8960" max="8960" width="8.42578125" style="499" bestFit="1" customWidth="1"/>
    <col min="8961" max="8963" width="0" style="499" hidden="1" customWidth="1"/>
    <col min="8964" max="8964" width="6" style="499" bestFit="1" customWidth="1"/>
    <col min="8965" max="8965" width="9.5703125" style="499" customWidth="1"/>
    <col min="8966" max="8966" width="9.85546875" style="499" customWidth="1"/>
    <col min="8967" max="8967" width="9.7109375" style="499" customWidth="1"/>
    <col min="8968" max="8968" width="9.5703125" style="499" customWidth="1"/>
    <col min="8969" max="8969" width="9.85546875" style="499" customWidth="1"/>
    <col min="8970" max="8970" width="6.5703125" style="499" customWidth="1"/>
    <col min="8971" max="8971" width="6" style="499" bestFit="1" customWidth="1"/>
    <col min="8972" max="8972" width="6.28515625" style="499" customWidth="1"/>
    <col min="8973" max="8973" width="11.7109375" style="499" customWidth="1"/>
    <col min="8974" max="8974" width="0" style="499" hidden="1" customWidth="1"/>
    <col min="8975" max="8975" width="14.5703125" style="499" customWidth="1"/>
    <col min="8976" max="8976" width="11.85546875" style="499" customWidth="1"/>
    <col min="8977" max="9211" width="9.140625" style="499"/>
    <col min="9212" max="9212" width="2.85546875" style="499" customWidth="1"/>
    <col min="9213" max="9213" width="50.7109375" style="499" customWidth="1"/>
    <col min="9214" max="9214" width="9.42578125" style="499" customWidth="1"/>
    <col min="9215" max="9215" width="11.85546875" style="499" customWidth="1"/>
    <col min="9216" max="9216" width="8.42578125" style="499" bestFit="1" customWidth="1"/>
    <col min="9217" max="9219" width="0" style="499" hidden="1" customWidth="1"/>
    <col min="9220" max="9220" width="6" style="499" bestFit="1" customWidth="1"/>
    <col min="9221" max="9221" width="9.5703125" style="499" customWidth="1"/>
    <col min="9222" max="9222" width="9.85546875" style="499" customWidth="1"/>
    <col min="9223" max="9223" width="9.7109375" style="499" customWidth="1"/>
    <col min="9224" max="9224" width="9.5703125" style="499" customWidth="1"/>
    <col min="9225" max="9225" width="9.85546875" style="499" customWidth="1"/>
    <col min="9226" max="9226" width="6.5703125" style="499" customWidth="1"/>
    <col min="9227" max="9227" width="6" style="499" bestFit="1" customWidth="1"/>
    <col min="9228" max="9228" width="6.28515625" style="499" customWidth="1"/>
    <col min="9229" max="9229" width="11.7109375" style="499" customWidth="1"/>
    <col min="9230" max="9230" width="0" style="499" hidden="1" customWidth="1"/>
    <col min="9231" max="9231" width="14.5703125" style="499" customWidth="1"/>
    <col min="9232" max="9232" width="11.85546875" style="499" customWidth="1"/>
    <col min="9233" max="9467" width="9.140625" style="499"/>
    <col min="9468" max="9468" width="2.85546875" style="499" customWidth="1"/>
    <col min="9469" max="9469" width="50.7109375" style="499" customWidth="1"/>
    <col min="9470" max="9470" width="9.42578125" style="499" customWidth="1"/>
    <col min="9471" max="9471" width="11.85546875" style="499" customWidth="1"/>
    <col min="9472" max="9472" width="8.42578125" style="499" bestFit="1" customWidth="1"/>
    <col min="9473" max="9475" width="0" style="499" hidden="1" customWidth="1"/>
    <col min="9476" max="9476" width="6" style="499" bestFit="1" customWidth="1"/>
    <col min="9477" max="9477" width="9.5703125" style="499" customWidth="1"/>
    <col min="9478" max="9478" width="9.85546875" style="499" customWidth="1"/>
    <col min="9479" max="9479" width="9.7109375" style="499" customWidth="1"/>
    <col min="9480" max="9480" width="9.5703125" style="499" customWidth="1"/>
    <col min="9481" max="9481" width="9.85546875" style="499" customWidth="1"/>
    <col min="9482" max="9482" width="6.5703125" style="499" customWidth="1"/>
    <col min="9483" max="9483" width="6" style="499" bestFit="1" customWidth="1"/>
    <col min="9484" max="9484" width="6.28515625" style="499" customWidth="1"/>
    <col min="9485" max="9485" width="11.7109375" style="499" customWidth="1"/>
    <col min="9486" max="9486" width="0" style="499" hidden="1" customWidth="1"/>
    <col min="9487" max="9487" width="14.5703125" style="499" customWidth="1"/>
    <col min="9488" max="9488" width="11.85546875" style="499" customWidth="1"/>
    <col min="9489" max="9723" width="9.140625" style="499"/>
    <col min="9724" max="9724" width="2.85546875" style="499" customWidth="1"/>
    <col min="9725" max="9725" width="50.7109375" style="499" customWidth="1"/>
    <col min="9726" max="9726" width="9.42578125" style="499" customWidth="1"/>
    <col min="9727" max="9727" width="11.85546875" style="499" customWidth="1"/>
    <col min="9728" max="9728" width="8.42578125" style="499" bestFit="1" customWidth="1"/>
    <col min="9729" max="9731" width="0" style="499" hidden="1" customWidth="1"/>
    <col min="9732" max="9732" width="6" style="499" bestFit="1" customWidth="1"/>
    <col min="9733" max="9733" width="9.5703125" style="499" customWidth="1"/>
    <col min="9734" max="9734" width="9.85546875" style="499" customWidth="1"/>
    <col min="9735" max="9735" width="9.7109375" style="499" customWidth="1"/>
    <col min="9736" max="9736" width="9.5703125" style="499" customWidth="1"/>
    <col min="9737" max="9737" width="9.85546875" style="499" customWidth="1"/>
    <col min="9738" max="9738" width="6.5703125" style="499" customWidth="1"/>
    <col min="9739" max="9739" width="6" style="499" bestFit="1" customWidth="1"/>
    <col min="9740" max="9740" width="6.28515625" style="499" customWidth="1"/>
    <col min="9741" max="9741" width="11.7109375" style="499" customWidth="1"/>
    <col min="9742" max="9742" width="0" style="499" hidden="1" customWidth="1"/>
    <col min="9743" max="9743" width="14.5703125" style="499" customWidth="1"/>
    <col min="9744" max="9744" width="11.85546875" style="499" customWidth="1"/>
    <col min="9745" max="9979" width="9.140625" style="499"/>
    <col min="9980" max="9980" width="2.85546875" style="499" customWidth="1"/>
    <col min="9981" max="9981" width="50.7109375" style="499" customWidth="1"/>
    <col min="9982" max="9982" width="9.42578125" style="499" customWidth="1"/>
    <col min="9983" max="9983" width="11.85546875" style="499" customWidth="1"/>
    <col min="9984" max="9984" width="8.42578125" style="499" bestFit="1" customWidth="1"/>
    <col min="9985" max="9987" width="0" style="499" hidden="1" customWidth="1"/>
    <col min="9988" max="9988" width="6" style="499" bestFit="1" customWidth="1"/>
    <col min="9989" max="9989" width="9.5703125" style="499" customWidth="1"/>
    <col min="9990" max="9990" width="9.85546875" style="499" customWidth="1"/>
    <col min="9991" max="9991" width="9.7109375" style="499" customWidth="1"/>
    <col min="9992" max="9992" width="9.5703125" style="499" customWidth="1"/>
    <col min="9993" max="9993" width="9.85546875" style="499" customWidth="1"/>
    <col min="9994" max="9994" width="6.5703125" style="499" customWidth="1"/>
    <col min="9995" max="9995" width="6" style="499" bestFit="1" customWidth="1"/>
    <col min="9996" max="9996" width="6.28515625" style="499" customWidth="1"/>
    <col min="9997" max="9997" width="11.7109375" style="499" customWidth="1"/>
    <col min="9998" max="9998" width="0" style="499" hidden="1" customWidth="1"/>
    <col min="9999" max="9999" width="14.5703125" style="499" customWidth="1"/>
    <col min="10000" max="10000" width="11.85546875" style="499" customWidth="1"/>
    <col min="10001" max="10235" width="9.140625" style="499"/>
    <col min="10236" max="10236" width="2.85546875" style="499" customWidth="1"/>
    <col min="10237" max="10237" width="50.7109375" style="499" customWidth="1"/>
    <col min="10238" max="10238" width="9.42578125" style="499" customWidth="1"/>
    <col min="10239" max="10239" width="11.85546875" style="499" customWidth="1"/>
    <col min="10240" max="10240" width="8.42578125" style="499" bestFit="1" customWidth="1"/>
    <col min="10241" max="10243" width="0" style="499" hidden="1" customWidth="1"/>
    <col min="10244" max="10244" width="6" style="499" bestFit="1" customWidth="1"/>
    <col min="10245" max="10245" width="9.5703125" style="499" customWidth="1"/>
    <col min="10246" max="10246" width="9.85546875" style="499" customWidth="1"/>
    <col min="10247" max="10247" width="9.7109375" style="499" customWidth="1"/>
    <col min="10248" max="10248" width="9.5703125" style="499" customWidth="1"/>
    <col min="10249" max="10249" width="9.85546875" style="499" customWidth="1"/>
    <col min="10250" max="10250" width="6.5703125" style="499" customWidth="1"/>
    <col min="10251" max="10251" width="6" style="499" bestFit="1" customWidth="1"/>
    <col min="10252" max="10252" width="6.28515625" style="499" customWidth="1"/>
    <col min="10253" max="10253" width="11.7109375" style="499" customWidth="1"/>
    <col min="10254" max="10254" width="0" style="499" hidden="1" customWidth="1"/>
    <col min="10255" max="10255" width="14.5703125" style="499" customWidth="1"/>
    <col min="10256" max="10256" width="11.85546875" style="499" customWidth="1"/>
    <col min="10257" max="10491" width="9.140625" style="499"/>
    <col min="10492" max="10492" width="2.85546875" style="499" customWidth="1"/>
    <col min="10493" max="10493" width="50.7109375" style="499" customWidth="1"/>
    <col min="10494" max="10494" width="9.42578125" style="499" customWidth="1"/>
    <col min="10495" max="10495" width="11.85546875" style="499" customWidth="1"/>
    <col min="10496" max="10496" width="8.42578125" style="499" bestFit="1" customWidth="1"/>
    <col min="10497" max="10499" width="0" style="499" hidden="1" customWidth="1"/>
    <col min="10500" max="10500" width="6" style="499" bestFit="1" customWidth="1"/>
    <col min="10501" max="10501" width="9.5703125" style="499" customWidth="1"/>
    <col min="10502" max="10502" width="9.85546875" style="499" customWidth="1"/>
    <col min="10503" max="10503" width="9.7109375" style="499" customWidth="1"/>
    <col min="10504" max="10504" width="9.5703125" style="499" customWidth="1"/>
    <col min="10505" max="10505" width="9.85546875" style="499" customWidth="1"/>
    <col min="10506" max="10506" width="6.5703125" style="499" customWidth="1"/>
    <col min="10507" max="10507" width="6" style="499" bestFit="1" customWidth="1"/>
    <col min="10508" max="10508" width="6.28515625" style="499" customWidth="1"/>
    <col min="10509" max="10509" width="11.7109375" style="499" customWidth="1"/>
    <col min="10510" max="10510" width="0" style="499" hidden="1" customWidth="1"/>
    <col min="10511" max="10511" width="14.5703125" style="499" customWidth="1"/>
    <col min="10512" max="10512" width="11.85546875" style="499" customWidth="1"/>
    <col min="10513" max="10747" width="9.140625" style="499"/>
    <col min="10748" max="10748" width="2.85546875" style="499" customWidth="1"/>
    <col min="10749" max="10749" width="50.7109375" style="499" customWidth="1"/>
    <col min="10750" max="10750" width="9.42578125" style="499" customWidth="1"/>
    <col min="10751" max="10751" width="11.85546875" style="499" customWidth="1"/>
    <col min="10752" max="10752" width="8.42578125" style="499" bestFit="1" customWidth="1"/>
    <col min="10753" max="10755" width="0" style="499" hidden="1" customWidth="1"/>
    <col min="10756" max="10756" width="6" style="499" bestFit="1" customWidth="1"/>
    <col min="10757" max="10757" width="9.5703125" style="499" customWidth="1"/>
    <col min="10758" max="10758" width="9.85546875" style="499" customWidth="1"/>
    <col min="10759" max="10759" width="9.7109375" style="499" customWidth="1"/>
    <col min="10760" max="10760" width="9.5703125" style="499" customWidth="1"/>
    <col min="10761" max="10761" width="9.85546875" style="499" customWidth="1"/>
    <col min="10762" max="10762" width="6.5703125" style="499" customWidth="1"/>
    <col min="10763" max="10763" width="6" style="499" bestFit="1" customWidth="1"/>
    <col min="10764" max="10764" width="6.28515625" style="499" customWidth="1"/>
    <col min="10765" max="10765" width="11.7109375" style="499" customWidth="1"/>
    <col min="10766" max="10766" width="0" style="499" hidden="1" customWidth="1"/>
    <col min="10767" max="10767" width="14.5703125" style="499" customWidth="1"/>
    <col min="10768" max="10768" width="11.85546875" style="499" customWidth="1"/>
    <col min="10769" max="11003" width="9.140625" style="499"/>
    <col min="11004" max="11004" width="2.85546875" style="499" customWidth="1"/>
    <col min="11005" max="11005" width="50.7109375" style="499" customWidth="1"/>
    <col min="11006" max="11006" width="9.42578125" style="499" customWidth="1"/>
    <col min="11007" max="11007" width="11.85546875" style="499" customWidth="1"/>
    <col min="11008" max="11008" width="8.42578125" style="499" bestFit="1" customWidth="1"/>
    <col min="11009" max="11011" width="0" style="499" hidden="1" customWidth="1"/>
    <col min="11012" max="11012" width="6" style="499" bestFit="1" customWidth="1"/>
    <col min="11013" max="11013" width="9.5703125" style="499" customWidth="1"/>
    <col min="11014" max="11014" width="9.85546875" style="499" customWidth="1"/>
    <col min="11015" max="11015" width="9.7109375" style="499" customWidth="1"/>
    <col min="11016" max="11016" width="9.5703125" style="499" customWidth="1"/>
    <col min="11017" max="11017" width="9.85546875" style="499" customWidth="1"/>
    <col min="11018" max="11018" width="6.5703125" style="499" customWidth="1"/>
    <col min="11019" max="11019" width="6" style="499" bestFit="1" customWidth="1"/>
    <col min="11020" max="11020" width="6.28515625" style="499" customWidth="1"/>
    <col min="11021" max="11021" width="11.7109375" style="499" customWidth="1"/>
    <col min="11022" max="11022" width="0" style="499" hidden="1" customWidth="1"/>
    <col min="11023" max="11023" width="14.5703125" style="499" customWidth="1"/>
    <col min="11024" max="11024" width="11.85546875" style="499" customWidth="1"/>
    <col min="11025" max="11259" width="9.140625" style="499"/>
    <col min="11260" max="11260" width="2.85546875" style="499" customWidth="1"/>
    <col min="11261" max="11261" width="50.7109375" style="499" customWidth="1"/>
    <col min="11262" max="11262" width="9.42578125" style="499" customWidth="1"/>
    <col min="11263" max="11263" width="11.85546875" style="499" customWidth="1"/>
    <col min="11264" max="11264" width="8.42578125" style="499" bestFit="1" customWidth="1"/>
    <col min="11265" max="11267" width="0" style="499" hidden="1" customWidth="1"/>
    <col min="11268" max="11268" width="6" style="499" bestFit="1" customWidth="1"/>
    <col min="11269" max="11269" width="9.5703125" style="499" customWidth="1"/>
    <col min="11270" max="11270" width="9.85546875" style="499" customWidth="1"/>
    <col min="11271" max="11271" width="9.7109375" style="499" customWidth="1"/>
    <col min="11272" max="11272" width="9.5703125" style="499" customWidth="1"/>
    <col min="11273" max="11273" width="9.85546875" style="499" customWidth="1"/>
    <col min="11274" max="11274" width="6.5703125" style="499" customWidth="1"/>
    <col min="11275" max="11275" width="6" style="499" bestFit="1" customWidth="1"/>
    <col min="11276" max="11276" width="6.28515625" style="499" customWidth="1"/>
    <col min="11277" max="11277" width="11.7109375" style="499" customWidth="1"/>
    <col min="11278" max="11278" width="0" style="499" hidden="1" customWidth="1"/>
    <col min="11279" max="11279" width="14.5703125" style="499" customWidth="1"/>
    <col min="11280" max="11280" width="11.85546875" style="499" customWidth="1"/>
    <col min="11281" max="11515" width="9.140625" style="499"/>
    <col min="11516" max="11516" width="2.85546875" style="499" customWidth="1"/>
    <col min="11517" max="11517" width="50.7109375" style="499" customWidth="1"/>
    <col min="11518" max="11518" width="9.42578125" style="499" customWidth="1"/>
    <col min="11519" max="11519" width="11.85546875" style="499" customWidth="1"/>
    <col min="11520" max="11520" width="8.42578125" style="499" bestFit="1" customWidth="1"/>
    <col min="11521" max="11523" width="0" style="499" hidden="1" customWidth="1"/>
    <col min="11524" max="11524" width="6" style="499" bestFit="1" customWidth="1"/>
    <col min="11525" max="11525" width="9.5703125" style="499" customWidth="1"/>
    <col min="11526" max="11526" width="9.85546875" style="499" customWidth="1"/>
    <col min="11527" max="11527" width="9.7109375" style="499" customWidth="1"/>
    <col min="11528" max="11528" width="9.5703125" style="499" customWidth="1"/>
    <col min="11529" max="11529" width="9.85546875" style="499" customWidth="1"/>
    <col min="11530" max="11530" width="6.5703125" style="499" customWidth="1"/>
    <col min="11531" max="11531" width="6" style="499" bestFit="1" customWidth="1"/>
    <col min="11532" max="11532" width="6.28515625" style="499" customWidth="1"/>
    <col min="11533" max="11533" width="11.7109375" style="499" customWidth="1"/>
    <col min="11534" max="11534" width="0" style="499" hidden="1" customWidth="1"/>
    <col min="11535" max="11535" width="14.5703125" style="499" customWidth="1"/>
    <col min="11536" max="11536" width="11.85546875" style="499" customWidth="1"/>
    <col min="11537" max="11771" width="9.140625" style="499"/>
    <col min="11772" max="11772" width="2.85546875" style="499" customWidth="1"/>
    <col min="11773" max="11773" width="50.7109375" style="499" customWidth="1"/>
    <col min="11774" max="11774" width="9.42578125" style="499" customWidth="1"/>
    <col min="11775" max="11775" width="11.85546875" style="499" customWidth="1"/>
    <col min="11776" max="11776" width="8.42578125" style="499" bestFit="1" customWidth="1"/>
    <col min="11777" max="11779" width="0" style="499" hidden="1" customWidth="1"/>
    <col min="11780" max="11780" width="6" style="499" bestFit="1" customWidth="1"/>
    <col min="11781" max="11781" width="9.5703125" style="499" customWidth="1"/>
    <col min="11782" max="11782" width="9.85546875" style="499" customWidth="1"/>
    <col min="11783" max="11783" width="9.7109375" style="499" customWidth="1"/>
    <col min="11784" max="11784" width="9.5703125" style="499" customWidth="1"/>
    <col min="11785" max="11785" width="9.85546875" style="499" customWidth="1"/>
    <col min="11786" max="11786" width="6.5703125" style="499" customWidth="1"/>
    <col min="11787" max="11787" width="6" style="499" bestFit="1" customWidth="1"/>
    <col min="11788" max="11788" width="6.28515625" style="499" customWidth="1"/>
    <col min="11789" max="11789" width="11.7109375" style="499" customWidth="1"/>
    <col min="11790" max="11790" width="0" style="499" hidden="1" customWidth="1"/>
    <col min="11791" max="11791" width="14.5703125" style="499" customWidth="1"/>
    <col min="11792" max="11792" width="11.85546875" style="499" customWidth="1"/>
    <col min="11793" max="12027" width="9.140625" style="499"/>
    <col min="12028" max="12028" width="2.85546875" style="499" customWidth="1"/>
    <col min="12029" max="12029" width="50.7109375" style="499" customWidth="1"/>
    <col min="12030" max="12030" width="9.42578125" style="499" customWidth="1"/>
    <col min="12031" max="12031" width="11.85546875" style="499" customWidth="1"/>
    <col min="12032" max="12032" width="8.42578125" style="499" bestFit="1" customWidth="1"/>
    <col min="12033" max="12035" width="0" style="499" hidden="1" customWidth="1"/>
    <col min="12036" max="12036" width="6" style="499" bestFit="1" customWidth="1"/>
    <col min="12037" max="12037" width="9.5703125" style="499" customWidth="1"/>
    <col min="12038" max="12038" width="9.85546875" style="499" customWidth="1"/>
    <col min="12039" max="12039" width="9.7109375" style="499" customWidth="1"/>
    <col min="12040" max="12040" width="9.5703125" style="499" customWidth="1"/>
    <col min="12041" max="12041" width="9.85546875" style="499" customWidth="1"/>
    <col min="12042" max="12042" width="6.5703125" style="499" customWidth="1"/>
    <col min="12043" max="12043" width="6" style="499" bestFit="1" customWidth="1"/>
    <col min="12044" max="12044" width="6.28515625" style="499" customWidth="1"/>
    <col min="12045" max="12045" width="11.7109375" style="499" customWidth="1"/>
    <col min="12046" max="12046" width="0" style="499" hidden="1" customWidth="1"/>
    <col min="12047" max="12047" width="14.5703125" style="499" customWidth="1"/>
    <col min="12048" max="12048" width="11.85546875" style="499" customWidth="1"/>
    <col min="12049" max="12283" width="9.140625" style="499"/>
    <col min="12284" max="12284" width="2.85546875" style="499" customWidth="1"/>
    <col min="12285" max="12285" width="50.7109375" style="499" customWidth="1"/>
    <col min="12286" max="12286" width="9.42578125" style="499" customWidth="1"/>
    <col min="12287" max="12287" width="11.85546875" style="499" customWidth="1"/>
    <col min="12288" max="12288" width="8.42578125" style="499" bestFit="1" customWidth="1"/>
    <col min="12289" max="12291" width="0" style="499" hidden="1" customWidth="1"/>
    <col min="12292" max="12292" width="6" style="499" bestFit="1" customWidth="1"/>
    <col min="12293" max="12293" width="9.5703125" style="499" customWidth="1"/>
    <col min="12294" max="12294" width="9.85546875" style="499" customWidth="1"/>
    <col min="12295" max="12295" width="9.7109375" style="499" customWidth="1"/>
    <col min="12296" max="12296" width="9.5703125" style="499" customWidth="1"/>
    <col min="12297" max="12297" width="9.85546875" style="499" customWidth="1"/>
    <col min="12298" max="12298" width="6.5703125" style="499" customWidth="1"/>
    <col min="12299" max="12299" width="6" style="499" bestFit="1" customWidth="1"/>
    <col min="12300" max="12300" width="6.28515625" style="499" customWidth="1"/>
    <col min="12301" max="12301" width="11.7109375" style="499" customWidth="1"/>
    <col min="12302" max="12302" width="0" style="499" hidden="1" customWidth="1"/>
    <col min="12303" max="12303" width="14.5703125" style="499" customWidth="1"/>
    <col min="12304" max="12304" width="11.85546875" style="499" customWidth="1"/>
    <col min="12305" max="12539" width="9.140625" style="499"/>
    <col min="12540" max="12540" width="2.85546875" style="499" customWidth="1"/>
    <col min="12541" max="12541" width="50.7109375" style="499" customWidth="1"/>
    <col min="12542" max="12542" width="9.42578125" style="499" customWidth="1"/>
    <col min="12543" max="12543" width="11.85546875" style="499" customWidth="1"/>
    <col min="12544" max="12544" width="8.42578125" style="499" bestFit="1" customWidth="1"/>
    <col min="12545" max="12547" width="0" style="499" hidden="1" customWidth="1"/>
    <col min="12548" max="12548" width="6" style="499" bestFit="1" customWidth="1"/>
    <col min="12549" max="12549" width="9.5703125" style="499" customWidth="1"/>
    <col min="12550" max="12550" width="9.85546875" style="499" customWidth="1"/>
    <col min="12551" max="12551" width="9.7109375" style="499" customWidth="1"/>
    <col min="12552" max="12552" width="9.5703125" style="499" customWidth="1"/>
    <col min="12553" max="12553" width="9.85546875" style="499" customWidth="1"/>
    <col min="12554" max="12554" width="6.5703125" style="499" customWidth="1"/>
    <col min="12555" max="12555" width="6" style="499" bestFit="1" customWidth="1"/>
    <col min="12556" max="12556" width="6.28515625" style="499" customWidth="1"/>
    <col min="12557" max="12557" width="11.7109375" style="499" customWidth="1"/>
    <col min="12558" max="12558" width="0" style="499" hidden="1" customWidth="1"/>
    <col min="12559" max="12559" width="14.5703125" style="499" customWidth="1"/>
    <col min="12560" max="12560" width="11.85546875" style="499" customWidth="1"/>
    <col min="12561" max="12795" width="9.140625" style="499"/>
    <col min="12796" max="12796" width="2.85546875" style="499" customWidth="1"/>
    <col min="12797" max="12797" width="50.7109375" style="499" customWidth="1"/>
    <col min="12798" max="12798" width="9.42578125" style="499" customWidth="1"/>
    <col min="12799" max="12799" width="11.85546875" style="499" customWidth="1"/>
    <col min="12800" max="12800" width="8.42578125" style="499" bestFit="1" customWidth="1"/>
    <col min="12801" max="12803" width="0" style="499" hidden="1" customWidth="1"/>
    <col min="12804" max="12804" width="6" style="499" bestFit="1" customWidth="1"/>
    <col min="12805" max="12805" width="9.5703125" style="499" customWidth="1"/>
    <col min="12806" max="12806" width="9.85546875" style="499" customWidth="1"/>
    <col min="12807" max="12807" width="9.7109375" style="499" customWidth="1"/>
    <col min="12808" max="12808" width="9.5703125" style="499" customWidth="1"/>
    <col min="12809" max="12809" width="9.85546875" style="499" customWidth="1"/>
    <col min="12810" max="12810" width="6.5703125" style="499" customWidth="1"/>
    <col min="12811" max="12811" width="6" style="499" bestFit="1" customWidth="1"/>
    <col min="12812" max="12812" width="6.28515625" style="499" customWidth="1"/>
    <col min="12813" max="12813" width="11.7109375" style="499" customWidth="1"/>
    <col min="12814" max="12814" width="0" style="499" hidden="1" customWidth="1"/>
    <col min="12815" max="12815" width="14.5703125" style="499" customWidth="1"/>
    <col min="12816" max="12816" width="11.85546875" style="499" customWidth="1"/>
    <col min="12817" max="13051" width="9.140625" style="499"/>
    <col min="13052" max="13052" width="2.85546875" style="499" customWidth="1"/>
    <col min="13053" max="13053" width="50.7109375" style="499" customWidth="1"/>
    <col min="13054" max="13054" width="9.42578125" style="499" customWidth="1"/>
    <col min="13055" max="13055" width="11.85546875" style="499" customWidth="1"/>
    <col min="13056" max="13056" width="8.42578125" style="499" bestFit="1" customWidth="1"/>
    <col min="13057" max="13059" width="0" style="499" hidden="1" customWidth="1"/>
    <col min="13060" max="13060" width="6" style="499" bestFit="1" customWidth="1"/>
    <col min="13061" max="13061" width="9.5703125" style="499" customWidth="1"/>
    <col min="13062" max="13062" width="9.85546875" style="499" customWidth="1"/>
    <col min="13063" max="13063" width="9.7109375" style="499" customWidth="1"/>
    <col min="13064" max="13064" width="9.5703125" style="499" customWidth="1"/>
    <col min="13065" max="13065" width="9.85546875" style="499" customWidth="1"/>
    <col min="13066" max="13066" width="6.5703125" style="499" customWidth="1"/>
    <col min="13067" max="13067" width="6" style="499" bestFit="1" customWidth="1"/>
    <col min="13068" max="13068" width="6.28515625" style="499" customWidth="1"/>
    <col min="13069" max="13069" width="11.7109375" style="499" customWidth="1"/>
    <col min="13070" max="13070" width="0" style="499" hidden="1" customWidth="1"/>
    <col min="13071" max="13071" width="14.5703125" style="499" customWidth="1"/>
    <col min="13072" max="13072" width="11.85546875" style="499" customWidth="1"/>
    <col min="13073" max="13307" width="9.140625" style="499"/>
    <col min="13308" max="13308" width="2.85546875" style="499" customWidth="1"/>
    <col min="13309" max="13309" width="50.7109375" style="499" customWidth="1"/>
    <col min="13310" max="13310" width="9.42578125" style="499" customWidth="1"/>
    <col min="13311" max="13311" width="11.85546875" style="499" customWidth="1"/>
    <col min="13312" max="13312" width="8.42578125" style="499" bestFit="1" customWidth="1"/>
    <col min="13313" max="13315" width="0" style="499" hidden="1" customWidth="1"/>
    <col min="13316" max="13316" width="6" style="499" bestFit="1" customWidth="1"/>
    <col min="13317" max="13317" width="9.5703125" style="499" customWidth="1"/>
    <col min="13318" max="13318" width="9.85546875" style="499" customWidth="1"/>
    <col min="13319" max="13319" width="9.7109375" style="499" customWidth="1"/>
    <col min="13320" max="13320" width="9.5703125" style="499" customWidth="1"/>
    <col min="13321" max="13321" width="9.85546875" style="499" customWidth="1"/>
    <col min="13322" max="13322" width="6.5703125" style="499" customWidth="1"/>
    <col min="13323" max="13323" width="6" style="499" bestFit="1" customWidth="1"/>
    <col min="13324" max="13324" width="6.28515625" style="499" customWidth="1"/>
    <col min="13325" max="13325" width="11.7109375" style="499" customWidth="1"/>
    <col min="13326" max="13326" width="0" style="499" hidden="1" customWidth="1"/>
    <col min="13327" max="13327" width="14.5703125" style="499" customWidth="1"/>
    <col min="13328" max="13328" width="11.85546875" style="499" customWidth="1"/>
    <col min="13329" max="13563" width="9.140625" style="499"/>
    <col min="13564" max="13564" width="2.85546875" style="499" customWidth="1"/>
    <col min="13565" max="13565" width="50.7109375" style="499" customWidth="1"/>
    <col min="13566" max="13566" width="9.42578125" style="499" customWidth="1"/>
    <col min="13567" max="13567" width="11.85546875" style="499" customWidth="1"/>
    <col min="13568" max="13568" width="8.42578125" style="499" bestFit="1" customWidth="1"/>
    <col min="13569" max="13571" width="0" style="499" hidden="1" customWidth="1"/>
    <col min="13572" max="13572" width="6" style="499" bestFit="1" customWidth="1"/>
    <col min="13573" max="13573" width="9.5703125" style="499" customWidth="1"/>
    <col min="13574" max="13574" width="9.85546875" style="499" customWidth="1"/>
    <col min="13575" max="13575" width="9.7109375" style="499" customWidth="1"/>
    <col min="13576" max="13576" width="9.5703125" style="499" customWidth="1"/>
    <col min="13577" max="13577" width="9.85546875" style="499" customWidth="1"/>
    <col min="13578" max="13578" width="6.5703125" style="499" customWidth="1"/>
    <col min="13579" max="13579" width="6" style="499" bestFit="1" customWidth="1"/>
    <col min="13580" max="13580" width="6.28515625" style="499" customWidth="1"/>
    <col min="13581" max="13581" width="11.7109375" style="499" customWidth="1"/>
    <col min="13582" max="13582" width="0" style="499" hidden="1" customWidth="1"/>
    <col min="13583" max="13583" width="14.5703125" style="499" customWidth="1"/>
    <col min="13584" max="13584" width="11.85546875" style="499" customWidth="1"/>
    <col min="13585" max="13819" width="9.140625" style="499"/>
    <col min="13820" max="13820" width="2.85546875" style="499" customWidth="1"/>
    <col min="13821" max="13821" width="50.7109375" style="499" customWidth="1"/>
    <col min="13822" max="13822" width="9.42578125" style="499" customWidth="1"/>
    <col min="13823" max="13823" width="11.85546875" style="499" customWidth="1"/>
    <col min="13824" max="13824" width="8.42578125" style="499" bestFit="1" customWidth="1"/>
    <col min="13825" max="13827" width="0" style="499" hidden="1" customWidth="1"/>
    <col min="13828" max="13828" width="6" style="499" bestFit="1" customWidth="1"/>
    <col min="13829" max="13829" width="9.5703125" style="499" customWidth="1"/>
    <col min="13830" max="13830" width="9.85546875" style="499" customWidth="1"/>
    <col min="13831" max="13831" width="9.7109375" style="499" customWidth="1"/>
    <col min="13832" max="13832" width="9.5703125" style="499" customWidth="1"/>
    <col min="13833" max="13833" width="9.85546875" style="499" customWidth="1"/>
    <col min="13834" max="13834" width="6.5703125" style="499" customWidth="1"/>
    <col min="13835" max="13835" width="6" style="499" bestFit="1" customWidth="1"/>
    <col min="13836" max="13836" width="6.28515625" style="499" customWidth="1"/>
    <col min="13837" max="13837" width="11.7109375" style="499" customWidth="1"/>
    <col min="13838" max="13838" width="0" style="499" hidden="1" customWidth="1"/>
    <col min="13839" max="13839" width="14.5703125" style="499" customWidth="1"/>
    <col min="13840" max="13840" width="11.85546875" style="499" customWidth="1"/>
    <col min="13841" max="14075" width="9.140625" style="499"/>
    <col min="14076" max="14076" width="2.85546875" style="499" customWidth="1"/>
    <col min="14077" max="14077" width="50.7109375" style="499" customWidth="1"/>
    <col min="14078" max="14078" width="9.42578125" style="499" customWidth="1"/>
    <col min="14079" max="14079" width="11.85546875" style="499" customWidth="1"/>
    <col min="14080" max="14080" width="8.42578125" style="499" bestFit="1" customWidth="1"/>
    <col min="14081" max="14083" width="0" style="499" hidden="1" customWidth="1"/>
    <col min="14084" max="14084" width="6" style="499" bestFit="1" customWidth="1"/>
    <col min="14085" max="14085" width="9.5703125" style="499" customWidth="1"/>
    <col min="14086" max="14086" width="9.85546875" style="499" customWidth="1"/>
    <col min="14087" max="14087" width="9.7109375" style="499" customWidth="1"/>
    <col min="14088" max="14088" width="9.5703125" style="499" customWidth="1"/>
    <col min="14089" max="14089" width="9.85546875" style="499" customWidth="1"/>
    <col min="14090" max="14090" width="6.5703125" style="499" customWidth="1"/>
    <col min="14091" max="14091" width="6" style="499" bestFit="1" customWidth="1"/>
    <col min="14092" max="14092" width="6.28515625" style="499" customWidth="1"/>
    <col min="14093" max="14093" width="11.7109375" style="499" customWidth="1"/>
    <col min="14094" max="14094" width="0" style="499" hidden="1" customWidth="1"/>
    <col min="14095" max="14095" width="14.5703125" style="499" customWidth="1"/>
    <col min="14096" max="14096" width="11.85546875" style="499" customWidth="1"/>
    <col min="14097" max="14331" width="9.140625" style="499"/>
    <col min="14332" max="14332" width="2.85546875" style="499" customWidth="1"/>
    <col min="14333" max="14333" width="50.7109375" style="499" customWidth="1"/>
    <col min="14334" max="14334" width="9.42578125" style="499" customWidth="1"/>
    <col min="14335" max="14335" width="11.85546875" style="499" customWidth="1"/>
    <col min="14336" max="14336" width="8.42578125" style="499" bestFit="1" customWidth="1"/>
    <col min="14337" max="14339" width="0" style="499" hidden="1" customWidth="1"/>
    <col min="14340" max="14340" width="6" style="499" bestFit="1" customWidth="1"/>
    <col min="14341" max="14341" width="9.5703125" style="499" customWidth="1"/>
    <col min="14342" max="14342" width="9.85546875" style="499" customWidth="1"/>
    <col min="14343" max="14343" width="9.7109375" style="499" customWidth="1"/>
    <col min="14344" max="14344" width="9.5703125" style="499" customWidth="1"/>
    <col min="14345" max="14345" width="9.85546875" style="499" customWidth="1"/>
    <col min="14346" max="14346" width="6.5703125" style="499" customWidth="1"/>
    <col min="14347" max="14347" width="6" style="499" bestFit="1" customWidth="1"/>
    <col min="14348" max="14348" width="6.28515625" style="499" customWidth="1"/>
    <col min="14349" max="14349" width="11.7109375" style="499" customWidth="1"/>
    <col min="14350" max="14350" width="0" style="499" hidden="1" customWidth="1"/>
    <col min="14351" max="14351" width="14.5703125" style="499" customWidth="1"/>
    <col min="14352" max="14352" width="11.85546875" style="499" customWidth="1"/>
    <col min="14353" max="14587" width="9.140625" style="499"/>
    <col min="14588" max="14588" width="2.85546875" style="499" customWidth="1"/>
    <col min="14589" max="14589" width="50.7109375" style="499" customWidth="1"/>
    <col min="14590" max="14590" width="9.42578125" style="499" customWidth="1"/>
    <col min="14591" max="14591" width="11.85546875" style="499" customWidth="1"/>
    <col min="14592" max="14592" width="8.42578125" style="499" bestFit="1" customWidth="1"/>
    <col min="14593" max="14595" width="0" style="499" hidden="1" customWidth="1"/>
    <col min="14596" max="14596" width="6" style="499" bestFit="1" customWidth="1"/>
    <col min="14597" max="14597" width="9.5703125" style="499" customWidth="1"/>
    <col min="14598" max="14598" width="9.85546875" style="499" customWidth="1"/>
    <col min="14599" max="14599" width="9.7109375" style="499" customWidth="1"/>
    <col min="14600" max="14600" width="9.5703125" style="499" customWidth="1"/>
    <col min="14601" max="14601" width="9.85546875" style="499" customWidth="1"/>
    <col min="14602" max="14602" width="6.5703125" style="499" customWidth="1"/>
    <col min="14603" max="14603" width="6" style="499" bestFit="1" customWidth="1"/>
    <col min="14604" max="14604" width="6.28515625" style="499" customWidth="1"/>
    <col min="14605" max="14605" width="11.7109375" style="499" customWidth="1"/>
    <col min="14606" max="14606" width="0" style="499" hidden="1" customWidth="1"/>
    <col min="14607" max="14607" width="14.5703125" style="499" customWidth="1"/>
    <col min="14608" max="14608" width="11.85546875" style="499" customWidth="1"/>
    <col min="14609" max="14843" width="9.140625" style="499"/>
    <col min="14844" max="14844" width="2.85546875" style="499" customWidth="1"/>
    <col min="14845" max="14845" width="50.7109375" style="499" customWidth="1"/>
    <col min="14846" max="14846" width="9.42578125" style="499" customWidth="1"/>
    <col min="14847" max="14847" width="11.85546875" style="499" customWidth="1"/>
    <col min="14848" max="14848" width="8.42578125" style="499" bestFit="1" customWidth="1"/>
    <col min="14849" max="14851" width="0" style="499" hidden="1" customWidth="1"/>
    <col min="14852" max="14852" width="6" style="499" bestFit="1" customWidth="1"/>
    <col min="14853" max="14853" width="9.5703125" style="499" customWidth="1"/>
    <col min="14854" max="14854" width="9.85546875" style="499" customWidth="1"/>
    <col min="14855" max="14855" width="9.7109375" style="499" customWidth="1"/>
    <col min="14856" max="14856" width="9.5703125" style="499" customWidth="1"/>
    <col min="14857" max="14857" width="9.85546875" style="499" customWidth="1"/>
    <col min="14858" max="14858" width="6.5703125" style="499" customWidth="1"/>
    <col min="14859" max="14859" width="6" style="499" bestFit="1" customWidth="1"/>
    <col min="14860" max="14860" width="6.28515625" style="499" customWidth="1"/>
    <col min="14861" max="14861" width="11.7109375" style="499" customWidth="1"/>
    <col min="14862" max="14862" width="0" style="499" hidden="1" customWidth="1"/>
    <col min="14863" max="14863" width="14.5703125" style="499" customWidth="1"/>
    <col min="14864" max="14864" width="11.85546875" style="499" customWidth="1"/>
    <col min="14865" max="15099" width="9.140625" style="499"/>
    <col min="15100" max="15100" width="2.85546875" style="499" customWidth="1"/>
    <col min="15101" max="15101" width="50.7109375" style="499" customWidth="1"/>
    <col min="15102" max="15102" width="9.42578125" style="499" customWidth="1"/>
    <col min="15103" max="15103" width="11.85546875" style="499" customWidth="1"/>
    <col min="15104" max="15104" width="8.42578125" style="499" bestFit="1" customWidth="1"/>
    <col min="15105" max="15107" width="0" style="499" hidden="1" customWidth="1"/>
    <col min="15108" max="15108" width="6" style="499" bestFit="1" customWidth="1"/>
    <col min="15109" max="15109" width="9.5703125" style="499" customWidth="1"/>
    <col min="15110" max="15110" width="9.85546875" style="499" customWidth="1"/>
    <col min="15111" max="15111" width="9.7109375" style="499" customWidth="1"/>
    <col min="15112" max="15112" width="9.5703125" style="499" customWidth="1"/>
    <col min="15113" max="15113" width="9.85546875" style="499" customWidth="1"/>
    <col min="15114" max="15114" width="6.5703125" style="499" customWidth="1"/>
    <col min="15115" max="15115" width="6" style="499" bestFit="1" customWidth="1"/>
    <col min="15116" max="15116" width="6.28515625" style="499" customWidth="1"/>
    <col min="15117" max="15117" width="11.7109375" style="499" customWidth="1"/>
    <col min="15118" max="15118" width="0" style="499" hidden="1" customWidth="1"/>
    <col min="15119" max="15119" width="14.5703125" style="499" customWidth="1"/>
    <col min="15120" max="15120" width="11.85546875" style="499" customWidth="1"/>
    <col min="15121" max="15355" width="9.140625" style="499"/>
    <col min="15356" max="15356" width="2.85546875" style="499" customWidth="1"/>
    <col min="15357" max="15357" width="50.7109375" style="499" customWidth="1"/>
    <col min="15358" max="15358" width="9.42578125" style="499" customWidth="1"/>
    <col min="15359" max="15359" width="11.85546875" style="499" customWidth="1"/>
    <col min="15360" max="15360" width="8.42578125" style="499" bestFit="1" customWidth="1"/>
    <col min="15361" max="15363" width="0" style="499" hidden="1" customWidth="1"/>
    <col min="15364" max="15364" width="6" style="499" bestFit="1" customWidth="1"/>
    <col min="15365" max="15365" width="9.5703125" style="499" customWidth="1"/>
    <col min="15366" max="15366" width="9.85546875" style="499" customWidth="1"/>
    <col min="15367" max="15367" width="9.7109375" style="499" customWidth="1"/>
    <col min="15368" max="15368" width="9.5703125" style="499" customWidth="1"/>
    <col min="15369" max="15369" width="9.85546875" style="499" customWidth="1"/>
    <col min="15370" max="15370" width="6.5703125" style="499" customWidth="1"/>
    <col min="15371" max="15371" width="6" style="499" bestFit="1" customWidth="1"/>
    <col min="15372" max="15372" width="6.28515625" style="499" customWidth="1"/>
    <col min="15373" max="15373" width="11.7109375" style="499" customWidth="1"/>
    <col min="15374" max="15374" width="0" style="499" hidden="1" customWidth="1"/>
    <col min="15375" max="15375" width="14.5703125" style="499" customWidth="1"/>
    <col min="15376" max="15376" width="11.85546875" style="499" customWidth="1"/>
    <col min="15377" max="15611" width="9.140625" style="499"/>
    <col min="15612" max="15612" width="2.85546875" style="499" customWidth="1"/>
    <col min="15613" max="15613" width="50.7109375" style="499" customWidth="1"/>
    <col min="15614" max="15614" width="9.42578125" style="499" customWidth="1"/>
    <col min="15615" max="15615" width="11.85546875" style="499" customWidth="1"/>
    <col min="15616" max="15616" width="8.42578125" style="499" bestFit="1" customWidth="1"/>
    <col min="15617" max="15619" width="0" style="499" hidden="1" customWidth="1"/>
    <col min="15620" max="15620" width="6" style="499" bestFit="1" customWidth="1"/>
    <col min="15621" max="15621" width="9.5703125" style="499" customWidth="1"/>
    <col min="15622" max="15622" width="9.85546875" style="499" customWidth="1"/>
    <col min="15623" max="15623" width="9.7109375" style="499" customWidth="1"/>
    <col min="15624" max="15624" width="9.5703125" style="499" customWidth="1"/>
    <col min="15625" max="15625" width="9.85546875" style="499" customWidth="1"/>
    <col min="15626" max="15626" width="6.5703125" style="499" customWidth="1"/>
    <col min="15627" max="15627" width="6" style="499" bestFit="1" customWidth="1"/>
    <col min="15628" max="15628" width="6.28515625" style="499" customWidth="1"/>
    <col min="15629" max="15629" width="11.7109375" style="499" customWidth="1"/>
    <col min="15630" max="15630" width="0" style="499" hidden="1" customWidth="1"/>
    <col min="15631" max="15631" width="14.5703125" style="499" customWidth="1"/>
    <col min="15632" max="15632" width="11.85546875" style="499" customWidth="1"/>
    <col min="15633" max="15867" width="9.140625" style="499"/>
    <col min="15868" max="15868" width="2.85546875" style="499" customWidth="1"/>
    <col min="15869" max="15869" width="50.7109375" style="499" customWidth="1"/>
    <col min="15870" max="15870" width="9.42578125" style="499" customWidth="1"/>
    <col min="15871" max="15871" width="11.85546875" style="499" customWidth="1"/>
    <col min="15872" max="15872" width="8.42578125" style="499" bestFit="1" customWidth="1"/>
    <col min="15873" max="15875" width="0" style="499" hidden="1" customWidth="1"/>
    <col min="15876" max="15876" width="6" style="499" bestFit="1" customWidth="1"/>
    <col min="15877" max="15877" width="9.5703125" style="499" customWidth="1"/>
    <col min="15878" max="15878" width="9.85546875" style="499" customWidth="1"/>
    <col min="15879" max="15879" width="9.7109375" style="499" customWidth="1"/>
    <col min="15880" max="15880" width="9.5703125" style="499" customWidth="1"/>
    <col min="15881" max="15881" width="9.85546875" style="499" customWidth="1"/>
    <col min="15882" max="15882" width="6.5703125" style="499" customWidth="1"/>
    <col min="15883" max="15883" width="6" style="499" bestFit="1" customWidth="1"/>
    <col min="15884" max="15884" width="6.28515625" style="499" customWidth="1"/>
    <col min="15885" max="15885" width="11.7109375" style="499" customWidth="1"/>
    <col min="15886" max="15886" width="0" style="499" hidden="1" customWidth="1"/>
    <col min="15887" max="15887" width="14.5703125" style="499" customWidth="1"/>
    <col min="15888" max="15888" width="11.85546875" style="499" customWidth="1"/>
    <col min="15889" max="16123" width="9.140625" style="499"/>
    <col min="16124" max="16124" width="2.85546875" style="499" customWidth="1"/>
    <col min="16125" max="16125" width="50.7109375" style="499" customWidth="1"/>
    <col min="16126" max="16126" width="9.42578125" style="499" customWidth="1"/>
    <col min="16127" max="16127" width="11.85546875" style="499" customWidth="1"/>
    <col min="16128" max="16128" width="8.42578125" style="499" bestFit="1" customWidth="1"/>
    <col min="16129" max="16131" width="0" style="499" hidden="1" customWidth="1"/>
    <col min="16132" max="16132" width="6" style="499" bestFit="1" customWidth="1"/>
    <col min="16133" max="16133" width="9.5703125" style="499" customWidth="1"/>
    <col min="16134" max="16134" width="9.85546875" style="499" customWidth="1"/>
    <col min="16135" max="16135" width="9.7109375" style="499" customWidth="1"/>
    <col min="16136" max="16136" width="9.5703125" style="499" customWidth="1"/>
    <col min="16137" max="16137" width="9.85546875" style="499" customWidth="1"/>
    <col min="16138" max="16138" width="6.5703125" style="499" customWidth="1"/>
    <col min="16139" max="16139" width="6" style="499" bestFit="1" customWidth="1"/>
    <col min="16140" max="16140" width="6.28515625" style="499" customWidth="1"/>
    <col min="16141" max="16141" width="11.7109375" style="499" customWidth="1"/>
    <col min="16142" max="16142" width="0" style="499" hidden="1" customWidth="1"/>
    <col min="16143" max="16143" width="14.5703125" style="499" customWidth="1"/>
    <col min="16144" max="16144" width="11.85546875" style="499" customWidth="1"/>
    <col min="16145" max="16384" width="9.140625" style="499"/>
  </cols>
  <sheetData>
    <row r="1" spans="1:16" ht="15" customHeight="1">
      <c r="H1" s="643" t="s">
        <v>389</v>
      </c>
      <c r="M1" s="485"/>
      <c r="N1" s="485"/>
      <c r="O1" s="486"/>
    </row>
    <row r="2" spans="1:16" ht="2.25" customHeight="1">
      <c r="M2" s="485"/>
      <c r="N2" s="485"/>
      <c r="O2" s="486"/>
    </row>
    <row r="3" spans="1:16" ht="6.75" customHeight="1">
      <c r="M3" s="485"/>
      <c r="N3" s="485"/>
      <c r="O3" s="486"/>
    </row>
    <row r="4" spans="1:16" ht="36" customHeight="1" thickBot="1">
      <c r="A4" s="4240" t="s">
        <v>167</v>
      </c>
      <c r="B4" s="4240"/>
      <c r="C4" s="4240"/>
      <c r="D4" s="4240"/>
      <c r="E4" s="4240"/>
      <c r="F4" s="4240"/>
      <c r="G4" s="4240"/>
      <c r="H4" s="4240"/>
      <c r="I4" s="4240"/>
      <c r="J4" s="4240"/>
      <c r="K4" s="4240"/>
      <c r="L4" s="4240"/>
      <c r="M4" s="4240"/>
      <c r="N4" s="4240"/>
      <c r="O4" s="4240"/>
    </row>
    <row r="5" spans="1:16" ht="62.25" customHeight="1">
      <c r="A5" s="644"/>
      <c r="B5" s="4241" t="s">
        <v>67</v>
      </c>
      <c r="C5" s="3629" t="s">
        <v>63</v>
      </c>
      <c r="D5" s="3996" t="s">
        <v>108</v>
      </c>
      <c r="E5" s="1285" t="s">
        <v>222</v>
      </c>
      <c r="F5" s="3504" t="s">
        <v>420</v>
      </c>
      <c r="G5" s="3646" t="s">
        <v>376</v>
      </c>
      <c r="H5" s="3647"/>
      <c r="I5" s="3647"/>
      <c r="J5" s="3647"/>
      <c r="K5" s="3647"/>
      <c r="L5" s="3648"/>
      <c r="M5" s="4106" t="s">
        <v>392</v>
      </c>
      <c r="N5" s="4106" t="s">
        <v>381</v>
      </c>
      <c r="O5" s="3998" t="s">
        <v>65</v>
      </c>
    </row>
    <row r="6" spans="1:16" ht="18.75" customHeight="1" thickBot="1">
      <c r="A6" s="645"/>
      <c r="B6" s="4242"/>
      <c r="C6" s="4243"/>
      <c r="D6" s="4215"/>
      <c r="E6" s="782" t="s">
        <v>368</v>
      </c>
      <c r="F6" s="3506"/>
      <c r="G6" s="3127" t="s">
        <v>6</v>
      </c>
      <c r="H6" s="295" t="s">
        <v>170</v>
      </c>
      <c r="I6" s="295" t="s">
        <v>171</v>
      </c>
      <c r="J6" s="295" t="s">
        <v>214</v>
      </c>
      <c r="K6" s="295" t="s">
        <v>215</v>
      </c>
      <c r="L6" s="295" t="s">
        <v>216</v>
      </c>
      <c r="M6" s="4244"/>
      <c r="N6" s="4244"/>
      <c r="O6" s="3999"/>
    </row>
    <row r="7" spans="1:16" ht="15" customHeight="1" thickBot="1">
      <c r="A7" s="856">
        <v>1</v>
      </c>
      <c r="B7" s="857">
        <v>2</v>
      </c>
      <c r="C7" s="858" t="s">
        <v>109</v>
      </c>
      <c r="D7" s="858" t="s">
        <v>110</v>
      </c>
      <c r="E7" s="858">
        <v>5</v>
      </c>
      <c r="F7" s="858">
        <v>6</v>
      </c>
      <c r="G7" s="858">
        <v>7</v>
      </c>
      <c r="H7" s="858">
        <v>8</v>
      </c>
      <c r="I7" s="858">
        <v>9</v>
      </c>
      <c r="J7" s="858">
        <v>10</v>
      </c>
      <c r="K7" s="858">
        <v>11</v>
      </c>
      <c r="L7" s="858">
        <v>12</v>
      </c>
      <c r="M7" s="859">
        <v>13</v>
      </c>
      <c r="N7" s="859">
        <v>13</v>
      </c>
      <c r="O7" s="860">
        <v>14</v>
      </c>
    </row>
    <row r="8" spans="1:16" s="647" customFormat="1" ht="15.75" customHeight="1">
      <c r="A8" s="494"/>
      <c r="B8" s="226" t="s">
        <v>68</v>
      </c>
      <c r="C8" s="203"/>
      <c r="D8" s="783">
        <f>+D9+D10</f>
        <v>54820691</v>
      </c>
      <c r="E8" s="204">
        <f t="shared" ref="E8" si="0">+E9+E10</f>
        <v>437818</v>
      </c>
      <c r="F8" s="204">
        <f t="shared" ref="F8" si="1">+F9+F10</f>
        <v>715352</v>
      </c>
      <c r="G8" s="204">
        <f t="shared" ref="G8:N8" si="2">+G9+G10</f>
        <v>815800</v>
      </c>
      <c r="H8" s="204">
        <f t="shared" si="2"/>
        <v>15810155</v>
      </c>
      <c r="I8" s="204">
        <f t="shared" si="2"/>
        <v>30446183</v>
      </c>
      <c r="J8" s="204">
        <f t="shared" si="2"/>
        <v>6595383</v>
      </c>
      <c r="K8" s="204">
        <f t="shared" si="2"/>
        <v>0</v>
      </c>
      <c r="L8" s="204">
        <f t="shared" si="2"/>
        <v>0</v>
      </c>
      <c r="M8" s="145">
        <f t="shared" ref="M8" si="3">+M9+M10</f>
        <v>54820691</v>
      </c>
      <c r="N8" s="145">
        <f t="shared" si="2"/>
        <v>53667521</v>
      </c>
      <c r="O8" s="617"/>
      <c r="P8" s="646"/>
    </row>
    <row r="9" spans="1:16" s="647" customFormat="1" ht="13.5" customHeight="1">
      <c r="A9" s="494"/>
      <c r="B9" s="218" t="s">
        <v>69</v>
      </c>
      <c r="C9" s="206"/>
      <c r="D9" s="777">
        <f t="shared" ref="D9:I9" si="4">+D27+D36+D45</f>
        <v>2250056</v>
      </c>
      <c r="E9" s="207">
        <f t="shared" si="4"/>
        <v>437818</v>
      </c>
      <c r="F9" s="207">
        <f t="shared" si="4"/>
        <v>711017</v>
      </c>
      <c r="G9" s="207">
        <f t="shared" si="4"/>
        <v>815800</v>
      </c>
      <c r="H9" s="207">
        <f t="shared" si="4"/>
        <v>152857</v>
      </c>
      <c r="I9" s="207">
        <f t="shared" si="4"/>
        <v>132564</v>
      </c>
      <c r="J9" s="207">
        <f>+J27+J36+J46</f>
        <v>0</v>
      </c>
      <c r="K9" s="207">
        <f>+K27+K36+K46</f>
        <v>0</v>
      </c>
      <c r="L9" s="207">
        <f>+L27+L36+L46</f>
        <v>0</v>
      </c>
      <c r="M9" s="487">
        <f>SUM(E9:K9)</f>
        <v>2250056</v>
      </c>
      <c r="N9" s="487">
        <f>SUM(G9:L9)</f>
        <v>1101221</v>
      </c>
      <c r="O9" s="617"/>
    </row>
    <row r="10" spans="1:16" s="647" customFormat="1" ht="13.5" customHeight="1" thickBot="1">
      <c r="A10" s="494"/>
      <c r="B10" s="648" t="s">
        <v>9</v>
      </c>
      <c r="C10" s="649"/>
      <c r="D10" s="784">
        <f t="shared" ref="D10:L10" si="5">D74+D63</f>
        <v>52570635</v>
      </c>
      <c r="E10" s="650">
        <f t="shared" si="5"/>
        <v>0</v>
      </c>
      <c r="F10" s="650">
        <f t="shared" si="5"/>
        <v>4335</v>
      </c>
      <c r="G10" s="650">
        <f t="shared" si="5"/>
        <v>0</v>
      </c>
      <c r="H10" s="650">
        <f t="shared" si="5"/>
        <v>15657298</v>
      </c>
      <c r="I10" s="650">
        <f t="shared" si="5"/>
        <v>30313619</v>
      </c>
      <c r="J10" s="650">
        <f t="shared" si="5"/>
        <v>6595383</v>
      </c>
      <c r="K10" s="650">
        <f t="shared" si="5"/>
        <v>0</v>
      </c>
      <c r="L10" s="650">
        <f t="shared" si="5"/>
        <v>0</v>
      </c>
      <c r="M10" s="147">
        <f>SUM(E10:K10)</f>
        <v>52570635</v>
      </c>
      <c r="N10" s="147">
        <f>SUM(G10:L10)</f>
        <v>52566300</v>
      </c>
      <c r="O10" s="617"/>
    </row>
    <row r="11" spans="1:16" ht="12">
      <c r="A11" s="494"/>
      <c r="B11" s="91" t="s">
        <v>10</v>
      </c>
      <c r="C11" s="88"/>
      <c r="D11" s="114">
        <f>D12+D16</f>
        <v>54820691</v>
      </c>
      <c r="E11" s="114">
        <f t="shared" ref="E11" si="6">E12+E16</f>
        <v>437818</v>
      </c>
      <c r="F11" s="114">
        <f t="shared" ref="F11:L11" si="7">F12+F16</f>
        <v>715352</v>
      </c>
      <c r="G11" s="114">
        <f t="shared" si="7"/>
        <v>815800</v>
      </c>
      <c r="H11" s="114">
        <f t="shared" si="7"/>
        <v>15810155</v>
      </c>
      <c r="I11" s="114">
        <f t="shared" si="7"/>
        <v>30446183</v>
      </c>
      <c r="J11" s="114">
        <f t="shared" si="7"/>
        <v>6595383</v>
      </c>
      <c r="K11" s="114">
        <f t="shared" si="7"/>
        <v>0</v>
      </c>
      <c r="L11" s="114">
        <f t="shared" si="7"/>
        <v>0</v>
      </c>
      <c r="M11" s="425">
        <f>+M12+M16</f>
        <v>49564061</v>
      </c>
      <c r="N11" s="425">
        <f>+N12+N16</f>
        <v>53667521</v>
      </c>
      <c r="O11" s="619"/>
    </row>
    <row r="12" spans="1:16" ht="13.5" customHeight="1">
      <c r="A12" s="494"/>
      <c r="B12" s="651" t="s">
        <v>23</v>
      </c>
      <c r="C12" s="652"/>
      <c r="D12" s="653">
        <f>+D13+D14+D15</f>
        <v>8262967</v>
      </c>
      <c r="E12" s="653">
        <f t="shared" ref="E12:L12" si="8">+E13+E14+E15</f>
        <v>73814</v>
      </c>
      <c r="F12" s="653">
        <f t="shared" si="8"/>
        <v>113308</v>
      </c>
      <c r="G12" s="653">
        <f t="shared" si="8"/>
        <v>132888</v>
      </c>
      <c r="H12" s="653">
        <f t="shared" si="8"/>
        <v>2379058</v>
      </c>
      <c r="I12" s="653">
        <f t="shared" si="8"/>
        <v>4574592</v>
      </c>
      <c r="J12" s="653">
        <f t="shared" si="8"/>
        <v>989307</v>
      </c>
      <c r="K12" s="653">
        <f t="shared" si="8"/>
        <v>0</v>
      </c>
      <c r="L12" s="653">
        <f t="shared" si="8"/>
        <v>0</v>
      </c>
      <c r="M12" s="654">
        <f>+M13+M14</f>
        <v>3006337</v>
      </c>
      <c r="N12" s="654">
        <f>+N13+N14+N15</f>
        <v>8075845</v>
      </c>
      <c r="O12" s="620"/>
    </row>
    <row r="13" spans="1:16" ht="12">
      <c r="A13" s="494"/>
      <c r="B13" s="655" t="s">
        <v>12</v>
      </c>
      <c r="C13" s="656"/>
      <c r="D13" s="496">
        <f>D29+D38+D51+D76+D88</f>
        <v>2906940</v>
      </c>
      <c r="E13" s="496">
        <f t="shared" ref="E13:L13" si="9">E29+E38+E51+E76+E88</f>
        <v>51859</v>
      </c>
      <c r="F13" s="496">
        <f t="shared" si="9"/>
        <v>98575</v>
      </c>
      <c r="G13" s="496">
        <f t="shared" si="9"/>
        <v>107651</v>
      </c>
      <c r="H13" s="496">
        <f t="shared" si="9"/>
        <v>794591</v>
      </c>
      <c r="I13" s="496">
        <f t="shared" si="9"/>
        <v>1524495</v>
      </c>
      <c r="J13" s="496">
        <f t="shared" si="9"/>
        <v>329769</v>
      </c>
      <c r="K13" s="496">
        <f t="shared" si="9"/>
        <v>0</v>
      </c>
      <c r="L13" s="496">
        <f t="shared" si="9"/>
        <v>0</v>
      </c>
      <c r="M13" s="482">
        <f>SUM(E13:K13)</f>
        <v>2906940</v>
      </c>
      <c r="N13" s="482">
        <f>SUM(G13:L13)</f>
        <v>2756506</v>
      </c>
      <c r="O13" s="620"/>
    </row>
    <row r="14" spans="1:16" ht="12">
      <c r="A14" s="494"/>
      <c r="B14" s="655" t="s">
        <v>13</v>
      </c>
      <c r="C14" s="656"/>
      <c r="D14" s="657">
        <f>+D47+D65</f>
        <v>99397</v>
      </c>
      <c r="E14" s="657">
        <f>+E47+E65</f>
        <v>21955</v>
      </c>
      <c r="F14" s="657">
        <f>+F47+F65</f>
        <v>14733</v>
      </c>
      <c r="G14" s="657">
        <f t="shared" ref="G14:I14" si="10">+G47+G65</f>
        <v>25237</v>
      </c>
      <c r="H14" s="657">
        <f t="shared" si="10"/>
        <v>18737</v>
      </c>
      <c r="I14" s="657">
        <f t="shared" si="10"/>
        <v>18735</v>
      </c>
      <c r="J14" s="657">
        <f t="shared" ref="J14:L14" si="11">+J47</f>
        <v>0</v>
      </c>
      <c r="K14" s="657">
        <f t="shared" si="11"/>
        <v>0</v>
      </c>
      <c r="L14" s="657">
        <f t="shared" si="11"/>
        <v>0</v>
      </c>
      <c r="M14" s="482">
        <f>SUM(E14:K14)</f>
        <v>99397</v>
      </c>
      <c r="N14" s="482">
        <f>SUM(G14:L14)</f>
        <v>62709</v>
      </c>
      <c r="O14" s="620"/>
    </row>
    <row r="15" spans="1:16" ht="12">
      <c r="A15" s="494"/>
      <c r="B15" s="655" t="s">
        <v>17</v>
      </c>
      <c r="C15" s="3032"/>
      <c r="D15" s="3033">
        <f>D77+D89</f>
        <v>5256630</v>
      </c>
      <c r="E15" s="3033">
        <f t="shared" ref="E15:L15" si="12">E77+E89</f>
        <v>0</v>
      </c>
      <c r="F15" s="3033">
        <f t="shared" si="12"/>
        <v>0</v>
      </c>
      <c r="G15" s="3033">
        <f t="shared" si="12"/>
        <v>0</v>
      </c>
      <c r="H15" s="3033">
        <f t="shared" si="12"/>
        <v>1565730</v>
      </c>
      <c r="I15" s="3033">
        <f t="shared" si="12"/>
        <v>3031362</v>
      </c>
      <c r="J15" s="3033">
        <f t="shared" si="12"/>
        <v>659538</v>
      </c>
      <c r="K15" s="3033">
        <f t="shared" si="12"/>
        <v>0</v>
      </c>
      <c r="L15" s="3033">
        <f t="shared" si="12"/>
        <v>0</v>
      </c>
      <c r="M15" s="1374"/>
      <c r="N15" s="482">
        <f>SUM(G15:L15)</f>
        <v>5256630</v>
      </c>
      <c r="O15" s="620"/>
    </row>
    <row r="16" spans="1:16" ht="13.5" customHeight="1">
      <c r="A16" s="494"/>
      <c r="B16" s="658" t="s">
        <v>18</v>
      </c>
      <c r="C16" s="659"/>
      <c r="D16" s="653">
        <f>+D17+D18</f>
        <v>46557724</v>
      </c>
      <c r="E16" s="653">
        <f t="shared" ref="E16" si="13">+E17+E18</f>
        <v>364004</v>
      </c>
      <c r="F16" s="653">
        <f t="shared" ref="F16:L16" si="14">+F17+F18</f>
        <v>602044</v>
      </c>
      <c r="G16" s="653">
        <f t="shared" si="14"/>
        <v>682912</v>
      </c>
      <c r="H16" s="653">
        <f t="shared" si="14"/>
        <v>13431097</v>
      </c>
      <c r="I16" s="653">
        <f t="shared" si="14"/>
        <v>25871591</v>
      </c>
      <c r="J16" s="653">
        <f t="shared" si="14"/>
        <v>5606076</v>
      </c>
      <c r="K16" s="653">
        <f t="shared" si="14"/>
        <v>0</v>
      </c>
      <c r="L16" s="653">
        <f t="shared" si="14"/>
        <v>0</v>
      </c>
      <c r="M16" s="481">
        <f>+M17+M18</f>
        <v>46557724</v>
      </c>
      <c r="N16" s="481">
        <f>+N17+N18</f>
        <v>45591676</v>
      </c>
      <c r="O16" s="620"/>
    </row>
    <row r="17" spans="1:17" ht="13.5" hidden="1" customHeight="1">
      <c r="A17" s="494"/>
      <c r="B17" s="655" t="s">
        <v>20</v>
      </c>
      <c r="C17" s="660"/>
      <c r="D17" s="488"/>
      <c r="E17" s="488"/>
      <c r="F17" s="488"/>
      <c r="G17" s="488"/>
      <c r="H17" s="488"/>
      <c r="I17" s="488"/>
      <c r="J17" s="488"/>
      <c r="K17" s="488"/>
      <c r="L17" s="488"/>
      <c r="M17" s="482">
        <f>SUM(E17:K17)</f>
        <v>0</v>
      </c>
      <c r="N17" s="482">
        <f>SUM(F17:L17)</f>
        <v>0</v>
      </c>
      <c r="O17" s="620"/>
    </row>
    <row r="18" spans="1:17" ht="12.75" customHeight="1">
      <c r="A18" s="494"/>
      <c r="B18" s="489" t="s">
        <v>19</v>
      </c>
      <c r="C18" s="660"/>
      <c r="D18" s="488">
        <f>+D31+D40+D53+D67+D79+D91</f>
        <v>46557724</v>
      </c>
      <c r="E18" s="488">
        <f t="shared" ref="E18:L18" si="15">+E31+E40+E53+E67+E79+E91</f>
        <v>364004</v>
      </c>
      <c r="F18" s="488">
        <f t="shared" si="15"/>
        <v>602044</v>
      </c>
      <c r="G18" s="488">
        <f t="shared" si="15"/>
        <v>682912</v>
      </c>
      <c r="H18" s="488">
        <f t="shared" si="15"/>
        <v>13431097</v>
      </c>
      <c r="I18" s="488">
        <f t="shared" si="15"/>
        <v>25871591</v>
      </c>
      <c r="J18" s="488">
        <f t="shared" si="15"/>
        <v>5606076</v>
      </c>
      <c r="K18" s="488">
        <f t="shared" si="15"/>
        <v>0</v>
      </c>
      <c r="L18" s="488">
        <f t="shared" si="15"/>
        <v>0</v>
      </c>
      <c r="M18" s="482">
        <f>SUM(E18:K18)</f>
        <v>46557724</v>
      </c>
      <c r="N18" s="482">
        <f>SUM(G18:L18)</f>
        <v>45591676</v>
      </c>
      <c r="O18" s="620"/>
    </row>
    <row r="19" spans="1:17" ht="12">
      <c r="A19" s="494"/>
      <c r="B19" s="80" t="s">
        <v>21</v>
      </c>
      <c r="C19" s="433"/>
      <c r="D19" s="490">
        <f>D23+D20</f>
        <v>51913751</v>
      </c>
      <c r="E19" s="490">
        <f t="shared" ref="E19:L19" si="16">E23+E20</f>
        <v>0</v>
      </c>
      <c r="F19" s="490">
        <f t="shared" si="16"/>
        <v>482232</v>
      </c>
      <c r="G19" s="490">
        <f t="shared" si="16"/>
        <v>705374</v>
      </c>
      <c r="H19" s="490">
        <f t="shared" si="16"/>
        <v>15501447</v>
      </c>
      <c r="I19" s="490">
        <f t="shared" si="16"/>
        <v>28892880</v>
      </c>
      <c r="J19" s="490">
        <f t="shared" si="16"/>
        <v>6331818</v>
      </c>
      <c r="K19" s="490">
        <f t="shared" si="16"/>
        <v>0</v>
      </c>
      <c r="L19" s="490">
        <f t="shared" si="16"/>
        <v>0</v>
      </c>
      <c r="M19" s="4239" t="s">
        <v>53</v>
      </c>
      <c r="N19" s="4239" t="s">
        <v>53</v>
      </c>
      <c r="O19" s="497"/>
      <c r="P19" s="498"/>
    </row>
    <row r="20" spans="1:17" ht="12">
      <c r="A20" s="494"/>
      <c r="B20" s="491" t="s">
        <v>12</v>
      </c>
      <c r="C20" s="492"/>
      <c r="D20" s="493">
        <f>+D21+D22</f>
        <v>5356027</v>
      </c>
      <c r="E20" s="493">
        <f t="shared" ref="E20:L20" si="17">+E21+E22</f>
        <v>0</v>
      </c>
      <c r="F20" s="493">
        <f t="shared" si="17"/>
        <v>23112</v>
      </c>
      <c r="G20" s="493">
        <f t="shared" si="17"/>
        <v>19886</v>
      </c>
      <c r="H20" s="493">
        <f t="shared" si="17"/>
        <v>1589343</v>
      </c>
      <c r="I20" s="493">
        <f t="shared" si="17"/>
        <v>3050097</v>
      </c>
      <c r="J20" s="493">
        <f t="shared" si="17"/>
        <v>673589</v>
      </c>
      <c r="K20" s="493">
        <f t="shared" si="17"/>
        <v>0</v>
      </c>
      <c r="L20" s="493">
        <f t="shared" si="17"/>
        <v>0</v>
      </c>
      <c r="M20" s="3517"/>
      <c r="N20" s="3517"/>
      <c r="O20" s="497"/>
      <c r="P20" s="498"/>
    </row>
    <row r="21" spans="1:17" ht="12">
      <c r="A21" s="494"/>
      <c r="B21" s="495" t="s">
        <v>13</v>
      </c>
      <c r="C21" s="492"/>
      <c r="D21" s="496">
        <f>+D59+D70</f>
        <v>99397</v>
      </c>
      <c r="E21" s="496">
        <f>+E59+E70</f>
        <v>0</v>
      </c>
      <c r="F21" s="496">
        <f>+F59+F70</f>
        <v>23112</v>
      </c>
      <c r="G21" s="496">
        <f>+G59+G70</f>
        <v>19886</v>
      </c>
      <c r="H21" s="496">
        <f t="shared" ref="H21:J21" si="18">+H59+H70</f>
        <v>23613</v>
      </c>
      <c r="I21" s="496">
        <f t="shared" si="18"/>
        <v>18735</v>
      </c>
      <c r="J21" s="496">
        <f t="shared" si="18"/>
        <v>14051</v>
      </c>
      <c r="K21" s="496">
        <f t="shared" ref="K21:L21" si="19">+K59</f>
        <v>0</v>
      </c>
      <c r="L21" s="496">
        <f t="shared" si="19"/>
        <v>0</v>
      </c>
      <c r="M21" s="3517"/>
      <c r="N21" s="3517"/>
      <c r="O21" s="497"/>
      <c r="P21" s="498">
        <f>D14-D21</f>
        <v>0</v>
      </c>
    </row>
    <row r="22" spans="1:17" ht="12">
      <c r="A22" s="494"/>
      <c r="B22" s="655" t="s">
        <v>17</v>
      </c>
      <c r="C22" s="501"/>
      <c r="D22" s="496">
        <f>D82+D94</f>
        <v>5256630</v>
      </c>
      <c r="E22" s="496">
        <f t="shared" ref="E22:L22" si="20">E82+E94</f>
        <v>0</v>
      </c>
      <c r="F22" s="496">
        <f t="shared" si="20"/>
        <v>0</v>
      </c>
      <c r="G22" s="496">
        <f t="shared" si="20"/>
        <v>0</v>
      </c>
      <c r="H22" s="496">
        <f t="shared" si="20"/>
        <v>1565730</v>
      </c>
      <c r="I22" s="496">
        <f t="shared" si="20"/>
        <v>3031362</v>
      </c>
      <c r="J22" s="496">
        <f t="shared" si="20"/>
        <v>659538</v>
      </c>
      <c r="K22" s="496">
        <f t="shared" si="20"/>
        <v>0</v>
      </c>
      <c r="L22" s="496">
        <f t="shared" si="20"/>
        <v>0</v>
      </c>
      <c r="M22" s="3517"/>
      <c r="N22" s="3517"/>
      <c r="O22" s="497"/>
      <c r="P22" s="498"/>
    </row>
    <row r="23" spans="1:17" ht="12">
      <c r="A23" s="500"/>
      <c r="B23" s="178" t="s">
        <v>18</v>
      </c>
      <c r="C23" s="501"/>
      <c r="D23" s="502">
        <f>+D24+D25</f>
        <v>46557724</v>
      </c>
      <c r="E23" s="502">
        <f t="shared" ref="E23" si="21">+E24+E25</f>
        <v>0</v>
      </c>
      <c r="F23" s="502">
        <f t="shared" ref="F23:L23" si="22">+F24+F25</f>
        <v>459120</v>
      </c>
      <c r="G23" s="502">
        <f t="shared" si="22"/>
        <v>685488</v>
      </c>
      <c r="H23" s="502">
        <f t="shared" si="22"/>
        <v>13912104</v>
      </c>
      <c r="I23" s="502">
        <f t="shared" si="22"/>
        <v>25842783</v>
      </c>
      <c r="J23" s="502">
        <f t="shared" si="22"/>
        <v>5658229</v>
      </c>
      <c r="K23" s="502">
        <f t="shared" si="22"/>
        <v>0</v>
      </c>
      <c r="L23" s="502">
        <f t="shared" si="22"/>
        <v>0</v>
      </c>
      <c r="M23" s="3517"/>
      <c r="N23" s="3517"/>
      <c r="O23" s="497"/>
    </row>
    <row r="24" spans="1:17" ht="15" hidden="1" customHeight="1">
      <c r="A24" s="500"/>
      <c r="B24" s="495" t="s">
        <v>20</v>
      </c>
      <c r="C24" s="492"/>
      <c r="D24" s="496"/>
      <c r="E24" s="496"/>
      <c r="F24" s="496"/>
      <c r="G24" s="496"/>
      <c r="H24" s="496"/>
      <c r="I24" s="496"/>
      <c r="J24" s="496"/>
      <c r="K24" s="496"/>
      <c r="L24" s="496"/>
      <c r="M24" s="3517"/>
      <c r="N24" s="3517"/>
      <c r="O24" s="497"/>
      <c r="P24" s="498"/>
    </row>
    <row r="25" spans="1:17" ht="12.75" thickBot="1">
      <c r="A25" s="503"/>
      <c r="B25" s="504" t="s">
        <v>19</v>
      </c>
      <c r="C25" s="661"/>
      <c r="D25" s="496">
        <f>+D34+D43+D61+D72+D84+D96</f>
        <v>46557724</v>
      </c>
      <c r="E25" s="496">
        <f t="shared" ref="E25:L25" si="23">+E34+E43+E61+E72+E84+E96</f>
        <v>0</v>
      </c>
      <c r="F25" s="496">
        <f t="shared" si="23"/>
        <v>459120</v>
      </c>
      <c r="G25" s="496">
        <f t="shared" si="23"/>
        <v>685488</v>
      </c>
      <c r="H25" s="496">
        <f t="shared" si="23"/>
        <v>13912104</v>
      </c>
      <c r="I25" s="496">
        <f t="shared" si="23"/>
        <v>25842783</v>
      </c>
      <c r="J25" s="496">
        <f t="shared" si="23"/>
        <v>5658229</v>
      </c>
      <c r="K25" s="496">
        <f t="shared" si="23"/>
        <v>0</v>
      </c>
      <c r="L25" s="496">
        <f t="shared" si="23"/>
        <v>0</v>
      </c>
      <c r="M25" s="3518"/>
      <c r="N25" s="3518"/>
      <c r="O25" s="662"/>
      <c r="P25" s="498">
        <f>D18-D25</f>
        <v>0</v>
      </c>
    </row>
    <row r="26" spans="1:17" ht="23.25" customHeight="1">
      <c r="A26" s="4245" t="s">
        <v>55</v>
      </c>
      <c r="B26" s="505" t="s">
        <v>455</v>
      </c>
      <c r="C26" s="506" t="s">
        <v>100</v>
      </c>
      <c r="D26" s="663"/>
      <c r="E26" s="2778"/>
      <c r="F26" s="2779"/>
      <c r="G26" s="2779"/>
      <c r="H26" s="2779"/>
      <c r="I26" s="2779"/>
      <c r="J26" s="2779"/>
      <c r="K26" s="2779"/>
      <c r="L26" s="2780"/>
      <c r="M26" s="664"/>
      <c r="N26" s="664"/>
      <c r="O26" s="4233" t="s">
        <v>278</v>
      </c>
    </row>
    <row r="27" spans="1:17" ht="12">
      <c r="A27" s="4246"/>
      <c r="B27" s="419" t="s">
        <v>10</v>
      </c>
      <c r="C27" s="433"/>
      <c r="D27" s="427">
        <f t="shared" ref="D27" si="24">+D28+D30</f>
        <v>960682</v>
      </c>
      <c r="E27" s="427">
        <f t="shared" ref="E27" si="25">+E28+E30</f>
        <v>184963</v>
      </c>
      <c r="F27" s="427">
        <f t="shared" ref="F27:H27" si="26">+F28+F30</f>
        <v>332518</v>
      </c>
      <c r="G27" s="427">
        <f t="shared" si="26"/>
        <v>408671</v>
      </c>
      <c r="H27" s="427">
        <f t="shared" si="26"/>
        <v>34530</v>
      </c>
      <c r="I27" s="427"/>
      <c r="J27" s="427"/>
      <c r="K27" s="427"/>
      <c r="L27" s="427"/>
      <c r="M27" s="425">
        <f>+M28+M30</f>
        <v>775719</v>
      </c>
      <c r="N27" s="425">
        <f>+N28+N30</f>
        <v>443201</v>
      </c>
      <c r="O27" s="4234"/>
      <c r="P27" s="498"/>
      <c r="Q27" s="498"/>
    </row>
    <row r="28" spans="1:17" ht="13.5" customHeight="1">
      <c r="A28" s="4246"/>
      <c r="B28" s="665" t="s">
        <v>23</v>
      </c>
      <c r="C28" s="3560" t="s">
        <v>227</v>
      </c>
      <c r="D28" s="507">
        <f>+D29</f>
        <v>144099</v>
      </c>
      <c r="E28" s="2252">
        <f t="shared" ref="E28:H28" si="27">+E29</f>
        <v>27744</v>
      </c>
      <c r="F28" s="2253">
        <f t="shared" si="27"/>
        <v>49876</v>
      </c>
      <c r="G28" s="2253">
        <f t="shared" si="27"/>
        <v>61298</v>
      </c>
      <c r="H28" s="2253">
        <f t="shared" si="27"/>
        <v>5181</v>
      </c>
      <c r="I28" s="2253"/>
      <c r="J28" s="2253"/>
      <c r="K28" s="2253"/>
      <c r="L28" s="2253"/>
      <c r="M28" s="2254">
        <f>+M29</f>
        <v>116355</v>
      </c>
      <c r="N28" s="2254">
        <f>+N29</f>
        <v>66479</v>
      </c>
      <c r="O28" s="4235"/>
    </row>
    <row r="29" spans="1:17" ht="13.5" customHeight="1">
      <c r="A29" s="4246"/>
      <c r="B29" s="666" t="s">
        <v>12</v>
      </c>
      <c r="C29" s="4237"/>
      <c r="D29" s="236">
        <f>E29+F29+G29+H29+I29+J29+K29+L29</f>
        <v>144099</v>
      </c>
      <c r="E29" s="266">
        <v>27744</v>
      </c>
      <c r="F29" s="422">
        <f>58031-8100-55</f>
        <v>49876</v>
      </c>
      <c r="G29" s="422">
        <f>53201+8098-1</f>
        <v>61298</v>
      </c>
      <c r="H29" s="422">
        <f>5126+55</f>
        <v>5181</v>
      </c>
      <c r="I29" s="422"/>
      <c r="J29" s="422"/>
      <c r="K29" s="422"/>
      <c r="L29" s="422"/>
      <c r="M29" s="482">
        <f>SUM(F29:K29)</f>
        <v>116355</v>
      </c>
      <c r="N29" s="482">
        <f>SUM(G29:L29)</f>
        <v>66479</v>
      </c>
      <c r="O29" s="4235"/>
    </row>
    <row r="30" spans="1:17" ht="13.5" customHeight="1">
      <c r="A30" s="4246"/>
      <c r="B30" s="667" t="s">
        <v>18</v>
      </c>
      <c r="C30" s="4237"/>
      <c r="D30" s="508">
        <f t="shared" ref="D30:N30" si="28">+D31</f>
        <v>816583</v>
      </c>
      <c r="E30" s="507">
        <f t="shared" si="28"/>
        <v>157219</v>
      </c>
      <c r="F30" s="509">
        <f>+F31</f>
        <v>282642</v>
      </c>
      <c r="G30" s="509">
        <f>+G31</f>
        <v>347373</v>
      </c>
      <c r="H30" s="509">
        <f>+H31</f>
        <v>29349</v>
      </c>
      <c r="I30" s="509"/>
      <c r="J30" s="509"/>
      <c r="K30" s="509"/>
      <c r="L30" s="509"/>
      <c r="M30" s="481">
        <f t="shared" si="28"/>
        <v>659364</v>
      </c>
      <c r="N30" s="481">
        <f t="shared" si="28"/>
        <v>376722</v>
      </c>
      <c r="O30" s="4235"/>
    </row>
    <row r="31" spans="1:17" ht="13.5" customHeight="1">
      <c r="A31" s="4246"/>
      <c r="B31" s="553" t="s">
        <v>19</v>
      </c>
      <c r="C31" s="4237"/>
      <c r="D31" s="236">
        <f>E31+F31+G31+H31+I31+J31+K31+L31</f>
        <v>816583</v>
      </c>
      <c r="E31" s="266">
        <v>157219</v>
      </c>
      <c r="F31" s="2255">
        <f>328844-45898-304</f>
        <v>282642</v>
      </c>
      <c r="G31" s="2255">
        <f>301472+45901</f>
        <v>347373</v>
      </c>
      <c r="H31" s="483">
        <f>29045+304</f>
        <v>29349</v>
      </c>
      <c r="I31" s="483"/>
      <c r="J31" s="483"/>
      <c r="K31" s="483"/>
      <c r="L31" s="483"/>
      <c r="M31" s="482">
        <f>SUM(F31:K31)</f>
        <v>659364</v>
      </c>
      <c r="N31" s="482">
        <f>SUM(G31:L31)</f>
        <v>376722</v>
      </c>
      <c r="O31" s="4235"/>
    </row>
    <row r="32" spans="1:17" ht="12">
      <c r="A32" s="4246"/>
      <c r="B32" s="419" t="s">
        <v>21</v>
      </c>
      <c r="C32" s="433"/>
      <c r="D32" s="669">
        <f>+D33</f>
        <v>816583</v>
      </c>
      <c r="E32" s="669">
        <v>0</v>
      </c>
      <c r="F32" s="669">
        <f t="shared" ref="F32:I33" si="29">+F33</f>
        <v>183266</v>
      </c>
      <c r="G32" s="669">
        <f t="shared" si="29"/>
        <v>328844</v>
      </c>
      <c r="H32" s="669">
        <f t="shared" si="29"/>
        <v>294473</v>
      </c>
      <c r="I32" s="669">
        <f t="shared" si="29"/>
        <v>10000</v>
      </c>
      <c r="J32" s="427"/>
      <c r="K32" s="427"/>
      <c r="L32" s="427"/>
      <c r="M32" s="4239" t="s">
        <v>53</v>
      </c>
      <c r="N32" s="4239" t="s">
        <v>53</v>
      </c>
      <c r="O32" s="4235"/>
    </row>
    <row r="33" spans="1:19" ht="13.5" customHeight="1">
      <c r="A33" s="4246"/>
      <c r="B33" s="667" t="s">
        <v>18</v>
      </c>
      <c r="C33" s="3597" t="s">
        <v>227</v>
      </c>
      <c r="D33" s="508">
        <f>+D34</f>
        <v>816583</v>
      </c>
      <c r="E33" s="508">
        <v>0</v>
      </c>
      <c r="F33" s="508">
        <f t="shared" si="29"/>
        <v>183266</v>
      </c>
      <c r="G33" s="508">
        <f t="shared" si="29"/>
        <v>328844</v>
      </c>
      <c r="H33" s="508">
        <f t="shared" si="29"/>
        <v>294473</v>
      </c>
      <c r="I33" s="508">
        <f t="shared" si="29"/>
        <v>10000</v>
      </c>
      <c r="J33" s="508"/>
      <c r="K33" s="508"/>
      <c r="L33" s="508"/>
      <c r="M33" s="3517"/>
      <c r="N33" s="3517"/>
      <c r="O33" s="4235"/>
      <c r="P33" s="498">
        <f>+D34-D31</f>
        <v>0</v>
      </c>
    </row>
    <row r="34" spans="1:19" ht="12.75" thickBot="1">
      <c r="A34" s="4247"/>
      <c r="B34" s="553" t="s">
        <v>19</v>
      </c>
      <c r="C34" s="4238"/>
      <c r="D34" s="236">
        <f>E34+F34+G34+H34+I34+J34+K34+L34</f>
        <v>816583</v>
      </c>
      <c r="E34" s="266">
        <v>0</v>
      </c>
      <c r="F34" s="2256">
        <f>159401+23865</f>
        <v>183266</v>
      </c>
      <c r="G34" s="2256">
        <v>328844</v>
      </c>
      <c r="H34" s="2256">
        <f>301472-6999</f>
        <v>294473</v>
      </c>
      <c r="I34" s="2256">
        <f>29045-2182+3-16866</f>
        <v>10000</v>
      </c>
      <c r="J34" s="2256"/>
      <c r="K34" s="2256"/>
      <c r="L34" s="2256"/>
      <c r="M34" s="3518"/>
      <c r="N34" s="3518"/>
      <c r="O34" s="4236"/>
    </row>
    <row r="35" spans="1:19" ht="35.25" customHeight="1">
      <c r="A35" s="4245" t="s">
        <v>56</v>
      </c>
      <c r="B35" s="505" t="s">
        <v>456</v>
      </c>
      <c r="C35" s="506" t="s">
        <v>100</v>
      </c>
      <c r="D35" s="663"/>
      <c r="E35" s="2778"/>
      <c r="F35" s="2779"/>
      <c r="G35" s="2779"/>
      <c r="H35" s="2779"/>
      <c r="I35" s="2779"/>
      <c r="J35" s="2779"/>
      <c r="K35" s="2779"/>
      <c r="L35" s="2780"/>
      <c r="M35" s="2257"/>
      <c r="N35" s="2257"/>
      <c r="O35" s="4233" t="s">
        <v>278</v>
      </c>
    </row>
    <row r="36" spans="1:19" ht="12.75" customHeight="1">
      <c r="A36" s="4246"/>
      <c r="B36" s="419" t="s">
        <v>10</v>
      </c>
      <c r="C36" s="433"/>
      <c r="D36" s="669">
        <f t="shared" ref="D36:I36" si="30">+D37+D39</f>
        <v>895017</v>
      </c>
      <c r="E36" s="427">
        <f t="shared" ref="E36" si="31">+E37+E39</f>
        <v>164812</v>
      </c>
      <c r="F36" s="427">
        <f>+F37+F39</f>
        <v>323767</v>
      </c>
      <c r="G36" s="427">
        <f t="shared" si="30"/>
        <v>305828</v>
      </c>
      <c r="H36" s="427">
        <f t="shared" si="30"/>
        <v>43185</v>
      </c>
      <c r="I36" s="427">
        <f t="shared" si="30"/>
        <v>57425</v>
      </c>
      <c r="J36" s="427"/>
      <c r="K36" s="427"/>
      <c r="L36" s="427"/>
      <c r="M36" s="425">
        <f>+M37+M39</f>
        <v>730205</v>
      </c>
      <c r="N36" s="425">
        <f>+N37+N39</f>
        <v>406438</v>
      </c>
      <c r="O36" s="4234"/>
      <c r="P36" s="498"/>
      <c r="Q36" s="498"/>
      <c r="R36" s="498"/>
      <c r="S36" s="498"/>
    </row>
    <row r="37" spans="1:19" ht="12" customHeight="1">
      <c r="A37" s="4246"/>
      <c r="B37" s="665" t="s">
        <v>23</v>
      </c>
      <c r="C37" s="3560" t="s">
        <v>227</v>
      </c>
      <c r="D37" s="670">
        <f>+D38</f>
        <v>133424</v>
      </c>
      <c r="E37" s="510">
        <f t="shared" ref="E37:I37" si="32">+E38</f>
        <v>23893</v>
      </c>
      <c r="F37" s="2258">
        <f t="shared" si="32"/>
        <v>48565</v>
      </c>
      <c r="G37" s="2258">
        <f t="shared" si="32"/>
        <v>46007</v>
      </c>
      <c r="H37" s="2258">
        <f t="shared" si="32"/>
        <v>6345</v>
      </c>
      <c r="I37" s="2258">
        <f t="shared" si="32"/>
        <v>8614</v>
      </c>
      <c r="J37" s="2259"/>
      <c r="K37" s="2259"/>
      <c r="L37" s="2259"/>
      <c r="M37" s="481">
        <f>+M38</f>
        <v>109531</v>
      </c>
      <c r="N37" s="481">
        <f>+N38</f>
        <v>60966</v>
      </c>
      <c r="O37" s="4235"/>
    </row>
    <row r="38" spans="1:19" ht="12">
      <c r="A38" s="4246"/>
      <c r="B38" s="666" t="s">
        <v>12</v>
      </c>
      <c r="C38" s="4237"/>
      <c r="D38" s="236">
        <f>E38+F38+G38+H38+I38+J38+K38+L38</f>
        <v>133424</v>
      </c>
      <c r="E38" s="266">
        <v>23893</v>
      </c>
      <c r="F38" s="422">
        <f>52409-1560-2170-114</f>
        <v>48565</v>
      </c>
      <c r="G38" s="422">
        <f>43837+2170</f>
        <v>46007</v>
      </c>
      <c r="H38" s="422">
        <f>6231+114</f>
        <v>6345</v>
      </c>
      <c r="I38" s="422">
        <v>8614</v>
      </c>
      <c r="J38" s="422"/>
      <c r="K38" s="422"/>
      <c r="L38" s="422"/>
      <c r="M38" s="482">
        <f>SUM(F38:K38)</f>
        <v>109531</v>
      </c>
      <c r="N38" s="482">
        <f>SUM(G38:L38)</f>
        <v>60966</v>
      </c>
      <c r="O38" s="4235"/>
    </row>
    <row r="39" spans="1:19" ht="12">
      <c r="A39" s="4246"/>
      <c r="B39" s="667" t="s">
        <v>18</v>
      </c>
      <c r="C39" s="4237"/>
      <c r="D39" s="511">
        <f t="shared" ref="D39:N39" si="33">+D40</f>
        <v>761593</v>
      </c>
      <c r="E39" s="507">
        <f t="shared" si="33"/>
        <v>140919</v>
      </c>
      <c r="F39" s="2252">
        <f t="shared" si="33"/>
        <v>275202</v>
      </c>
      <c r="G39" s="2252">
        <f t="shared" si="33"/>
        <v>259821</v>
      </c>
      <c r="H39" s="2252">
        <f t="shared" si="33"/>
        <v>36840</v>
      </c>
      <c r="I39" s="2252">
        <f t="shared" si="33"/>
        <v>48811</v>
      </c>
      <c r="J39" s="2260"/>
      <c r="K39" s="2260"/>
      <c r="L39" s="2260"/>
      <c r="M39" s="481">
        <f t="shared" si="33"/>
        <v>620674</v>
      </c>
      <c r="N39" s="481">
        <f t="shared" si="33"/>
        <v>345472</v>
      </c>
      <c r="O39" s="4235"/>
    </row>
    <row r="40" spans="1:19" ht="12">
      <c r="A40" s="4246"/>
      <c r="B40" s="553" t="s">
        <v>19</v>
      </c>
      <c r="C40" s="4237"/>
      <c r="D40" s="236">
        <f>E40+F40+G40+H40+I40+J40+K40+L40</f>
        <v>761593</v>
      </c>
      <c r="E40" s="266">
        <v>140919</v>
      </c>
      <c r="F40" s="483">
        <f>296984-8840-11410+1-1533</f>
        <v>275202</v>
      </c>
      <c r="G40" s="483">
        <f>248412+11409</f>
        <v>259821</v>
      </c>
      <c r="H40" s="483">
        <f>35307+1533</f>
        <v>36840</v>
      </c>
      <c r="I40" s="483">
        <v>48811</v>
      </c>
      <c r="J40" s="483"/>
      <c r="K40" s="483"/>
      <c r="L40" s="483"/>
      <c r="M40" s="482">
        <f>SUM(F40:K40)</f>
        <v>620674</v>
      </c>
      <c r="N40" s="482">
        <f>SUM(G40:L40)</f>
        <v>345472</v>
      </c>
      <c r="O40" s="4235"/>
    </row>
    <row r="41" spans="1:19" ht="12">
      <c r="A41" s="4246"/>
      <c r="B41" s="417" t="s">
        <v>21</v>
      </c>
      <c r="C41" s="433"/>
      <c r="D41" s="669">
        <f>+D42</f>
        <v>761593</v>
      </c>
      <c r="E41" s="669">
        <v>0</v>
      </c>
      <c r="F41" s="669">
        <f t="shared" ref="F41:I41" si="34">+F42</f>
        <v>206519</v>
      </c>
      <c r="G41" s="669">
        <f t="shared" si="34"/>
        <v>296984</v>
      </c>
      <c r="H41" s="669">
        <f t="shared" si="34"/>
        <v>238090</v>
      </c>
      <c r="I41" s="669">
        <f t="shared" si="34"/>
        <v>10000</v>
      </c>
      <c r="J41" s="669">
        <f t="shared" ref="F41:J42" si="35">+J42</f>
        <v>10000</v>
      </c>
      <c r="K41" s="427"/>
      <c r="L41" s="427"/>
      <c r="M41" s="4239" t="s">
        <v>53</v>
      </c>
      <c r="N41" s="4239" t="s">
        <v>53</v>
      </c>
      <c r="O41" s="4235"/>
    </row>
    <row r="42" spans="1:19" ht="12" customHeight="1">
      <c r="A42" s="4246"/>
      <c r="B42" s="667" t="s">
        <v>18</v>
      </c>
      <c r="C42" s="3597" t="s">
        <v>227</v>
      </c>
      <c r="D42" s="511">
        <f>+D43</f>
        <v>761593</v>
      </c>
      <c r="E42" s="508">
        <v>0</v>
      </c>
      <c r="F42" s="508">
        <f t="shared" si="35"/>
        <v>206519</v>
      </c>
      <c r="G42" s="508">
        <f t="shared" si="35"/>
        <v>296984</v>
      </c>
      <c r="H42" s="508">
        <f t="shared" si="35"/>
        <v>238090</v>
      </c>
      <c r="I42" s="508">
        <f t="shared" si="35"/>
        <v>10000</v>
      </c>
      <c r="J42" s="508">
        <f t="shared" si="35"/>
        <v>10000</v>
      </c>
      <c r="K42" s="508"/>
      <c r="L42" s="508"/>
      <c r="M42" s="3517"/>
      <c r="N42" s="3517"/>
      <c r="O42" s="4235"/>
    </row>
    <row r="43" spans="1:19" ht="13.5" thickBot="1">
      <c r="A43" s="4247"/>
      <c r="B43" s="553" t="s">
        <v>19</v>
      </c>
      <c r="C43" s="4238"/>
      <c r="D43" s="236">
        <f>E43+F43+G43+H43+I43+J43+K43+L43</f>
        <v>761593</v>
      </c>
      <c r="E43" s="266">
        <v>0</v>
      </c>
      <c r="F43" s="415">
        <f>133538+72981</f>
        <v>206519</v>
      </c>
      <c r="G43" s="415">
        <v>296984</v>
      </c>
      <c r="H43" s="415">
        <f>248412-10322</f>
        <v>238090</v>
      </c>
      <c r="I43" s="415">
        <f>35307-25307</f>
        <v>10000</v>
      </c>
      <c r="J43" s="415">
        <f>48811-1459-37352</f>
        <v>10000</v>
      </c>
      <c r="K43" s="2261"/>
      <c r="L43" s="2261"/>
      <c r="M43" s="3518"/>
      <c r="N43" s="3518"/>
      <c r="O43" s="4236"/>
      <c r="P43" s="498">
        <f>+D43-D40</f>
        <v>0</v>
      </c>
    </row>
    <row r="44" spans="1:19" s="3166" customFormat="1" ht="23.25" customHeight="1">
      <c r="A44" s="4250" t="s">
        <v>57</v>
      </c>
      <c r="B44" s="72" t="s">
        <v>365</v>
      </c>
      <c r="C44" s="56" t="s">
        <v>100</v>
      </c>
      <c r="D44" s="672"/>
      <c r="E44" s="2776"/>
      <c r="F44" s="2777"/>
      <c r="G44" s="2777"/>
      <c r="H44" s="2777"/>
      <c r="I44" s="2777"/>
      <c r="J44" s="2752"/>
      <c r="K44" s="2752"/>
      <c r="L44" s="41"/>
      <c r="M44" s="43"/>
      <c r="N44" s="672"/>
      <c r="O44" s="3540" t="s">
        <v>262</v>
      </c>
    </row>
    <row r="45" spans="1:19" s="3166" customFormat="1" ht="12.75">
      <c r="A45" s="4261"/>
      <c r="B45" s="2262" t="s">
        <v>10</v>
      </c>
      <c r="C45" s="1356"/>
      <c r="D45" s="2263">
        <f>+D46+D52</f>
        <v>394357</v>
      </c>
      <c r="E45" s="2263">
        <f t="shared" ref="E45" si="36">+E46+E52</f>
        <v>88043</v>
      </c>
      <c r="F45" s="1418">
        <f t="shared" ref="F45:I45" si="37">+F46+F52</f>
        <v>54732</v>
      </c>
      <c r="G45" s="1418">
        <f t="shared" si="37"/>
        <v>101301</v>
      </c>
      <c r="H45" s="1418">
        <f t="shared" si="37"/>
        <v>75142</v>
      </c>
      <c r="I45" s="1418">
        <f t="shared" si="37"/>
        <v>75139</v>
      </c>
      <c r="J45" s="1418"/>
      <c r="K45" s="1418"/>
      <c r="L45" s="1418"/>
      <c r="M45" s="2264">
        <f>+M46+M52</f>
        <v>306314</v>
      </c>
      <c r="N45" s="2264">
        <f>+N46+N52</f>
        <v>251582</v>
      </c>
      <c r="O45" s="3618"/>
      <c r="P45" s="673"/>
    </row>
    <row r="46" spans="1:19" s="3166" customFormat="1" ht="12.75">
      <c r="A46" s="4261"/>
      <c r="B46" s="665" t="s">
        <v>23</v>
      </c>
      <c r="C46" s="3522" t="s">
        <v>139</v>
      </c>
      <c r="D46" s="2265">
        <f>+D47+D51</f>
        <v>99415</v>
      </c>
      <c r="E46" s="2265">
        <f>+E47+E51</f>
        <v>22177</v>
      </c>
      <c r="F46" s="2266">
        <f t="shared" ref="F46:I46" si="38">+F47+F51</f>
        <v>13783</v>
      </c>
      <c r="G46" s="2266">
        <f t="shared" si="38"/>
        <v>25583</v>
      </c>
      <c r="H46" s="2266">
        <f t="shared" si="38"/>
        <v>18937</v>
      </c>
      <c r="I46" s="2266">
        <f t="shared" si="38"/>
        <v>18935</v>
      </c>
      <c r="J46" s="2265"/>
      <c r="K46" s="2265"/>
      <c r="L46" s="2265"/>
      <c r="M46" s="2267">
        <f>+M47+M51</f>
        <v>77238</v>
      </c>
      <c r="N46" s="2267">
        <f>+N47+N51</f>
        <v>63455</v>
      </c>
      <c r="O46" s="3618"/>
    </row>
    <row r="47" spans="1:19" s="3166" customFormat="1" ht="10.5" customHeight="1">
      <c r="A47" s="4261"/>
      <c r="B47" s="2268" t="s">
        <v>13</v>
      </c>
      <c r="C47" s="3566"/>
      <c r="D47" s="1288">
        <f>E47+F47+G47+H47+I47+J47+K47+L47</f>
        <v>98313</v>
      </c>
      <c r="E47" s="1334">
        <f>+E49+E50</f>
        <v>21955</v>
      </c>
      <c r="F47" s="2269">
        <f>+F49+F50</f>
        <v>13649</v>
      </c>
      <c r="G47" s="2269">
        <f t="shared" ref="G47:I47" si="39">+G49+G50</f>
        <v>25237</v>
      </c>
      <c r="H47" s="2269">
        <f t="shared" si="39"/>
        <v>18737</v>
      </c>
      <c r="I47" s="2269">
        <f t="shared" si="39"/>
        <v>18735</v>
      </c>
      <c r="J47" s="1334"/>
      <c r="K47" s="1334"/>
      <c r="L47" s="1334"/>
      <c r="M47" s="1374">
        <f>SUM(F47:K47)</f>
        <v>76358</v>
      </c>
      <c r="N47" s="1374">
        <f>SUM(G47:L47)</f>
        <v>62709</v>
      </c>
      <c r="O47" s="3618"/>
      <c r="P47" s="673">
        <f>D47-D59</f>
        <v>0</v>
      </c>
    </row>
    <row r="48" spans="1:19" s="3166" customFormat="1" ht="12.75" hidden="1">
      <c r="A48" s="4261"/>
      <c r="B48" s="2270" t="s">
        <v>140</v>
      </c>
      <c r="C48" s="3566"/>
      <c r="D48" s="1288">
        <f>E48+F48+G48+H48+I48+J48+K48+L48</f>
        <v>0</v>
      </c>
      <c r="E48" s="1334"/>
      <c r="F48" s="1373"/>
      <c r="G48" s="1373"/>
      <c r="H48" s="1373"/>
      <c r="I48" s="1373"/>
      <c r="J48" s="1373"/>
      <c r="K48" s="1373"/>
      <c r="L48" s="1373"/>
      <c r="M48" s="1374"/>
      <c r="N48" s="1374"/>
      <c r="O48" s="3618"/>
      <c r="P48" s="673"/>
    </row>
    <row r="49" spans="1:17" s="3166" customFormat="1" ht="12.75" hidden="1">
      <c r="A49" s="4261"/>
      <c r="B49" s="2270" t="s">
        <v>250</v>
      </c>
      <c r="C49" s="3566"/>
      <c r="D49" s="1288">
        <f>E49+F49+G49+H49+I49+J49+K49+L49</f>
        <v>59778</v>
      </c>
      <c r="E49" s="1334">
        <v>15556</v>
      </c>
      <c r="F49" s="2271">
        <f>8056+671+1501+214+2452-4245</f>
        <v>8649</v>
      </c>
      <c r="G49" s="2271">
        <f>8056+671+1501+214+1413</f>
        <v>11855</v>
      </c>
      <c r="H49" s="2271">
        <f>8057+671+1501+214+1417</f>
        <v>11860</v>
      </c>
      <c r="I49" s="2271">
        <f>8057+671+1501+214+1415</f>
        <v>11858</v>
      </c>
      <c r="J49" s="1373"/>
      <c r="K49" s="1373"/>
      <c r="L49" s="1373"/>
      <c r="M49" s="2272">
        <f>SUM(E49:H49)</f>
        <v>47920</v>
      </c>
      <c r="N49" s="2272">
        <f>SUM(G49:I49)</f>
        <v>35573</v>
      </c>
      <c r="O49" s="3618"/>
      <c r="P49" s="673"/>
    </row>
    <row r="50" spans="1:17" s="3166" customFormat="1" ht="12.75" hidden="1">
      <c r="A50" s="4261"/>
      <c r="B50" s="2270" t="s">
        <v>101</v>
      </c>
      <c r="C50" s="3566"/>
      <c r="D50" s="1288">
        <f>E50+F50+G50+H50+I50+J50+K50+L50</f>
        <v>38535</v>
      </c>
      <c r="E50" s="1334">
        <f>6510-111</f>
        <v>6399</v>
      </c>
      <c r="F50" s="2273">
        <f>512+979+979+1250+2157+750+250+5601-1889-5589</f>
        <v>5000</v>
      </c>
      <c r="G50" s="2271">
        <f>512+979+979+1250+2407+750+6505</f>
        <v>13382</v>
      </c>
      <c r="H50" s="2271">
        <f>512+979+979+1250+2407+750</f>
        <v>6877</v>
      </c>
      <c r="I50" s="2271">
        <f>512+979+979+1250+2407+750</f>
        <v>6877</v>
      </c>
      <c r="J50" s="1373"/>
      <c r="K50" s="1373"/>
      <c r="L50" s="1373"/>
      <c r="M50" s="2272">
        <f>SUM(E50:H50)</f>
        <v>31658</v>
      </c>
      <c r="N50" s="2272">
        <f>SUM(G50:I50)</f>
        <v>27136</v>
      </c>
      <c r="O50" s="3618"/>
      <c r="P50" s="673"/>
    </row>
    <row r="51" spans="1:17" s="3166" customFormat="1" ht="12.75">
      <c r="A51" s="4261"/>
      <c r="B51" s="1445" t="s">
        <v>12</v>
      </c>
      <c r="C51" s="3566"/>
      <c r="D51" s="1288">
        <f>E51+F51+G51+H51+I51+J51+K51+L51</f>
        <v>1102</v>
      </c>
      <c r="E51" s="1334">
        <v>222</v>
      </c>
      <c r="F51" s="1373">
        <f>280-146</f>
        <v>134</v>
      </c>
      <c r="G51" s="1373">
        <f>200+146</f>
        <v>346</v>
      </c>
      <c r="H51" s="1373">
        <v>200</v>
      </c>
      <c r="I51" s="1373">
        <v>200</v>
      </c>
      <c r="J51" s="1373"/>
      <c r="K51" s="1373"/>
      <c r="L51" s="1373"/>
      <c r="M51" s="1374">
        <f>SUM(F51:K51)</f>
        <v>880</v>
      </c>
      <c r="N51" s="1374">
        <f>SUM(G51:L51)</f>
        <v>746</v>
      </c>
      <c r="O51" s="3618"/>
    </row>
    <row r="52" spans="1:17" s="3166" customFormat="1" ht="13.5" customHeight="1">
      <c r="A52" s="4261"/>
      <c r="B52" s="2229" t="s">
        <v>18</v>
      </c>
      <c r="C52" s="3566"/>
      <c r="D52" s="1360">
        <f>+D53</f>
        <v>294942</v>
      </c>
      <c r="E52" s="1360">
        <f t="shared" ref="E52" si="40">+E53</f>
        <v>65866</v>
      </c>
      <c r="F52" s="1366">
        <f t="shared" ref="F52:I52" si="41">+F53</f>
        <v>40949</v>
      </c>
      <c r="G52" s="1366">
        <f t="shared" si="41"/>
        <v>75718</v>
      </c>
      <c r="H52" s="1366">
        <f t="shared" si="41"/>
        <v>56205</v>
      </c>
      <c r="I52" s="1366">
        <f t="shared" si="41"/>
        <v>56204</v>
      </c>
      <c r="J52" s="1366"/>
      <c r="K52" s="1366"/>
      <c r="L52" s="1366"/>
      <c r="M52" s="1446">
        <f>+M53</f>
        <v>229076</v>
      </c>
      <c r="N52" s="1446">
        <f>+N53</f>
        <v>188127</v>
      </c>
      <c r="O52" s="3618"/>
    </row>
    <row r="53" spans="1:17" s="3166" customFormat="1" ht="12.75">
      <c r="A53" s="4261"/>
      <c r="B53" s="2274" t="s">
        <v>19</v>
      </c>
      <c r="C53" s="3658"/>
      <c r="D53" s="1288">
        <f>E53+F53+G53+H53+I53+J53+K53+L53</f>
        <v>294942</v>
      </c>
      <c r="E53" s="1334">
        <f>+E55+E56</f>
        <v>65866</v>
      </c>
      <c r="F53" s="2275">
        <f>SUM(F55:F56)</f>
        <v>40949</v>
      </c>
      <c r="G53" s="2275">
        <f>SUM(G55:G56)</f>
        <v>75718</v>
      </c>
      <c r="H53" s="2275">
        <f>SUM(H55:H56)</f>
        <v>56205</v>
      </c>
      <c r="I53" s="2275">
        <f>SUM(I55:I56)</f>
        <v>56204</v>
      </c>
      <c r="J53" s="1363"/>
      <c r="K53" s="1363"/>
      <c r="L53" s="1363"/>
      <c r="M53" s="1374">
        <f>SUM(F53:K53)</f>
        <v>229076</v>
      </c>
      <c r="N53" s="1374">
        <f>SUM(G53:L53)</f>
        <v>188127</v>
      </c>
      <c r="O53" s="3618"/>
      <c r="P53" s="673">
        <f>D53-D61</f>
        <v>0</v>
      </c>
    </row>
    <row r="54" spans="1:17" s="2279" customFormat="1" ht="13.5" hidden="1" customHeight="1">
      <c r="A54" s="4261"/>
      <c r="B54" s="2270" t="s">
        <v>140</v>
      </c>
      <c r="C54" s="2276"/>
      <c r="D54" s="1447"/>
      <c r="E54" s="1448"/>
      <c r="F54" s="1448"/>
      <c r="G54" s="1448"/>
      <c r="H54" s="1448"/>
      <c r="I54" s="1448"/>
      <c r="J54" s="1448"/>
      <c r="K54" s="1448"/>
      <c r="L54" s="1448"/>
      <c r="M54" s="2277"/>
      <c r="N54" s="2277"/>
      <c r="O54" s="3618"/>
      <c r="P54" s="2278"/>
    </row>
    <row r="55" spans="1:17" s="2279" customFormat="1" ht="13.5" hidden="1" customHeight="1">
      <c r="A55" s="4261"/>
      <c r="B55" s="2270" t="s">
        <v>250</v>
      </c>
      <c r="C55" s="2276"/>
      <c r="D55" s="1288">
        <f>E55+F55+G55+H55+I55+J55+K55+L55</f>
        <v>179344</v>
      </c>
      <c r="E55" s="1448">
        <v>46667</v>
      </c>
      <c r="F55" s="1448">
        <f>24173+2014+4502+642+7355-12738</f>
        <v>25948</v>
      </c>
      <c r="G55" s="1448">
        <f>24173+2014+4502+642+4245</f>
        <v>35576</v>
      </c>
      <c r="H55" s="1448">
        <f>24172+2014+4502+642+4247</f>
        <v>35577</v>
      </c>
      <c r="I55" s="1448">
        <f>24172+2014+4502+642+4246</f>
        <v>35576</v>
      </c>
      <c r="J55" s="1448"/>
      <c r="K55" s="1448"/>
      <c r="L55" s="1448"/>
      <c r="M55" s="2272">
        <f>SUM(E55:H55)</f>
        <v>143768</v>
      </c>
      <c r="N55" s="2272">
        <f>SUM(G55:I55)</f>
        <v>106729</v>
      </c>
      <c r="O55" s="3618"/>
      <c r="P55" s="2278"/>
    </row>
    <row r="56" spans="1:17" s="2279" customFormat="1" ht="13.5" hidden="1" customHeight="1">
      <c r="A56" s="4261"/>
      <c r="B56" s="2270" t="s">
        <v>101</v>
      </c>
      <c r="C56" s="2276"/>
      <c r="D56" s="1288">
        <f>E56+F56+G56+H56+I56+J56+K56+L56</f>
        <v>115598</v>
      </c>
      <c r="E56" s="1448">
        <f>19532-333</f>
        <v>19199</v>
      </c>
      <c r="F56" s="1448">
        <f>1537+2936+2936+3750+6469+2250+750+16805-5672-16760</f>
        <v>15001</v>
      </c>
      <c r="G56" s="1448">
        <f>1537+2936+2936+3750+7219+2250+19514</f>
        <v>40142</v>
      </c>
      <c r="H56" s="1448">
        <f>1537+2936+2936+3750+7219+2250</f>
        <v>20628</v>
      </c>
      <c r="I56" s="1448">
        <f>1537+2936+2936+3750+7219+2250</f>
        <v>20628</v>
      </c>
      <c r="J56" s="1448"/>
      <c r="K56" s="1448"/>
      <c r="L56" s="1448"/>
      <c r="M56" s="2272">
        <f>SUM(E56:H56)</f>
        <v>94970</v>
      </c>
      <c r="N56" s="2272">
        <f>SUM(G56:I56)</f>
        <v>81398</v>
      </c>
      <c r="O56" s="3618"/>
      <c r="P56" s="2278"/>
    </row>
    <row r="57" spans="1:17" s="3166" customFormat="1" ht="12.75">
      <c r="A57" s="4261"/>
      <c r="B57" s="417" t="s">
        <v>21</v>
      </c>
      <c r="C57" s="1356"/>
      <c r="D57" s="1357">
        <f>+D58+D60</f>
        <v>393255</v>
      </c>
      <c r="E57" s="1357">
        <f t="shared" ref="E57" si="42">+E58+E60</f>
        <v>0</v>
      </c>
      <c r="F57" s="1357">
        <f t="shared" ref="F57:J57" si="43">+F58+F60</f>
        <v>92447</v>
      </c>
      <c r="G57" s="1357">
        <f t="shared" si="43"/>
        <v>75211</v>
      </c>
      <c r="H57" s="1357">
        <f t="shared" si="43"/>
        <v>94451</v>
      </c>
      <c r="I57" s="1357">
        <f t="shared" si="43"/>
        <v>74942</v>
      </c>
      <c r="J57" s="1357">
        <f t="shared" si="43"/>
        <v>56204</v>
      </c>
      <c r="K57" s="1418"/>
      <c r="L57" s="1418"/>
      <c r="M57" s="3519" t="s">
        <v>53</v>
      </c>
      <c r="N57" s="3519" t="s">
        <v>53</v>
      </c>
      <c r="O57" s="3618"/>
    </row>
    <row r="58" spans="1:17" s="3166" customFormat="1" ht="13.5" customHeight="1">
      <c r="A58" s="4261"/>
      <c r="B58" s="547" t="s">
        <v>23</v>
      </c>
      <c r="C58" s="3695" t="s">
        <v>139</v>
      </c>
      <c r="D58" s="2280">
        <f>+D59</f>
        <v>98313</v>
      </c>
      <c r="E58" s="2280">
        <f t="shared" ref="E58" si="44">+E59</f>
        <v>0</v>
      </c>
      <c r="F58" s="2281">
        <f t="shared" ref="F58:J58" si="45">+F59</f>
        <v>23112</v>
      </c>
      <c r="G58" s="2281">
        <f t="shared" si="45"/>
        <v>18802</v>
      </c>
      <c r="H58" s="2281">
        <f t="shared" si="45"/>
        <v>23613</v>
      </c>
      <c r="I58" s="2281">
        <f t="shared" si="45"/>
        <v>18735</v>
      </c>
      <c r="J58" s="2281">
        <f t="shared" si="45"/>
        <v>14051</v>
      </c>
      <c r="K58" s="2281"/>
      <c r="L58" s="2281"/>
      <c r="M58" s="3517"/>
      <c r="N58" s="3517"/>
      <c r="O58" s="3618"/>
    </row>
    <row r="59" spans="1:17" s="3166" customFormat="1" ht="12.75">
      <c r="A59" s="4261"/>
      <c r="B59" s="2268" t="s">
        <v>13</v>
      </c>
      <c r="C59" s="3598"/>
      <c r="D59" s="1339">
        <f>E59+F59+G59+H59+I59+J59+K59+L59</f>
        <v>98313</v>
      </c>
      <c r="E59" s="1334">
        <v>0</v>
      </c>
      <c r="F59" s="1334">
        <f>28409-5297</f>
        <v>23112</v>
      </c>
      <c r="G59" s="1334">
        <f>17319+6040-1889-2668</f>
        <v>18802</v>
      </c>
      <c r="H59" s="1334">
        <f>17319+6294</f>
        <v>23613</v>
      </c>
      <c r="I59" s="1334">
        <f>17320+1415</f>
        <v>18735</v>
      </c>
      <c r="J59" s="1334">
        <f>12990+1061</f>
        <v>14051</v>
      </c>
      <c r="K59" s="2282"/>
      <c r="L59" s="2282"/>
      <c r="M59" s="3517"/>
      <c r="N59" s="3517"/>
      <c r="O59" s="3618"/>
    </row>
    <row r="60" spans="1:17" s="3166" customFormat="1" ht="12.75">
      <c r="A60" s="4261"/>
      <c r="B60" s="2283" t="s">
        <v>18</v>
      </c>
      <c r="C60" s="3598"/>
      <c r="D60" s="2284">
        <f>+D61</f>
        <v>294942</v>
      </c>
      <c r="E60" s="2284">
        <f t="shared" ref="E60" si="46">+E61</f>
        <v>0</v>
      </c>
      <c r="F60" s="2284">
        <f>+F61</f>
        <v>69335</v>
      </c>
      <c r="G60" s="2284">
        <f>+G61</f>
        <v>56409</v>
      </c>
      <c r="H60" s="2284">
        <f>+H61</f>
        <v>70838</v>
      </c>
      <c r="I60" s="2284">
        <f>+I61</f>
        <v>56207</v>
      </c>
      <c r="J60" s="2284">
        <f>+J61</f>
        <v>42153</v>
      </c>
      <c r="K60" s="2285"/>
      <c r="L60" s="2285"/>
      <c r="M60" s="3517"/>
      <c r="N60" s="3517"/>
      <c r="O60" s="3618"/>
    </row>
    <row r="61" spans="1:17" s="3166" customFormat="1" ht="13.5" thickBot="1">
      <c r="A61" s="4251"/>
      <c r="B61" s="674" t="s">
        <v>19</v>
      </c>
      <c r="C61" s="4153"/>
      <c r="D61" s="778">
        <f>E61+F61+G61+H61+I61+J61+K61+L61</f>
        <v>294942</v>
      </c>
      <c r="E61" s="779">
        <v>0</v>
      </c>
      <c r="F61" s="415">
        <f>85229-15894</f>
        <v>69335</v>
      </c>
      <c r="G61" s="415">
        <f>51959+18120-5672-7998</f>
        <v>56409</v>
      </c>
      <c r="H61" s="415">
        <f>51959+18879</f>
        <v>70838</v>
      </c>
      <c r="I61" s="415">
        <f>51958+4249</f>
        <v>56207</v>
      </c>
      <c r="J61" s="415">
        <f>38968+3185</f>
        <v>42153</v>
      </c>
      <c r="K61" s="2261"/>
      <c r="L61" s="2261"/>
      <c r="M61" s="3518"/>
      <c r="N61" s="3518"/>
      <c r="O61" s="3699"/>
    </row>
    <row r="62" spans="1:17" s="3166" customFormat="1" ht="27.75" customHeight="1">
      <c r="A62" s="4250" t="s">
        <v>58</v>
      </c>
      <c r="B62" s="72" t="s">
        <v>411</v>
      </c>
      <c r="C62" s="56" t="s">
        <v>73</v>
      </c>
      <c r="D62" s="2776"/>
      <c r="E62" s="2752"/>
      <c r="F62" s="2752"/>
      <c r="G62" s="2752"/>
      <c r="H62" s="2752"/>
      <c r="I62" s="2752"/>
      <c r="J62" s="2752"/>
      <c r="K62" s="2752"/>
      <c r="L62" s="41"/>
      <c r="M62" s="43"/>
      <c r="N62" s="43"/>
      <c r="O62" s="3540" t="s">
        <v>101</v>
      </c>
    </row>
    <row r="63" spans="1:17" s="3166" customFormat="1" ht="14.25" customHeight="1" thickBot="1">
      <c r="A63" s="4251"/>
      <c r="B63" s="543" t="s">
        <v>10</v>
      </c>
      <c r="C63" s="612"/>
      <c r="D63" s="585">
        <f>+D64+D66</f>
        <v>4335</v>
      </c>
      <c r="E63" s="585">
        <f>+E64+E66</f>
        <v>0</v>
      </c>
      <c r="F63" s="585">
        <f>+F64+F66</f>
        <v>4335</v>
      </c>
      <c r="G63" s="594">
        <v>0</v>
      </c>
      <c r="H63" s="2286">
        <v>0</v>
      </c>
      <c r="I63" s="2286">
        <v>0</v>
      </c>
      <c r="J63" s="2286">
        <v>0</v>
      </c>
      <c r="K63" s="2286">
        <v>0</v>
      </c>
      <c r="L63" s="2286">
        <v>0</v>
      </c>
      <c r="M63" s="2287">
        <f>+M64+M66</f>
        <v>4335</v>
      </c>
      <c r="N63" s="2287">
        <f>+N64+N66</f>
        <v>0</v>
      </c>
      <c r="O63" s="4159"/>
      <c r="P63" s="673" t="s">
        <v>356</v>
      </c>
    </row>
    <row r="64" spans="1:17" s="3166" customFormat="1" ht="13.5" customHeight="1" thickBot="1">
      <c r="A64" s="4251"/>
      <c r="B64" s="665" t="s">
        <v>23</v>
      </c>
      <c r="C64" s="3560" t="s">
        <v>139</v>
      </c>
      <c r="D64" s="2288">
        <f>+D65</f>
        <v>1084</v>
      </c>
      <c r="E64" s="2288">
        <f>+E65</f>
        <v>0</v>
      </c>
      <c r="F64" s="2288">
        <f>+F65</f>
        <v>1084</v>
      </c>
      <c r="G64" s="2289">
        <v>0</v>
      </c>
      <c r="H64" s="1207">
        <v>0</v>
      </c>
      <c r="I64" s="1207">
        <v>0</v>
      </c>
      <c r="J64" s="1207">
        <v>0</v>
      </c>
      <c r="K64" s="1207">
        <v>0</v>
      </c>
      <c r="L64" s="1207">
        <v>0</v>
      </c>
      <c r="M64" s="2290">
        <f>+M65</f>
        <v>1084</v>
      </c>
      <c r="N64" s="2290">
        <f>+N65</f>
        <v>0</v>
      </c>
      <c r="O64" s="4159"/>
      <c r="P64" s="3166" t="s">
        <v>357</v>
      </c>
      <c r="Q64" s="673"/>
    </row>
    <row r="65" spans="1:17" s="3166" customFormat="1" ht="13.5" customHeight="1" thickBot="1">
      <c r="A65" s="4251"/>
      <c r="B65" s="2268" t="s">
        <v>13</v>
      </c>
      <c r="C65" s="3566"/>
      <c r="D65" s="1182">
        <f>E65+F65+G65+H65+I65+J65+K65+L65</f>
        <v>1084</v>
      </c>
      <c r="E65" s="266">
        <v>0</v>
      </c>
      <c r="F65" s="589">
        <f>1889-805</f>
        <v>1084</v>
      </c>
      <c r="G65" s="2289">
        <v>0</v>
      </c>
      <c r="H65" s="1207">
        <v>0</v>
      </c>
      <c r="I65" s="1207">
        <v>0</v>
      </c>
      <c r="J65" s="1207">
        <v>0</v>
      </c>
      <c r="K65" s="1207">
        <v>0</v>
      </c>
      <c r="L65" s="1207">
        <v>0</v>
      </c>
      <c r="M65" s="482">
        <f>SUM(F65:K65)</f>
        <v>1084</v>
      </c>
      <c r="N65" s="482">
        <f>SUM(G65:L65)</f>
        <v>0</v>
      </c>
      <c r="O65" s="4159"/>
    </row>
    <row r="66" spans="1:17" s="1174" customFormat="1" ht="13.5" thickBot="1">
      <c r="A66" s="4252"/>
      <c r="B66" s="552" t="s">
        <v>18</v>
      </c>
      <c r="C66" s="3566"/>
      <c r="D66" s="587">
        <f>+D67</f>
        <v>3251</v>
      </c>
      <c r="E66" s="587">
        <f>+E67</f>
        <v>0</v>
      </c>
      <c r="F66" s="587">
        <f>+F67</f>
        <v>3251</v>
      </c>
      <c r="G66" s="2291">
        <v>0</v>
      </c>
      <c r="H66" s="1207">
        <v>0</v>
      </c>
      <c r="I66" s="1207">
        <v>0</v>
      </c>
      <c r="J66" s="1207">
        <v>0</v>
      </c>
      <c r="K66" s="1207">
        <v>0</v>
      </c>
      <c r="L66" s="1207">
        <v>0</v>
      </c>
      <c r="M66" s="522">
        <f>+M67</f>
        <v>3251</v>
      </c>
      <c r="N66" s="522">
        <f>+N67</f>
        <v>0</v>
      </c>
      <c r="O66" s="4253"/>
      <c r="P66" s="1173"/>
    </row>
    <row r="67" spans="1:17" s="3166" customFormat="1" ht="13.5" thickBot="1">
      <c r="A67" s="4251"/>
      <c r="B67" s="668" t="s">
        <v>19</v>
      </c>
      <c r="C67" s="3658"/>
      <c r="D67" s="1182">
        <f>E67+F67+G67+H67+I67+J67+K67+L67</f>
        <v>3251</v>
      </c>
      <c r="E67" s="266">
        <v>0</v>
      </c>
      <c r="F67" s="2292">
        <f>5672-2421</f>
        <v>3251</v>
      </c>
      <c r="G67" s="2293">
        <v>0</v>
      </c>
      <c r="H67" s="551">
        <v>0</v>
      </c>
      <c r="I67" s="551">
        <v>0</v>
      </c>
      <c r="J67" s="551">
        <v>0</v>
      </c>
      <c r="K67" s="551">
        <v>0</v>
      </c>
      <c r="L67" s="551">
        <v>0</v>
      </c>
      <c r="M67" s="482">
        <f>SUM(F67:K67)</f>
        <v>3251</v>
      </c>
      <c r="N67" s="482">
        <f>SUM(G67:L67)</f>
        <v>0</v>
      </c>
      <c r="O67" s="4159"/>
      <c r="P67" s="673"/>
    </row>
    <row r="68" spans="1:17" s="3166" customFormat="1" ht="13.5" thickBot="1">
      <c r="A68" s="4251"/>
      <c r="B68" s="417" t="s">
        <v>21</v>
      </c>
      <c r="C68" s="612"/>
      <c r="D68" s="584">
        <f>+D69+D71</f>
        <v>4335</v>
      </c>
      <c r="E68" s="584">
        <f>+E69+E71</f>
        <v>0</v>
      </c>
      <c r="F68" s="613">
        <v>0</v>
      </c>
      <c r="G68" s="584">
        <f>+G69+G71</f>
        <v>4335</v>
      </c>
      <c r="H68" s="613">
        <v>0</v>
      </c>
      <c r="I68" s="613">
        <v>0</v>
      </c>
      <c r="J68" s="613">
        <v>0</v>
      </c>
      <c r="K68" s="613">
        <v>0</v>
      </c>
      <c r="L68" s="613">
        <v>0</v>
      </c>
      <c r="M68" s="3551" t="s">
        <v>53</v>
      </c>
      <c r="N68" s="3551" t="s">
        <v>53</v>
      </c>
      <c r="O68" s="4159"/>
      <c r="P68" s="673"/>
    </row>
    <row r="69" spans="1:17" s="1174" customFormat="1" ht="12.75" customHeight="1" thickBot="1">
      <c r="A69" s="4252"/>
      <c r="B69" s="547" t="s">
        <v>23</v>
      </c>
      <c r="C69" s="3560" t="s">
        <v>139</v>
      </c>
      <c r="D69" s="603">
        <f>+D70</f>
        <v>1084</v>
      </c>
      <c r="E69" s="603">
        <f>+E70</f>
        <v>0</v>
      </c>
      <c r="F69" s="2294">
        <v>0</v>
      </c>
      <c r="G69" s="603">
        <f>+G70</f>
        <v>1084</v>
      </c>
      <c r="H69" s="1207">
        <v>0</v>
      </c>
      <c r="I69" s="1207">
        <v>0</v>
      </c>
      <c r="J69" s="1207">
        <v>0</v>
      </c>
      <c r="K69" s="1207">
        <v>0</v>
      </c>
      <c r="L69" s="1207">
        <v>0</v>
      </c>
      <c r="M69" s="3530"/>
      <c r="N69" s="3530"/>
      <c r="O69" s="4253"/>
      <c r="P69" s="1173"/>
    </row>
    <row r="70" spans="1:17" s="3166" customFormat="1" ht="13.5" customHeight="1" thickBot="1">
      <c r="A70" s="4251"/>
      <c r="B70" s="2268" t="s">
        <v>13</v>
      </c>
      <c r="C70" s="3566"/>
      <c r="D70" s="1182">
        <f>E70+F70+G70+H70+I70+J70+K70+L70</f>
        <v>1084</v>
      </c>
      <c r="E70" s="266">
        <v>0</v>
      </c>
      <c r="F70" s="809">
        <v>0</v>
      </c>
      <c r="G70" s="589">
        <f>1889-805</f>
        <v>1084</v>
      </c>
      <c r="H70" s="551">
        <v>0</v>
      </c>
      <c r="I70" s="551">
        <v>0</v>
      </c>
      <c r="J70" s="551">
        <v>0</v>
      </c>
      <c r="K70" s="551">
        <v>0</v>
      </c>
      <c r="L70" s="551">
        <v>0</v>
      </c>
      <c r="M70" s="3530"/>
      <c r="N70" s="3530"/>
      <c r="O70" s="4159"/>
    </row>
    <row r="71" spans="1:17" s="3166" customFormat="1" ht="13.5" customHeight="1" thickBot="1">
      <c r="A71" s="4251"/>
      <c r="B71" s="2283" t="s">
        <v>18</v>
      </c>
      <c r="C71" s="3566"/>
      <c r="D71" s="798">
        <f>+D72</f>
        <v>3251</v>
      </c>
      <c r="E71" s="798">
        <f>+E72</f>
        <v>0</v>
      </c>
      <c r="F71" s="816">
        <v>0</v>
      </c>
      <c r="G71" s="798">
        <f>+G72</f>
        <v>3251</v>
      </c>
      <c r="H71" s="811">
        <v>0</v>
      </c>
      <c r="I71" s="811">
        <v>0</v>
      </c>
      <c r="J71" s="811">
        <v>0</v>
      </c>
      <c r="K71" s="811">
        <v>0</v>
      </c>
      <c r="L71" s="811">
        <v>0</v>
      </c>
      <c r="M71" s="3530"/>
      <c r="N71" s="3530"/>
      <c r="O71" s="4159"/>
    </row>
    <row r="72" spans="1:17" s="3166" customFormat="1" ht="13.5" customHeight="1" thickBot="1">
      <c r="A72" s="4251"/>
      <c r="B72" s="674" t="s">
        <v>19</v>
      </c>
      <c r="C72" s="3567"/>
      <c r="D72" s="1182">
        <f>E72+F72+G72+H72+I72+J72+K72+L72</f>
        <v>3251</v>
      </c>
      <c r="E72" s="266">
        <v>0</v>
      </c>
      <c r="F72" s="2295">
        <v>0</v>
      </c>
      <c r="G72" s="2292">
        <f>5672-2421</f>
        <v>3251</v>
      </c>
      <c r="H72" s="551">
        <v>0</v>
      </c>
      <c r="I72" s="551">
        <v>0</v>
      </c>
      <c r="J72" s="551">
        <v>0</v>
      </c>
      <c r="K72" s="551">
        <v>0</v>
      </c>
      <c r="L72" s="551">
        <v>0</v>
      </c>
      <c r="M72" s="3531"/>
      <c r="N72" s="3531"/>
      <c r="O72" s="4159"/>
      <c r="P72" s="673"/>
    </row>
    <row r="73" spans="1:17" ht="38.25" customHeight="1">
      <c r="A73" s="4245" t="s">
        <v>59</v>
      </c>
      <c r="B73" s="505" t="s">
        <v>528</v>
      </c>
      <c r="C73" s="506" t="s">
        <v>73</v>
      </c>
      <c r="D73" s="3034"/>
      <c r="E73" s="663"/>
      <c r="F73" s="3035"/>
      <c r="G73" s="3035"/>
      <c r="H73" s="3035"/>
      <c r="I73" s="3035"/>
      <c r="J73" s="3035"/>
      <c r="K73" s="3035"/>
      <c r="L73" s="3035"/>
      <c r="M73" s="664"/>
      <c r="N73" s="664"/>
      <c r="O73" s="3036"/>
    </row>
    <row r="74" spans="1:17" ht="15.75" customHeight="1">
      <c r="A74" s="4262"/>
      <c r="B74" s="419" t="s">
        <v>10</v>
      </c>
      <c r="C74" s="433"/>
      <c r="D74" s="585">
        <f>+D75+D78</f>
        <v>52566300</v>
      </c>
      <c r="E74" s="594">
        <f t="shared" ref="E74:L74" si="47">+E75+E78</f>
        <v>0</v>
      </c>
      <c r="F74" s="594">
        <f t="shared" si="47"/>
        <v>0</v>
      </c>
      <c r="G74" s="594">
        <f t="shared" si="47"/>
        <v>0</v>
      </c>
      <c r="H74" s="585">
        <f t="shared" si="47"/>
        <v>15657298</v>
      </c>
      <c r="I74" s="585">
        <f t="shared" si="47"/>
        <v>30313619</v>
      </c>
      <c r="J74" s="585">
        <f t="shared" si="47"/>
        <v>6595383</v>
      </c>
      <c r="K74" s="594">
        <f t="shared" si="47"/>
        <v>0</v>
      </c>
      <c r="L74" s="594">
        <f t="shared" si="47"/>
        <v>0</v>
      </c>
      <c r="M74" s="1419">
        <f>+M75+M78</f>
        <v>44681355</v>
      </c>
      <c r="N74" s="425">
        <f>+N75+N78</f>
        <v>52566300</v>
      </c>
      <c r="O74" s="4264" t="s">
        <v>525</v>
      </c>
      <c r="Q74" s="498"/>
    </row>
    <row r="75" spans="1:17" ht="12.75" customHeight="1">
      <c r="A75" s="4262"/>
      <c r="B75" s="665" t="s">
        <v>23</v>
      </c>
      <c r="C75" s="3560" t="s">
        <v>334</v>
      </c>
      <c r="D75" s="2288">
        <f>+D76+D77</f>
        <v>7884945</v>
      </c>
      <c r="E75" s="2289">
        <f t="shared" ref="E75:L75" si="48">+E76+E77</f>
        <v>0</v>
      </c>
      <c r="F75" s="2289">
        <f t="shared" si="48"/>
        <v>0</v>
      </c>
      <c r="G75" s="2289">
        <f t="shared" si="48"/>
        <v>0</v>
      </c>
      <c r="H75" s="2288">
        <f t="shared" si="48"/>
        <v>2348595</v>
      </c>
      <c r="I75" s="2288">
        <f t="shared" si="48"/>
        <v>4547043</v>
      </c>
      <c r="J75" s="2288">
        <f t="shared" si="48"/>
        <v>989307</v>
      </c>
      <c r="K75" s="2289">
        <f t="shared" si="48"/>
        <v>0</v>
      </c>
      <c r="L75" s="2289">
        <f t="shared" si="48"/>
        <v>0</v>
      </c>
      <c r="M75" s="1361">
        <f>+M76</f>
        <v>0</v>
      </c>
      <c r="N75" s="481">
        <f>+N76+N77</f>
        <v>7884945</v>
      </c>
      <c r="O75" s="4264"/>
    </row>
    <row r="76" spans="1:17" ht="14.25" customHeight="1">
      <c r="A76" s="4262"/>
      <c r="B76" s="666" t="s">
        <v>12</v>
      </c>
      <c r="C76" s="4237"/>
      <c r="D76" s="1182">
        <f>E76+F76+G76+H76+I76+J76+K76+L76</f>
        <v>2628315</v>
      </c>
      <c r="E76" s="3037">
        <v>0</v>
      </c>
      <c r="F76" s="3038">
        <v>0</v>
      </c>
      <c r="G76" s="3038">
        <v>0</v>
      </c>
      <c r="H76" s="1369">
        <v>782865</v>
      </c>
      <c r="I76" s="1369">
        <v>1515681</v>
      </c>
      <c r="J76" s="1369">
        <v>329769</v>
      </c>
      <c r="K76" s="3038">
        <v>0</v>
      </c>
      <c r="L76" s="3038">
        <v>0</v>
      </c>
      <c r="M76" s="3039"/>
      <c r="N76" s="482">
        <f>H76+I76+J76+K76+L76</f>
        <v>2628315</v>
      </c>
      <c r="O76" s="4264"/>
      <c r="P76" s="3040">
        <f>D76+D88</f>
        <v>2628315</v>
      </c>
      <c r="Q76" s="499" t="s">
        <v>300</v>
      </c>
    </row>
    <row r="77" spans="1:17" ht="12.75" customHeight="1">
      <c r="A77" s="4262"/>
      <c r="B77" s="484" t="s">
        <v>17</v>
      </c>
      <c r="C77" s="4237"/>
      <c r="D77" s="1182">
        <f>E77+F77+G77+H77+I77+J77+K77+L77</f>
        <v>5256630</v>
      </c>
      <c r="E77" s="1391">
        <v>0</v>
      </c>
      <c r="F77" s="3038">
        <v>0</v>
      </c>
      <c r="G77" s="3038">
        <v>0</v>
      </c>
      <c r="H77" s="1369">
        <v>1565730</v>
      </c>
      <c r="I77" s="1369">
        <v>3031362</v>
      </c>
      <c r="J77" s="1369">
        <v>659538</v>
      </c>
      <c r="K77" s="3038">
        <v>0</v>
      </c>
      <c r="L77" s="3038">
        <v>0</v>
      </c>
      <c r="M77" s="3039"/>
      <c r="N77" s="482">
        <f>H77+I77+J77+K77+L77</f>
        <v>5256630</v>
      </c>
      <c r="O77" s="4264"/>
      <c r="P77" s="3040">
        <f>D77+D89</f>
        <v>5256630</v>
      </c>
      <c r="Q77" s="499" t="s">
        <v>524</v>
      </c>
    </row>
    <row r="78" spans="1:17" ht="12" customHeight="1">
      <c r="A78" s="4262"/>
      <c r="B78" s="667" t="s">
        <v>18</v>
      </c>
      <c r="C78" s="4237"/>
      <c r="D78" s="587">
        <f>+D79</f>
        <v>44681355</v>
      </c>
      <c r="E78" s="2291">
        <f t="shared" ref="E78:M78" si="49">+E79</f>
        <v>0</v>
      </c>
      <c r="F78" s="2291">
        <f t="shared" si="49"/>
        <v>0</v>
      </c>
      <c r="G78" s="2291">
        <f t="shared" si="49"/>
        <v>0</v>
      </c>
      <c r="H78" s="587">
        <f t="shared" si="49"/>
        <v>13308703</v>
      </c>
      <c r="I78" s="587">
        <f t="shared" si="49"/>
        <v>25766576</v>
      </c>
      <c r="J78" s="587">
        <f t="shared" si="49"/>
        <v>5606076</v>
      </c>
      <c r="K78" s="2291">
        <f t="shared" si="49"/>
        <v>0</v>
      </c>
      <c r="L78" s="2291">
        <f t="shared" si="49"/>
        <v>0</v>
      </c>
      <c r="M78" s="587">
        <f t="shared" si="49"/>
        <v>44681355</v>
      </c>
      <c r="N78" s="481">
        <f t="shared" ref="N78" si="50">+N79</f>
        <v>44681355</v>
      </c>
      <c r="O78" s="4264"/>
    </row>
    <row r="79" spans="1:17" ht="12.75">
      <c r="A79" s="4262"/>
      <c r="B79" s="3041" t="s">
        <v>20</v>
      </c>
      <c r="C79" s="4237"/>
      <c r="D79" s="1182">
        <f>E79+F79+G79+H79+I79+J79+K79+L79</f>
        <v>44681355</v>
      </c>
      <c r="E79" s="3037">
        <v>0</v>
      </c>
      <c r="F79" s="3038">
        <v>0</v>
      </c>
      <c r="G79" s="3038">
        <v>0</v>
      </c>
      <c r="H79" s="1369">
        <v>13308703</v>
      </c>
      <c r="I79" s="1369">
        <v>25766576</v>
      </c>
      <c r="J79" s="1369">
        <v>5606076</v>
      </c>
      <c r="K79" s="3038">
        <v>0</v>
      </c>
      <c r="L79" s="3038">
        <v>0</v>
      </c>
      <c r="M79" s="1374">
        <f>SUM(E79:L79)</f>
        <v>44681355</v>
      </c>
      <c r="N79" s="482">
        <f>H79+I79+J79+K79+L79</f>
        <v>44681355</v>
      </c>
      <c r="O79" s="4265"/>
    </row>
    <row r="80" spans="1:17" ht="15.75" customHeight="1">
      <c r="A80" s="4262"/>
      <c r="B80" s="182" t="s">
        <v>21</v>
      </c>
      <c r="C80" s="433"/>
      <c r="D80" s="584">
        <f>+D81+D83</f>
        <v>49937985</v>
      </c>
      <c r="E80" s="613">
        <f t="shared" ref="E80:L80" si="51">+E81+E83</f>
        <v>0</v>
      </c>
      <c r="F80" s="613">
        <f t="shared" si="51"/>
        <v>0</v>
      </c>
      <c r="G80" s="613">
        <f t="shared" si="51"/>
        <v>0</v>
      </c>
      <c r="H80" s="584">
        <f t="shared" si="51"/>
        <v>14874433</v>
      </c>
      <c r="I80" s="584">
        <f t="shared" si="51"/>
        <v>28797938</v>
      </c>
      <c r="J80" s="584">
        <f t="shared" si="51"/>
        <v>6265614</v>
      </c>
      <c r="K80" s="613">
        <f t="shared" si="51"/>
        <v>0</v>
      </c>
      <c r="L80" s="613">
        <f t="shared" si="51"/>
        <v>0</v>
      </c>
      <c r="M80" s="3615" t="s">
        <v>53</v>
      </c>
      <c r="N80" s="4239" t="s">
        <v>53</v>
      </c>
      <c r="O80" s="4266" t="s">
        <v>526</v>
      </c>
    </row>
    <row r="81" spans="1:17" ht="15.75" customHeight="1">
      <c r="A81" s="4262"/>
      <c r="B81" s="665" t="s">
        <v>23</v>
      </c>
      <c r="C81" s="3695" t="s">
        <v>527</v>
      </c>
      <c r="D81" s="587">
        <f>+D82</f>
        <v>5256630</v>
      </c>
      <c r="E81" s="2291">
        <f t="shared" ref="E81:L81" si="52">+E82</f>
        <v>0</v>
      </c>
      <c r="F81" s="2291">
        <f t="shared" si="52"/>
        <v>0</v>
      </c>
      <c r="G81" s="2291">
        <f t="shared" si="52"/>
        <v>0</v>
      </c>
      <c r="H81" s="587">
        <f t="shared" si="52"/>
        <v>1565730</v>
      </c>
      <c r="I81" s="587">
        <f t="shared" si="52"/>
        <v>3031362</v>
      </c>
      <c r="J81" s="587">
        <f t="shared" si="52"/>
        <v>659538</v>
      </c>
      <c r="K81" s="2291">
        <f t="shared" si="52"/>
        <v>0</v>
      </c>
      <c r="L81" s="2294">
        <f t="shared" si="52"/>
        <v>0</v>
      </c>
      <c r="M81" s="3616"/>
      <c r="N81" s="3517"/>
      <c r="O81" s="4264"/>
    </row>
    <row r="82" spans="1:17" ht="15.75" customHeight="1">
      <c r="A82" s="4262"/>
      <c r="B82" s="484" t="s">
        <v>17</v>
      </c>
      <c r="C82" s="3598"/>
      <c r="D82" s="3043">
        <f>E82+F82+G82+H82+I82+J82+K82+L82</f>
        <v>5256630</v>
      </c>
      <c r="E82" s="3044">
        <v>0</v>
      </c>
      <c r="F82" s="3045">
        <v>0</v>
      </c>
      <c r="G82" s="3045">
        <v>0</v>
      </c>
      <c r="H82" s="1369">
        <v>1565730</v>
      </c>
      <c r="I82" s="1369">
        <v>3031362</v>
      </c>
      <c r="J82" s="1369">
        <v>659538</v>
      </c>
      <c r="K82" s="3045">
        <v>0</v>
      </c>
      <c r="L82" s="3045">
        <v>0</v>
      </c>
      <c r="M82" s="3616"/>
      <c r="N82" s="3517"/>
      <c r="O82" s="4264"/>
    </row>
    <row r="83" spans="1:17" ht="14.25" customHeight="1">
      <c r="A83" s="4262"/>
      <c r="B83" s="667" t="s">
        <v>18</v>
      </c>
      <c r="C83" s="3598"/>
      <c r="D83" s="798">
        <f>+D84</f>
        <v>44681355</v>
      </c>
      <c r="E83" s="816">
        <f t="shared" ref="E83:L83" si="53">+E84</f>
        <v>0</v>
      </c>
      <c r="F83" s="816">
        <f t="shared" si="53"/>
        <v>0</v>
      </c>
      <c r="G83" s="816">
        <f t="shared" si="53"/>
        <v>0</v>
      </c>
      <c r="H83" s="798">
        <f t="shared" si="53"/>
        <v>13308703</v>
      </c>
      <c r="I83" s="798">
        <f t="shared" si="53"/>
        <v>25766576</v>
      </c>
      <c r="J83" s="798">
        <f t="shared" si="53"/>
        <v>5606076</v>
      </c>
      <c r="K83" s="816">
        <f t="shared" si="53"/>
        <v>0</v>
      </c>
      <c r="L83" s="816">
        <f t="shared" si="53"/>
        <v>0</v>
      </c>
      <c r="M83" s="3616"/>
      <c r="N83" s="3517"/>
      <c r="O83" s="4264"/>
    </row>
    <row r="84" spans="1:17" ht="13.5" thickBot="1">
      <c r="A84" s="4263"/>
      <c r="B84" s="3046" t="s">
        <v>20</v>
      </c>
      <c r="C84" s="4153"/>
      <c r="D84" s="1182">
        <f>E84+F84+G84+H84+I84+J84+K84+L84</f>
        <v>44681355</v>
      </c>
      <c r="E84" s="817">
        <v>0</v>
      </c>
      <c r="F84" s="517">
        <v>0</v>
      </c>
      <c r="G84" s="517">
        <v>0</v>
      </c>
      <c r="H84" s="1369">
        <v>13308703</v>
      </c>
      <c r="I84" s="1369">
        <v>25766576</v>
      </c>
      <c r="J84" s="1369">
        <v>5606076</v>
      </c>
      <c r="K84" s="517">
        <v>0</v>
      </c>
      <c r="L84" s="517">
        <v>0</v>
      </c>
      <c r="M84" s="3518"/>
      <c r="N84" s="3518"/>
      <c r="O84" s="4267"/>
    </row>
    <row r="85" spans="1:17" ht="42" hidden="1" customHeight="1">
      <c r="A85" s="4245" t="s">
        <v>56</v>
      </c>
      <c r="B85" s="505" t="s">
        <v>521</v>
      </c>
      <c r="C85" s="506" t="s">
        <v>100</v>
      </c>
      <c r="D85" s="3034"/>
      <c r="E85" s="663"/>
      <c r="F85" s="3035"/>
      <c r="G85" s="3035"/>
      <c r="H85" s="3035"/>
      <c r="I85" s="3035"/>
      <c r="J85" s="3035"/>
      <c r="K85" s="3035"/>
      <c r="L85" s="3035"/>
      <c r="M85" s="664"/>
      <c r="N85" s="664"/>
      <c r="O85" s="4233"/>
    </row>
    <row r="86" spans="1:17" ht="15.75" hidden="1" customHeight="1">
      <c r="A86" s="4262"/>
      <c r="B86" s="419" t="s">
        <v>10</v>
      </c>
      <c r="C86" s="433"/>
      <c r="D86" s="585">
        <f>+D87+D90</f>
        <v>0</v>
      </c>
      <c r="E86" s="585">
        <f t="shared" ref="E86:L86" si="54">+E87+E90</f>
        <v>0</v>
      </c>
      <c r="F86" s="585">
        <f t="shared" si="54"/>
        <v>0</v>
      </c>
      <c r="G86" s="585">
        <f t="shared" si="54"/>
        <v>0</v>
      </c>
      <c r="H86" s="585">
        <f t="shared" si="54"/>
        <v>0</v>
      </c>
      <c r="I86" s="585">
        <f t="shared" si="54"/>
        <v>0</v>
      </c>
      <c r="J86" s="585">
        <f t="shared" si="54"/>
        <v>0</v>
      </c>
      <c r="K86" s="585">
        <f t="shared" si="54"/>
        <v>0</v>
      </c>
      <c r="L86" s="585">
        <f t="shared" si="54"/>
        <v>0</v>
      </c>
      <c r="M86" s="1419">
        <f>+M87+M90</f>
        <v>0</v>
      </c>
      <c r="N86" s="425">
        <f>+N87+N90</f>
        <v>0</v>
      </c>
      <c r="O86" s="4234"/>
      <c r="Q86" s="498"/>
    </row>
    <row r="87" spans="1:17" ht="12.75" hidden="1" customHeight="1">
      <c r="A87" s="4262"/>
      <c r="B87" s="665" t="s">
        <v>23</v>
      </c>
      <c r="C87" s="3560" t="s">
        <v>523</v>
      </c>
      <c r="D87" s="2288">
        <f>+D88+D89</f>
        <v>0</v>
      </c>
      <c r="E87" s="2288">
        <f t="shared" ref="E87" si="55">+E88+E89</f>
        <v>0</v>
      </c>
      <c r="F87" s="2288">
        <f t="shared" ref="F87" si="56">+F88+F89</f>
        <v>0</v>
      </c>
      <c r="G87" s="2288">
        <f t="shared" ref="G87" si="57">+G88+G89</f>
        <v>0</v>
      </c>
      <c r="H87" s="2288">
        <f t="shared" ref="H87" si="58">+H88+H89</f>
        <v>0</v>
      </c>
      <c r="I87" s="2288">
        <f t="shared" ref="I87" si="59">+I88+I89</f>
        <v>0</v>
      </c>
      <c r="J87" s="2288">
        <f t="shared" ref="J87" si="60">+J88+J89</f>
        <v>0</v>
      </c>
      <c r="K87" s="2288">
        <f t="shared" ref="K87" si="61">+K88+K89</f>
        <v>0</v>
      </c>
      <c r="L87" s="2288">
        <f t="shared" ref="L87" si="62">+L88+L89</f>
        <v>0</v>
      </c>
      <c r="M87" s="1361">
        <f>+M88</f>
        <v>0</v>
      </c>
      <c r="N87" s="481">
        <f>+N88</f>
        <v>0</v>
      </c>
      <c r="O87" s="4235"/>
    </row>
    <row r="88" spans="1:17" ht="12.75" hidden="1" customHeight="1">
      <c r="A88" s="4262"/>
      <c r="B88" s="666" t="s">
        <v>12</v>
      </c>
      <c r="C88" s="4237"/>
      <c r="D88" s="3043">
        <f>E88+F88+G88+H88+I88+J88+K88+L88</f>
        <v>0</v>
      </c>
      <c r="E88" s="3047">
        <v>0</v>
      </c>
      <c r="F88" s="1369">
        <v>0</v>
      </c>
      <c r="G88" s="1369">
        <f>0</f>
        <v>0</v>
      </c>
      <c r="H88" s="1369"/>
      <c r="I88" s="1369"/>
      <c r="J88" s="1369"/>
      <c r="K88" s="1369"/>
      <c r="L88" s="1369"/>
      <c r="M88" s="3039"/>
      <c r="N88" s="482">
        <f>SUM(G88:M88)</f>
        <v>0</v>
      </c>
      <c r="O88" s="4235"/>
    </row>
    <row r="89" spans="1:17" ht="12.75" hidden="1" customHeight="1">
      <c r="A89" s="4262"/>
      <c r="B89" s="484" t="s">
        <v>17</v>
      </c>
      <c r="C89" s="4237"/>
      <c r="D89" s="3043">
        <f>E89+F89+G89+H89+I89+J89+K89+L89</f>
        <v>0</v>
      </c>
      <c r="E89" s="1392">
        <v>0</v>
      </c>
      <c r="F89" s="1369">
        <v>0</v>
      </c>
      <c r="G89" s="1369">
        <v>0</v>
      </c>
      <c r="H89" s="1369"/>
      <c r="I89" s="1369"/>
      <c r="J89" s="1369"/>
      <c r="K89" s="1369"/>
      <c r="L89" s="1369"/>
      <c r="M89" s="3039"/>
      <c r="N89" s="482">
        <f>SUM(G89:M89)</f>
        <v>0</v>
      </c>
      <c r="O89" s="4235"/>
    </row>
    <row r="90" spans="1:17" ht="12" hidden="1" customHeight="1">
      <c r="A90" s="4262"/>
      <c r="B90" s="667" t="s">
        <v>18</v>
      </c>
      <c r="C90" s="4237"/>
      <c r="D90" s="587">
        <f>+D91</f>
        <v>0</v>
      </c>
      <c r="E90" s="2252">
        <v>0</v>
      </c>
      <c r="F90" s="2252">
        <v>0</v>
      </c>
      <c r="G90" s="2252">
        <v>0</v>
      </c>
      <c r="H90" s="2252">
        <v>0</v>
      </c>
      <c r="I90" s="2252">
        <v>0</v>
      </c>
      <c r="J90" s="2252">
        <v>0</v>
      </c>
      <c r="K90" s="2252">
        <v>0</v>
      </c>
      <c r="L90" s="2252">
        <v>0</v>
      </c>
      <c r="M90" s="1361">
        <f t="shared" ref="M90:N90" si="63">+M91</f>
        <v>0</v>
      </c>
      <c r="N90" s="481">
        <f t="shared" si="63"/>
        <v>0</v>
      </c>
      <c r="O90" s="4235"/>
    </row>
    <row r="91" spans="1:17" ht="12.75" hidden="1">
      <c r="A91" s="4262"/>
      <c r="B91" s="3041" t="s">
        <v>20</v>
      </c>
      <c r="C91" s="4237"/>
      <c r="D91" s="3043">
        <f>E91+F91+G91+H91+I91+J91+K91+L91</f>
        <v>0</v>
      </c>
      <c r="E91" s="3047"/>
      <c r="F91" s="1369"/>
      <c r="G91" s="1369"/>
      <c r="H91" s="1369"/>
      <c r="I91" s="1369"/>
      <c r="J91" s="1369"/>
      <c r="K91" s="1369"/>
      <c r="L91" s="1369"/>
      <c r="M91" s="1374">
        <f>SUM(E91:H91)</f>
        <v>0</v>
      </c>
      <c r="N91" s="482">
        <f>SUM(F91:I91)</f>
        <v>0</v>
      </c>
      <c r="O91" s="4235"/>
    </row>
    <row r="92" spans="1:17" ht="15.75" hidden="1" customHeight="1">
      <c r="A92" s="4262"/>
      <c r="B92" s="182" t="s">
        <v>21</v>
      </c>
      <c r="C92" s="433"/>
      <c r="D92" s="584">
        <f>+D93+D95</f>
        <v>0</v>
      </c>
      <c r="E92" s="584">
        <f t="shared" ref="E92:L92" si="64">+E93+E95</f>
        <v>0</v>
      </c>
      <c r="F92" s="584">
        <f t="shared" si="64"/>
        <v>0</v>
      </c>
      <c r="G92" s="584">
        <f t="shared" si="64"/>
        <v>0</v>
      </c>
      <c r="H92" s="584">
        <f t="shared" si="64"/>
        <v>0</v>
      </c>
      <c r="I92" s="584">
        <f t="shared" si="64"/>
        <v>0</v>
      </c>
      <c r="J92" s="584">
        <f t="shared" si="64"/>
        <v>0</v>
      </c>
      <c r="K92" s="584">
        <f t="shared" si="64"/>
        <v>0</v>
      </c>
      <c r="L92" s="584">
        <f t="shared" si="64"/>
        <v>0</v>
      </c>
      <c r="M92" s="3615" t="s">
        <v>53</v>
      </c>
      <c r="N92" s="4239" t="s">
        <v>53</v>
      </c>
      <c r="O92" s="4235"/>
    </row>
    <row r="93" spans="1:17" ht="15.75" hidden="1" customHeight="1">
      <c r="A93" s="4262"/>
      <c r="B93" s="665" t="s">
        <v>23</v>
      </c>
      <c r="C93" s="3042"/>
      <c r="D93" s="603">
        <f>+D94</f>
        <v>0</v>
      </c>
      <c r="E93" s="603">
        <f t="shared" ref="E93:L93" si="65">+E94</f>
        <v>0</v>
      </c>
      <c r="F93" s="603">
        <f t="shared" si="65"/>
        <v>0</v>
      </c>
      <c r="G93" s="603">
        <f t="shared" si="65"/>
        <v>0</v>
      </c>
      <c r="H93" s="603">
        <f t="shared" si="65"/>
        <v>0</v>
      </c>
      <c r="I93" s="603">
        <f t="shared" si="65"/>
        <v>0</v>
      </c>
      <c r="J93" s="603">
        <f t="shared" si="65"/>
        <v>0</v>
      </c>
      <c r="K93" s="603">
        <f t="shared" si="65"/>
        <v>0</v>
      </c>
      <c r="L93" s="603">
        <f t="shared" si="65"/>
        <v>0</v>
      </c>
      <c r="M93" s="3616"/>
      <c r="N93" s="3517"/>
      <c r="O93" s="4235"/>
    </row>
    <row r="94" spans="1:17" ht="12" hidden="1">
      <c r="A94" s="4262"/>
      <c r="B94" s="484" t="s">
        <v>17</v>
      </c>
      <c r="C94" s="3042"/>
      <c r="D94" s="1182">
        <f>E94+F94+G94+H94+I94+J94+K94+L94</f>
        <v>0</v>
      </c>
      <c r="E94" s="3048">
        <v>0</v>
      </c>
      <c r="F94" s="3049">
        <v>0</v>
      </c>
      <c r="G94" s="3049">
        <v>0</v>
      </c>
      <c r="H94" s="1369"/>
      <c r="I94" s="1369"/>
      <c r="J94" s="1369"/>
      <c r="K94" s="3050"/>
      <c r="L94" s="3050"/>
      <c r="M94" s="3616"/>
      <c r="N94" s="3517"/>
      <c r="O94" s="4235"/>
    </row>
    <row r="95" spans="1:17" ht="12" hidden="1" customHeight="1">
      <c r="A95" s="4262"/>
      <c r="B95" s="667" t="s">
        <v>18</v>
      </c>
      <c r="C95" s="3597" t="s">
        <v>522</v>
      </c>
      <c r="D95" s="798">
        <f>+D96</f>
        <v>0</v>
      </c>
      <c r="E95" s="508">
        <v>0</v>
      </c>
      <c r="F95" s="508"/>
      <c r="G95" s="508"/>
      <c r="H95" s="508"/>
      <c r="I95" s="508"/>
      <c r="J95" s="508"/>
      <c r="K95" s="508"/>
      <c r="L95" s="508"/>
      <c r="M95" s="3517"/>
      <c r="N95" s="3517"/>
      <c r="O95" s="4235"/>
    </row>
    <row r="96" spans="1:17" ht="13.5" hidden="1" thickBot="1">
      <c r="A96" s="4263"/>
      <c r="B96" s="3046" t="s">
        <v>20</v>
      </c>
      <c r="C96" s="4238"/>
      <c r="D96" s="1182">
        <f>E96+F96+G96+H96+I96+J96+K96+L96</f>
        <v>0</v>
      </c>
      <c r="E96" s="415"/>
      <c r="F96" s="3051"/>
      <c r="G96" s="3051"/>
      <c r="H96" s="3051"/>
      <c r="I96" s="3051"/>
      <c r="J96" s="3051"/>
      <c r="K96" s="3051"/>
      <c r="L96" s="3051"/>
      <c r="M96" s="3518"/>
      <c r="N96" s="3518"/>
      <c r="O96" s="4236"/>
    </row>
    <row r="97" spans="1:17" ht="28.5" customHeight="1" thickBot="1">
      <c r="A97" s="186" t="s">
        <v>226</v>
      </c>
      <c r="B97" s="629"/>
      <c r="C97" s="629"/>
      <c r="D97" s="629"/>
      <c r="E97" s="629"/>
      <c r="F97" s="629"/>
      <c r="G97" s="629"/>
      <c r="H97" s="629"/>
      <c r="I97" s="629"/>
      <c r="J97" s="629"/>
      <c r="K97" s="629"/>
      <c r="L97" s="629"/>
      <c r="M97" s="630"/>
      <c r="N97" s="630"/>
      <c r="O97" s="2665"/>
    </row>
    <row r="98" spans="1:17" ht="15.75" customHeight="1">
      <c r="A98" s="538"/>
      <c r="B98" s="213" t="s">
        <v>68</v>
      </c>
      <c r="C98" s="214"/>
      <c r="D98" s="215">
        <f>+D99+D100</f>
        <v>312355</v>
      </c>
      <c r="E98" s="215">
        <v>24302</v>
      </c>
      <c r="F98" s="215">
        <f t="shared" ref="F98" si="66">+F99+F100</f>
        <v>54161</v>
      </c>
      <c r="G98" s="215">
        <f t="shared" ref="G98:N98" si="67">+G99+G100</f>
        <v>164370</v>
      </c>
      <c r="H98" s="215">
        <f t="shared" si="67"/>
        <v>69522</v>
      </c>
      <c r="I98" s="215">
        <f t="shared" si="67"/>
        <v>0</v>
      </c>
      <c r="J98" s="215">
        <f t="shared" si="67"/>
        <v>0</v>
      </c>
      <c r="K98" s="215">
        <f t="shared" si="67"/>
        <v>0</v>
      </c>
      <c r="L98" s="215">
        <f t="shared" si="67"/>
        <v>0</v>
      </c>
      <c r="M98" s="145">
        <f t="shared" ref="M98" si="68">+M99+M100</f>
        <v>288053</v>
      </c>
      <c r="N98" s="2507">
        <f t="shared" si="67"/>
        <v>233892</v>
      </c>
      <c r="O98" s="4257" t="s">
        <v>53</v>
      </c>
    </row>
    <row r="99" spans="1:17" ht="16.5" customHeight="1">
      <c r="A99" s="538"/>
      <c r="B99" s="205" t="s">
        <v>69</v>
      </c>
      <c r="C99" s="206"/>
      <c r="D99" s="207">
        <f>+D109+D113</f>
        <v>312355</v>
      </c>
      <c r="E99" s="207">
        <v>24302</v>
      </c>
      <c r="F99" s="207">
        <f t="shared" ref="F99:L99" si="69">+F109+F113</f>
        <v>54161</v>
      </c>
      <c r="G99" s="207">
        <f t="shared" si="69"/>
        <v>164370</v>
      </c>
      <c r="H99" s="207">
        <f t="shared" si="69"/>
        <v>69522</v>
      </c>
      <c r="I99" s="207">
        <f t="shared" si="69"/>
        <v>0</v>
      </c>
      <c r="J99" s="207">
        <f t="shared" si="69"/>
        <v>0</v>
      </c>
      <c r="K99" s="207">
        <f t="shared" si="69"/>
        <v>0</v>
      </c>
      <c r="L99" s="207">
        <f t="shared" si="69"/>
        <v>0</v>
      </c>
      <c r="M99" s="840">
        <f>SUM(F99:K99)</f>
        <v>288053</v>
      </c>
      <c r="N99" s="1726">
        <f>SUM(G99:L99)</f>
        <v>233892</v>
      </c>
      <c r="O99" s="4258"/>
    </row>
    <row r="100" spans="1:17" ht="12.75" thickBot="1">
      <c r="A100" s="538"/>
      <c r="B100" s="675" t="s">
        <v>9</v>
      </c>
      <c r="C100" s="206"/>
      <c r="D100" s="207"/>
      <c r="E100" s="207"/>
      <c r="F100" s="207"/>
      <c r="G100" s="338"/>
      <c r="H100" s="338"/>
      <c r="I100" s="338"/>
      <c r="J100" s="338"/>
      <c r="K100" s="338"/>
      <c r="L100" s="338"/>
      <c r="M100" s="147">
        <f>SUM(F100:H100)</f>
        <v>0</v>
      </c>
      <c r="N100" s="1725">
        <f>SUM(G100:I100)</f>
        <v>0</v>
      </c>
      <c r="O100" s="4258"/>
    </row>
    <row r="101" spans="1:17" ht="15.75" customHeight="1">
      <c r="A101" s="339"/>
      <c r="B101" s="176" t="s">
        <v>10</v>
      </c>
      <c r="C101" s="177"/>
      <c r="D101" s="151">
        <f>+D102</f>
        <v>312355</v>
      </c>
      <c r="E101" s="151">
        <v>24302</v>
      </c>
      <c r="F101" s="151">
        <f t="shared" ref="F101:L102" si="70">+F102</f>
        <v>54161</v>
      </c>
      <c r="G101" s="151">
        <f t="shared" si="70"/>
        <v>164370</v>
      </c>
      <c r="H101" s="151">
        <f t="shared" si="70"/>
        <v>69522</v>
      </c>
      <c r="I101" s="151">
        <f t="shared" si="70"/>
        <v>0</v>
      </c>
      <c r="J101" s="151">
        <f t="shared" si="70"/>
        <v>0</v>
      </c>
      <c r="K101" s="151">
        <f t="shared" si="70"/>
        <v>0</v>
      </c>
      <c r="L101" s="151">
        <f t="shared" si="70"/>
        <v>0</v>
      </c>
      <c r="M101" s="340">
        <f>+M102</f>
        <v>288053</v>
      </c>
      <c r="N101" s="2542">
        <f>+N102</f>
        <v>233892</v>
      </c>
      <c r="O101" s="4258"/>
    </row>
    <row r="102" spans="1:17" ht="15" customHeight="1">
      <c r="A102" s="190"/>
      <c r="B102" s="152" t="s">
        <v>11</v>
      </c>
      <c r="C102" s="3853" t="s">
        <v>53</v>
      </c>
      <c r="D102" s="512">
        <f>+D103+D104</f>
        <v>312355</v>
      </c>
      <c r="E102" s="512">
        <v>24302</v>
      </c>
      <c r="F102" s="512">
        <f t="shared" si="70"/>
        <v>54161</v>
      </c>
      <c r="G102" s="512">
        <f t="shared" si="70"/>
        <v>164370</v>
      </c>
      <c r="H102" s="512">
        <f t="shared" si="70"/>
        <v>69522</v>
      </c>
      <c r="I102" s="512">
        <f t="shared" si="70"/>
        <v>0</v>
      </c>
      <c r="J102" s="512">
        <f t="shared" si="70"/>
        <v>0</v>
      </c>
      <c r="K102" s="512">
        <f t="shared" si="70"/>
        <v>0</v>
      </c>
      <c r="L102" s="512">
        <f t="shared" si="70"/>
        <v>0</v>
      </c>
      <c r="M102" s="513">
        <f>+M103+M104</f>
        <v>288053</v>
      </c>
      <c r="N102" s="2655">
        <f>+N103+N104</f>
        <v>233892</v>
      </c>
      <c r="O102" s="4258"/>
    </row>
    <row r="103" spans="1:17" ht="15" customHeight="1" thickBot="1">
      <c r="A103" s="634"/>
      <c r="B103" s="155" t="s">
        <v>12</v>
      </c>
      <c r="C103" s="3854"/>
      <c r="D103" s="514">
        <f>+D111+D115</f>
        <v>312355</v>
      </c>
      <c r="E103" s="514">
        <f t="shared" ref="E103:L103" si="71">+E111+E115</f>
        <v>24302</v>
      </c>
      <c r="F103" s="514">
        <f t="shared" si="71"/>
        <v>54161</v>
      </c>
      <c r="G103" s="514">
        <f t="shared" si="71"/>
        <v>164370</v>
      </c>
      <c r="H103" s="514">
        <f t="shared" si="71"/>
        <v>69522</v>
      </c>
      <c r="I103" s="514">
        <f t="shared" si="71"/>
        <v>0</v>
      </c>
      <c r="J103" s="514">
        <f t="shared" si="71"/>
        <v>0</v>
      </c>
      <c r="K103" s="514">
        <f t="shared" si="71"/>
        <v>0</v>
      </c>
      <c r="L103" s="514">
        <f t="shared" si="71"/>
        <v>0</v>
      </c>
      <c r="M103" s="482">
        <f>SUM(F103:K103)</f>
        <v>288053</v>
      </c>
      <c r="N103" s="2656">
        <f>SUM(G103:L103)</f>
        <v>233892</v>
      </c>
      <c r="O103" s="4258"/>
    </row>
    <row r="104" spans="1:17" ht="12.75" hidden="1" customHeight="1" thickBot="1">
      <c r="A104" s="634"/>
      <c r="B104" s="155" t="s">
        <v>14</v>
      </c>
      <c r="C104" s="4259"/>
      <c r="D104" s="514">
        <f>+D123</f>
        <v>0</v>
      </c>
      <c r="E104" s="1124">
        <v>0</v>
      </c>
      <c r="F104" s="514">
        <f t="shared" ref="F104:I104" si="72">+F123</f>
        <v>0</v>
      </c>
      <c r="G104" s="514">
        <f t="shared" si="72"/>
        <v>0</v>
      </c>
      <c r="H104" s="514">
        <f t="shared" si="72"/>
        <v>0</v>
      </c>
      <c r="I104" s="514">
        <f t="shared" si="72"/>
        <v>0</v>
      </c>
      <c r="J104" s="514"/>
      <c r="K104" s="514"/>
      <c r="L104" s="514"/>
      <c r="M104" s="426">
        <f>SUM(E104:K104)</f>
        <v>0</v>
      </c>
      <c r="N104" s="2657">
        <f>SUM(F104:L104)</f>
        <v>0</v>
      </c>
      <c r="O104" s="3849"/>
    </row>
    <row r="105" spans="1:17" ht="12" hidden="1" customHeight="1">
      <c r="A105" s="339"/>
      <c r="B105" s="80" t="s">
        <v>21</v>
      </c>
      <c r="C105" s="88"/>
      <c r="D105" s="189">
        <f>+D106</f>
        <v>0</v>
      </c>
      <c r="E105" s="1125">
        <v>0</v>
      </c>
      <c r="F105" s="189">
        <f t="shared" ref="F105:I106" si="73">+F106</f>
        <v>0</v>
      </c>
      <c r="G105" s="189">
        <f t="shared" si="73"/>
        <v>0</v>
      </c>
      <c r="H105" s="189">
        <f t="shared" si="73"/>
        <v>0</v>
      </c>
      <c r="I105" s="189">
        <f t="shared" si="73"/>
        <v>0</v>
      </c>
      <c r="J105" s="189"/>
      <c r="K105" s="189"/>
      <c r="L105" s="189"/>
      <c r="M105" s="3959" t="s">
        <v>53</v>
      </c>
      <c r="N105" s="3960" t="s">
        <v>53</v>
      </c>
      <c r="O105" s="3850"/>
    </row>
    <row r="106" spans="1:17" ht="12" hidden="1" customHeight="1">
      <c r="A106" s="339"/>
      <c r="B106" s="152" t="s">
        <v>11</v>
      </c>
      <c r="C106" s="3853" t="s">
        <v>53</v>
      </c>
      <c r="D106" s="512">
        <f>+D107</f>
        <v>0</v>
      </c>
      <c r="E106" s="1123">
        <v>0</v>
      </c>
      <c r="F106" s="512">
        <f t="shared" si="73"/>
        <v>0</v>
      </c>
      <c r="G106" s="512">
        <f t="shared" si="73"/>
        <v>0</v>
      </c>
      <c r="H106" s="512">
        <f t="shared" si="73"/>
        <v>0</v>
      </c>
      <c r="I106" s="512">
        <f t="shared" si="73"/>
        <v>0</v>
      </c>
      <c r="J106" s="512"/>
      <c r="K106" s="512"/>
      <c r="L106" s="512"/>
      <c r="M106" s="3861"/>
      <c r="N106" s="3939"/>
      <c r="O106" s="3850"/>
    </row>
    <row r="107" spans="1:17" ht="12.75" hidden="1" customHeight="1" thickBot="1">
      <c r="A107" s="634"/>
      <c r="B107" s="2744" t="s">
        <v>14</v>
      </c>
      <c r="C107" s="3854"/>
      <c r="D107" s="2745">
        <f>+D126</f>
        <v>0</v>
      </c>
      <c r="E107" s="2746">
        <v>0</v>
      </c>
      <c r="F107" s="2745">
        <f t="shared" ref="F107:I107" si="74">+F126</f>
        <v>0</v>
      </c>
      <c r="G107" s="2745">
        <f t="shared" si="74"/>
        <v>0</v>
      </c>
      <c r="H107" s="2745">
        <f t="shared" si="74"/>
        <v>0</v>
      </c>
      <c r="I107" s="2745">
        <f t="shared" si="74"/>
        <v>0</v>
      </c>
      <c r="J107" s="346"/>
      <c r="K107" s="346"/>
      <c r="L107" s="346"/>
      <c r="M107" s="3861"/>
      <c r="N107" s="3939"/>
      <c r="O107" s="3848"/>
    </row>
    <row r="108" spans="1:17" ht="18" customHeight="1" thickBot="1">
      <c r="A108" s="3844" t="s">
        <v>55</v>
      </c>
      <c r="B108" s="347" t="s">
        <v>412</v>
      </c>
      <c r="C108" s="506" t="s">
        <v>100</v>
      </c>
      <c r="D108" s="676"/>
      <c r="E108" s="1126"/>
      <c r="F108" s="677"/>
      <c r="G108" s="677"/>
      <c r="H108" s="677"/>
      <c r="I108" s="677"/>
      <c r="J108" s="677"/>
      <c r="K108" s="677"/>
      <c r="L108" s="677"/>
      <c r="M108" s="321"/>
      <c r="N108" s="321"/>
      <c r="O108" s="4254" t="s">
        <v>278</v>
      </c>
    </row>
    <row r="109" spans="1:17" ht="17.25" customHeight="1" thickBot="1">
      <c r="A109" s="3844"/>
      <c r="B109" s="80" t="s">
        <v>10</v>
      </c>
      <c r="C109" s="2596"/>
      <c r="D109" s="1325">
        <f>+D110</f>
        <v>103580</v>
      </c>
      <c r="E109" s="1325">
        <f t="shared" ref="E109:N110" si="75">+E110</f>
        <v>24302</v>
      </c>
      <c r="F109" s="1325">
        <f t="shared" si="75"/>
        <v>26855</v>
      </c>
      <c r="G109" s="1325">
        <f t="shared" si="75"/>
        <v>26856</v>
      </c>
      <c r="H109" s="1325">
        <f t="shared" si="75"/>
        <v>25567</v>
      </c>
      <c r="I109" s="2597">
        <v>0</v>
      </c>
      <c r="J109" s="2597">
        <v>0</v>
      </c>
      <c r="K109" s="2597">
        <v>0</v>
      </c>
      <c r="L109" s="2597">
        <v>0</v>
      </c>
      <c r="M109" s="1351">
        <f t="shared" si="75"/>
        <v>79278</v>
      </c>
      <c r="N109" s="2645">
        <f t="shared" si="75"/>
        <v>52423</v>
      </c>
      <c r="O109" s="4254"/>
    </row>
    <row r="110" spans="1:17" ht="15.75" customHeight="1" thickBot="1">
      <c r="A110" s="3844"/>
      <c r="B110" s="2187" t="s">
        <v>23</v>
      </c>
      <c r="C110" s="4256" t="s">
        <v>227</v>
      </c>
      <c r="D110" s="2598">
        <f>+D111</f>
        <v>103580</v>
      </c>
      <c r="E110" s="2598">
        <f t="shared" si="75"/>
        <v>24302</v>
      </c>
      <c r="F110" s="2598">
        <f t="shared" si="75"/>
        <v>26855</v>
      </c>
      <c r="G110" s="2598">
        <f t="shared" si="75"/>
        <v>26856</v>
      </c>
      <c r="H110" s="2598">
        <f t="shared" si="75"/>
        <v>25567</v>
      </c>
      <c r="I110" s="2599">
        <v>0</v>
      </c>
      <c r="J110" s="2599">
        <v>0</v>
      </c>
      <c r="K110" s="2599">
        <v>0</v>
      </c>
      <c r="L110" s="2599">
        <v>0</v>
      </c>
      <c r="M110" s="1727">
        <f t="shared" si="75"/>
        <v>79278</v>
      </c>
      <c r="N110" s="2747">
        <f t="shared" si="75"/>
        <v>52423</v>
      </c>
      <c r="O110" s="4254"/>
    </row>
    <row r="111" spans="1:17" ht="15" customHeight="1" thickBot="1">
      <c r="A111" s="3844"/>
      <c r="B111" s="516" t="s">
        <v>12</v>
      </c>
      <c r="C111" s="3969"/>
      <c r="D111" s="1643">
        <f>E111+F111+G111+H111+I111+J111+K111+L111</f>
        <v>103580</v>
      </c>
      <c r="E111" s="2031">
        <v>24302</v>
      </c>
      <c r="F111" s="1456">
        <v>26855</v>
      </c>
      <c r="G111" s="1456">
        <v>26856</v>
      </c>
      <c r="H111" s="1456">
        <v>25567</v>
      </c>
      <c r="I111" s="1668">
        <v>0</v>
      </c>
      <c r="J111" s="1668">
        <v>0</v>
      </c>
      <c r="K111" s="1668">
        <v>0</v>
      </c>
      <c r="L111" s="1668">
        <v>0</v>
      </c>
      <c r="M111" s="2195">
        <f>SUM(F111:K111)</f>
        <v>79278</v>
      </c>
      <c r="N111" s="2748">
        <f>SUM(G111:L111)</f>
        <v>52423</v>
      </c>
      <c r="O111" s="4255"/>
    </row>
    <row r="112" spans="1:17" ht="25.5" customHeight="1" thickBot="1">
      <c r="A112" s="3844" t="s">
        <v>56</v>
      </c>
      <c r="B112" s="347" t="s">
        <v>532</v>
      </c>
      <c r="C112" s="506" t="s">
        <v>100</v>
      </c>
      <c r="D112" s="3167"/>
      <c r="E112" s="3168"/>
      <c r="F112" s="3169"/>
      <c r="G112" s="3169"/>
      <c r="H112" s="3169"/>
      <c r="I112" s="3169"/>
      <c r="J112" s="3169"/>
      <c r="K112" s="3169"/>
      <c r="L112" s="3170"/>
      <c r="M112" s="321"/>
      <c r="N112" s="3171"/>
      <c r="O112" s="4254" t="s">
        <v>272</v>
      </c>
      <c r="Q112" s="498">
        <f>+N113+N109</f>
        <v>233892</v>
      </c>
    </row>
    <row r="113" spans="1:15" ht="17.25" customHeight="1">
      <c r="A113" s="3966"/>
      <c r="B113" s="80" t="s">
        <v>10</v>
      </c>
      <c r="C113" s="2596"/>
      <c r="D113" s="1325">
        <f>+D114</f>
        <v>208775</v>
      </c>
      <c r="E113" s="2597">
        <f t="shared" ref="E113:N114" si="76">+E114</f>
        <v>0</v>
      </c>
      <c r="F113" s="1325">
        <f t="shared" si="76"/>
        <v>27306</v>
      </c>
      <c r="G113" s="1325">
        <f t="shared" si="76"/>
        <v>137514</v>
      </c>
      <c r="H113" s="1325">
        <f t="shared" si="76"/>
        <v>43955</v>
      </c>
      <c r="I113" s="2597">
        <v>0</v>
      </c>
      <c r="J113" s="2597">
        <v>0</v>
      </c>
      <c r="K113" s="2597">
        <v>0</v>
      </c>
      <c r="L113" s="1415">
        <v>0</v>
      </c>
      <c r="M113" s="2645">
        <f t="shared" si="76"/>
        <v>208775</v>
      </c>
      <c r="N113" s="3172">
        <f t="shared" si="76"/>
        <v>181469</v>
      </c>
      <c r="O113" s="3989"/>
    </row>
    <row r="114" spans="1:15" ht="15.75" customHeight="1" thickBot="1">
      <c r="A114" s="3965"/>
      <c r="B114" s="2187" t="s">
        <v>23</v>
      </c>
      <c r="C114" s="4256" t="s">
        <v>334</v>
      </c>
      <c r="D114" s="2598">
        <f>+D115</f>
        <v>208775</v>
      </c>
      <c r="E114" s="2599">
        <f t="shared" si="76"/>
        <v>0</v>
      </c>
      <c r="F114" s="2598">
        <f t="shared" si="76"/>
        <v>27306</v>
      </c>
      <c r="G114" s="2598">
        <f t="shared" si="76"/>
        <v>137514</v>
      </c>
      <c r="H114" s="2598">
        <f t="shared" si="76"/>
        <v>43955</v>
      </c>
      <c r="I114" s="2599">
        <v>0</v>
      </c>
      <c r="J114" s="2599">
        <v>0</v>
      </c>
      <c r="K114" s="2599">
        <v>0</v>
      </c>
      <c r="L114" s="3173">
        <v>0</v>
      </c>
      <c r="M114" s="1727">
        <f t="shared" si="76"/>
        <v>208775</v>
      </c>
      <c r="N114" s="3174">
        <f t="shared" si="76"/>
        <v>181469</v>
      </c>
      <c r="O114" s="4260"/>
    </row>
    <row r="115" spans="1:15" ht="15" customHeight="1" thickBot="1">
      <c r="A115" s="3844"/>
      <c r="B115" s="516" t="s">
        <v>12</v>
      </c>
      <c r="C115" s="3969"/>
      <c r="D115" s="1643">
        <f>E115+F115+G115+H115+I115+J115+K115+L115</f>
        <v>208775</v>
      </c>
      <c r="E115" s="1668">
        <v>0</v>
      </c>
      <c r="F115" s="1456">
        <f>34000-6694</f>
        <v>27306</v>
      </c>
      <c r="G115" s="1456">
        <f>166000+15469-43955</f>
        <v>137514</v>
      </c>
      <c r="H115" s="1456">
        <v>43955</v>
      </c>
      <c r="I115" s="1668">
        <v>0</v>
      </c>
      <c r="J115" s="1668">
        <v>0</v>
      </c>
      <c r="K115" s="1668">
        <v>0</v>
      </c>
      <c r="L115" s="1668">
        <v>0</v>
      </c>
      <c r="M115" s="3175">
        <f>SUM(F115:K115)</f>
        <v>208775</v>
      </c>
      <c r="N115" s="3176">
        <f>SUM(G115:L115)</f>
        <v>181469</v>
      </c>
      <c r="O115" s="4255"/>
    </row>
    <row r="116" spans="1:15" ht="30" customHeight="1">
      <c r="A116" s="4248"/>
      <c r="B116" s="4248"/>
      <c r="C116" s="4248"/>
      <c r="D116" s="4248"/>
      <c r="E116" s="4248"/>
      <c r="F116" s="4248"/>
      <c r="G116" s="4248"/>
      <c r="H116" s="4248"/>
      <c r="I116" s="4248"/>
      <c r="J116" s="4248"/>
      <c r="K116" s="4248"/>
      <c r="L116" s="4248"/>
      <c r="M116" s="3165"/>
      <c r="N116" s="4248"/>
      <c r="O116" s="4249"/>
    </row>
    <row r="117" spans="1:15" hidden="1">
      <c r="O117" s="2544"/>
    </row>
    <row r="118" spans="1:15" ht="12.75" hidden="1">
      <c r="B118" s="2561" t="s">
        <v>338</v>
      </c>
      <c r="C118" s="2562"/>
      <c r="D118" s="2562"/>
      <c r="E118" s="2562"/>
      <c r="F118" s="2562"/>
      <c r="G118" s="2562"/>
      <c r="H118" s="2562"/>
      <c r="I118" s="2562"/>
      <c r="J118" s="2562"/>
      <c r="K118" s="2562"/>
      <c r="L118" s="2562"/>
    </row>
    <row r="119" spans="1:15" ht="12.75" hidden="1">
      <c r="B119" s="3166" t="s">
        <v>339</v>
      </c>
      <c r="C119" s="2562"/>
      <c r="D119" s="2563">
        <f t="shared" ref="D119:L119" si="77">D32+D41+D57</f>
        <v>1971431</v>
      </c>
      <c r="E119" s="2563">
        <f t="shared" si="77"/>
        <v>0</v>
      </c>
      <c r="F119" s="2563">
        <f t="shared" si="77"/>
        <v>482232</v>
      </c>
      <c r="G119" s="2563">
        <f t="shared" si="77"/>
        <v>701039</v>
      </c>
      <c r="H119" s="2563">
        <f t="shared" si="77"/>
        <v>627014</v>
      </c>
      <c r="I119" s="2563">
        <f t="shared" si="77"/>
        <v>94942</v>
      </c>
      <c r="J119" s="2563">
        <f t="shared" si="77"/>
        <v>66204</v>
      </c>
      <c r="K119" s="2563">
        <f t="shared" si="77"/>
        <v>0</v>
      </c>
      <c r="L119" s="2563">
        <f t="shared" si="77"/>
        <v>0</v>
      </c>
    </row>
    <row r="120" spans="1:15" ht="12.75" hidden="1">
      <c r="B120" s="3166" t="s">
        <v>340</v>
      </c>
      <c r="C120" s="2562"/>
      <c r="D120" s="2563">
        <f>D68+D80</f>
        <v>49942320</v>
      </c>
      <c r="E120" s="2563">
        <f t="shared" ref="E120:M120" si="78">E68+E80</f>
        <v>0</v>
      </c>
      <c r="F120" s="2563">
        <f t="shared" si="78"/>
        <v>0</v>
      </c>
      <c r="G120" s="2563">
        <f t="shared" si="78"/>
        <v>4335</v>
      </c>
      <c r="H120" s="2563">
        <f t="shared" si="78"/>
        <v>14874433</v>
      </c>
      <c r="I120" s="2563">
        <f t="shared" si="78"/>
        <v>28797938</v>
      </c>
      <c r="J120" s="2563">
        <f t="shared" si="78"/>
        <v>6265614</v>
      </c>
      <c r="K120" s="2563">
        <f t="shared" si="78"/>
        <v>0</v>
      </c>
      <c r="L120" s="2563">
        <f t="shared" si="78"/>
        <v>0</v>
      </c>
      <c r="M120" s="2563" t="e">
        <f t="shared" si="78"/>
        <v>#VALUE!</v>
      </c>
    </row>
    <row r="121" spans="1:15" ht="13.5" hidden="1" thickBot="1">
      <c r="A121" s="2454"/>
      <c r="B121" s="2540" t="s">
        <v>341</v>
      </c>
      <c r="C121" s="2541"/>
      <c r="D121" s="2625">
        <f>D119+D120</f>
        <v>51913751</v>
      </c>
      <c r="E121" s="2625">
        <f>E119+E120</f>
        <v>0</v>
      </c>
      <c r="F121" s="2625">
        <f t="shared" ref="F121:L121" si="79">F119+F120</f>
        <v>482232</v>
      </c>
      <c r="G121" s="2625">
        <f t="shared" si="79"/>
        <v>705374</v>
      </c>
      <c r="H121" s="2625">
        <f t="shared" si="79"/>
        <v>15501447</v>
      </c>
      <c r="I121" s="2625">
        <f t="shared" si="79"/>
        <v>28892880</v>
      </c>
      <c r="J121" s="2625">
        <f t="shared" si="79"/>
        <v>6331818</v>
      </c>
      <c r="K121" s="2625">
        <f t="shared" si="79"/>
        <v>0</v>
      </c>
      <c r="L121" s="2625">
        <f t="shared" si="79"/>
        <v>0</v>
      </c>
      <c r="O121" s="2534"/>
    </row>
    <row r="122" spans="1:15" ht="13.5" hidden="1" thickBot="1">
      <c r="A122" s="2455"/>
      <c r="B122" s="1134" t="s">
        <v>41</v>
      </c>
      <c r="C122" s="1136"/>
      <c r="D122" s="1138">
        <f>D121-D19</f>
        <v>0</v>
      </c>
      <c r="E122" s="1138">
        <f t="shared" ref="E122:L122" si="80">E121-E19</f>
        <v>0</v>
      </c>
      <c r="F122" s="1138">
        <f t="shared" si="80"/>
        <v>0</v>
      </c>
      <c r="G122" s="1138">
        <f t="shared" si="80"/>
        <v>0</v>
      </c>
      <c r="H122" s="1138">
        <f t="shared" si="80"/>
        <v>0</v>
      </c>
      <c r="I122" s="1138">
        <f t="shared" si="80"/>
        <v>0</v>
      </c>
      <c r="J122" s="1138">
        <f t="shared" si="80"/>
        <v>0</v>
      </c>
      <c r="K122" s="1138">
        <f t="shared" si="80"/>
        <v>0</v>
      </c>
      <c r="L122" s="1138">
        <f t="shared" si="80"/>
        <v>0</v>
      </c>
      <c r="O122" s="2520"/>
    </row>
    <row r="123" spans="1:15" ht="12" hidden="1" thickBot="1">
      <c r="A123" s="2455"/>
      <c r="O123" s="2520"/>
    </row>
    <row r="124" spans="1:15" ht="12" hidden="1" thickBot="1">
      <c r="A124" s="2455"/>
      <c r="O124" s="2520"/>
    </row>
    <row r="125" spans="1:15" ht="12" hidden="1" thickBot="1">
      <c r="A125" s="2455"/>
      <c r="O125" s="2520"/>
    </row>
    <row r="126" spans="1:15" ht="12" hidden="1" thickBot="1">
      <c r="A126" s="2455"/>
      <c r="O126" s="2520"/>
    </row>
    <row r="127" spans="1:15" ht="12" hidden="1" thickBot="1">
      <c r="A127" s="2455"/>
      <c r="O127" s="2520"/>
    </row>
    <row r="128" spans="1:15" ht="12" hidden="1" thickBot="1">
      <c r="A128" s="2455"/>
      <c r="O128" s="2520"/>
    </row>
    <row r="129" spans="1:15" hidden="1">
      <c r="A129" s="2456"/>
      <c r="O129" s="2521"/>
    </row>
    <row r="130" spans="1:15" hidden="1"/>
    <row r="131" spans="1:15" hidden="1"/>
    <row r="132" spans="1:15" hidden="1"/>
    <row r="133" spans="1:15" hidden="1"/>
    <row r="134" spans="1:15" hidden="1"/>
    <row r="135" spans="1:15" hidden="1"/>
    <row r="136" spans="1:15" hidden="1"/>
    <row r="137" spans="1:15" hidden="1"/>
    <row r="138" spans="1:15" hidden="1"/>
    <row r="139" spans="1:15" hidden="1"/>
    <row r="140" spans="1:15" hidden="1"/>
    <row r="141" spans="1:15" hidden="1"/>
    <row r="142" spans="1:15" hidden="1"/>
    <row r="143" spans="1:15" hidden="1"/>
    <row r="144" spans="1:15" hidden="1"/>
    <row r="145" hidden="1"/>
    <row r="146" hidden="1"/>
    <row r="147" hidden="1"/>
    <row r="148" hidden="1"/>
    <row r="149" hidden="1"/>
    <row r="150" hidden="1"/>
    <row r="151" hidden="1"/>
    <row r="152" hidden="1"/>
    <row r="153" hidden="1"/>
    <row r="154" hidden="1"/>
    <row r="155" hidden="1"/>
    <row r="156" hidden="1"/>
    <row r="190" spans="1:1" ht="12" thickBot="1">
      <c r="A190" s="2454"/>
    </row>
    <row r="191" spans="1:1" ht="12" thickBot="1">
      <c r="A191" s="2455"/>
    </row>
    <row r="192" spans="1:1" ht="12" thickBot="1">
      <c r="A192" s="2455"/>
    </row>
    <row r="193" spans="1:2" ht="12" thickBot="1">
      <c r="A193" s="2455"/>
    </row>
    <row r="194" spans="1:2" ht="12" thickBot="1">
      <c r="A194" s="2455"/>
    </row>
    <row r="195" spans="1:2" ht="12" thickBot="1">
      <c r="A195" s="2455"/>
    </row>
    <row r="196" spans="1:2" ht="12" thickBot="1">
      <c r="A196" s="2455"/>
    </row>
    <row r="197" spans="1:2" ht="12" thickBot="1">
      <c r="A197" s="2455"/>
    </row>
    <row r="198" spans="1:2" ht="12" thickBot="1">
      <c r="A198" s="2455"/>
    </row>
    <row r="199" spans="1:2" ht="12" thickBot="1">
      <c r="A199" s="2455"/>
    </row>
    <row r="200" spans="1:2" ht="12" thickBot="1">
      <c r="A200" s="2455"/>
    </row>
    <row r="201" spans="1:2" ht="12" thickBot="1">
      <c r="A201" s="2455"/>
      <c r="B201" s="2442"/>
    </row>
    <row r="202" spans="1:2" ht="12" thickBot="1">
      <c r="A202" s="2455"/>
      <c r="B202" s="2444"/>
    </row>
    <row r="203" spans="1:2" ht="12" thickBot="1">
      <c r="A203" s="2455"/>
    </row>
    <row r="204" spans="1:2" ht="12" thickBot="1">
      <c r="A204" s="2455"/>
    </row>
    <row r="205" spans="1:2" ht="12" thickBot="1">
      <c r="A205" s="2455"/>
    </row>
    <row r="206" spans="1:2" ht="12" thickBot="1">
      <c r="A206" s="2455"/>
    </row>
    <row r="207" spans="1:2" ht="12" thickBot="1">
      <c r="A207" s="2455"/>
    </row>
    <row r="208" spans="1:2" ht="12" thickBot="1">
      <c r="A208" s="2455"/>
    </row>
    <row r="209" spans="1:15" ht="12" thickBot="1">
      <c r="A209" s="2455"/>
    </row>
    <row r="210" spans="1:15" ht="12" thickBot="1">
      <c r="A210" s="2455"/>
    </row>
    <row r="211" spans="1:15" ht="12" thickBot="1">
      <c r="A211" s="2455"/>
    </row>
    <row r="212" spans="1:15" ht="12" thickBot="1">
      <c r="A212" s="2455"/>
    </row>
    <row r="213" spans="1:15" ht="12" thickBot="1">
      <c r="A213" s="2455"/>
    </row>
    <row r="214" spans="1:15" ht="12" thickBot="1">
      <c r="A214" s="2455"/>
    </row>
    <row r="215" spans="1:15" ht="12" thickBot="1">
      <c r="A215" s="2455"/>
      <c r="N215" s="2442"/>
      <c r="O215" s="2429"/>
    </row>
    <row r="216" spans="1:15" ht="12" thickBot="1">
      <c r="A216" s="2455"/>
      <c r="C216" s="2442"/>
      <c r="N216" s="2443"/>
      <c r="O216" s="2430"/>
    </row>
    <row r="217" spans="1:15" ht="12" thickBot="1">
      <c r="A217" s="2455"/>
      <c r="C217" s="2443"/>
      <c r="N217" s="2443"/>
      <c r="O217" s="2430"/>
    </row>
    <row r="218" spans="1:15" ht="12" thickBot="1">
      <c r="A218" s="2455"/>
      <c r="C218" s="2443"/>
      <c r="N218" s="2443"/>
      <c r="O218" s="2430"/>
    </row>
    <row r="219" spans="1:15" ht="12" thickBot="1">
      <c r="A219" s="2456"/>
      <c r="C219" s="2443"/>
      <c r="D219" s="2442"/>
      <c r="E219" s="2442"/>
      <c r="F219" s="2442"/>
      <c r="G219" s="2442"/>
      <c r="H219" s="2442"/>
      <c r="I219" s="2442"/>
      <c r="J219" s="2442"/>
      <c r="K219" s="2442"/>
      <c r="L219" s="2442"/>
      <c r="N219" s="2443"/>
      <c r="O219" s="2430"/>
    </row>
    <row r="220" spans="1:15" ht="12" thickBot="1">
      <c r="C220" s="2444"/>
      <c r="D220" s="2444"/>
      <c r="E220" s="2444"/>
      <c r="F220" s="2444"/>
      <c r="G220" s="2444"/>
      <c r="H220" s="2444"/>
      <c r="I220" s="2444"/>
      <c r="J220" s="2444"/>
      <c r="K220" s="2444"/>
      <c r="L220" s="2444"/>
      <c r="N220" s="2444"/>
      <c r="O220" s="2430"/>
    </row>
    <row r="221" spans="1:15" ht="12" thickBot="1">
      <c r="O221" s="2430"/>
    </row>
    <row r="222" spans="1:15" ht="12" thickBot="1">
      <c r="O222" s="2430"/>
    </row>
    <row r="223" spans="1:15" ht="12" thickBot="1">
      <c r="O223" s="2430"/>
    </row>
    <row r="224" spans="1:15" ht="12" thickBot="1">
      <c r="O224" s="2430"/>
    </row>
    <row r="225" spans="15:15" ht="12" thickBot="1">
      <c r="O225" s="2430"/>
    </row>
    <row r="226" spans="15:15" ht="12" thickBot="1">
      <c r="O226" s="2430"/>
    </row>
    <row r="227" spans="15:15" ht="12" thickBot="1">
      <c r="O227" s="2430"/>
    </row>
    <row r="228" spans="15:15" ht="12" thickBot="1">
      <c r="O228" s="2430"/>
    </row>
    <row r="229" spans="15:15">
      <c r="O229" s="2431"/>
    </row>
    <row r="263" spans="15:15" ht="12" thickBot="1">
      <c r="O263" s="2429"/>
    </row>
    <row r="264" spans="15:15" ht="12" thickBot="1">
      <c r="O264" s="2430"/>
    </row>
    <row r="265" spans="15:15" ht="12" thickBot="1">
      <c r="O265" s="2430"/>
    </row>
    <row r="266" spans="15:15" ht="12" thickBot="1">
      <c r="O266" s="2430"/>
    </row>
    <row r="267" spans="15:15" ht="12" thickBot="1">
      <c r="O267" s="2430"/>
    </row>
    <row r="268" spans="15:15" ht="12" thickBot="1">
      <c r="O268" s="2430"/>
    </row>
    <row r="269" spans="15:15" ht="12" thickBot="1">
      <c r="O269" s="2430"/>
    </row>
    <row r="270" spans="15:15" ht="12" thickBot="1">
      <c r="O270" s="2430"/>
    </row>
    <row r="271" spans="15:15" ht="12" thickBot="1">
      <c r="O271" s="2430"/>
    </row>
    <row r="272" spans="15:15" ht="12" thickBot="1">
      <c r="O272" s="2430"/>
    </row>
    <row r="273" spans="15:15" ht="12" thickBot="1">
      <c r="O273" s="2430"/>
    </row>
    <row r="274" spans="15:15" ht="12" thickBot="1">
      <c r="O274" s="2430"/>
    </row>
    <row r="275" spans="15:15" ht="12" thickBot="1">
      <c r="O275" s="2430"/>
    </row>
    <row r="276" spans="15:15" ht="12" thickBot="1">
      <c r="O276" s="2430"/>
    </row>
    <row r="277" spans="15:15">
      <c r="O277" s="2431"/>
    </row>
    <row r="416" spans="1:1" ht="12" thickBot="1">
      <c r="A416" s="2454"/>
    </row>
    <row r="417" spans="1:15" ht="12" thickBot="1">
      <c r="A417" s="2455"/>
    </row>
    <row r="418" spans="1:15" ht="12" thickBot="1">
      <c r="A418" s="2455"/>
    </row>
    <row r="419" spans="1:15" ht="12" thickBot="1">
      <c r="A419" s="2455"/>
    </row>
    <row r="420" spans="1:15" ht="12" thickBot="1">
      <c r="A420" s="2455"/>
    </row>
    <row r="421" spans="1:15" ht="12" thickBot="1">
      <c r="A421" s="2455"/>
    </row>
    <row r="422" spans="1:15" ht="12" thickBot="1">
      <c r="A422" s="2455"/>
      <c r="N422" s="2442"/>
      <c r="O422" s="2429"/>
    </row>
    <row r="423" spans="1:15" ht="12" thickBot="1">
      <c r="A423" s="2455"/>
      <c r="C423" s="2442"/>
      <c r="N423" s="2443"/>
      <c r="O423" s="2430"/>
    </row>
    <row r="424" spans="1:15" ht="12" thickBot="1">
      <c r="A424" s="2455"/>
      <c r="C424" s="2443"/>
      <c r="D424" s="2442"/>
      <c r="E424" s="2442"/>
      <c r="F424" s="2442"/>
      <c r="G424" s="2442"/>
      <c r="H424" s="2442"/>
      <c r="I424" s="2442"/>
      <c r="J424" s="2442"/>
      <c r="K424" s="2442"/>
      <c r="L424" s="2442"/>
      <c r="N424" s="2443"/>
      <c r="O424" s="2430"/>
    </row>
    <row r="425" spans="1:15" ht="12" thickBot="1">
      <c r="A425" s="2455"/>
      <c r="C425" s="2444"/>
      <c r="D425" s="2444"/>
      <c r="E425" s="2444"/>
      <c r="F425" s="2444"/>
      <c r="G425" s="2444"/>
      <c r="H425" s="2444"/>
      <c r="I425" s="2444"/>
      <c r="J425" s="2444"/>
      <c r="K425" s="2444"/>
      <c r="L425" s="2444"/>
      <c r="N425" s="2444"/>
      <c r="O425" s="2430"/>
    </row>
    <row r="426" spans="1:15" ht="12" thickBot="1">
      <c r="A426" s="2455"/>
      <c r="O426" s="2430"/>
    </row>
    <row r="427" spans="1:15" ht="12" thickBot="1">
      <c r="A427" s="2455"/>
      <c r="O427" s="2430"/>
    </row>
    <row r="428" spans="1:15" ht="12" thickBot="1">
      <c r="A428" s="2455"/>
      <c r="O428" s="2430"/>
    </row>
    <row r="429" spans="1:15" ht="12" thickBot="1">
      <c r="A429" s="2455"/>
      <c r="O429" s="2430"/>
    </row>
    <row r="430" spans="1:15" ht="12" thickBot="1">
      <c r="A430" s="2455"/>
      <c r="O430" s="2431"/>
    </row>
    <row r="431" spans="1:15" ht="12" thickBot="1">
      <c r="A431" s="2455"/>
    </row>
    <row r="432" spans="1:15" ht="12" thickBot="1">
      <c r="A432" s="2455"/>
    </row>
    <row r="433" spans="1:1">
      <c r="A433" s="2456"/>
    </row>
    <row r="531" spans="1:15" ht="12" thickBot="1">
      <c r="O531" s="2429"/>
    </row>
    <row r="532" spans="1:15" ht="12" thickBot="1">
      <c r="O532" s="2430"/>
    </row>
    <row r="533" spans="1:15" ht="12" thickBot="1">
      <c r="O533" s="2430"/>
    </row>
    <row r="534" spans="1:15" ht="12" thickBot="1">
      <c r="O534" s="2430"/>
    </row>
    <row r="535" spans="1:15" ht="12" thickBot="1">
      <c r="N535" s="2442"/>
      <c r="O535" s="2430"/>
    </row>
    <row r="536" spans="1:15" ht="12" thickBot="1">
      <c r="N536" s="2443"/>
      <c r="O536" s="2430"/>
    </row>
    <row r="537" spans="1:15" ht="12" thickBot="1">
      <c r="N537" s="2443"/>
      <c r="O537" s="2430"/>
    </row>
    <row r="538" spans="1:15" ht="12" thickBot="1">
      <c r="N538" s="2443"/>
      <c r="O538" s="2430"/>
    </row>
    <row r="539" spans="1:15" ht="12" thickBot="1">
      <c r="N539" s="2443"/>
      <c r="O539" s="2430"/>
    </row>
    <row r="540" spans="1:15" ht="12" thickBot="1">
      <c r="A540" s="2454"/>
      <c r="B540" s="2442"/>
      <c r="C540" s="2442"/>
      <c r="D540" s="2442"/>
      <c r="E540" s="2442"/>
      <c r="F540" s="2442"/>
      <c r="G540" s="2442"/>
      <c r="H540" s="2442"/>
      <c r="I540" s="2442"/>
      <c r="J540" s="2442"/>
      <c r="K540" s="2442"/>
      <c r="L540" s="2442"/>
      <c r="N540" s="2443"/>
      <c r="O540" s="2430"/>
    </row>
    <row r="541" spans="1:15" ht="12" thickBot="1">
      <c r="A541" s="2455"/>
      <c r="B541" s="2444"/>
      <c r="C541" s="2444"/>
      <c r="D541" s="2444"/>
      <c r="E541" s="2444"/>
      <c r="F541" s="2444"/>
      <c r="G541" s="2444"/>
      <c r="H541" s="2444"/>
      <c r="I541" s="2444"/>
      <c r="J541" s="2444"/>
      <c r="K541" s="2444"/>
      <c r="L541" s="2444"/>
      <c r="N541" s="2444"/>
      <c r="O541" s="2430"/>
    </row>
    <row r="542" spans="1:15" ht="12" thickBot="1">
      <c r="A542" s="2455"/>
      <c r="O542" s="2430"/>
    </row>
    <row r="543" spans="1:15" ht="12" thickBot="1">
      <c r="A543" s="2455"/>
      <c r="O543" s="2430"/>
    </row>
    <row r="544" spans="1:15" ht="12" thickBot="1">
      <c r="A544" s="2455"/>
      <c r="O544" s="2430"/>
    </row>
    <row r="545" spans="1:15" ht="12" thickBot="1">
      <c r="A545" s="2455"/>
      <c r="O545" s="2430"/>
    </row>
    <row r="546" spans="1:15" ht="12" thickBot="1">
      <c r="A546" s="2455"/>
      <c r="O546" s="2430"/>
    </row>
    <row r="547" spans="1:15" ht="12" thickBot="1">
      <c r="A547" s="2455"/>
      <c r="O547" s="2430"/>
    </row>
    <row r="548" spans="1:15">
      <c r="A548" s="2456"/>
      <c r="O548" s="2431"/>
    </row>
  </sheetData>
  <mergeCells count="61">
    <mergeCell ref="O80:O84"/>
    <mergeCell ref="A85:A96"/>
    <mergeCell ref="O85:O96"/>
    <mergeCell ref="C87:C91"/>
    <mergeCell ref="M92:M96"/>
    <mergeCell ref="N92:N96"/>
    <mergeCell ref="C95:C96"/>
    <mergeCell ref="C81:C84"/>
    <mergeCell ref="A35:A43"/>
    <mergeCell ref="M41:M43"/>
    <mergeCell ref="O112:O115"/>
    <mergeCell ref="C114:C115"/>
    <mergeCell ref="N19:N25"/>
    <mergeCell ref="A44:A61"/>
    <mergeCell ref="A73:A84"/>
    <mergeCell ref="C75:C79"/>
    <mergeCell ref="N80:N84"/>
    <mergeCell ref="N57:N61"/>
    <mergeCell ref="C46:C53"/>
    <mergeCell ref="C58:C61"/>
    <mergeCell ref="O44:O61"/>
    <mergeCell ref="O35:O43"/>
    <mergeCell ref="N41:N43"/>
    <mergeCell ref="O74:O79"/>
    <mergeCell ref="M57:M61"/>
    <mergeCell ref="M68:M72"/>
    <mergeCell ref="M105:M107"/>
    <mergeCell ref="C37:C40"/>
    <mergeCell ref="C42:C43"/>
    <mergeCell ref="A116:L116"/>
    <mergeCell ref="N116:O116"/>
    <mergeCell ref="M80:M84"/>
    <mergeCell ref="A62:A72"/>
    <mergeCell ref="O62:O72"/>
    <mergeCell ref="N68:N72"/>
    <mergeCell ref="C64:C67"/>
    <mergeCell ref="C69:C72"/>
    <mergeCell ref="A108:A111"/>
    <mergeCell ref="O108:O111"/>
    <mergeCell ref="C110:C111"/>
    <mergeCell ref="O98:O107"/>
    <mergeCell ref="C102:C104"/>
    <mergeCell ref="N105:N107"/>
    <mergeCell ref="C106:C107"/>
    <mergeCell ref="A112:A115"/>
    <mergeCell ref="O26:O34"/>
    <mergeCell ref="C28:C31"/>
    <mergeCell ref="C33:C34"/>
    <mergeCell ref="N32:N34"/>
    <mergeCell ref="A4:O4"/>
    <mergeCell ref="B5:B6"/>
    <mergeCell ref="C5:C6"/>
    <mergeCell ref="D5:D6"/>
    <mergeCell ref="O5:O6"/>
    <mergeCell ref="N5:N6"/>
    <mergeCell ref="M5:M6"/>
    <mergeCell ref="M19:M25"/>
    <mergeCell ref="M32:M34"/>
    <mergeCell ref="A26:A34"/>
    <mergeCell ref="F5:F6"/>
    <mergeCell ref="G5:L5"/>
  </mergeCells>
  <printOptions horizontalCentered="1"/>
  <pageMargins left="0.31496062992125984" right="0.31496062992125984" top="0.59055118110236227" bottom="0.35433070866141736" header="0.31496062992125984" footer="0.11811023622047245"/>
  <pageSetup paperSize="9" scale="69" firstPageNumber="60" orientation="landscape" useFirstPageNumber="1" r:id="rId1"/>
  <headerFooter>
    <oddHeader>&amp;C&amp;"Arial,Kursywa"Wieloletnia prognoza finansowa Województwa Zachodniopomorskiego&amp;"Arial,Normalny"
____________________________________________________________________________________________________________________</oddHeader>
    <oddFooter>&amp;C&amp;9&amp;P</oddFooter>
  </headerFooter>
  <rowBreaks count="1" manualBreakCount="1">
    <brk id="61" max="24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50"/>
  </sheetPr>
  <dimension ref="A1:EA803"/>
  <sheetViews>
    <sheetView showGridLines="0" view="pageBreakPreview" zoomScale="112" zoomScaleSheetLayoutView="112" workbookViewId="0">
      <selection activeCell="A7" sqref="A7"/>
    </sheetView>
  </sheetViews>
  <sheetFormatPr defaultColWidth="9.140625" defaultRowHeight="12.75"/>
  <cols>
    <col min="1" max="1" width="3.42578125" style="2385" customWidth="1"/>
    <col min="2" max="2" width="61.42578125" style="2385" customWidth="1"/>
    <col min="3" max="3" width="11" style="2385" customWidth="1"/>
    <col min="4" max="4" width="13.5703125" style="2385" customWidth="1"/>
    <col min="5" max="5" width="13.28515625" style="2385" customWidth="1"/>
    <col min="6" max="6" width="12" style="2385" customWidth="1"/>
    <col min="7" max="7" width="11.42578125" style="2385" customWidth="1"/>
    <col min="8" max="8" width="11.28515625" style="2385" customWidth="1"/>
    <col min="9" max="9" width="11.5703125" style="2385" customWidth="1"/>
    <col min="10" max="10" width="10.42578125" style="2385" customWidth="1"/>
    <col min="11" max="11" width="10.5703125" style="2385" customWidth="1"/>
    <col min="12" max="12" width="7" style="2385" customWidth="1"/>
    <col min="13" max="13" width="12.7109375" style="2385" hidden="1" customWidth="1"/>
    <col min="14" max="15" width="12.7109375" style="2385" customWidth="1"/>
    <col min="16" max="16" width="14.140625" style="2385" hidden="1" customWidth="1"/>
    <col min="17" max="17" width="16" style="2385" hidden="1" customWidth="1"/>
    <col min="18" max="18" width="10" style="2385" hidden="1" customWidth="1"/>
    <col min="19" max="19" width="16.42578125" style="2385" hidden="1" customWidth="1"/>
    <col min="20" max="23" width="0" style="2385" hidden="1" customWidth="1"/>
    <col min="24" max="16384" width="9.140625" style="2385"/>
  </cols>
  <sheetData>
    <row r="1" spans="1:19" ht="15.75" customHeight="1">
      <c r="F1" s="679"/>
      <c r="G1" s="679"/>
      <c r="H1" s="679"/>
      <c r="I1" s="241" t="s">
        <v>62</v>
      </c>
      <c r="J1" s="241"/>
      <c r="K1" s="241"/>
      <c r="L1" s="241"/>
      <c r="M1" s="6"/>
      <c r="N1" s="6"/>
      <c r="O1" s="7"/>
    </row>
    <row r="2" spans="1:19" ht="18.75">
      <c r="D2" s="2389"/>
      <c r="E2" s="2389"/>
      <c r="F2" s="2389"/>
      <c r="G2" s="2389"/>
      <c r="H2" s="2389"/>
      <c r="I2" s="2389"/>
      <c r="J2" s="2389"/>
      <c r="K2" s="2389"/>
      <c r="L2" s="2389"/>
      <c r="M2" s="2389"/>
      <c r="N2" s="2389"/>
      <c r="O2" s="7"/>
    </row>
    <row r="3" spans="1:19" ht="43.5" customHeight="1" thickBot="1">
      <c r="A3" s="3628" t="s">
        <v>189</v>
      </c>
      <c r="B3" s="3628"/>
      <c r="C3" s="3628"/>
      <c r="D3" s="3628"/>
      <c r="E3" s="3628"/>
      <c r="F3" s="3628"/>
      <c r="G3" s="3628"/>
      <c r="H3" s="3628"/>
      <c r="I3" s="3628"/>
      <c r="J3" s="3628"/>
      <c r="K3" s="3628"/>
      <c r="L3" s="3628"/>
      <c r="M3" s="3628"/>
      <c r="N3" s="3628"/>
      <c r="O3" s="3628"/>
    </row>
    <row r="4" spans="1:19" ht="13.5" hidden="1" thickBot="1">
      <c r="A4" s="2877"/>
      <c r="B4" s="2877"/>
      <c r="C4" s="2877"/>
      <c r="D4" s="2877"/>
      <c r="E4" s="2877"/>
      <c r="F4" s="2877"/>
      <c r="G4" s="2877"/>
      <c r="H4" s="2877"/>
      <c r="I4" s="2877"/>
      <c r="J4" s="2877"/>
      <c r="K4" s="2877"/>
      <c r="L4" s="2877"/>
      <c r="M4" s="2877"/>
      <c r="N4" s="2877"/>
      <c r="O4" s="2877"/>
    </row>
    <row r="5" spans="1:19" ht="75.75" customHeight="1">
      <c r="A5" s="3651" t="s">
        <v>66</v>
      </c>
      <c r="B5" s="3653" t="s">
        <v>67</v>
      </c>
      <c r="C5" s="3629" t="s">
        <v>63</v>
      </c>
      <c r="D5" s="3631" t="s">
        <v>64</v>
      </c>
      <c r="E5" s="3155" t="s">
        <v>221</v>
      </c>
      <c r="F5" s="3649" t="s">
        <v>420</v>
      </c>
      <c r="G5" s="3646" t="s">
        <v>376</v>
      </c>
      <c r="H5" s="3647"/>
      <c r="I5" s="3647"/>
      <c r="J5" s="3647"/>
      <c r="K5" s="3647"/>
      <c r="L5" s="3648"/>
      <c r="M5" s="3638" t="s">
        <v>390</v>
      </c>
      <c r="N5" s="3638" t="s">
        <v>433</v>
      </c>
      <c r="O5" s="3633" t="s">
        <v>65</v>
      </c>
    </row>
    <row r="6" spans="1:19" ht="18.75" customHeight="1" thickBot="1">
      <c r="A6" s="3652"/>
      <c r="B6" s="3654"/>
      <c r="C6" s="3630"/>
      <c r="D6" s="3632"/>
      <c r="E6" s="3164" t="s">
        <v>367</v>
      </c>
      <c r="F6" s="3650"/>
      <c r="G6" s="3143" t="s">
        <v>6</v>
      </c>
      <c r="H6" s="3143" t="s">
        <v>170</v>
      </c>
      <c r="I6" s="3143" t="s">
        <v>172</v>
      </c>
      <c r="J6" s="3143" t="s">
        <v>212</v>
      </c>
      <c r="K6" s="3143" t="s">
        <v>213</v>
      </c>
      <c r="L6" s="3143" t="s">
        <v>211</v>
      </c>
      <c r="M6" s="3639"/>
      <c r="N6" s="3639"/>
      <c r="O6" s="3634"/>
      <c r="P6" s="2389"/>
      <c r="Q6" s="2389"/>
    </row>
    <row r="7" spans="1:19" s="245" customFormat="1" ht="12.75" customHeight="1" thickBot="1">
      <c r="A7" s="8">
        <v>1</v>
      </c>
      <c r="B7" s="9">
        <v>2</v>
      </c>
      <c r="C7" s="10">
        <v>3</v>
      </c>
      <c r="D7" s="11">
        <v>4</v>
      </c>
      <c r="E7" s="13">
        <v>5</v>
      </c>
      <c r="F7" s="12">
        <v>6</v>
      </c>
      <c r="G7" s="13">
        <v>7</v>
      </c>
      <c r="H7" s="13">
        <v>8</v>
      </c>
      <c r="I7" s="13">
        <v>9</v>
      </c>
      <c r="J7" s="13">
        <v>10</v>
      </c>
      <c r="K7" s="13">
        <v>11</v>
      </c>
      <c r="L7" s="13">
        <v>12</v>
      </c>
      <c r="M7" s="14">
        <v>13</v>
      </c>
      <c r="N7" s="14">
        <v>13</v>
      </c>
      <c r="O7" s="15">
        <v>14</v>
      </c>
      <c r="P7" s="244"/>
      <c r="Q7" s="244"/>
    </row>
    <row r="8" spans="1:19" ht="16.5" customHeight="1">
      <c r="A8" s="3635" t="s">
        <v>60</v>
      </c>
      <c r="B8" s="202" t="s">
        <v>68</v>
      </c>
      <c r="C8" s="203"/>
      <c r="D8" s="204">
        <f>+D9+D10</f>
        <v>986839735</v>
      </c>
      <c r="E8" s="204">
        <f>+E9+E10</f>
        <v>45432232</v>
      </c>
      <c r="F8" s="204">
        <f t="shared" ref="F8:G8" si="0">+F9+F10</f>
        <v>221049116</v>
      </c>
      <c r="G8" s="204">
        <f t="shared" si="0"/>
        <v>299330294</v>
      </c>
      <c r="H8" s="204">
        <f t="shared" ref="H8:L8" si="1">+H9+H10</f>
        <v>211345861</v>
      </c>
      <c r="I8" s="204">
        <f t="shared" si="1"/>
        <v>162682232</v>
      </c>
      <c r="J8" s="204">
        <f t="shared" si="1"/>
        <v>47000000</v>
      </c>
      <c r="K8" s="204">
        <f t="shared" si="1"/>
        <v>0</v>
      </c>
      <c r="L8" s="204">
        <f t="shared" si="1"/>
        <v>0</v>
      </c>
      <c r="M8" s="16">
        <f>+M9+M10</f>
        <v>861013703</v>
      </c>
      <c r="N8" s="16">
        <f>+N9+N10</f>
        <v>720358387</v>
      </c>
      <c r="O8" s="3378"/>
      <c r="P8" s="2389"/>
    </row>
    <row r="9" spans="1:19" ht="13.5" customHeight="1">
      <c r="A9" s="3636"/>
      <c r="B9" s="205" t="s">
        <v>69</v>
      </c>
      <c r="C9" s="206"/>
      <c r="D9" s="207">
        <f>+D499+D517+D435+D450</f>
        <v>944587</v>
      </c>
      <c r="E9" s="207">
        <f>+E499+E517+E435+E450</f>
        <v>48374</v>
      </c>
      <c r="F9" s="207">
        <f t="shared" ref="F9:J9" si="2">+F499+F517+F435+F450</f>
        <v>150710</v>
      </c>
      <c r="G9" s="207">
        <f t="shared" si="2"/>
        <v>387960</v>
      </c>
      <c r="H9" s="207">
        <f t="shared" si="2"/>
        <v>275371</v>
      </c>
      <c r="I9" s="207">
        <f t="shared" si="2"/>
        <v>82172</v>
      </c>
      <c r="J9" s="207">
        <f t="shared" si="2"/>
        <v>0</v>
      </c>
      <c r="K9" s="207">
        <f t="shared" ref="K9:L9" si="3">+K499+K517+K435</f>
        <v>0</v>
      </c>
      <c r="L9" s="207">
        <f t="shared" si="3"/>
        <v>0</v>
      </c>
      <c r="M9" s="840">
        <f>SUM(F9:K9)</f>
        <v>896213</v>
      </c>
      <c r="N9" s="840">
        <f>SUM(G9:L9)</f>
        <v>745503</v>
      </c>
      <c r="O9" s="681"/>
    </row>
    <row r="10" spans="1:19" ht="14.25" customHeight="1" thickBot="1">
      <c r="A10" s="3636"/>
      <c r="B10" s="682" t="s">
        <v>9</v>
      </c>
      <c r="C10" s="683"/>
      <c r="D10" s="684">
        <f>+D114+D129+D54+D68+D145+D337+D313+D351+D80+D92+D104+D481+D325+D378+D157+D169+D181+D193+D387+D399+D408+D417+D426+D205+D217+D229+D241+D253+D265+D277+D289+D301</f>
        <v>985895148</v>
      </c>
      <c r="E10" s="684">
        <f t="shared" ref="E10:L10" si="4">+E114+E129+E54+E68+E145+E337+E313+E351+E80+E92+E104+E481+E325+E378+E157+E169+E181+E193+E387+E399+E408+E417+E426+E205+E217+E229+E241+E253+E265+E277+E289+E301</f>
        <v>45383858</v>
      </c>
      <c r="F10" s="684">
        <f t="shared" si="4"/>
        <v>220898406</v>
      </c>
      <c r="G10" s="684">
        <f t="shared" si="4"/>
        <v>298942334</v>
      </c>
      <c r="H10" s="684">
        <f t="shared" si="4"/>
        <v>211070490</v>
      </c>
      <c r="I10" s="684">
        <f t="shared" si="4"/>
        <v>162600060</v>
      </c>
      <c r="J10" s="684">
        <f t="shared" si="4"/>
        <v>47000000</v>
      </c>
      <c r="K10" s="684">
        <f t="shared" si="4"/>
        <v>0</v>
      </c>
      <c r="L10" s="684">
        <f t="shared" si="4"/>
        <v>0</v>
      </c>
      <c r="M10" s="684">
        <f t="shared" ref="M10" si="5">+M114+M129+M54+M68+M145+M337+M313+M351+M80+M92+M104+M481+M325+M378+M157+M169+M181+M193+M387+M399+M408+M417+M426+M205+M217+M229+M241+M253+M265+M277</f>
        <v>860117490</v>
      </c>
      <c r="N10" s="147">
        <f>SUM(G10:L10)</f>
        <v>719612884</v>
      </c>
      <c r="O10" s="681"/>
    </row>
    <row r="11" spans="1:19" ht="14.25" customHeight="1">
      <c r="A11" s="3636"/>
      <c r="B11" s="19" t="s">
        <v>10</v>
      </c>
      <c r="C11" s="20"/>
      <c r="D11" s="685">
        <f>+D12+D18</f>
        <v>986839735</v>
      </c>
      <c r="E11" s="685">
        <f t="shared" ref="E11" si="6">+E12+E18</f>
        <v>45432232</v>
      </c>
      <c r="F11" s="685">
        <f t="shared" ref="F11:N11" si="7">+F12+F18</f>
        <v>221049116</v>
      </c>
      <c r="G11" s="685">
        <f t="shared" si="7"/>
        <v>299330294</v>
      </c>
      <c r="H11" s="685">
        <f t="shared" si="7"/>
        <v>211345861</v>
      </c>
      <c r="I11" s="685">
        <f t="shared" si="7"/>
        <v>162682232</v>
      </c>
      <c r="J11" s="685">
        <f t="shared" si="7"/>
        <v>47000000</v>
      </c>
      <c r="K11" s="685">
        <f t="shared" si="7"/>
        <v>0</v>
      </c>
      <c r="L11" s="685">
        <f t="shared" si="7"/>
        <v>0</v>
      </c>
      <c r="M11" s="686">
        <f t="shared" ref="M11" si="8">+M12+M18</f>
        <v>941407503</v>
      </c>
      <c r="N11" s="686">
        <f t="shared" si="7"/>
        <v>720358387</v>
      </c>
      <c r="O11" s="617"/>
      <c r="P11" s="687"/>
      <c r="Q11" s="2389"/>
      <c r="S11" s="2389"/>
    </row>
    <row r="12" spans="1:19" s="690" customFormat="1" ht="14.25" customHeight="1">
      <c r="A12" s="3636"/>
      <c r="B12" s="152" t="s">
        <v>11</v>
      </c>
      <c r="C12" s="2142"/>
      <c r="D12" s="841">
        <f>+D13+D14+D15+D16+D17</f>
        <v>187813642</v>
      </c>
      <c r="E12" s="841">
        <f t="shared" ref="E12" si="9">+E13+E14+E15+E16+E17</f>
        <v>14007215</v>
      </c>
      <c r="F12" s="841">
        <f t="shared" ref="F12:L12" si="10">+F13+F14+F15+F16+F17</f>
        <v>33537646</v>
      </c>
      <c r="G12" s="841">
        <f t="shared" si="10"/>
        <v>50955811</v>
      </c>
      <c r="H12" s="841">
        <f t="shared" si="10"/>
        <v>54171124</v>
      </c>
      <c r="I12" s="841">
        <f t="shared" si="10"/>
        <v>28091846</v>
      </c>
      <c r="J12" s="841">
        <f t="shared" si="10"/>
        <v>7050000</v>
      </c>
      <c r="K12" s="841">
        <f t="shared" si="10"/>
        <v>0</v>
      </c>
      <c r="L12" s="841">
        <f t="shared" si="10"/>
        <v>0</v>
      </c>
      <c r="M12" s="2143">
        <f>SUM(M13:M17)</f>
        <v>173806427</v>
      </c>
      <c r="N12" s="2143">
        <f>SUM(N13:N17)</f>
        <v>140268781</v>
      </c>
      <c r="O12" s="688"/>
      <c r="P12" s="689"/>
      <c r="Q12" s="687"/>
    </row>
    <row r="13" spans="1:19" ht="14.25" customHeight="1">
      <c r="A13" s="3636"/>
      <c r="B13" s="155" t="s">
        <v>12</v>
      </c>
      <c r="C13" s="691"/>
      <c r="D13" s="842">
        <f t="shared" ref="D13:I13" si="11">+D37+D365+D467+D510</f>
        <v>156437217</v>
      </c>
      <c r="E13" s="842">
        <f t="shared" si="11"/>
        <v>4646890</v>
      </c>
      <c r="F13" s="842">
        <f t="shared" si="11"/>
        <v>31449965</v>
      </c>
      <c r="G13" s="842">
        <f t="shared" si="11"/>
        <v>35184825</v>
      </c>
      <c r="H13" s="842">
        <f t="shared" si="11"/>
        <v>50013691</v>
      </c>
      <c r="I13" s="842">
        <f t="shared" si="11"/>
        <v>28091846</v>
      </c>
      <c r="J13" s="842">
        <f>+J37+J365+J467+J510+J267</f>
        <v>7050000</v>
      </c>
      <c r="K13" s="842">
        <f>+K37+K365+K467+K510+K267</f>
        <v>0</v>
      </c>
      <c r="L13" s="842">
        <f>+L37+L365+L467+L510+L267</f>
        <v>0</v>
      </c>
      <c r="M13" s="2144">
        <f>SUM(F13:K13)</f>
        <v>151790327</v>
      </c>
      <c r="N13" s="2144">
        <f>SUM(G13:L13)</f>
        <v>120340362</v>
      </c>
      <c r="O13" s="617"/>
      <c r="P13" s="2389"/>
      <c r="Q13" s="2389"/>
      <c r="S13" s="2389"/>
    </row>
    <row r="14" spans="1:19" ht="14.25" hidden="1" customHeight="1">
      <c r="A14" s="3636"/>
      <c r="B14" s="844" t="s">
        <v>70</v>
      </c>
      <c r="C14" s="2145"/>
      <c r="D14" s="842">
        <f>+D468</f>
        <v>0</v>
      </c>
      <c r="E14" s="842">
        <f t="shared" ref="E14" si="12">+E468</f>
        <v>0</v>
      </c>
      <c r="F14" s="842">
        <f t="shared" ref="F14:L14" si="13">+F468</f>
        <v>0</v>
      </c>
      <c r="G14" s="842">
        <f t="shared" si="13"/>
        <v>0</v>
      </c>
      <c r="H14" s="842">
        <f t="shared" si="13"/>
        <v>0</v>
      </c>
      <c r="I14" s="842">
        <f t="shared" si="13"/>
        <v>0</v>
      </c>
      <c r="J14" s="842">
        <f t="shared" si="13"/>
        <v>0</v>
      </c>
      <c r="K14" s="842">
        <f t="shared" si="13"/>
        <v>0</v>
      </c>
      <c r="L14" s="842">
        <f t="shared" si="13"/>
        <v>0</v>
      </c>
      <c r="M14" s="2144">
        <f>SUM(E14:K14)</f>
        <v>0</v>
      </c>
      <c r="N14" s="2144">
        <f>SUM(F14:L14)</f>
        <v>0</v>
      </c>
      <c r="O14" s="694"/>
      <c r="P14" s="2389"/>
    </row>
    <row r="15" spans="1:19" ht="14.25" customHeight="1">
      <c r="A15" s="3636"/>
      <c r="B15" s="155" t="s">
        <v>15</v>
      </c>
      <c r="C15" s="691"/>
      <c r="D15" s="842">
        <f t="shared" ref="D15:L15" si="14">+D38+D366</f>
        <v>19105425</v>
      </c>
      <c r="E15" s="842">
        <f t="shared" si="14"/>
        <v>9360325</v>
      </c>
      <c r="F15" s="842">
        <f t="shared" si="14"/>
        <v>2087681</v>
      </c>
      <c r="G15" s="842">
        <f t="shared" si="14"/>
        <v>3499986</v>
      </c>
      <c r="H15" s="842">
        <f t="shared" si="14"/>
        <v>4157433</v>
      </c>
      <c r="I15" s="842">
        <f t="shared" si="14"/>
        <v>0</v>
      </c>
      <c r="J15" s="842">
        <f t="shared" si="14"/>
        <v>0</v>
      </c>
      <c r="K15" s="842">
        <f t="shared" si="14"/>
        <v>0</v>
      </c>
      <c r="L15" s="842">
        <f t="shared" si="14"/>
        <v>0</v>
      </c>
      <c r="M15" s="808">
        <f>SUM(F15:K15)</f>
        <v>9745100</v>
      </c>
      <c r="N15" s="808">
        <f>SUM(G15:L15)</f>
        <v>7657419</v>
      </c>
      <c r="O15" s="694"/>
      <c r="P15" s="2389"/>
    </row>
    <row r="16" spans="1:19" ht="14.25" hidden="1" customHeight="1">
      <c r="A16" s="3636"/>
      <c r="B16" s="155" t="s">
        <v>50</v>
      </c>
      <c r="C16" s="691"/>
      <c r="D16" s="842">
        <f t="shared" ref="D16:L16" si="15">+D469+D40</f>
        <v>0</v>
      </c>
      <c r="E16" s="842">
        <f t="shared" si="15"/>
        <v>0</v>
      </c>
      <c r="F16" s="842">
        <f t="shared" si="15"/>
        <v>0</v>
      </c>
      <c r="G16" s="842">
        <f t="shared" si="15"/>
        <v>0</v>
      </c>
      <c r="H16" s="842">
        <f t="shared" si="15"/>
        <v>0</v>
      </c>
      <c r="I16" s="842">
        <f t="shared" si="15"/>
        <v>0</v>
      </c>
      <c r="J16" s="842">
        <f t="shared" si="15"/>
        <v>0</v>
      </c>
      <c r="K16" s="842">
        <f t="shared" si="15"/>
        <v>0</v>
      </c>
      <c r="L16" s="842">
        <f t="shared" si="15"/>
        <v>0</v>
      </c>
      <c r="M16" s="2144">
        <f>SUM(E16:K16)</f>
        <v>0</v>
      </c>
      <c r="N16" s="2144">
        <f>SUM(F16:L16)</f>
        <v>0</v>
      </c>
      <c r="O16" s="694"/>
      <c r="P16" s="2389"/>
    </row>
    <row r="17" spans="1:19" ht="14.25" customHeight="1">
      <c r="A17" s="3636"/>
      <c r="B17" s="155" t="s">
        <v>17</v>
      </c>
      <c r="C17" s="691"/>
      <c r="D17" s="842">
        <f>+D39</f>
        <v>12271000</v>
      </c>
      <c r="E17" s="842">
        <f t="shared" ref="E17" si="16">+E39</f>
        <v>0</v>
      </c>
      <c r="F17" s="842">
        <f t="shared" ref="F17:L17" si="17">+F39</f>
        <v>0</v>
      </c>
      <c r="G17" s="842">
        <f t="shared" si="17"/>
        <v>12271000</v>
      </c>
      <c r="H17" s="842">
        <f t="shared" si="17"/>
        <v>0</v>
      </c>
      <c r="I17" s="842">
        <f t="shared" si="17"/>
        <v>0</v>
      </c>
      <c r="J17" s="842">
        <f t="shared" si="17"/>
        <v>0</v>
      </c>
      <c r="K17" s="842">
        <f t="shared" si="17"/>
        <v>0</v>
      </c>
      <c r="L17" s="842">
        <f t="shared" si="17"/>
        <v>0</v>
      </c>
      <c r="M17" s="808">
        <f>SUM(F17:K17)</f>
        <v>12271000</v>
      </c>
      <c r="N17" s="808">
        <f>SUM(G17:L17)</f>
        <v>12271000</v>
      </c>
      <c r="O17" s="694"/>
      <c r="P17" s="2389"/>
    </row>
    <row r="18" spans="1:19" s="690" customFormat="1" ht="14.25" customHeight="1">
      <c r="A18" s="3636"/>
      <c r="B18" s="152" t="s">
        <v>18</v>
      </c>
      <c r="C18" s="695"/>
      <c r="D18" s="841">
        <f>+D19+D20+D21</f>
        <v>799026093</v>
      </c>
      <c r="E18" s="841">
        <f t="shared" ref="E18" si="18">+E19+E20+E21</f>
        <v>31425017</v>
      </c>
      <c r="F18" s="841">
        <f t="shared" ref="F18:I18" si="19">+F19+F20+F21</f>
        <v>187511470</v>
      </c>
      <c r="G18" s="841">
        <f t="shared" si="19"/>
        <v>248374483</v>
      </c>
      <c r="H18" s="841">
        <f t="shared" si="19"/>
        <v>157174737</v>
      </c>
      <c r="I18" s="841">
        <f t="shared" si="19"/>
        <v>134590386</v>
      </c>
      <c r="J18" s="841">
        <f>+J19+J20+J21</f>
        <v>39950000</v>
      </c>
      <c r="K18" s="841">
        <f>+K19+K20+K21</f>
        <v>0</v>
      </c>
      <c r="L18" s="841">
        <f>+L19+L20+L21</f>
        <v>0</v>
      </c>
      <c r="M18" s="2146">
        <f>+M19+M20+M21</f>
        <v>767601076</v>
      </c>
      <c r="N18" s="2146">
        <f>+N19+N20+N21</f>
        <v>580089606</v>
      </c>
      <c r="O18" s="696"/>
      <c r="P18" s="689"/>
      <c r="Q18" s="687"/>
    </row>
    <row r="19" spans="1:19" ht="14.25" hidden="1" customHeight="1">
      <c r="A19" s="3636"/>
      <c r="B19" s="845" t="s">
        <v>19</v>
      </c>
      <c r="C19" s="2147"/>
      <c r="D19" s="842">
        <f t="shared" ref="D19:L19" si="20">+D368+D512</f>
        <v>0</v>
      </c>
      <c r="E19" s="842">
        <f t="shared" si="20"/>
        <v>0</v>
      </c>
      <c r="F19" s="842">
        <f t="shared" si="20"/>
        <v>0</v>
      </c>
      <c r="G19" s="842">
        <f t="shared" si="20"/>
        <v>0</v>
      </c>
      <c r="H19" s="842">
        <f t="shared" si="20"/>
        <v>0</v>
      </c>
      <c r="I19" s="842">
        <f t="shared" si="20"/>
        <v>0</v>
      </c>
      <c r="J19" s="842">
        <f t="shared" si="20"/>
        <v>0</v>
      </c>
      <c r="K19" s="842">
        <f t="shared" si="20"/>
        <v>0</v>
      </c>
      <c r="L19" s="842">
        <f t="shared" si="20"/>
        <v>0</v>
      </c>
      <c r="M19" s="808">
        <f>SUM(F19:K19)</f>
        <v>0</v>
      </c>
      <c r="N19" s="808">
        <f>SUM(G19:L19)</f>
        <v>0</v>
      </c>
      <c r="O19" s="694"/>
      <c r="P19" s="2389"/>
    </row>
    <row r="20" spans="1:19" ht="14.25" customHeight="1">
      <c r="A20" s="3636"/>
      <c r="B20" s="2148" t="s">
        <v>20</v>
      </c>
      <c r="C20" s="2147"/>
      <c r="D20" s="842">
        <f t="shared" ref="D20:L20" si="21">+D42+D471+D369</f>
        <v>799026093</v>
      </c>
      <c r="E20" s="842">
        <f t="shared" si="21"/>
        <v>31425017</v>
      </c>
      <c r="F20" s="842">
        <f t="shared" si="21"/>
        <v>187511470</v>
      </c>
      <c r="G20" s="842">
        <f t="shared" si="21"/>
        <v>248374483</v>
      </c>
      <c r="H20" s="842">
        <f t="shared" si="21"/>
        <v>157174737</v>
      </c>
      <c r="I20" s="842">
        <f t="shared" si="21"/>
        <v>134590386</v>
      </c>
      <c r="J20" s="842">
        <f t="shared" si="21"/>
        <v>39950000</v>
      </c>
      <c r="K20" s="842">
        <f t="shared" si="21"/>
        <v>0</v>
      </c>
      <c r="L20" s="842">
        <f t="shared" si="21"/>
        <v>0</v>
      </c>
      <c r="M20" s="808">
        <f>SUM(F20:K20)</f>
        <v>767601076</v>
      </c>
      <c r="N20" s="808">
        <f>SUM(G20:L20)</f>
        <v>580089606</v>
      </c>
      <c r="O20" s="617"/>
      <c r="P20" s="2389"/>
      <c r="Q20" s="2389"/>
    </row>
    <row r="21" spans="1:19" ht="14.25" hidden="1" customHeight="1">
      <c r="A21" s="3636"/>
      <c r="B21" s="2148" t="s">
        <v>71</v>
      </c>
      <c r="C21" s="2147"/>
      <c r="D21" s="842">
        <f>+D472</f>
        <v>0</v>
      </c>
      <c r="E21" s="842">
        <f t="shared" ref="E21" si="22">+E472</f>
        <v>0</v>
      </c>
      <c r="F21" s="842">
        <f t="shared" ref="F21:L21" si="23">+F472</f>
        <v>0</v>
      </c>
      <c r="G21" s="842">
        <f t="shared" si="23"/>
        <v>0</v>
      </c>
      <c r="H21" s="842">
        <f t="shared" si="23"/>
        <v>0</v>
      </c>
      <c r="I21" s="842">
        <f t="shared" si="23"/>
        <v>0</v>
      </c>
      <c r="J21" s="842">
        <f t="shared" si="23"/>
        <v>0</v>
      </c>
      <c r="K21" s="842">
        <f t="shared" si="23"/>
        <v>0</v>
      </c>
      <c r="L21" s="842">
        <f t="shared" si="23"/>
        <v>0</v>
      </c>
      <c r="M21" s="2144">
        <f>SUM(E21:H21)</f>
        <v>0</v>
      </c>
      <c r="N21" s="2144">
        <f>SUM(F21:I21)</f>
        <v>0</v>
      </c>
      <c r="O21" s="617"/>
      <c r="P21" s="2389"/>
      <c r="Q21" s="2389"/>
    </row>
    <row r="22" spans="1:19" ht="14.25" customHeight="1">
      <c r="A22" s="3636"/>
      <c r="B22" s="2149" t="s">
        <v>21</v>
      </c>
      <c r="C22" s="1356"/>
      <c r="D22" s="598">
        <f>+D23+D29</f>
        <v>830402518</v>
      </c>
      <c r="E22" s="598">
        <f t="shared" ref="E22" si="24">+E23+E29</f>
        <v>34852146</v>
      </c>
      <c r="F22" s="598">
        <f>+F23+F29</f>
        <v>178912192</v>
      </c>
      <c r="G22" s="598">
        <f t="shared" ref="G22:L22" si="25">+G23+G29</f>
        <v>274379891</v>
      </c>
      <c r="H22" s="598">
        <f t="shared" si="25"/>
        <v>156169005</v>
      </c>
      <c r="I22" s="598">
        <f t="shared" si="25"/>
        <v>124721916</v>
      </c>
      <c r="J22" s="598">
        <f t="shared" si="25"/>
        <v>61367368</v>
      </c>
      <c r="K22" s="598">
        <f t="shared" si="25"/>
        <v>0</v>
      </c>
      <c r="L22" s="598">
        <f t="shared" si="25"/>
        <v>0</v>
      </c>
      <c r="M22" s="3640" t="s">
        <v>22</v>
      </c>
      <c r="N22" s="3640" t="s">
        <v>22</v>
      </c>
      <c r="O22" s="617"/>
      <c r="P22" s="2389"/>
      <c r="S22" s="687"/>
    </row>
    <row r="23" spans="1:19" ht="14.25" customHeight="1">
      <c r="A23" s="3636"/>
      <c r="B23" s="2150" t="s">
        <v>23</v>
      </c>
      <c r="C23" s="2151"/>
      <c r="D23" s="847">
        <f>+D24+D25+D26+D27+D28</f>
        <v>31376425</v>
      </c>
      <c r="E23" s="847">
        <f t="shared" ref="E23" si="26">+E24+E25+E26+E27+E28</f>
        <v>9354831</v>
      </c>
      <c r="F23" s="847">
        <f t="shared" ref="F23:L23" si="27">+F24+F25+F26+F27+F28</f>
        <v>1693881</v>
      </c>
      <c r="G23" s="847">
        <f t="shared" si="27"/>
        <v>16170280</v>
      </c>
      <c r="H23" s="847">
        <f t="shared" si="27"/>
        <v>4157433</v>
      </c>
      <c r="I23" s="847">
        <f t="shared" si="27"/>
        <v>0</v>
      </c>
      <c r="J23" s="847">
        <f t="shared" si="27"/>
        <v>0</v>
      </c>
      <c r="K23" s="847">
        <f t="shared" si="27"/>
        <v>0</v>
      </c>
      <c r="L23" s="847">
        <f t="shared" si="27"/>
        <v>0</v>
      </c>
      <c r="M23" s="3641"/>
      <c r="N23" s="3641"/>
      <c r="O23" s="617"/>
    </row>
    <row r="24" spans="1:19" ht="14.25" hidden="1" customHeight="1">
      <c r="A24" s="3636"/>
      <c r="B24" s="844" t="s">
        <v>70</v>
      </c>
      <c r="C24" s="697"/>
      <c r="D24" s="848">
        <f>+D475</f>
        <v>0</v>
      </c>
      <c r="E24" s="848">
        <f t="shared" ref="E24" si="28">+E475</f>
        <v>0</v>
      </c>
      <c r="F24" s="848">
        <f t="shared" ref="F24:L24" si="29">+F475</f>
        <v>0</v>
      </c>
      <c r="G24" s="848">
        <f t="shared" si="29"/>
        <v>0</v>
      </c>
      <c r="H24" s="848">
        <f t="shared" si="29"/>
        <v>0</v>
      </c>
      <c r="I24" s="848">
        <f t="shared" si="29"/>
        <v>0</v>
      </c>
      <c r="J24" s="848">
        <f t="shared" si="29"/>
        <v>0</v>
      </c>
      <c r="K24" s="848">
        <f t="shared" si="29"/>
        <v>0</v>
      </c>
      <c r="L24" s="848">
        <f t="shared" si="29"/>
        <v>0</v>
      </c>
      <c r="M24" s="3641"/>
      <c r="N24" s="3641"/>
      <c r="O24" s="694"/>
    </row>
    <row r="25" spans="1:19" ht="14.25" customHeight="1">
      <c r="A25" s="3636"/>
      <c r="B25" s="23" t="s">
        <v>15</v>
      </c>
      <c r="C25" s="24"/>
      <c r="D25" s="842">
        <f t="shared" ref="D25:L25" si="30">+D45+D366</f>
        <v>19105425</v>
      </c>
      <c r="E25" s="842">
        <f t="shared" si="30"/>
        <v>9354831</v>
      </c>
      <c r="F25" s="842">
        <f t="shared" si="30"/>
        <v>1693881</v>
      </c>
      <c r="G25" s="842">
        <f t="shared" si="30"/>
        <v>3899280</v>
      </c>
      <c r="H25" s="842">
        <f t="shared" si="30"/>
        <v>4157433</v>
      </c>
      <c r="I25" s="842">
        <f t="shared" si="30"/>
        <v>0</v>
      </c>
      <c r="J25" s="842">
        <f t="shared" si="30"/>
        <v>0</v>
      </c>
      <c r="K25" s="842">
        <f t="shared" si="30"/>
        <v>0</v>
      </c>
      <c r="L25" s="842">
        <f t="shared" si="30"/>
        <v>0</v>
      </c>
      <c r="M25" s="3641"/>
      <c r="N25" s="3641"/>
      <c r="O25" s="694"/>
      <c r="P25" s="2389">
        <f>D25-D15</f>
        <v>0</v>
      </c>
      <c r="Q25" s="2389">
        <f>G25-'[1]Tab. 6A -Drogi'!$G$25</f>
        <v>-1176885</v>
      </c>
    </row>
    <row r="26" spans="1:19" ht="14.25" hidden="1" customHeight="1">
      <c r="A26" s="3636"/>
      <c r="B26" s="23" t="s">
        <v>50</v>
      </c>
      <c r="C26" s="24"/>
      <c r="D26" s="842">
        <f t="shared" ref="D26:L26" si="31">+D476+D48</f>
        <v>0</v>
      </c>
      <c r="E26" s="842">
        <f t="shared" si="31"/>
        <v>0</v>
      </c>
      <c r="F26" s="842">
        <f t="shared" si="31"/>
        <v>0</v>
      </c>
      <c r="G26" s="842">
        <f t="shared" si="31"/>
        <v>0</v>
      </c>
      <c r="H26" s="842">
        <f t="shared" si="31"/>
        <v>0</v>
      </c>
      <c r="I26" s="842">
        <f t="shared" si="31"/>
        <v>0</v>
      </c>
      <c r="J26" s="842">
        <f t="shared" si="31"/>
        <v>0</v>
      </c>
      <c r="K26" s="842">
        <f t="shared" si="31"/>
        <v>0</v>
      </c>
      <c r="L26" s="842">
        <f t="shared" si="31"/>
        <v>0</v>
      </c>
      <c r="M26" s="3641"/>
      <c r="N26" s="3641"/>
      <c r="O26" s="694"/>
      <c r="P26" s="2389">
        <f>D16-D26</f>
        <v>0</v>
      </c>
    </row>
    <row r="27" spans="1:19" ht="14.25" customHeight="1">
      <c r="A27" s="3636"/>
      <c r="B27" s="155" t="s">
        <v>17</v>
      </c>
      <c r="C27" s="25"/>
      <c r="D27" s="842">
        <f>+D46</f>
        <v>12271000</v>
      </c>
      <c r="E27" s="842">
        <f t="shared" ref="E27:E28" si="32">+E46</f>
        <v>0</v>
      </c>
      <c r="F27" s="842">
        <f t="shared" ref="F27:L28" si="33">+F46</f>
        <v>0</v>
      </c>
      <c r="G27" s="842">
        <f t="shared" si="33"/>
        <v>12271000</v>
      </c>
      <c r="H27" s="842">
        <f t="shared" si="33"/>
        <v>0</v>
      </c>
      <c r="I27" s="842">
        <f t="shared" si="33"/>
        <v>0</v>
      </c>
      <c r="J27" s="842">
        <f t="shared" si="33"/>
        <v>0</v>
      </c>
      <c r="K27" s="842">
        <f t="shared" si="33"/>
        <v>0</v>
      </c>
      <c r="L27" s="842">
        <f t="shared" si="33"/>
        <v>0</v>
      </c>
      <c r="M27" s="3641"/>
      <c r="N27" s="3641"/>
      <c r="O27" s="694"/>
      <c r="P27" s="2389">
        <f>D17-D27</f>
        <v>0</v>
      </c>
    </row>
    <row r="28" spans="1:19" ht="14.25" hidden="1" customHeight="1">
      <c r="A28" s="3636"/>
      <c r="B28" s="155" t="s">
        <v>72</v>
      </c>
      <c r="C28" s="25"/>
      <c r="D28" s="842">
        <f>+D47</f>
        <v>0</v>
      </c>
      <c r="E28" s="842">
        <f t="shared" si="32"/>
        <v>0</v>
      </c>
      <c r="F28" s="842">
        <f t="shared" si="33"/>
        <v>0</v>
      </c>
      <c r="G28" s="842">
        <f t="shared" si="33"/>
        <v>0</v>
      </c>
      <c r="H28" s="842">
        <f t="shared" si="33"/>
        <v>0</v>
      </c>
      <c r="I28" s="842">
        <f t="shared" si="33"/>
        <v>0</v>
      </c>
      <c r="J28" s="842">
        <f t="shared" si="33"/>
        <v>0</v>
      </c>
      <c r="K28" s="842">
        <f t="shared" si="33"/>
        <v>0</v>
      </c>
      <c r="L28" s="842">
        <f t="shared" si="33"/>
        <v>0</v>
      </c>
      <c r="M28" s="3641"/>
      <c r="N28" s="3641"/>
      <c r="O28" s="694"/>
    </row>
    <row r="29" spans="1:19" ht="14.25" customHeight="1">
      <c r="A29" s="3636"/>
      <c r="B29" s="2152" t="s">
        <v>18</v>
      </c>
      <c r="C29" s="2153"/>
      <c r="D29" s="847">
        <f>+D30+D31+D32+D33</f>
        <v>799026093</v>
      </c>
      <c r="E29" s="847">
        <f t="shared" ref="E29" si="34">+E30+E31+E32+E33</f>
        <v>25497315</v>
      </c>
      <c r="F29" s="847">
        <f>+F30+F31+F32+F33</f>
        <v>177218311</v>
      </c>
      <c r="G29" s="847">
        <f t="shared" ref="G29:L29" si="35">+G30+G31+G32+G33</f>
        <v>258209611</v>
      </c>
      <c r="H29" s="847">
        <f t="shared" si="35"/>
        <v>152011572</v>
      </c>
      <c r="I29" s="847">
        <f t="shared" si="35"/>
        <v>124721916</v>
      </c>
      <c r="J29" s="847">
        <f t="shared" si="35"/>
        <v>61367368</v>
      </c>
      <c r="K29" s="847">
        <f t="shared" si="35"/>
        <v>0</v>
      </c>
      <c r="L29" s="847">
        <f t="shared" si="35"/>
        <v>0</v>
      </c>
      <c r="M29" s="3641"/>
      <c r="N29" s="3641"/>
      <c r="O29" s="694"/>
      <c r="P29" s="2389">
        <f>D31-D19</f>
        <v>0</v>
      </c>
    </row>
    <row r="30" spans="1:19" ht="12.75" hidden="1" customHeight="1">
      <c r="A30" s="3636"/>
      <c r="B30" s="849" t="s">
        <v>17</v>
      </c>
      <c r="C30" s="2154"/>
      <c r="D30" s="842">
        <f t="shared" ref="D30:L30" si="36">+D50</f>
        <v>0</v>
      </c>
      <c r="E30" s="842">
        <f t="shared" si="36"/>
        <v>0</v>
      </c>
      <c r="F30" s="842">
        <f t="shared" si="36"/>
        <v>0</v>
      </c>
      <c r="G30" s="842">
        <f t="shared" si="36"/>
        <v>0</v>
      </c>
      <c r="H30" s="842">
        <f t="shared" si="36"/>
        <v>0</v>
      </c>
      <c r="I30" s="842">
        <f t="shared" si="36"/>
        <v>0</v>
      </c>
      <c r="J30" s="842">
        <f t="shared" si="36"/>
        <v>0</v>
      </c>
      <c r="K30" s="842">
        <f t="shared" si="36"/>
        <v>0</v>
      </c>
      <c r="L30" s="842">
        <f t="shared" si="36"/>
        <v>0</v>
      </c>
      <c r="M30" s="3641"/>
      <c r="N30" s="3641"/>
      <c r="O30" s="694"/>
    </row>
    <row r="31" spans="1:19" ht="14.25" hidden="1" customHeight="1">
      <c r="A31" s="3636"/>
      <c r="B31" s="845" t="s">
        <v>19</v>
      </c>
      <c r="C31" s="2145"/>
      <c r="D31" s="2155">
        <f>+D374+D515</f>
        <v>0</v>
      </c>
      <c r="E31" s="2155">
        <f>+E374+E515</f>
        <v>0</v>
      </c>
      <c r="F31" s="2155">
        <f>+F374+F515</f>
        <v>0</v>
      </c>
      <c r="G31" s="2155">
        <f t="shared" ref="G31:L31" si="37">+G374</f>
        <v>0</v>
      </c>
      <c r="H31" s="2155">
        <f t="shared" si="37"/>
        <v>0</v>
      </c>
      <c r="I31" s="2155">
        <f t="shared" si="37"/>
        <v>0</v>
      </c>
      <c r="J31" s="2155">
        <f t="shared" si="37"/>
        <v>0</v>
      </c>
      <c r="K31" s="2155">
        <f t="shared" si="37"/>
        <v>0</v>
      </c>
      <c r="L31" s="2155">
        <f t="shared" si="37"/>
        <v>0</v>
      </c>
      <c r="M31" s="3641"/>
      <c r="N31" s="3641"/>
      <c r="O31" s="694"/>
      <c r="P31" s="2389">
        <f>D32-D20</f>
        <v>0</v>
      </c>
    </row>
    <row r="32" spans="1:19" ht="14.25" customHeight="1" thickBot="1">
      <c r="A32" s="3636"/>
      <c r="B32" s="845" t="s">
        <v>20</v>
      </c>
      <c r="C32" s="2154"/>
      <c r="D32" s="2155">
        <f t="shared" ref="D32:L32" si="38">+D51+D478+D375</f>
        <v>799026093</v>
      </c>
      <c r="E32" s="2155">
        <f t="shared" si="38"/>
        <v>25497315</v>
      </c>
      <c r="F32" s="2155">
        <f t="shared" si="38"/>
        <v>177218311</v>
      </c>
      <c r="G32" s="2155">
        <f t="shared" si="38"/>
        <v>258209611</v>
      </c>
      <c r="H32" s="2155">
        <f t="shared" si="38"/>
        <v>152011572</v>
      </c>
      <c r="I32" s="2155">
        <f t="shared" si="38"/>
        <v>124721916</v>
      </c>
      <c r="J32" s="2155">
        <f t="shared" si="38"/>
        <v>61367368</v>
      </c>
      <c r="K32" s="2155">
        <f t="shared" si="38"/>
        <v>0</v>
      </c>
      <c r="L32" s="2155">
        <f t="shared" si="38"/>
        <v>0</v>
      </c>
      <c r="M32" s="3641"/>
      <c r="N32" s="3641"/>
      <c r="O32" s="694"/>
    </row>
    <row r="33" spans="1:17" ht="13.5" hidden="1" thickBot="1">
      <c r="A33" s="3637"/>
      <c r="B33" s="26" t="s">
        <v>71</v>
      </c>
      <c r="C33" s="27"/>
      <c r="D33" s="699">
        <f>+D479</f>
        <v>0</v>
      </c>
      <c r="E33" s="699">
        <f t="shared" ref="E33" si="39">+E479</f>
        <v>0</v>
      </c>
      <c r="F33" s="699">
        <f t="shared" ref="F33:L33" si="40">+F479</f>
        <v>0</v>
      </c>
      <c r="G33" s="699">
        <f t="shared" si="40"/>
        <v>0</v>
      </c>
      <c r="H33" s="699">
        <f t="shared" si="40"/>
        <v>0</v>
      </c>
      <c r="I33" s="699">
        <f t="shared" si="40"/>
        <v>0</v>
      </c>
      <c r="J33" s="699">
        <f t="shared" si="40"/>
        <v>0</v>
      </c>
      <c r="K33" s="699">
        <f t="shared" si="40"/>
        <v>0</v>
      </c>
      <c r="L33" s="699">
        <f t="shared" si="40"/>
        <v>0</v>
      </c>
      <c r="M33" s="3642"/>
      <c r="N33" s="3642"/>
      <c r="O33" s="2156"/>
    </row>
    <row r="34" spans="1:17" ht="30.75" customHeight="1">
      <c r="A34" s="2157" t="s">
        <v>186</v>
      </c>
      <c r="B34" s="2158" t="s">
        <v>202</v>
      </c>
      <c r="C34" s="2159"/>
      <c r="D34" s="2160"/>
      <c r="E34" s="2161"/>
      <c r="F34" s="2161"/>
      <c r="G34" s="2161"/>
      <c r="H34" s="2161"/>
      <c r="I34" s="2161"/>
      <c r="J34" s="2161"/>
      <c r="K34" s="2161"/>
      <c r="L34" s="2161"/>
      <c r="M34" s="2162"/>
      <c r="N34" s="2163"/>
      <c r="O34" s="2164"/>
    </row>
    <row r="35" spans="1:17" ht="14.25" customHeight="1">
      <c r="A35" s="700"/>
      <c r="B35" s="827" t="s">
        <v>10</v>
      </c>
      <c r="C35" s="1356"/>
      <c r="D35" s="801">
        <f>+D36+D41</f>
        <v>935099442</v>
      </c>
      <c r="E35" s="801">
        <f t="shared" ref="E35:L35" si="41">+E36+E41</f>
        <v>44967942</v>
      </c>
      <c r="F35" s="801">
        <f t="shared" si="41"/>
        <v>213466976</v>
      </c>
      <c r="G35" s="801">
        <f t="shared" si="41"/>
        <v>293408642</v>
      </c>
      <c r="H35" s="801">
        <f t="shared" si="41"/>
        <v>181730206</v>
      </c>
      <c r="I35" s="801">
        <f t="shared" si="41"/>
        <v>154525676</v>
      </c>
      <c r="J35" s="801">
        <f t="shared" si="41"/>
        <v>47000000</v>
      </c>
      <c r="K35" s="801">
        <f t="shared" si="41"/>
        <v>0</v>
      </c>
      <c r="L35" s="801">
        <f t="shared" si="41"/>
        <v>0</v>
      </c>
      <c r="M35" s="1883">
        <f t="shared" ref="M35" si="42">+M36+M41</f>
        <v>890131500</v>
      </c>
      <c r="N35" s="1883">
        <f t="shared" ref="N35" si="43">+N36+N41</f>
        <v>676664524</v>
      </c>
      <c r="O35" s="701"/>
      <c r="P35" s="2389"/>
    </row>
    <row r="36" spans="1:17" s="690" customFormat="1" ht="14.25" customHeight="1">
      <c r="A36" s="700"/>
      <c r="B36" s="850" t="s">
        <v>23</v>
      </c>
      <c r="C36" s="2165"/>
      <c r="D36" s="828">
        <f>+D37+D38+D39+D40</f>
        <v>160928016</v>
      </c>
      <c r="E36" s="828">
        <f t="shared" ref="E36:L36" si="44">+E37+E38+E39+E40</f>
        <v>13583751</v>
      </c>
      <c r="F36" s="828">
        <f t="shared" si="44"/>
        <v>32328869</v>
      </c>
      <c r="G36" s="828">
        <f t="shared" si="44"/>
        <v>46767135</v>
      </c>
      <c r="H36" s="828">
        <f t="shared" si="44"/>
        <v>37662410</v>
      </c>
      <c r="I36" s="828">
        <f t="shared" si="44"/>
        <v>23535851</v>
      </c>
      <c r="J36" s="828">
        <f t="shared" si="44"/>
        <v>7050000</v>
      </c>
      <c r="K36" s="828">
        <f t="shared" si="44"/>
        <v>0</v>
      </c>
      <c r="L36" s="828">
        <f t="shared" si="44"/>
        <v>0</v>
      </c>
      <c r="M36" s="851">
        <f>+M37+M38+M39+M40</f>
        <v>147344265</v>
      </c>
      <c r="N36" s="851">
        <f>+N37+N38+N39+N40</f>
        <v>115015396</v>
      </c>
      <c r="O36" s="701"/>
      <c r="Q36" s="687"/>
    </row>
    <row r="37" spans="1:17" ht="14.25" customHeight="1">
      <c r="A37" s="700"/>
      <c r="B37" s="852" t="s">
        <v>12</v>
      </c>
      <c r="C37" s="2166"/>
      <c r="D37" s="829">
        <f t="shared" ref="D37:J37" si="45">+D327+D147+D339+D315+D353+D82+D131+D56+D94+D70+D106+D116+D159+D171+D183+D195+D207+D219+D231+D243+D255+D267+D279+D291+D303</f>
        <v>129608594</v>
      </c>
      <c r="E37" s="829">
        <f t="shared" si="45"/>
        <v>4280429</v>
      </c>
      <c r="F37" s="829">
        <f t="shared" si="45"/>
        <v>30241188</v>
      </c>
      <c r="G37" s="829">
        <f t="shared" si="45"/>
        <v>30996149</v>
      </c>
      <c r="H37" s="829">
        <f t="shared" si="45"/>
        <v>33504977</v>
      </c>
      <c r="I37" s="829">
        <f t="shared" si="45"/>
        <v>23535851</v>
      </c>
      <c r="J37" s="829">
        <f t="shared" si="45"/>
        <v>7050000</v>
      </c>
      <c r="K37" s="829">
        <f t="shared" ref="K37:L37" si="46">+K327+K147+K339+K315+K353+K82+K131+K56+K94+K70+K106+K116+K159+K171+K183+K195+K207+K219+K231+K243+K255+K267+K279</f>
        <v>0</v>
      </c>
      <c r="L37" s="829">
        <f t="shared" si="46"/>
        <v>0</v>
      </c>
      <c r="M37" s="808">
        <f>SUM(F37:K37)</f>
        <v>125328165</v>
      </c>
      <c r="N37" s="808">
        <f t="shared" ref="M37:N39" si="47">SUM(G37:L37)</f>
        <v>95086977</v>
      </c>
      <c r="O37" s="704"/>
      <c r="P37" s="2389"/>
      <c r="Q37" s="687"/>
    </row>
    <row r="38" spans="1:17" ht="14.25" customHeight="1">
      <c r="A38" s="700"/>
      <c r="B38" s="804" t="s">
        <v>15</v>
      </c>
      <c r="C38" s="2167"/>
      <c r="D38" s="829">
        <f t="shared" ref="D38:L38" si="48">+D148+D341+D316+D83+D118+D133+D95+D208+D220+D172+D232</f>
        <v>19048422</v>
      </c>
      <c r="E38" s="829">
        <f t="shared" si="48"/>
        <v>9303322</v>
      </c>
      <c r="F38" s="829">
        <f t="shared" si="48"/>
        <v>2087681</v>
      </c>
      <c r="G38" s="829">
        <f t="shared" si="48"/>
        <v>3499986</v>
      </c>
      <c r="H38" s="829">
        <f t="shared" si="48"/>
        <v>4157433</v>
      </c>
      <c r="I38" s="829">
        <f t="shared" si="48"/>
        <v>0</v>
      </c>
      <c r="J38" s="829">
        <f t="shared" si="48"/>
        <v>0</v>
      </c>
      <c r="K38" s="829">
        <f t="shared" si="48"/>
        <v>0</v>
      </c>
      <c r="L38" s="829">
        <f t="shared" si="48"/>
        <v>0</v>
      </c>
      <c r="M38" s="808">
        <f t="shared" si="47"/>
        <v>9745100</v>
      </c>
      <c r="N38" s="808">
        <f t="shared" si="47"/>
        <v>7657419</v>
      </c>
      <c r="O38" s="704"/>
      <c r="P38" s="2389">
        <f>D38-D45</f>
        <v>0</v>
      </c>
      <c r="Q38" s="687"/>
    </row>
    <row r="39" spans="1:17" ht="14.25" customHeight="1">
      <c r="A39" s="700"/>
      <c r="B39" s="804" t="s">
        <v>17</v>
      </c>
      <c r="C39" s="2167"/>
      <c r="D39" s="829">
        <f>+D117+D132+D57+D71+D354</f>
        <v>12271000</v>
      </c>
      <c r="E39" s="829">
        <f t="shared" ref="E39:L39" si="49">+E117+E132+E57+E71+E354</f>
        <v>0</v>
      </c>
      <c r="F39" s="829">
        <f t="shared" si="49"/>
        <v>0</v>
      </c>
      <c r="G39" s="829">
        <f t="shared" si="49"/>
        <v>12271000</v>
      </c>
      <c r="H39" s="829">
        <f t="shared" si="49"/>
        <v>0</v>
      </c>
      <c r="I39" s="829">
        <f t="shared" si="49"/>
        <v>0</v>
      </c>
      <c r="J39" s="829">
        <f t="shared" si="49"/>
        <v>0</v>
      </c>
      <c r="K39" s="829">
        <f t="shared" si="49"/>
        <v>0</v>
      </c>
      <c r="L39" s="829">
        <f t="shared" si="49"/>
        <v>0</v>
      </c>
      <c r="M39" s="808">
        <f t="shared" si="47"/>
        <v>12271000</v>
      </c>
      <c r="N39" s="808">
        <f t="shared" si="47"/>
        <v>12271000</v>
      </c>
      <c r="O39" s="704"/>
      <c r="P39" s="2389">
        <f>D39-D46</f>
        <v>0</v>
      </c>
      <c r="Q39" s="687"/>
    </row>
    <row r="40" spans="1:17" ht="14.25" hidden="1" customHeight="1">
      <c r="A40" s="700"/>
      <c r="B40" s="804" t="s">
        <v>50</v>
      </c>
      <c r="C40" s="2167"/>
      <c r="D40" s="829">
        <f>+D328+D340</f>
        <v>0</v>
      </c>
      <c r="E40" s="829">
        <f t="shared" ref="E40:L40" si="50">+E328+E340</f>
        <v>0</v>
      </c>
      <c r="F40" s="829">
        <f t="shared" si="50"/>
        <v>0</v>
      </c>
      <c r="G40" s="829">
        <f t="shared" si="50"/>
        <v>0</v>
      </c>
      <c r="H40" s="829">
        <f t="shared" si="50"/>
        <v>0</v>
      </c>
      <c r="I40" s="829">
        <f t="shared" si="50"/>
        <v>0</v>
      </c>
      <c r="J40" s="829">
        <f t="shared" si="50"/>
        <v>0</v>
      </c>
      <c r="K40" s="829">
        <f t="shared" si="50"/>
        <v>0</v>
      </c>
      <c r="L40" s="829">
        <f t="shared" si="50"/>
        <v>0</v>
      </c>
      <c r="M40" s="808">
        <f>SUM(E40:K40)</f>
        <v>0</v>
      </c>
      <c r="N40" s="808">
        <f>SUM(F40:L40)</f>
        <v>0</v>
      </c>
      <c r="O40" s="704"/>
      <c r="P40" s="2389"/>
      <c r="Q40" s="687"/>
    </row>
    <row r="41" spans="1:17" s="690" customFormat="1" ht="14.25" customHeight="1">
      <c r="A41" s="700"/>
      <c r="B41" s="830" t="s">
        <v>18</v>
      </c>
      <c r="C41" s="2168"/>
      <c r="D41" s="828">
        <f>+D42</f>
        <v>774171426</v>
      </c>
      <c r="E41" s="828">
        <f t="shared" ref="E41:L41" si="51">+E42</f>
        <v>31384191</v>
      </c>
      <c r="F41" s="828">
        <f t="shared" si="51"/>
        <v>181138107</v>
      </c>
      <c r="G41" s="828">
        <f t="shared" si="51"/>
        <v>246641507</v>
      </c>
      <c r="H41" s="828">
        <f t="shared" si="51"/>
        <v>144067796</v>
      </c>
      <c r="I41" s="828">
        <f t="shared" si="51"/>
        <v>130989825</v>
      </c>
      <c r="J41" s="828">
        <f t="shared" si="51"/>
        <v>39950000</v>
      </c>
      <c r="K41" s="828">
        <f t="shared" si="51"/>
        <v>0</v>
      </c>
      <c r="L41" s="828">
        <f t="shared" si="51"/>
        <v>0</v>
      </c>
      <c r="M41" s="2169">
        <f>+M42</f>
        <v>742787235</v>
      </c>
      <c r="N41" s="2169">
        <f>+N42</f>
        <v>561649128</v>
      </c>
      <c r="O41" s="704"/>
      <c r="Q41" s="687"/>
    </row>
    <row r="42" spans="1:17" ht="14.25" customHeight="1">
      <c r="A42" s="700"/>
      <c r="B42" s="853" t="s">
        <v>20</v>
      </c>
      <c r="C42" s="854"/>
      <c r="D42" s="855">
        <f>+D330+D150+D120+D343+D318+D356+D85+D136+D60+D97+D73+D108+D162+D174+D186+D198+D210+D222+D234+D246+D258+D270+D282+D294+D306</f>
        <v>774171426</v>
      </c>
      <c r="E42" s="855">
        <f t="shared" ref="E42:L42" si="52">+E330+E150+E120+E343+E318+E356+E85+E136+E60+E97+E73+E108+E162+E174+E186+E198+E210+E222+E234+E246+E258+E270+E282+E294+E306</f>
        <v>31384191</v>
      </c>
      <c r="F42" s="855">
        <f t="shared" si="52"/>
        <v>181138107</v>
      </c>
      <c r="G42" s="855">
        <f t="shared" si="52"/>
        <v>246641507</v>
      </c>
      <c r="H42" s="855">
        <f>+H330+H150+H120+H343+H318+H356+H85+H136+H60+H97+H73+H108+H162+H174+H186+H198+H210+H222+H234+H246+H258+H270+H282+H294+H306</f>
        <v>144067796</v>
      </c>
      <c r="I42" s="855">
        <f t="shared" si="52"/>
        <v>130989825</v>
      </c>
      <c r="J42" s="855">
        <f t="shared" si="52"/>
        <v>39950000</v>
      </c>
      <c r="K42" s="855">
        <f t="shared" si="52"/>
        <v>0</v>
      </c>
      <c r="L42" s="855">
        <f t="shared" si="52"/>
        <v>0</v>
      </c>
      <c r="M42" s="808">
        <f>SUM(F42:K42)</f>
        <v>742787235</v>
      </c>
      <c r="N42" s="808">
        <f>SUM(G42:L42)</f>
        <v>561649128</v>
      </c>
      <c r="O42" s="701"/>
      <c r="P42" s="2389">
        <f>D42-D51</f>
        <v>0</v>
      </c>
      <c r="Q42" s="687"/>
    </row>
    <row r="43" spans="1:17" ht="14.25" customHeight="1">
      <c r="A43" s="700"/>
      <c r="B43" s="2149" t="s">
        <v>21</v>
      </c>
      <c r="C43" s="1356"/>
      <c r="D43" s="801">
        <f>+D44+D49</f>
        <v>805490848</v>
      </c>
      <c r="E43" s="801">
        <f t="shared" ref="E43:L43" si="53">+E44+E49</f>
        <v>34795143</v>
      </c>
      <c r="F43" s="801">
        <f t="shared" si="53"/>
        <v>178866458</v>
      </c>
      <c r="G43" s="801">
        <f t="shared" si="53"/>
        <v>267910413</v>
      </c>
      <c r="H43" s="801">
        <f t="shared" si="53"/>
        <v>148379009</v>
      </c>
      <c r="I43" s="801">
        <f t="shared" si="53"/>
        <v>116089825</v>
      </c>
      <c r="J43" s="801">
        <f t="shared" si="53"/>
        <v>59450000</v>
      </c>
      <c r="K43" s="801">
        <f t="shared" si="53"/>
        <v>0</v>
      </c>
      <c r="L43" s="801">
        <f t="shared" si="53"/>
        <v>0</v>
      </c>
      <c r="M43" s="3643" t="s">
        <v>22</v>
      </c>
      <c r="N43" s="3643" t="s">
        <v>22</v>
      </c>
      <c r="O43" s="704"/>
    </row>
    <row r="44" spans="1:17" ht="14.25" customHeight="1">
      <c r="A44" s="700"/>
      <c r="B44" s="802" t="s">
        <v>23</v>
      </c>
      <c r="C44" s="707"/>
      <c r="D44" s="35">
        <f>+D45+D46+D47+D48</f>
        <v>31319422</v>
      </c>
      <c r="E44" s="35">
        <f t="shared" ref="E44:L44" si="54">+E45+E46+E47+E48</f>
        <v>9297828</v>
      </c>
      <c r="F44" s="35">
        <f t="shared" si="54"/>
        <v>1693881</v>
      </c>
      <c r="G44" s="35">
        <f t="shared" si="54"/>
        <v>16170280</v>
      </c>
      <c r="H44" s="35">
        <f t="shared" si="54"/>
        <v>4157433</v>
      </c>
      <c r="I44" s="35">
        <f t="shared" si="54"/>
        <v>0</v>
      </c>
      <c r="J44" s="35">
        <f t="shared" si="54"/>
        <v>0</v>
      </c>
      <c r="K44" s="35">
        <f t="shared" si="54"/>
        <v>0</v>
      </c>
      <c r="L44" s="35">
        <f t="shared" si="54"/>
        <v>0</v>
      </c>
      <c r="M44" s="3644"/>
      <c r="N44" s="3644"/>
      <c r="O44" s="704"/>
      <c r="P44" s="2389"/>
    </row>
    <row r="45" spans="1:17" ht="14.25" customHeight="1">
      <c r="A45" s="700"/>
      <c r="B45" s="36" t="s">
        <v>15</v>
      </c>
      <c r="C45" s="37"/>
      <c r="D45" s="803">
        <f t="shared" ref="D45:L45" si="55">+D153+D347+D321+D88+D124+D140+D100+D213+D225+D177+D237</f>
        <v>19048422</v>
      </c>
      <c r="E45" s="803">
        <f t="shared" si="55"/>
        <v>9297828</v>
      </c>
      <c r="F45" s="803">
        <f t="shared" si="55"/>
        <v>1693881</v>
      </c>
      <c r="G45" s="803">
        <f t="shared" si="55"/>
        <v>3899280</v>
      </c>
      <c r="H45" s="803">
        <f t="shared" si="55"/>
        <v>4157433</v>
      </c>
      <c r="I45" s="803">
        <f t="shared" si="55"/>
        <v>0</v>
      </c>
      <c r="J45" s="803">
        <f t="shared" si="55"/>
        <v>0</v>
      </c>
      <c r="K45" s="803">
        <f t="shared" si="55"/>
        <v>0</v>
      </c>
      <c r="L45" s="803">
        <f t="shared" si="55"/>
        <v>0</v>
      </c>
      <c r="M45" s="3644"/>
      <c r="N45" s="3644"/>
      <c r="O45" s="704"/>
    </row>
    <row r="46" spans="1:17" ht="14.25" customHeight="1">
      <c r="A46" s="700"/>
      <c r="B46" s="804" t="s">
        <v>17</v>
      </c>
      <c r="C46" s="37"/>
      <c r="D46" s="803">
        <f t="shared" ref="D46:L46" si="56">+D123+D139+D63+D76+D359</f>
        <v>12271000</v>
      </c>
      <c r="E46" s="803">
        <f t="shared" si="56"/>
        <v>0</v>
      </c>
      <c r="F46" s="803">
        <f t="shared" si="56"/>
        <v>0</v>
      </c>
      <c r="G46" s="803">
        <f t="shared" si="56"/>
        <v>12271000</v>
      </c>
      <c r="H46" s="803">
        <f t="shared" si="56"/>
        <v>0</v>
      </c>
      <c r="I46" s="803">
        <f t="shared" si="56"/>
        <v>0</v>
      </c>
      <c r="J46" s="803">
        <f t="shared" si="56"/>
        <v>0</v>
      </c>
      <c r="K46" s="803">
        <f t="shared" si="56"/>
        <v>0</v>
      </c>
      <c r="L46" s="803">
        <f t="shared" si="56"/>
        <v>0</v>
      </c>
      <c r="M46" s="3644"/>
      <c r="N46" s="3644"/>
      <c r="O46" s="704"/>
    </row>
    <row r="47" spans="1:17" ht="14.25" hidden="1" customHeight="1">
      <c r="A47" s="700"/>
      <c r="B47" s="804" t="s">
        <v>25</v>
      </c>
      <c r="C47" s="37"/>
      <c r="D47" s="803"/>
      <c r="E47" s="803"/>
      <c r="F47" s="803"/>
      <c r="G47" s="803"/>
      <c r="H47" s="803"/>
      <c r="I47" s="803"/>
      <c r="J47" s="803"/>
      <c r="K47" s="803"/>
      <c r="L47" s="803"/>
      <c r="M47" s="3644"/>
      <c r="N47" s="3644"/>
      <c r="O47" s="704"/>
    </row>
    <row r="48" spans="1:17" ht="14.25" hidden="1" customHeight="1">
      <c r="A48" s="700"/>
      <c r="B48" s="804" t="s">
        <v>50</v>
      </c>
      <c r="C48" s="37"/>
      <c r="D48" s="803">
        <f>+D333+D346</f>
        <v>0</v>
      </c>
      <c r="E48" s="803">
        <f t="shared" ref="E48:L48" si="57">+E333+E346</f>
        <v>0</v>
      </c>
      <c r="F48" s="803">
        <f t="shared" si="57"/>
        <v>0</v>
      </c>
      <c r="G48" s="803">
        <f t="shared" si="57"/>
        <v>0</v>
      </c>
      <c r="H48" s="803">
        <f t="shared" si="57"/>
        <v>0</v>
      </c>
      <c r="I48" s="803">
        <f t="shared" si="57"/>
        <v>0</v>
      </c>
      <c r="J48" s="803">
        <f t="shared" si="57"/>
        <v>0</v>
      </c>
      <c r="K48" s="803">
        <f t="shared" si="57"/>
        <v>0</v>
      </c>
      <c r="L48" s="803">
        <f t="shared" si="57"/>
        <v>0</v>
      </c>
      <c r="M48" s="3644"/>
      <c r="N48" s="3644"/>
      <c r="O48" s="704"/>
    </row>
    <row r="49" spans="1:16" ht="10.5" customHeight="1">
      <c r="A49" s="700"/>
      <c r="B49" s="805" t="s">
        <v>18</v>
      </c>
      <c r="C49" s="2170"/>
      <c r="D49" s="806">
        <f t="shared" ref="D49:L49" si="58">+D50+D51</f>
        <v>774171426</v>
      </c>
      <c r="E49" s="806">
        <f t="shared" si="58"/>
        <v>25497315</v>
      </c>
      <c r="F49" s="806">
        <f t="shared" si="58"/>
        <v>177172577</v>
      </c>
      <c r="G49" s="806">
        <f t="shared" si="58"/>
        <v>251740133</v>
      </c>
      <c r="H49" s="806">
        <f t="shared" si="58"/>
        <v>144221576</v>
      </c>
      <c r="I49" s="806">
        <f t="shared" si="58"/>
        <v>116089825</v>
      </c>
      <c r="J49" s="806">
        <f t="shared" si="58"/>
        <v>59450000</v>
      </c>
      <c r="K49" s="806">
        <f t="shared" si="58"/>
        <v>0</v>
      </c>
      <c r="L49" s="806">
        <f t="shared" si="58"/>
        <v>0</v>
      </c>
      <c r="M49" s="3644"/>
      <c r="N49" s="3644"/>
      <c r="O49" s="704"/>
    </row>
    <row r="50" spans="1:16" ht="14.25" hidden="1" customHeight="1">
      <c r="A50" s="700"/>
      <c r="B50" s="804" t="s">
        <v>17</v>
      </c>
      <c r="C50" s="2167"/>
      <c r="D50" s="803">
        <f>+D126+D142+D65</f>
        <v>0</v>
      </c>
      <c r="E50" s="803">
        <f t="shared" ref="E50:L50" si="59">+E126+E142+E65</f>
        <v>0</v>
      </c>
      <c r="F50" s="803">
        <f t="shared" si="59"/>
        <v>0</v>
      </c>
      <c r="G50" s="803">
        <f t="shared" si="59"/>
        <v>0</v>
      </c>
      <c r="H50" s="803">
        <f t="shared" si="59"/>
        <v>0</v>
      </c>
      <c r="I50" s="803">
        <f t="shared" si="59"/>
        <v>0</v>
      </c>
      <c r="J50" s="803">
        <f t="shared" si="59"/>
        <v>0</v>
      </c>
      <c r="K50" s="803">
        <f t="shared" si="59"/>
        <v>0</v>
      </c>
      <c r="L50" s="803">
        <f t="shared" si="59"/>
        <v>0</v>
      </c>
      <c r="M50" s="3644"/>
      <c r="N50" s="3644"/>
      <c r="O50" s="704"/>
      <c r="P50" s="2389"/>
    </row>
    <row r="51" spans="1:16" ht="12.75" customHeight="1" thickBot="1">
      <c r="A51" s="708"/>
      <c r="B51" s="38" t="s">
        <v>20</v>
      </c>
      <c r="C51" s="39"/>
      <c r="D51" s="2171">
        <f>+D335+D155+D127+D349+D323+D361++D90+D143+D66+D102+D78+D111+D167+D179+D191+D203+D215+D227+D239+D251+D263+D275+D287+D299+D311</f>
        <v>774171426</v>
      </c>
      <c r="E51" s="2171">
        <f t="shared" ref="E51:L51" si="60">+E335+E155+E127+E349+E323+E361++E90+E143+E66+E102+E78+E111+E167+E179+E191+E203+E215+E227+E239+E251+E263+E275+E287+E299+E311</f>
        <v>25497315</v>
      </c>
      <c r="F51" s="2171">
        <f t="shared" si="60"/>
        <v>177172577</v>
      </c>
      <c r="G51" s="2171">
        <f t="shared" si="60"/>
        <v>251740133</v>
      </c>
      <c r="H51" s="2171">
        <f t="shared" si="60"/>
        <v>144221576</v>
      </c>
      <c r="I51" s="2171">
        <f t="shared" si="60"/>
        <v>116089825</v>
      </c>
      <c r="J51" s="2171">
        <f t="shared" si="60"/>
        <v>59450000</v>
      </c>
      <c r="K51" s="2171">
        <f t="shared" si="60"/>
        <v>0</v>
      </c>
      <c r="L51" s="2171">
        <f t="shared" si="60"/>
        <v>0</v>
      </c>
      <c r="M51" s="3645"/>
      <c r="N51" s="3645"/>
      <c r="O51" s="709"/>
      <c r="P51" s="2389"/>
    </row>
    <row r="52" spans="1:16" s="3379" customFormat="1" ht="17.25" customHeight="1" thickBot="1">
      <c r="A52" s="3138"/>
      <c r="B52" s="263" t="s">
        <v>478</v>
      </c>
      <c r="C52" s="396"/>
      <c r="D52" s="716"/>
      <c r="E52" s="1282"/>
      <c r="F52" s="717"/>
      <c r="G52" s="717"/>
      <c r="H52" s="717"/>
      <c r="I52" s="717"/>
      <c r="J52" s="717"/>
      <c r="K52" s="717"/>
      <c r="L52" s="717"/>
      <c r="M52" s="397"/>
      <c r="N52" s="397"/>
      <c r="O52" s="398"/>
    </row>
    <row r="53" spans="1:16" ht="23.25" hidden="1" customHeight="1">
      <c r="A53" s="3700"/>
      <c r="B53" s="372" t="s">
        <v>413</v>
      </c>
      <c r="C53" s="56" t="s">
        <v>73</v>
      </c>
      <c r="D53" s="57"/>
      <c r="E53" s="40"/>
      <c r="F53" s="42"/>
      <c r="G53" s="42"/>
      <c r="H53" s="42"/>
      <c r="I53" s="42"/>
      <c r="J53" s="42"/>
      <c r="K53" s="42"/>
      <c r="L53" s="42"/>
      <c r="M53" s="43"/>
      <c r="N53" s="43"/>
      <c r="O53" s="44" t="s">
        <v>74</v>
      </c>
    </row>
    <row r="54" spans="1:16" ht="13.5" hidden="1" thickBot="1">
      <c r="A54" s="3701"/>
      <c r="B54" s="539" t="s">
        <v>10</v>
      </c>
      <c r="C54" s="1356"/>
      <c r="D54" s="1370">
        <f t="shared" ref="D54" si="61">+D55+D58</f>
        <v>0</v>
      </c>
      <c r="E54" s="1370">
        <f>+E55+E58</f>
        <v>0</v>
      </c>
      <c r="F54" s="1370">
        <f>+F55+F58</f>
        <v>0</v>
      </c>
      <c r="G54" s="1370"/>
      <c r="H54" s="1370"/>
      <c r="I54" s="1370"/>
      <c r="J54" s="1370"/>
      <c r="K54" s="1370"/>
      <c r="L54" s="1370"/>
      <c r="M54" s="1358">
        <f>+M55+M58</f>
        <v>0</v>
      </c>
      <c r="N54" s="1358">
        <f>+N55+N58</f>
        <v>0</v>
      </c>
      <c r="O54" s="3618" t="s">
        <v>75</v>
      </c>
    </row>
    <row r="55" spans="1:16" ht="12" hidden="1" customHeight="1">
      <c r="A55" s="3701"/>
      <c r="B55" s="515" t="s">
        <v>23</v>
      </c>
      <c r="C55" s="3522" t="s">
        <v>76</v>
      </c>
      <c r="D55" s="1371">
        <f t="shared" ref="D55" si="62">+D56+D57</f>
        <v>0</v>
      </c>
      <c r="E55" s="1371">
        <f>+E56+E57</f>
        <v>0</v>
      </c>
      <c r="F55" s="1371">
        <f>+F56+F57</f>
        <v>0</v>
      </c>
      <c r="G55" s="1371"/>
      <c r="H55" s="1371"/>
      <c r="I55" s="1371"/>
      <c r="J55" s="1371"/>
      <c r="K55" s="1371"/>
      <c r="L55" s="1371"/>
      <c r="M55" s="1361">
        <f>+M56+M57</f>
        <v>0</v>
      </c>
      <c r="N55" s="1361">
        <f>+N56+N57</f>
        <v>0</v>
      </c>
      <c r="O55" s="3618"/>
    </row>
    <row r="56" spans="1:16" ht="12" hidden="1" customHeight="1">
      <c r="A56" s="3701"/>
      <c r="B56" s="814" t="s">
        <v>12</v>
      </c>
      <c r="C56" s="3566"/>
      <c r="D56" s="1288">
        <f>E56+F56+G56+H56+I56+J56+K56+L56</f>
        <v>0</v>
      </c>
      <c r="E56" s="1334"/>
      <c r="F56" s="1372"/>
      <c r="G56" s="1373"/>
      <c r="H56" s="1373"/>
      <c r="I56" s="1373"/>
      <c r="J56" s="1373"/>
      <c r="K56" s="1373"/>
      <c r="L56" s="1373"/>
      <c r="M56" s="1374">
        <f>SUM(F56:K56)</f>
        <v>0</v>
      </c>
      <c r="N56" s="1374">
        <f>SUM(G56:L56)</f>
        <v>0</v>
      </c>
      <c r="O56" s="3618"/>
    </row>
    <row r="57" spans="1:16" ht="12" hidden="1" customHeight="1">
      <c r="A57" s="3701"/>
      <c r="B57" s="1445" t="s">
        <v>17</v>
      </c>
      <c r="C57" s="3566"/>
      <c r="D57" s="1288">
        <f>E57+F57+G57+H57+I57+J57+K57+L57</f>
        <v>0</v>
      </c>
      <c r="E57" s="1334"/>
      <c r="F57" s="1373"/>
      <c r="G57" s="1373"/>
      <c r="H57" s="1373"/>
      <c r="I57" s="1373"/>
      <c r="J57" s="1373"/>
      <c r="K57" s="1373"/>
      <c r="L57" s="1373"/>
      <c r="M57" s="1374">
        <f>SUM(F57:K57)</f>
        <v>0</v>
      </c>
      <c r="N57" s="1374">
        <f>SUM(G57:L57)</f>
        <v>0</v>
      </c>
      <c r="O57" s="3618"/>
    </row>
    <row r="58" spans="1:16" ht="12" hidden="1" customHeight="1">
      <c r="A58" s="3701"/>
      <c r="B58" s="1395" t="s">
        <v>18</v>
      </c>
      <c r="C58" s="3566"/>
      <c r="D58" s="1360">
        <f>+D59+D60</f>
        <v>0</v>
      </c>
      <c r="E58" s="1360">
        <f t="shared" ref="E58" si="63">+E59+E60</f>
        <v>0</v>
      </c>
      <c r="F58" s="1360"/>
      <c r="G58" s="1360"/>
      <c r="H58" s="1360"/>
      <c r="I58" s="1360"/>
      <c r="J58" s="1360"/>
      <c r="K58" s="1360"/>
      <c r="L58" s="1360"/>
      <c r="M58" s="1361">
        <f>+M59+M60</f>
        <v>0</v>
      </c>
      <c r="N58" s="1361">
        <f>+N59+N60</f>
        <v>0</v>
      </c>
      <c r="O58" s="3618"/>
    </row>
    <row r="59" spans="1:16" ht="12" hidden="1" customHeight="1">
      <c r="A59" s="3701"/>
      <c r="B59" s="600" t="s">
        <v>17</v>
      </c>
      <c r="C59" s="3566"/>
      <c r="D59" s="1288">
        <f>E59+F59+G59+H59+I59+J59+K59+L59</f>
        <v>0</v>
      </c>
      <c r="E59" s="1369"/>
      <c r="F59" s="1373"/>
      <c r="G59" s="1373"/>
      <c r="H59" s="1373"/>
      <c r="I59" s="1373"/>
      <c r="J59" s="197"/>
      <c r="K59" s="197"/>
      <c r="L59" s="197"/>
      <c r="M59" s="67"/>
      <c r="N59" s="67"/>
      <c r="O59" s="3618"/>
    </row>
    <row r="60" spans="1:16" ht="12" hidden="1" customHeight="1">
      <c r="A60" s="3701"/>
      <c r="B60" s="600" t="s">
        <v>20</v>
      </c>
      <c r="C60" s="3658"/>
      <c r="D60" s="1288">
        <f>E60+F60+G60+H60+I60+J60+K60+L60</f>
        <v>0</v>
      </c>
      <c r="E60" s="1334"/>
      <c r="F60" s="1373"/>
      <c r="G60" s="1373"/>
      <c r="H60" s="1373"/>
      <c r="I60" s="1373"/>
      <c r="J60" s="1373"/>
      <c r="K60" s="1373"/>
      <c r="L60" s="1373"/>
      <c r="M60" s="1374">
        <f>SUM(F60:K60)</f>
        <v>0</v>
      </c>
      <c r="N60" s="1374">
        <f>SUM(G60:L60)</f>
        <v>0</v>
      </c>
      <c r="O60" s="3619"/>
    </row>
    <row r="61" spans="1:16" ht="13.5" hidden="1" thickBot="1">
      <c r="A61" s="3701"/>
      <c r="B61" s="80" t="s">
        <v>21</v>
      </c>
      <c r="C61" s="1356"/>
      <c r="D61" s="1357">
        <f t="shared" ref="D61" si="64">+D64+D62</f>
        <v>0</v>
      </c>
      <c r="E61" s="1357">
        <f>+E64+E62</f>
        <v>0</v>
      </c>
      <c r="F61" s="1357"/>
      <c r="G61" s="1357"/>
      <c r="H61" s="1357"/>
      <c r="I61" s="1357"/>
      <c r="J61" s="1658"/>
      <c r="K61" s="1658"/>
      <c r="L61" s="1658"/>
      <c r="M61" s="3519" t="s">
        <v>22</v>
      </c>
      <c r="N61" s="3519" t="s">
        <v>22</v>
      </c>
      <c r="O61" s="3583" t="s">
        <v>191</v>
      </c>
      <c r="P61" s="2389">
        <v>0</v>
      </c>
    </row>
    <row r="62" spans="1:16" ht="12" hidden="1" customHeight="1">
      <c r="A62" s="3701"/>
      <c r="B62" s="1364" t="s">
        <v>23</v>
      </c>
      <c r="C62" s="3522" t="s">
        <v>77</v>
      </c>
      <c r="D62" s="1360">
        <f t="shared" ref="D62:E62" si="65">+D63</f>
        <v>0</v>
      </c>
      <c r="E62" s="1360">
        <f t="shared" si="65"/>
        <v>0</v>
      </c>
      <c r="F62" s="1360"/>
      <c r="G62" s="1360"/>
      <c r="H62" s="1360"/>
      <c r="I62" s="1360"/>
      <c r="J62" s="1360"/>
      <c r="K62" s="1360"/>
      <c r="L62" s="1360"/>
      <c r="M62" s="3517"/>
      <c r="N62" s="3517"/>
      <c r="O62" s="3571"/>
    </row>
    <row r="63" spans="1:16" ht="12" hidden="1" customHeight="1">
      <c r="A63" s="3701"/>
      <c r="B63" s="1387" t="s">
        <v>17</v>
      </c>
      <c r="C63" s="3566"/>
      <c r="D63" s="1288">
        <f>E63+F63+G63+H63+I63+J63+K63+L63</f>
        <v>0</v>
      </c>
      <c r="E63" s="1334"/>
      <c r="F63" s="1377"/>
      <c r="G63" s="1377"/>
      <c r="H63" s="1377"/>
      <c r="I63" s="1360"/>
      <c r="J63" s="1360"/>
      <c r="K63" s="1360"/>
      <c r="L63" s="1360"/>
      <c r="M63" s="3517"/>
      <c r="N63" s="3517"/>
      <c r="O63" s="3571"/>
    </row>
    <row r="64" spans="1:16" ht="12" hidden="1" customHeight="1">
      <c r="A64" s="3701"/>
      <c r="B64" s="810" t="s">
        <v>18</v>
      </c>
      <c r="C64" s="3566"/>
      <c r="D64" s="1378">
        <f t="shared" ref="D64:E64" si="66">+D65+D66</f>
        <v>0</v>
      </c>
      <c r="E64" s="1378">
        <f t="shared" si="66"/>
        <v>0</v>
      </c>
      <c r="F64" s="1659"/>
      <c r="G64" s="1659"/>
      <c r="H64" s="1659"/>
      <c r="I64" s="1377"/>
      <c r="J64" s="1377"/>
      <c r="K64" s="1377"/>
      <c r="L64" s="1377"/>
      <c r="M64" s="3517"/>
      <c r="N64" s="3517"/>
      <c r="O64" s="3571"/>
    </row>
    <row r="65" spans="1:19" ht="12" hidden="1" customHeight="1">
      <c r="A65" s="3701"/>
      <c r="B65" s="600" t="s">
        <v>17</v>
      </c>
      <c r="C65" s="3566"/>
      <c r="D65" s="1288">
        <f>E65+F65+G65+H65+I65+J65+K65+L65</f>
        <v>0</v>
      </c>
      <c r="E65" s="1420"/>
      <c r="F65" s="1377"/>
      <c r="G65" s="1377"/>
      <c r="H65" s="1377"/>
      <c r="I65" s="1659"/>
      <c r="J65" s="1659"/>
      <c r="K65" s="1659"/>
      <c r="L65" s="1659"/>
      <c r="M65" s="3517"/>
      <c r="N65" s="3517"/>
      <c r="O65" s="3571"/>
    </row>
    <row r="66" spans="1:19" ht="10.5" hidden="1" customHeight="1" thickBot="1">
      <c r="A66" s="3702"/>
      <c r="B66" s="1183" t="s">
        <v>20</v>
      </c>
      <c r="C66" s="3567"/>
      <c r="D66" s="1455">
        <f>E66+F66+G66+H66+I66+J66+K66+L66</f>
        <v>0</v>
      </c>
      <c r="E66" s="1455"/>
      <c r="F66" s="1184"/>
      <c r="G66" s="1184"/>
      <c r="H66" s="1184"/>
      <c r="I66" s="1660"/>
      <c r="J66" s="1660"/>
      <c r="K66" s="1660"/>
      <c r="L66" s="1660"/>
      <c r="M66" s="3518"/>
      <c r="N66" s="3518"/>
      <c r="O66" s="3572"/>
    </row>
    <row r="67" spans="1:19" ht="25.5" hidden="1" customHeight="1">
      <c r="A67" s="3512"/>
      <c r="B67" s="72" t="s">
        <v>414</v>
      </c>
      <c r="C67" s="56" t="s">
        <v>73</v>
      </c>
      <c r="D67" s="57"/>
      <c r="E67" s="41"/>
      <c r="F67" s="40"/>
      <c r="G67" s="40"/>
      <c r="H67" s="227"/>
      <c r="I67" s="41"/>
      <c r="J67" s="227"/>
      <c r="K67" s="227"/>
      <c r="L67" s="227"/>
      <c r="M67" s="60"/>
      <c r="N67" s="60"/>
      <c r="O67" s="44" t="s">
        <v>74</v>
      </c>
      <c r="S67" s="3380"/>
    </row>
    <row r="68" spans="1:19" ht="13.5" hidden="1" customHeight="1">
      <c r="A68" s="3513"/>
      <c r="B68" s="78" t="s">
        <v>10</v>
      </c>
      <c r="C68" s="22"/>
      <c r="D68" s="61">
        <f>+D69+D72</f>
        <v>0</v>
      </c>
      <c r="E68" s="61">
        <f>+E69+E72</f>
        <v>0</v>
      </c>
      <c r="F68" s="61">
        <f>+F69+F72</f>
        <v>0</v>
      </c>
      <c r="G68" s="61"/>
      <c r="H68" s="61"/>
      <c r="I68" s="61"/>
      <c r="J68" s="61"/>
      <c r="K68" s="61"/>
      <c r="L68" s="61"/>
      <c r="M68" s="63">
        <f>+M69+M72</f>
        <v>0</v>
      </c>
      <c r="N68" s="63">
        <f>+N69+N72</f>
        <v>0</v>
      </c>
      <c r="O68" s="3618" t="s">
        <v>75</v>
      </c>
      <c r="P68" s="2389"/>
      <c r="Q68" s="2389"/>
      <c r="R68" s="2389"/>
      <c r="S68" s="2389"/>
    </row>
    <row r="69" spans="1:19" ht="12" hidden="1" customHeight="1">
      <c r="A69" s="3513"/>
      <c r="B69" s="220" t="s">
        <v>23</v>
      </c>
      <c r="C69" s="3543" t="s">
        <v>76</v>
      </c>
      <c r="D69" s="64">
        <f>+D70+D71</f>
        <v>0</v>
      </c>
      <c r="E69" s="64">
        <f>+E70+E71</f>
        <v>0</v>
      </c>
      <c r="F69" s="64">
        <f>+F70+F71</f>
        <v>0</v>
      </c>
      <c r="G69" s="64"/>
      <c r="H69" s="64"/>
      <c r="I69" s="64"/>
      <c r="J69" s="64"/>
      <c r="K69" s="64"/>
      <c r="L69" s="64"/>
      <c r="M69" s="65">
        <f>+M70+M71</f>
        <v>0</v>
      </c>
      <c r="N69" s="65">
        <f>+N70+N71</f>
        <v>0</v>
      </c>
      <c r="O69" s="3618"/>
    </row>
    <row r="70" spans="1:19" ht="12" hidden="1" customHeight="1">
      <c r="A70" s="3513"/>
      <c r="B70" s="382" t="s">
        <v>12</v>
      </c>
      <c r="C70" s="3566"/>
      <c r="D70" s="236">
        <f>E70+F70+G70+H70+I70+J70+K70+L70</f>
        <v>0</v>
      </c>
      <c r="E70" s="266"/>
      <c r="F70" s="84"/>
      <c r="G70" s="46"/>
      <c r="H70" s="46"/>
      <c r="I70" s="46"/>
      <c r="J70" s="46"/>
      <c r="K70" s="46"/>
      <c r="L70" s="46"/>
      <c r="M70" s="808">
        <f>SUM(F70:K70)</f>
        <v>0</v>
      </c>
      <c r="N70" s="808">
        <f>SUM(G70:L70)</f>
        <v>0</v>
      </c>
      <c r="O70" s="3618"/>
    </row>
    <row r="71" spans="1:19" ht="12" hidden="1" customHeight="1">
      <c r="A71" s="3513"/>
      <c r="B71" s="382" t="s">
        <v>17</v>
      </c>
      <c r="C71" s="3566"/>
      <c r="D71" s="236">
        <f>E71+F71+G71+H71+I71+J71+K71+L71</f>
        <v>0</v>
      </c>
      <c r="E71" s="266"/>
      <c r="F71" s="46"/>
      <c r="G71" s="46"/>
      <c r="H71" s="46"/>
      <c r="I71" s="46"/>
      <c r="J71" s="46"/>
      <c r="K71" s="46"/>
      <c r="L71" s="46"/>
      <c r="M71" s="808">
        <f>SUM(F71:K71)</f>
        <v>0</v>
      </c>
      <c r="N71" s="808">
        <f>SUM(G71:L71)</f>
        <v>0</v>
      </c>
      <c r="O71" s="3618"/>
    </row>
    <row r="72" spans="1:19" ht="12" hidden="1" customHeight="1">
      <c r="A72" s="3513"/>
      <c r="B72" s="711" t="s">
        <v>18</v>
      </c>
      <c r="C72" s="3566"/>
      <c r="D72" s="47">
        <f>+D73</f>
        <v>0</v>
      </c>
      <c r="E72" s="47">
        <f t="shared" ref="E72" si="67">+E73</f>
        <v>0</v>
      </c>
      <c r="F72" s="47"/>
      <c r="G72" s="47"/>
      <c r="H72" s="47"/>
      <c r="I72" s="47"/>
      <c r="J72" s="47"/>
      <c r="K72" s="47"/>
      <c r="L72" s="47"/>
      <c r="M72" s="65">
        <f>+M73</f>
        <v>0</v>
      </c>
      <c r="N72" s="65">
        <f>+N73</f>
        <v>0</v>
      </c>
      <c r="O72" s="3618"/>
    </row>
    <row r="73" spans="1:19" ht="12" hidden="1" customHeight="1">
      <c r="A73" s="3513"/>
      <c r="B73" s="382" t="s">
        <v>20</v>
      </c>
      <c r="C73" s="248"/>
      <c r="D73" s="1182">
        <f>E73+F73+G73+H73+I73+J73+K73+L73</f>
        <v>0</v>
      </c>
      <c r="E73" s="266"/>
      <c r="F73" s="46"/>
      <c r="G73" s="46"/>
      <c r="H73" s="46"/>
      <c r="I73" s="46"/>
      <c r="J73" s="46"/>
      <c r="K73" s="46"/>
      <c r="L73" s="46"/>
      <c r="M73" s="808">
        <f>SUM(F73:K73)</f>
        <v>0</v>
      </c>
      <c r="N73" s="808">
        <f>SUM(G73:L73)</f>
        <v>0</v>
      </c>
      <c r="O73" s="3619"/>
    </row>
    <row r="74" spans="1:19" ht="12" hidden="1" customHeight="1">
      <c r="A74" s="3513"/>
      <c r="B74" s="182" t="s">
        <v>21</v>
      </c>
      <c r="C74" s="88"/>
      <c r="D74" s="97">
        <f t="shared" ref="D74" si="68">+D77+D75</f>
        <v>0</v>
      </c>
      <c r="E74" s="97">
        <f>+E77+E75</f>
        <v>0</v>
      </c>
      <c r="F74" s="97"/>
      <c r="G74" s="97"/>
      <c r="H74" s="97"/>
      <c r="I74" s="97"/>
      <c r="J74" s="97"/>
      <c r="K74" s="97"/>
      <c r="L74" s="97"/>
      <c r="M74" s="3517" t="s">
        <v>22</v>
      </c>
      <c r="N74" s="3517" t="s">
        <v>22</v>
      </c>
      <c r="O74" s="3698" t="s">
        <v>191</v>
      </c>
      <c r="P74" s="2389"/>
    </row>
    <row r="75" spans="1:19" ht="12" hidden="1" customHeight="1">
      <c r="A75" s="3513"/>
      <c r="B75" s="710" t="s">
        <v>23</v>
      </c>
      <c r="C75" s="3543" t="s">
        <v>77</v>
      </c>
      <c r="D75" s="47">
        <f t="shared" ref="D75:E75" si="69">+D76</f>
        <v>0</v>
      </c>
      <c r="E75" s="47">
        <f t="shared" si="69"/>
        <v>0</v>
      </c>
      <c r="F75" s="47"/>
      <c r="G75" s="47"/>
      <c r="H75" s="47"/>
      <c r="I75" s="47"/>
      <c r="J75" s="47"/>
      <c r="K75" s="47"/>
      <c r="L75" s="47"/>
      <c r="M75" s="3517"/>
      <c r="N75" s="3517"/>
      <c r="O75" s="3618"/>
    </row>
    <row r="76" spans="1:19" ht="12" hidden="1" customHeight="1">
      <c r="A76" s="3513"/>
      <c r="B76" s="627" t="s">
        <v>17</v>
      </c>
      <c r="C76" s="3566"/>
      <c r="D76" s="236">
        <f>E76+F76+G76+H76+I76+J76+K76+L76</f>
        <v>0</v>
      </c>
      <c r="E76" s="266"/>
      <c r="F76" s="52"/>
      <c r="G76" s="52"/>
      <c r="H76" s="52"/>
      <c r="I76" s="52"/>
      <c r="J76" s="52"/>
      <c r="K76" s="52"/>
      <c r="L76" s="52"/>
      <c r="M76" s="3517"/>
      <c r="N76" s="3517"/>
      <c r="O76" s="3618"/>
    </row>
    <row r="77" spans="1:19" ht="12" hidden="1" customHeight="1">
      <c r="A77" s="3513"/>
      <c r="B77" s="711" t="s">
        <v>18</v>
      </c>
      <c r="C77" s="3566"/>
      <c r="D77" s="626">
        <f>+D78</f>
        <v>0</v>
      </c>
      <c r="E77" s="626">
        <f t="shared" ref="E77" si="70">+E78</f>
        <v>0</v>
      </c>
      <c r="F77" s="626"/>
      <c r="G77" s="626"/>
      <c r="H77" s="626"/>
      <c r="I77" s="626"/>
      <c r="J77" s="626"/>
      <c r="K77" s="626"/>
      <c r="L77" s="626"/>
      <c r="M77" s="3517"/>
      <c r="N77" s="3517"/>
      <c r="O77" s="3618"/>
    </row>
    <row r="78" spans="1:19" ht="12" hidden="1" customHeight="1" thickBot="1">
      <c r="A78" s="3579"/>
      <c r="B78" s="74" t="s">
        <v>20</v>
      </c>
      <c r="C78" s="3567"/>
      <c r="D78" s="236">
        <f>E78+F78+G78+H78+I78+J78+K78+L78</f>
        <v>0</v>
      </c>
      <c r="E78" s="266"/>
      <c r="F78" s="86"/>
      <c r="G78" s="86"/>
      <c r="H78" s="86"/>
      <c r="I78" s="86"/>
      <c r="J78" s="86"/>
      <c r="K78" s="86"/>
      <c r="L78" s="86"/>
      <c r="M78" s="3518"/>
      <c r="N78" s="3518"/>
      <c r="O78" s="3699"/>
    </row>
    <row r="79" spans="1:19" ht="23.25" customHeight="1">
      <c r="A79" s="3512" t="s">
        <v>55</v>
      </c>
      <c r="B79" s="3381" t="s">
        <v>561</v>
      </c>
      <c r="C79" s="56" t="s">
        <v>73</v>
      </c>
      <c r="D79" s="1081"/>
      <c r="E79" s="2760"/>
      <c r="F79" s="2760"/>
      <c r="G79" s="2760"/>
      <c r="H79" s="2760"/>
      <c r="I79" s="2760"/>
      <c r="J79" s="2760"/>
      <c r="K79" s="2760"/>
      <c r="L79" s="2761"/>
      <c r="M79" s="43"/>
      <c r="N79" s="43"/>
      <c r="O79" s="87"/>
    </row>
    <row r="80" spans="1:19">
      <c r="A80" s="3513"/>
      <c r="B80" s="827" t="s">
        <v>10</v>
      </c>
      <c r="C80" s="433"/>
      <c r="D80" s="807">
        <f>+D81+D84</f>
        <v>21340776</v>
      </c>
      <c r="E80" s="807">
        <f>+E81+E84</f>
        <v>21203332</v>
      </c>
      <c r="F80" s="807">
        <f>+F81+F84</f>
        <v>110369</v>
      </c>
      <c r="G80" s="807">
        <f>+G81+G84</f>
        <v>27075</v>
      </c>
      <c r="H80" s="807"/>
      <c r="I80" s="807"/>
      <c r="J80" s="807"/>
      <c r="K80" s="807"/>
      <c r="L80" s="807"/>
      <c r="M80" s="1878">
        <f>+M81+M84</f>
        <v>137444</v>
      </c>
      <c r="N80" s="1878">
        <f>+N81+N84</f>
        <v>27075</v>
      </c>
      <c r="O80" s="3618" t="s">
        <v>78</v>
      </c>
      <c r="P80" s="2389"/>
    </row>
    <row r="81" spans="1:16" ht="12.75" customHeight="1">
      <c r="A81" s="3513"/>
      <c r="B81" s="515" t="s">
        <v>23</v>
      </c>
      <c r="C81" s="3560" t="s">
        <v>76</v>
      </c>
      <c r="D81" s="1092">
        <f>+D82+D83</f>
        <v>8880242</v>
      </c>
      <c r="E81" s="1092">
        <f>+E82+E83</f>
        <v>8742798</v>
      </c>
      <c r="F81" s="1092">
        <f>+F82+F83</f>
        <v>110369</v>
      </c>
      <c r="G81" s="1092">
        <f>+G82+G83</f>
        <v>27075</v>
      </c>
      <c r="H81" s="1092"/>
      <c r="I81" s="1092"/>
      <c r="J81" s="1092"/>
      <c r="K81" s="1092"/>
      <c r="L81" s="1092"/>
      <c r="M81" s="522">
        <f>M82</f>
        <v>137444</v>
      </c>
      <c r="N81" s="522">
        <f>N82</f>
        <v>27075</v>
      </c>
      <c r="O81" s="3618"/>
      <c r="P81" s="2389"/>
    </row>
    <row r="82" spans="1:16" ht="10.5" customHeight="1">
      <c r="A82" s="3513"/>
      <c r="B82" s="600" t="s">
        <v>12</v>
      </c>
      <c r="C82" s="3566"/>
      <c r="D82" s="785">
        <f>E82+F82+G82+H82+I82+J82+K82+L82</f>
        <v>1390378</v>
      </c>
      <c r="E82" s="800">
        <f>1252934</f>
        <v>1252934</v>
      </c>
      <c r="F82" s="1894">
        <f>89000+111000-62631-27000</f>
        <v>110369</v>
      </c>
      <c r="G82" s="1894">
        <f>27000+100-25</f>
        <v>27075</v>
      </c>
      <c r="H82" s="589"/>
      <c r="I82" s="589"/>
      <c r="J82" s="589"/>
      <c r="K82" s="589"/>
      <c r="L82" s="589"/>
      <c r="M82" s="808">
        <f>SUM(F82:K82)</f>
        <v>137444</v>
      </c>
      <c r="N82" s="808">
        <f>SUM(G82:L82)</f>
        <v>27075</v>
      </c>
      <c r="O82" s="3618"/>
    </row>
    <row r="83" spans="1:16" ht="12" customHeight="1">
      <c r="A83" s="3513"/>
      <c r="B83" s="90" t="s">
        <v>15</v>
      </c>
      <c r="C83" s="3566"/>
      <c r="D83" s="785">
        <f>E83+F83+G83+H83+I83+J83+K83+L83</f>
        <v>7489864</v>
      </c>
      <c r="E83" s="800">
        <f>7489864</f>
        <v>7489864</v>
      </c>
      <c r="F83" s="1894"/>
      <c r="G83" s="589"/>
      <c r="H83" s="589"/>
      <c r="I83" s="589"/>
      <c r="J83" s="589"/>
      <c r="K83" s="589"/>
      <c r="L83" s="589"/>
      <c r="M83" s="808">
        <f>SUM(F83:K83)</f>
        <v>0</v>
      </c>
      <c r="N83" s="2656">
        <f>SUM(G83:L83)</f>
        <v>0</v>
      </c>
      <c r="O83" s="3655"/>
    </row>
    <row r="84" spans="1:16" ht="12" customHeight="1">
      <c r="A84" s="3513"/>
      <c r="B84" s="810" t="s">
        <v>18</v>
      </c>
      <c r="C84" s="3566"/>
      <c r="D84" s="523">
        <f>+D85</f>
        <v>12460534</v>
      </c>
      <c r="E84" s="1886">
        <f>+E85</f>
        <v>12460534</v>
      </c>
      <c r="F84" s="1886"/>
      <c r="G84" s="1886"/>
      <c r="H84" s="523"/>
      <c r="I84" s="523"/>
      <c r="J84" s="523"/>
      <c r="K84" s="523"/>
      <c r="L84" s="523"/>
      <c r="M84" s="522">
        <f>+M85</f>
        <v>0</v>
      </c>
      <c r="N84" s="2646">
        <f>+N85</f>
        <v>0</v>
      </c>
      <c r="O84" s="3656"/>
    </row>
    <row r="85" spans="1:16" ht="11.25" customHeight="1">
      <c r="A85" s="3513"/>
      <c r="B85" s="600" t="s">
        <v>20</v>
      </c>
      <c r="C85" s="3658"/>
      <c r="D85" s="1891">
        <f>E85+F85+G85+H85+I85+J85+K85+L85</f>
        <v>12460534</v>
      </c>
      <c r="E85" s="800">
        <f>12460534</f>
        <v>12460534</v>
      </c>
      <c r="F85" s="589"/>
      <c r="G85" s="589"/>
      <c r="H85" s="589"/>
      <c r="I85" s="589"/>
      <c r="J85" s="589"/>
      <c r="K85" s="589"/>
      <c r="L85" s="589"/>
      <c r="M85" s="808">
        <f>SUM(F85:K85)</f>
        <v>0</v>
      </c>
      <c r="N85" s="2656">
        <f>SUM(G85:L85)</f>
        <v>0</v>
      </c>
      <c r="O85" s="3657"/>
    </row>
    <row r="86" spans="1:16">
      <c r="A86" s="3514"/>
      <c r="B86" s="80" t="s">
        <v>21</v>
      </c>
      <c r="C86" s="88"/>
      <c r="D86" s="97">
        <f>+D87+D89</f>
        <v>19950398</v>
      </c>
      <c r="E86" s="97">
        <f>+E87+E89</f>
        <v>19950398</v>
      </c>
      <c r="F86" s="97"/>
      <c r="G86" s="97"/>
      <c r="H86" s="97"/>
      <c r="I86" s="97"/>
      <c r="J86" s="97"/>
      <c r="K86" s="97"/>
      <c r="L86" s="97"/>
      <c r="M86" s="3685" t="s">
        <v>22</v>
      </c>
      <c r="N86" s="3682" t="s">
        <v>22</v>
      </c>
      <c r="O86" s="3659" t="s">
        <v>93</v>
      </c>
      <c r="P86" s="2389"/>
    </row>
    <row r="87" spans="1:16" ht="13.5" customHeight="1">
      <c r="A87" s="3514"/>
      <c r="B87" s="812" t="s">
        <v>23</v>
      </c>
      <c r="C87" s="3560" t="s">
        <v>77</v>
      </c>
      <c r="D87" s="50">
        <f>+D88</f>
        <v>7489864</v>
      </c>
      <c r="E87" s="50">
        <f t="shared" ref="E87" si="71">+E88</f>
        <v>7489864</v>
      </c>
      <c r="F87" s="50"/>
      <c r="G87" s="50"/>
      <c r="H87" s="50"/>
      <c r="I87" s="50"/>
      <c r="J87" s="50"/>
      <c r="K87" s="50"/>
      <c r="L87" s="50"/>
      <c r="M87" s="3686"/>
      <c r="N87" s="3683"/>
      <c r="O87" s="3660"/>
    </row>
    <row r="88" spans="1:16" ht="11.25" customHeight="1">
      <c r="A88" s="3514"/>
      <c r="B88" s="90" t="s">
        <v>15</v>
      </c>
      <c r="C88" s="3566"/>
      <c r="D88" s="785">
        <f>E88+F88+G88+H88+I88+J88+K88+L88</f>
        <v>7489864</v>
      </c>
      <c r="E88" s="800">
        <f>7489864</f>
        <v>7489864</v>
      </c>
      <c r="F88" s="1884"/>
      <c r="G88" s="1884"/>
      <c r="H88" s="1884"/>
      <c r="I88" s="1884"/>
      <c r="J88" s="1884"/>
      <c r="K88" s="1884"/>
      <c r="L88" s="1884"/>
      <c r="M88" s="3686"/>
      <c r="N88" s="3683"/>
      <c r="O88" s="3660"/>
    </row>
    <row r="89" spans="1:16" s="3379" customFormat="1" ht="12.75" customHeight="1" thickBot="1">
      <c r="A89" s="3514"/>
      <c r="B89" s="810" t="s">
        <v>18</v>
      </c>
      <c r="C89" s="3566"/>
      <c r="D89" s="726">
        <f t="shared" ref="D89:E89" si="72">+D90</f>
        <v>12460534</v>
      </c>
      <c r="E89" s="1888">
        <f t="shared" si="72"/>
        <v>12460534</v>
      </c>
      <c r="F89" s="1888"/>
      <c r="G89" s="1888"/>
      <c r="H89" s="1888"/>
      <c r="I89" s="1888"/>
      <c r="J89" s="1888"/>
      <c r="K89" s="1888"/>
      <c r="L89" s="1888"/>
      <c r="M89" s="3686"/>
      <c r="N89" s="3683"/>
      <c r="O89" s="3661"/>
    </row>
    <row r="90" spans="1:16" ht="12.75" customHeight="1" thickBot="1">
      <c r="A90" s="3514"/>
      <c r="B90" s="74" t="s">
        <v>20</v>
      </c>
      <c r="C90" s="3567"/>
      <c r="D90" s="1742">
        <f>E90+F90+G90+H90+I90+J90+K90+L90</f>
        <v>12460534</v>
      </c>
      <c r="E90" s="1742">
        <f>12460534</f>
        <v>12460534</v>
      </c>
      <c r="F90" s="55"/>
      <c r="G90" s="55"/>
      <c r="H90" s="55"/>
      <c r="I90" s="55"/>
      <c r="J90" s="55"/>
      <c r="K90" s="55"/>
      <c r="L90" s="55"/>
      <c r="M90" s="3687"/>
      <c r="N90" s="3684"/>
      <c r="O90" s="3662"/>
    </row>
    <row r="91" spans="1:16" ht="27.75" hidden="1" customHeight="1">
      <c r="A91" s="3513"/>
      <c r="B91" s="372" t="s">
        <v>415</v>
      </c>
      <c r="C91" s="56" t="s">
        <v>73</v>
      </c>
      <c r="D91" s="713"/>
      <c r="E91" s="92"/>
      <c r="F91" s="93"/>
      <c r="G91" s="93"/>
      <c r="H91" s="93"/>
      <c r="I91" s="93"/>
      <c r="J91" s="93"/>
      <c r="K91" s="93"/>
      <c r="L91" s="93"/>
      <c r="M91" s="43"/>
      <c r="N91" s="43"/>
      <c r="O91" s="2666"/>
      <c r="P91" s="2389"/>
    </row>
    <row r="92" spans="1:16" ht="12" hidden="1" customHeight="1">
      <c r="A92" s="3513"/>
      <c r="B92" s="417" t="s">
        <v>10</v>
      </c>
      <c r="C92" s="1356"/>
      <c r="D92" s="1370">
        <f>+D93+D96</f>
        <v>0</v>
      </c>
      <c r="E92" s="1370">
        <f>+E93+E96</f>
        <v>0</v>
      </c>
      <c r="F92" s="1370">
        <f>+F93+F96</f>
        <v>0</v>
      </c>
      <c r="G92" s="1370"/>
      <c r="H92" s="1370"/>
      <c r="I92" s="1370"/>
      <c r="J92" s="1370"/>
      <c r="K92" s="1370"/>
      <c r="L92" s="1370"/>
      <c r="M92" s="1358">
        <f>+M93+M96</f>
        <v>0</v>
      </c>
      <c r="N92" s="2648">
        <f>+N93+N96</f>
        <v>0</v>
      </c>
      <c r="O92" s="3670" t="s">
        <v>78</v>
      </c>
    </row>
    <row r="93" spans="1:16" ht="13.5" hidden="1" customHeight="1">
      <c r="A93" s="3579"/>
      <c r="B93" s="545" t="s">
        <v>23</v>
      </c>
      <c r="C93" s="3522" t="s">
        <v>76</v>
      </c>
      <c r="D93" s="1371">
        <f>+D94+D95</f>
        <v>0</v>
      </c>
      <c r="E93" s="1371">
        <f>+E94+E95</f>
        <v>0</v>
      </c>
      <c r="F93" s="1371">
        <f>+F94+F95</f>
        <v>0</v>
      </c>
      <c r="G93" s="1371"/>
      <c r="H93" s="1371"/>
      <c r="I93" s="1371"/>
      <c r="J93" s="1371"/>
      <c r="K93" s="1371"/>
      <c r="L93" s="1371"/>
      <c r="M93" s="1361">
        <f>+M94+M95</f>
        <v>0</v>
      </c>
      <c r="N93" s="230">
        <f>+N94+N95</f>
        <v>0</v>
      </c>
      <c r="O93" s="3671"/>
      <c r="P93" s="2389"/>
    </row>
    <row r="94" spans="1:16" ht="11.25" hidden="1" customHeight="1">
      <c r="A94" s="3593"/>
      <c r="B94" s="600" t="s">
        <v>12</v>
      </c>
      <c r="C94" s="3595"/>
      <c r="D94" s="1288">
        <f>E94+F94+G94+H94+I94+J94+K94+L94</f>
        <v>0</v>
      </c>
      <c r="E94" s="1334"/>
      <c r="F94" s="1372"/>
      <c r="G94" s="1373"/>
      <c r="H94" s="1373"/>
      <c r="I94" s="1373"/>
      <c r="J94" s="1373"/>
      <c r="K94" s="1373"/>
      <c r="L94" s="1373"/>
      <c r="M94" s="808">
        <f>SUM(F94:K94)</f>
        <v>0</v>
      </c>
      <c r="N94" s="2505">
        <f>SUM(G94:L94)</f>
        <v>0</v>
      </c>
      <c r="O94" s="3672"/>
      <c r="P94" s="2389"/>
    </row>
    <row r="95" spans="1:16" ht="11.25" hidden="1" customHeight="1">
      <c r="A95" s="3593"/>
      <c r="B95" s="600" t="s">
        <v>15</v>
      </c>
      <c r="C95" s="3595"/>
      <c r="D95" s="1288">
        <f>E95+F95+G95+H95+I95+J95+K95+L95</f>
        <v>0</v>
      </c>
      <c r="E95" s="1334"/>
      <c r="F95" s="1373"/>
      <c r="G95" s="1373"/>
      <c r="H95" s="1373"/>
      <c r="I95" s="1373"/>
      <c r="J95" s="1373"/>
      <c r="K95" s="1373"/>
      <c r="L95" s="1373"/>
      <c r="M95" s="808">
        <f>SUM(F95:K95)</f>
        <v>0</v>
      </c>
      <c r="N95" s="2505">
        <f>SUM(G95:L95)</f>
        <v>0</v>
      </c>
      <c r="O95" s="3672"/>
      <c r="P95" s="2389"/>
    </row>
    <row r="96" spans="1:16" ht="11.25" hidden="1" customHeight="1">
      <c r="A96" s="3593"/>
      <c r="B96" s="547" t="s">
        <v>18</v>
      </c>
      <c r="C96" s="3595"/>
      <c r="D96" s="1360">
        <f>+D97</f>
        <v>0</v>
      </c>
      <c r="E96" s="1360">
        <f t="shared" ref="E96" si="73">+E97</f>
        <v>0</v>
      </c>
      <c r="F96" s="1360"/>
      <c r="G96" s="1360"/>
      <c r="H96" s="1360"/>
      <c r="I96" s="1360"/>
      <c r="J96" s="1360"/>
      <c r="K96" s="1360"/>
      <c r="L96" s="1360"/>
      <c r="M96" s="1361">
        <f>+M97</f>
        <v>0</v>
      </c>
      <c r="N96" s="230">
        <f>+N97</f>
        <v>0</v>
      </c>
      <c r="O96" s="3670"/>
    </row>
    <row r="97" spans="1:16" ht="11.25" hidden="1" customHeight="1">
      <c r="A97" s="3593"/>
      <c r="B97" s="1375" t="s">
        <v>20</v>
      </c>
      <c r="C97" s="3596"/>
      <c r="D97" s="1288">
        <f>E97+F97+G97+H97+I97+J97+K97+L97</f>
        <v>0</v>
      </c>
      <c r="E97" s="1334"/>
      <c r="F97" s="1363"/>
      <c r="G97" s="1363"/>
      <c r="H97" s="1363"/>
      <c r="I97" s="1363"/>
      <c r="J97" s="1363"/>
      <c r="K97" s="1363"/>
      <c r="L97" s="1363"/>
      <c r="M97" s="808">
        <f>SUM(F97:K97)</f>
        <v>0</v>
      </c>
      <c r="N97" s="2656">
        <f>SUM(G97:L97)</f>
        <v>0</v>
      </c>
      <c r="O97" s="3671"/>
    </row>
    <row r="98" spans="1:16" ht="11.25" hidden="1" customHeight="1">
      <c r="A98" s="3669"/>
      <c r="B98" s="2131" t="s">
        <v>21</v>
      </c>
      <c r="C98" s="2603"/>
      <c r="D98" s="1357">
        <f>+D101+D99</f>
        <v>0</v>
      </c>
      <c r="E98" s="1357">
        <f>+E101+E99</f>
        <v>0</v>
      </c>
      <c r="F98" s="1357"/>
      <c r="G98" s="1357"/>
      <c r="H98" s="1357"/>
      <c r="I98" s="1357"/>
      <c r="J98" s="1357"/>
      <c r="K98" s="1357"/>
      <c r="L98" s="1357"/>
      <c r="M98" s="3688" t="s">
        <v>22</v>
      </c>
      <c r="N98" s="3678" t="s">
        <v>22</v>
      </c>
      <c r="O98" s="3673" t="s">
        <v>93</v>
      </c>
    </row>
    <row r="99" spans="1:16" ht="13.5" hidden="1" customHeight="1">
      <c r="A99" s="3515"/>
      <c r="B99" s="1376" t="s">
        <v>23</v>
      </c>
      <c r="C99" s="3522" t="s">
        <v>77</v>
      </c>
      <c r="D99" s="50">
        <f>+D100</f>
        <v>0</v>
      </c>
      <c r="E99" s="50">
        <f t="shared" ref="E99" si="74">+E100</f>
        <v>0</v>
      </c>
      <c r="F99" s="50"/>
      <c r="G99" s="50"/>
      <c r="H99" s="50"/>
      <c r="I99" s="50"/>
      <c r="J99" s="50"/>
      <c r="K99" s="50"/>
      <c r="L99" s="50"/>
      <c r="M99" s="3689"/>
      <c r="N99" s="3679"/>
      <c r="O99" s="3661"/>
    </row>
    <row r="100" spans="1:16" ht="11.25" hidden="1" customHeight="1">
      <c r="A100" s="3594"/>
      <c r="B100" s="90" t="s">
        <v>15</v>
      </c>
      <c r="C100" s="3567"/>
      <c r="D100" s="1334">
        <f>E100+F100+G100+H100+I100+J100+K100+L100</f>
        <v>0</v>
      </c>
      <c r="E100" s="1334"/>
      <c r="F100" s="1939"/>
      <c r="G100" s="1939"/>
      <c r="H100" s="1939"/>
      <c r="I100" s="1939"/>
      <c r="J100" s="1939"/>
      <c r="K100" s="1939"/>
      <c r="L100" s="1939"/>
      <c r="M100" s="3690"/>
      <c r="N100" s="3679"/>
      <c r="O100" s="3674"/>
    </row>
    <row r="101" spans="1:16" s="3379" customFormat="1" ht="13.5" hidden="1" thickBot="1">
      <c r="A101" s="3594"/>
      <c r="B101" s="2608" t="s">
        <v>18</v>
      </c>
      <c r="C101" s="3677"/>
      <c r="D101" s="2618">
        <f>+D102</f>
        <v>0</v>
      </c>
      <c r="E101" s="2618">
        <f t="shared" ref="E101" si="75">+E102</f>
        <v>0</v>
      </c>
      <c r="F101" s="2618"/>
      <c r="G101" s="2618"/>
      <c r="H101" s="2618"/>
      <c r="I101" s="2618"/>
      <c r="J101" s="2618"/>
      <c r="K101" s="2618"/>
      <c r="L101" s="2618"/>
      <c r="M101" s="3691"/>
      <c r="N101" s="3680"/>
      <c r="O101" s="3675"/>
    </row>
    <row r="102" spans="1:16" ht="13.5" hidden="1" thickBot="1">
      <c r="A102" s="3514"/>
      <c r="B102" s="2552" t="s">
        <v>20</v>
      </c>
      <c r="C102" s="3566"/>
      <c r="D102" s="837">
        <f>E102+F102+G102+H102+I102+J102+K102+L102</f>
        <v>0</v>
      </c>
      <c r="E102" s="837"/>
      <c r="F102" s="1915"/>
      <c r="G102" s="1915"/>
      <c r="H102" s="1915"/>
      <c r="I102" s="1915"/>
      <c r="J102" s="1915"/>
      <c r="K102" s="1915"/>
      <c r="L102" s="1915"/>
      <c r="M102" s="3689"/>
      <c r="N102" s="3681"/>
      <c r="O102" s="3676"/>
    </row>
    <row r="103" spans="1:16" ht="26.25" hidden="1" customHeight="1">
      <c r="A103" s="3663"/>
      <c r="B103" s="2583" t="s">
        <v>416</v>
      </c>
      <c r="C103" s="2584" t="s">
        <v>73</v>
      </c>
      <c r="D103" s="2585"/>
      <c r="E103" s="2586"/>
      <c r="F103" s="2586"/>
      <c r="G103" s="2586"/>
      <c r="H103" s="2586"/>
      <c r="I103" s="2586"/>
      <c r="J103" s="2586"/>
      <c r="K103" s="2586"/>
      <c r="L103" s="2586"/>
      <c r="M103" s="2587"/>
      <c r="N103" s="2587"/>
      <c r="O103" s="2588"/>
    </row>
    <row r="104" spans="1:16" ht="13.5" hidden="1" customHeight="1">
      <c r="A104" s="3663"/>
      <c r="B104" s="2582" t="s">
        <v>10</v>
      </c>
      <c r="C104" s="2570"/>
      <c r="D104" s="2589">
        <f>+D105+D107</f>
        <v>0</v>
      </c>
      <c r="E104" s="2589">
        <f t="shared" ref="E104" si="76">+E105+E107</f>
        <v>0</v>
      </c>
      <c r="F104" s="2589">
        <f>+F105+F107</f>
        <v>0</v>
      </c>
      <c r="G104" s="2589"/>
      <c r="H104" s="2589"/>
      <c r="I104" s="2589"/>
      <c r="J104" s="2589"/>
      <c r="K104" s="2589"/>
      <c r="L104" s="2589"/>
      <c r="M104" s="2590">
        <f>+M105+M107</f>
        <v>0</v>
      </c>
      <c r="N104" s="2590">
        <f>+N105+N107</f>
        <v>0</v>
      </c>
      <c r="O104" s="3664" t="s">
        <v>78</v>
      </c>
      <c r="P104" s="2389"/>
    </row>
    <row r="105" spans="1:16" ht="13.5" hidden="1" customHeight="1">
      <c r="A105" s="3663"/>
      <c r="B105" s="2644" t="s">
        <v>23</v>
      </c>
      <c r="C105" s="3667" t="s">
        <v>76</v>
      </c>
      <c r="D105" s="232">
        <f>+D106</f>
        <v>0</v>
      </c>
      <c r="E105" s="232">
        <f t="shared" ref="E105:F105" si="77">+E106</f>
        <v>0</v>
      </c>
      <c r="F105" s="232">
        <f t="shared" si="77"/>
        <v>0</v>
      </c>
      <c r="G105" s="232"/>
      <c r="H105" s="232"/>
      <c r="I105" s="232"/>
      <c r="J105" s="232"/>
      <c r="K105" s="232"/>
      <c r="L105" s="232"/>
      <c r="M105" s="66">
        <f>+M106</f>
        <v>0</v>
      </c>
      <c r="N105" s="66">
        <f>+N106</f>
        <v>0</v>
      </c>
      <c r="O105" s="3664"/>
      <c r="P105" s="2389"/>
    </row>
    <row r="106" spans="1:16" ht="13.5" hidden="1" customHeight="1">
      <c r="A106" s="3579"/>
      <c r="B106" s="2632" t="s">
        <v>12</v>
      </c>
      <c r="C106" s="3595"/>
      <c r="D106" s="837">
        <f>E106+F106+G106+H106+I106+J106+K106+L106</f>
        <v>0</v>
      </c>
      <c r="E106" s="838"/>
      <c r="F106" s="196"/>
      <c r="G106" s="196"/>
      <c r="H106" s="826"/>
      <c r="I106" s="826"/>
      <c r="J106" s="826"/>
      <c r="K106" s="826"/>
      <c r="L106" s="826"/>
      <c r="M106" s="2633">
        <f>SUM(F106:K106)</f>
        <v>0</v>
      </c>
      <c r="N106" s="2634">
        <f>SUM(G106:L106)</f>
        <v>0</v>
      </c>
      <c r="O106" s="3665"/>
    </row>
    <row r="107" spans="1:16" ht="13.5" hidden="1" customHeight="1">
      <c r="A107" s="3593"/>
      <c r="B107" s="547" t="s">
        <v>18</v>
      </c>
      <c r="C107" s="3595"/>
      <c r="D107" s="1360">
        <f>+D108</f>
        <v>0</v>
      </c>
      <c r="E107" s="1360">
        <f t="shared" ref="E107" si="78">+E108</f>
        <v>0</v>
      </c>
      <c r="F107" s="1360"/>
      <c r="G107" s="1360"/>
      <c r="H107" s="1360"/>
      <c r="I107" s="1360"/>
      <c r="J107" s="1360"/>
      <c r="K107" s="1360"/>
      <c r="L107" s="1360"/>
      <c r="M107" s="1661">
        <f>+M108</f>
        <v>0</v>
      </c>
      <c r="N107" s="2518">
        <f>+N108</f>
        <v>0</v>
      </c>
      <c r="O107" s="3666"/>
    </row>
    <row r="108" spans="1:16" ht="13.5" hidden="1" customHeight="1">
      <c r="A108" s="3593"/>
      <c r="B108" s="553" t="s">
        <v>20</v>
      </c>
      <c r="C108" s="3595"/>
      <c r="D108" s="785">
        <f>E108+F108+G108+H108+I108+J108+K108+L108</f>
        <v>0</v>
      </c>
      <c r="E108" s="1334"/>
      <c r="F108" s="1369"/>
      <c r="G108" s="1369"/>
      <c r="H108" s="1373"/>
      <c r="I108" s="1373"/>
      <c r="J108" s="1373"/>
      <c r="K108" s="1373"/>
      <c r="L108" s="1373"/>
      <c r="M108" s="1374">
        <f>SUM(F108:K108)</f>
        <v>0</v>
      </c>
      <c r="N108" s="2505">
        <f>SUM(G108:L108)</f>
        <v>0</v>
      </c>
      <c r="O108" s="3666"/>
    </row>
    <row r="109" spans="1:16" ht="12.75" hidden="1" customHeight="1">
      <c r="A109" s="3594"/>
      <c r="B109" s="539" t="s">
        <v>21</v>
      </c>
      <c r="C109" s="1356"/>
      <c r="D109" s="1357">
        <f>+D110</f>
        <v>0</v>
      </c>
      <c r="E109" s="1357">
        <f t="shared" ref="E109:E110" si="79">+E110</f>
        <v>0</v>
      </c>
      <c r="F109" s="1357"/>
      <c r="G109" s="1357"/>
      <c r="H109" s="1357"/>
      <c r="I109" s="1357"/>
      <c r="J109" s="1357"/>
      <c r="K109" s="1357"/>
      <c r="L109" s="1357"/>
      <c r="M109" s="3559" t="s">
        <v>22</v>
      </c>
      <c r="N109" s="3692" t="s">
        <v>22</v>
      </c>
      <c r="O109" s="3668" t="s">
        <v>93</v>
      </c>
      <c r="P109" s="2389"/>
    </row>
    <row r="110" spans="1:16" s="3379" customFormat="1" ht="12.75" hidden="1" customHeight="1">
      <c r="A110" s="3594"/>
      <c r="B110" s="810" t="s">
        <v>18</v>
      </c>
      <c r="C110" s="3522" t="s">
        <v>77</v>
      </c>
      <c r="D110" s="1385">
        <f>+D111</f>
        <v>0</v>
      </c>
      <c r="E110" s="1378">
        <f t="shared" si="79"/>
        <v>0</v>
      </c>
      <c r="F110" s="1385"/>
      <c r="G110" s="1378"/>
      <c r="H110" s="1378"/>
      <c r="I110" s="1378"/>
      <c r="J110" s="1378"/>
      <c r="K110" s="1378"/>
      <c r="L110" s="1378"/>
      <c r="M110" s="3549"/>
      <c r="N110" s="3693"/>
      <c r="O110" s="3668"/>
    </row>
    <row r="111" spans="1:16" s="3379" customFormat="1" ht="12.75" hidden="1" customHeight="1" thickBot="1">
      <c r="A111" s="3594"/>
      <c r="B111" s="674" t="s">
        <v>20</v>
      </c>
      <c r="C111" s="3523"/>
      <c r="D111" s="2031">
        <f>E111+F111+G111+H111+I111+J111+K111+L111</f>
        <v>0</v>
      </c>
      <c r="E111" s="2031"/>
      <c r="F111" s="1185"/>
      <c r="G111" s="414"/>
      <c r="H111" s="414"/>
      <c r="I111" s="414"/>
      <c r="J111" s="414"/>
      <c r="K111" s="414"/>
      <c r="L111" s="414"/>
      <c r="M111" s="3550"/>
      <c r="N111" s="3694"/>
      <c r="O111" s="3668"/>
    </row>
    <row r="112" spans="1:16" s="3379" customFormat="1" ht="16.5" customHeight="1" thickBot="1">
      <c r="A112" s="3138"/>
      <c r="B112" s="263" t="s">
        <v>477</v>
      </c>
      <c r="C112" s="396"/>
      <c r="D112" s="716"/>
      <c r="E112" s="1282"/>
      <c r="F112" s="717"/>
      <c r="G112" s="717"/>
      <c r="H112" s="717"/>
      <c r="I112" s="717"/>
      <c r="J112" s="717"/>
      <c r="K112" s="717"/>
      <c r="L112" s="717"/>
      <c r="M112" s="397"/>
      <c r="N112" s="397"/>
      <c r="O112" s="2528"/>
    </row>
    <row r="113" spans="1:17" s="3379" customFormat="1" ht="40.5" hidden="1" customHeight="1">
      <c r="A113" s="3593"/>
      <c r="B113" s="372" t="s">
        <v>417</v>
      </c>
      <c r="C113" s="56"/>
      <c r="D113" s="57"/>
      <c r="E113" s="42"/>
      <c r="F113" s="42"/>
      <c r="G113" s="42"/>
      <c r="H113" s="42"/>
      <c r="I113" s="42"/>
      <c r="J113" s="42"/>
      <c r="K113" s="42"/>
      <c r="L113" s="42"/>
      <c r="M113" s="43"/>
      <c r="N113" s="43"/>
      <c r="O113" s="2529"/>
      <c r="P113" s="2385"/>
    </row>
    <row r="114" spans="1:17" s="3379" customFormat="1" ht="13.5" hidden="1" customHeight="1">
      <c r="A114" s="3512"/>
      <c r="B114" s="1355" t="s">
        <v>10</v>
      </c>
      <c r="C114" s="2105" t="s">
        <v>73</v>
      </c>
      <c r="D114" s="1370">
        <f>+D115+D119</f>
        <v>0</v>
      </c>
      <c r="E114" s="1412">
        <f t="shared" ref="E114" si="80">+E115+E119</f>
        <v>0</v>
      </c>
      <c r="F114" s="1412">
        <f t="shared" ref="F114" si="81">+F115+F119</f>
        <v>0</v>
      </c>
      <c r="G114" s="1412"/>
      <c r="H114" s="1412"/>
      <c r="I114" s="1412"/>
      <c r="J114" s="1412"/>
      <c r="K114" s="1412"/>
      <c r="L114" s="1412"/>
      <c r="M114" s="1413">
        <f>M115+M119</f>
        <v>0</v>
      </c>
      <c r="N114" s="2519">
        <f>N115+N119</f>
        <v>0</v>
      </c>
      <c r="O114" s="3697" t="s">
        <v>78</v>
      </c>
      <c r="P114" s="3707" t="s">
        <v>335</v>
      </c>
    </row>
    <row r="115" spans="1:17" s="3379" customFormat="1" ht="14.25" hidden="1" customHeight="1">
      <c r="A115" s="3513"/>
      <c r="B115" s="1364" t="s">
        <v>23</v>
      </c>
      <c r="C115" s="3522" t="s">
        <v>76</v>
      </c>
      <c r="D115" s="1371">
        <f>+D116+D117+D118</f>
        <v>0</v>
      </c>
      <c r="E115" s="1371">
        <f t="shared" ref="E115" si="82">+E116+E117+E118</f>
        <v>0</v>
      </c>
      <c r="F115" s="1371">
        <f t="shared" ref="F115" si="83">+F116+F117+F118</f>
        <v>0</v>
      </c>
      <c r="G115" s="1371"/>
      <c r="H115" s="1371"/>
      <c r="I115" s="1371"/>
      <c r="J115" s="1371"/>
      <c r="K115" s="1371"/>
      <c r="L115" s="1371"/>
      <c r="M115" s="1398">
        <f>M116</f>
        <v>0</v>
      </c>
      <c r="N115" s="1398">
        <f>N116</f>
        <v>0</v>
      </c>
      <c r="O115" s="3618"/>
      <c r="P115" s="3707"/>
    </row>
    <row r="116" spans="1:17" s="3379" customFormat="1" ht="12.75" hidden="1" customHeight="1">
      <c r="A116" s="3513"/>
      <c r="B116" s="1445" t="s">
        <v>12</v>
      </c>
      <c r="C116" s="3566"/>
      <c r="D116" s="785">
        <f>E116+F116+G116+H116+I116+J116+K116+L116</f>
        <v>0</v>
      </c>
      <c r="E116" s="1334"/>
      <c r="F116" s="1908"/>
      <c r="G116" s="1908"/>
      <c r="H116" s="1908"/>
      <c r="I116" s="1908"/>
      <c r="J116" s="1908"/>
      <c r="K116" s="1908"/>
      <c r="L116" s="1908"/>
      <c r="M116" s="1374">
        <f>SUM(F116:K116)</f>
        <v>0</v>
      </c>
      <c r="N116" s="1374">
        <f>SUM(G116:L116)</f>
        <v>0</v>
      </c>
      <c r="O116" s="3618"/>
      <c r="P116" s="3707"/>
    </row>
    <row r="117" spans="1:17" s="3379" customFormat="1" ht="14.25" hidden="1" customHeight="1">
      <c r="A117" s="3513"/>
      <c r="B117" s="1387" t="s">
        <v>17</v>
      </c>
      <c r="C117" s="3595"/>
      <c r="D117" s="785">
        <f>SUM(E117:I117)</f>
        <v>0</v>
      </c>
      <c r="E117" s="1392"/>
      <c r="F117" s="818"/>
      <c r="G117" s="1392"/>
      <c r="H117" s="1392"/>
      <c r="I117" s="1392"/>
      <c r="J117" s="1392"/>
      <c r="K117" s="1392"/>
      <c r="L117" s="1392"/>
      <c r="M117" s="411"/>
      <c r="N117" s="411"/>
      <c r="O117" s="3618"/>
      <c r="P117" s="3707"/>
    </row>
    <row r="118" spans="1:17" s="3379" customFormat="1" ht="14.25" hidden="1" customHeight="1">
      <c r="A118" s="3513"/>
      <c r="B118" s="1387" t="s">
        <v>15</v>
      </c>
      <c r="C118" s="3595"/>
      <c r="D118" s="785">
        <f>SUM(E118:I118)</f>
        <v>0</v>
      </c>
      <c r="E118" s="1392"/>
      <c r="F118" s="818"/>
      <c r="G118" s="1392"/>
      <c r="H118" s="1392"/>
      <c r="I118" s="1392"/>
      <c r="J118" s="1392"/>
      <c r="K118" s="1392"/>
      <c r="L118" s="1392"/>
      <c r="M118" s="411"/>
      <c r="N118" s="411"/>
      <c r="O118" s="3618"/>
      <c r="P118" s="3707"/>
    </row>
    <row r="119" spans="1:17" s="3379" customFormat="1" ht="14.25" hidden="1" customHeight="1">
      <c r="A119" s="3513"/>
      <c r="B119" s="1395" t="s">
        <v>18</v>
      </c>
      <c r="C119" s="3595"/>
      <c r="D119" s="1360">
        <f>+D120</f>
        <v>0</v>
      </c>
      <c r="E119" s="1360">
        <f t="shared" ref="E119" si="84">+E120</f>
        <v>0</v>
      </c>
      <c r="F119" s="1360"/>
      <c r="G119" s="1360"/>
      <c r="H119" s="1360"/>
      <c r="I119" s="1366"/>
      <c r="J119" s="1360"/>
      <c r="K119" s="1360"/>
      <c r="L119" s="1360"/>
      <c r="M119" s="1398">
        <f>M120</f>
        <v>0</v>
      </c>
      <c r="N119" s="1398">
        <f>N120</f>
        <v>0</v>
      </c>
      <c r="O119" s="3618"/>
      <c r="P119" s="3707"/>
    </row>
    <row r="120" spans="1:17" s="3379" customFormat="1" ht="12.75" hidden="1" customHeight="1">
      <c r="A120" s="3513"/>
      <c r="B120" s="553" t="s">
        <v>20</v>
      </c>
      <c r="C120" s="3596"/>
      <c r="D120" s="785">
        <f>E120+F120+G120+H120+I120+J120+K120+L120</f>
        <v>0</v>
      </c>
      <c r="E120" s="1334"/>
      <c r="F120" s="818"/>
      <c r="G120" s="1392"/>
      <c r="H120" s="1392"/>
      <c r="I120" s="1392"/>
      <c r="J120" s="818"/>
      <c r="K120" s="818"/>
      <c r="L120" s="818"/>
      <c r="M120" s="1374">
        <f>SUM(F120:K120)</f>
        <v>0</v>
      </c>
      <c r="N120" s="1374">
        <f>SUM(G120:L120)</f>
        <v>0</v>
      </c>
      <c r="O120" s="3619"/>
      <c r="P120" s="3707"/>
    </row>
    <row r="121" spans="1:17" s="3379" customFormat="1" ht="21.75" hidden="1" customHeight="1">
      <c r="A121" s="3514"/>
      <c r="B121" s="1355" t="s">
        <v>21</v>
      </c>
      <c r="C121" s="519" t="s">
        <v>296</v>
      </c>
      <c r="D121" s="1357">
        <f>+D125+D122</f>
        <v>0</v>
      </c>
      <c r="E121" s="1357">
        <f t="shared" ref="E121" si="85">+E125+E122</f>
        <v>0</v>
      </c>
      <c r="F121" s="1357">
        <f>+F125+F122</f>
        <v>0</v>
      </c>
      <c r="G121" s="1357"/>
      <c r="H121" s="1357"/>
      <c r="I121" s="1357"/>
      <c r="J121" s="1357"/>
      <c r="K121" s="1357"/>
      <c r="L121" s="1357"/>
      <c r="M121" s="3519" t="s">
        <v>22</v>
      </c>
      <c r="N121" s="3519" t="s">
        <v>22</v>
      </c>
      <c r="O121" s="3583" t="s">
        <v>93</v>
      </c>
      <c r="P121" s="3382"/>
      <c r="Q121" s="3382">
        <v>-1217020</v>
      </c>
    </row>
    <row r="122" spans="1:17" s="3379" customFormat="1" ht="14.25" hidden="1" customHeight="1">
      <c r="A122" s="3514"/>
      <c r="B122" s="1364" t="s">
        <v>23</v>
      </c>
      <c r="C122" s="3522" t="s">
        <v>182</v>
      </c>
      <c r="D122" s="50">
        <f>+D123+D124</f>
        <v>0</v>
      </c>
      <c r="E122" s="50">
        <f t="shared" ref="E122" si="86">+E123+E124</f>
        <v>0</v>
      </c>
      <c r="F122" s="50">
        <f>+F123+F124</f>
        <v>0</v>
      </c>
      <c r="G122" s="50"/>
      <c r="H122" s="50"/>
      <c r="I122" s="50"/>
      <c r="J122" s="50"/>
      <c r="K122" s="50"/>
      <c r="L122" s="50"/>
      <c r="M122" s="3517"/>
      <c r="N122" s="3517"/>
      <c r="O122" s="3571"/>
    </row>
    <row r="123" spans="1:17" s="3379" customFormat="1" ht="14.25" hidden="1" customHeight="1">
      <c r="A123" s="3514"/>
      <c r="B123" s="1387" t="s">
        <v>17</v>
      </c>
      <c r="C123" s="3566"/>
      <c r="D123" s="785">
        <f t="shared" ref="D123:D124" si="87">E123+F123+G123+H123+I123+J123+K123+L123</f>
        <v>0</v>
      </c>
      <c r="E123" s="1420"/>
      <c r="F123" s="1377">
        <v>0</v>
      </c>
      <c r="G123" s="1377"/>
      <c r="H123" s="1377"/>
      <c r="I123" s="1377"/>
      <c r="J123" s="1377"/>
      <c r="K123" s="1377"/>
      <c r="L123" s="1377"/>
      <c r="M123" s="3517"/>
      <c r="N123" s="3517"/>
      <c r="O123" s="3571"/>
    </row>
    <row r="124" spans="1:17" s="3379" customFormat="1" ht="13.5" hidden="1" thickBot="1">
      <c r="A124" s="3515"/>
      <c r="B124" s="813" t="s">
        <v>15</v>
      </c>
      <c r="C124" s="3567"/>
      <c r="D124" s="2031">
        <f t="shared" si="87"/>
        <v>0</v>
      </c>
      <c r="E124" s="2106"/>
      <c r="F124" s="2106">
        <v>0</v>
      </c>
      <c r="G124" s="2106"/>
      <c r="H124" s="2106"/>
      <c r="I124" s="2106"/>
      <c r="J124" s="2106"/>
      <c r="K124" s="2106"/>
      <c r="L124" s="2106"/>
      <c r="M124" s="3518"/>
      <c r="N124" s="3518"/>
      <c r="O124" s="3572"/>
    </row>
    <row r="125" spans="1:17" s="3379" customFormat="1" ht="14.25" hidden="1" customHeight="1">
      <c r="A125" s="3514"/>
      <c r="B125" s="750" t="s">
        <v>18</v>
      </c>
      <c r="C125" s="3566"/>
      <c r="D125" s="50">
        <f>+D127+D126</f>
        <v>0</v>
      </c>
      <c r="E125" s="50">
        <f t="shared" ref="E125" si="88">+E127+E126</f>
        <v>0</v>
      </c>
      <c r="F125" s="50">
        <f>+F127+F126</f>
        <v>0</v>
      </c>
      <c r="G125" s="1913"/>
      <c r="H125" s="1913"/>
      <c r="I125" s="1913"/>
      <c r="J125" s="1913"/>
      <c r="K125" s="1913"/>
      <c r="L125" s="1913"/>
      <c r="M125" s="3517"/>
      <c r="N125" s="3517"/>
      <c r="O125" s="3571"/>
    </row>
    <row r="126" spans="1:17" s="3379" customFormat="1" ht="14.25" hidden="1" customHeight="1">
      <c r="A126" s="3514"/>
      <c r="B126" s="1186" t="s">
        <v>17</v>
      </c>
      <c r="C126" s="3566"/>
      <c r="D126" s="236">
        <f>E126+F126+G126+H126+I126+J126+K126+L126</f>
        <v>0</v>
      </c>
      <c r="E126" s="1187"/>
      <c r="F126" s="366"/>
      <c r="G126" s="412"/>
      <c r="H126" s="412"/>
      <c r="I126" s="412"/>
      <c r="J126" s="412"/>
      <c r="K126" s="412"/>
      <c r="L126" s="412"/>
      <c r="M126" s="3517"/>
      <c r="N126" s="3517"/>
      <c r="O126" s="3571"/>
    </row>
    <row r="127" spans="1:17" s="3383" customFormat="1" ht="14.25" hidden="1" customHeight="1" thickBot="1">
      <c r="A127" s="3515"/>
      <c r="B127" s="1188" t="s">
        <v>20</v>
      </c>
      <c r="C127" s="3567"/>
      <c r="D127" s="236">
        <f>E127+F127+G127+H127+I127+J127+K127+L127</f>
        <v>0</v>
      </c>
      <c r="E127" s="266"/>
      <c r="F127" s="1189"/>
      <c r="G127" s="413"/>
      <c r="H127" s="413"/>
      <c r="I127" s="413"/>
      <c r="J127" s="413"/>
      <c r="K127" s="413"/>
      <c r="L127" s="413"/>
      <c r="M127" s="3518"/>
      <c r="N127" s="3518"/>
      <c r="O127" s="3572"/>
    </row>
    <row r="128" spans="1:17" ht="27" customHeight="1">
      <c r="A128" s="3512" t="s">
        <v>56</v>
      </c>
      <c r="B128" s="72" t="s">
        <v>562</v>
      </c>
      <c r="C128" s="56"/>
      <c r="D128" s="1081"/>
      <c r="E128" s="2752"/>
      <c r="F128" s="2752"/>
      <c r="G128" s="2752"/>
      <c r="H128" s="2752"/>
      <c r="I128" s="2752"/>
      <c r="J128" s="2752"/>
      <c r="K128" s="2752"/>
      <c r="L128" s="41"/>
      <c r="M128" s="60"/>
      <c r="N128" s="60"/>
      <c r="O128" s="44"/>
    </row>
    <row r="129" spans="1:17" ht="14.25" customHeight="1">
      <c r="A129" s="3513"/>
      <c r="B129" s="543" t="s">
        <v>10</v>
      </c>
      <c r="C129" s="1895" t="s">
        <v>73</v>
      </c>
      <c r="D129" s="807">
        <f t="shared" ref="D129:G129" si="89">+D130+D134</f>
        <v>41962510</v>
      </c>
      <c r="E129" s="807">
        <f t="shared" ref="E129" si="90">+E130+E134</f>
        <v>21145902</v>
      </c>
      <c r="F129" s="807">
        <f t="shared" si="89"/>
        <v>20739608</v>
      </c>
      <c r="G129" s="807">
        <f t="shared" si="89"/>
        <v>15124</v>
      </c>
      <c r="H129" s="807">
        <f t="shared" ref="H129" si="91">+H130+H134</f>
        <v>61876</v>
      </c>
      <c r="I129" s="807"/>
      <c r="J129" s="807"/>
      <c r="K129" s="807"/>
      <c r="L129" s="807"/>
      <c r="M129" s="793">
        <f>M130+M134</f>
        <v>20816608</v>
      </c>
      <c r="N129" s="793">
        <f>N130+N134</f>
        <v>77000</v>
      </c>
      <c r="O129" s="3618" t="s">
        <v>78</v>
      </c>
    </row>
    <row r="130" spans="1:17" ht="12" customHeight="1">
      <c r="A130" s="3513"/>
      <c r="B130" s="3384" t="s">
        <v>23</v>
      </c>
      <c r="C130" s="3560" t="s">
        <v>76</v>
      </c>
      <c r="D130" s="603">
        <f>+D131+D132+D133</f>
        <v>4841589</v>
      </c>
      <c r="E130" s="603">
        <f t="shared" ref="E130" si="92">+E131+E132+E133</f>
        <v>3234734</v>
      </c>
      <c r="F130" s="603">
        <f t="shared" ref="F130:G130" si="93">+F131+F132+F133</f>
        <v>1529855</v>
      </c>
      <c r="G130" s="603">
        <f t="shared" si="93"/>
        <v>15124</v>
      </c>
      <c r="H130" s="603">
        <f t="shared" ref="H130" si="94">+H131+H132+H133</f>
        <v>61876</v>
      </c>
      <c r="I130" s="603"/>
      <c r="J130" s="603"/>
      <c r="K130" s="603"/>
      <c r="L130" s="603"/>
      <c r="M130" s="522">
        <f>+M131+M133</f>
        <v>1606855</v>
      </c>
      <c r="N130" s="522">
        <f>+N131+N133</f>
        <v>77000</v>
      </c>
      <c r="O130" s="3618"/>
      <c r="P130" s="2385" t="s">
        <v>354</v>
      </c>
    </row>
    <row r="131" spans="1:17" ht="11.25" customHeight="1">
      <c r="A131" s="3513"/>
      <c r="B131" s="1896" t="s">
        <v>12</v>
      </c>
      <c r="C131" s="3566"/>
      <c r="D131" s="236">
        <f>E131+F131+G131+H131+I131+J131+K131+L131</f>
        <v>3341589</v>
      </c>
      <c r="E131" s="266">
        <f>2234734</f>
        <v>2234734</v>
      </c>
      <c r="F131" s="800">
        <f>1933354-1900000+166646+197047+159852+78533+2000000-585432-1020145</f>
        <v>1029855</v>
      </c>
      <c r="G131" s="1894">
        <f>77000-61876</f>
        <v>15124</v>
      </c>
      <c r="H131" s="1894">
        <v>61876</v>
      </c>
      <c r="I131" s="589"/>
      <c r="J131" s="589"/>
      <c r="K131" s="589"/>
      <c r="L131" s="589"/>
      <c r="M131" s="808">
        <f>SUM(F131:K131)</f>
        <v>1106855</v>
      </c>
      <c r="N131" s="808">
        <f>SUM(G131:L131)</f>
        <v>77000</v>
      </c>
      <c r="O131" s="3618"/>
    </row>
    <row r="132" spans="1:17" ht="12" hidden="1" customHeight="1">
      <c r="A132" s="3513"/>
      <c r="B132" s="600" t="s">
        <v>17</v>
      </c>
      <c r="C132" s="3566"/>
      <c r="D132" s="236">
        <f>E132+F132+G132+H132+I132+J132+K132+L132</f>
        <v>0</v>
      </c>
      <c r="E132" s="590"/>
      <c r="F132" s="589"/>
      <c r="G132" s="589"/>
      <c r="H132" s="589"/>
      <c r="I132" s="589"/>
      <c r="J132" s="197"/>
      <c r="K132" s="197"/>
      <c r="L132" s="197"/>
      <c r="M132" s="67"/>
      <c r="N132" s="67"/>
      <c r="O132" s="3618"/>
    </row>
    <row r="133" spans="1:17" ht="12" customHeight="1">
      <c r="A133" s="3513"/>
      <c r="B133" s="1896" t="s">
        <v>15</v>
      </c>
      <c r="C133" s="3566"/>
      <c r="D133" s="236">
        <f>E133+F133+G133+H133+I133+J133+K133+L133</f>
        <v>1500000</v>
      </c>
      <c r="E133" s="266">
        <f>1000000</f>
        <v>1000000</v>
      </c>
      <c r="F133" s="589">
        <f>500000</f>
        <v>500000</v>
      </c>
      <c r="G133" s="589"/>
      <c r="H133" s="589"/>
      <c r="I133" s="589"/>
      <c r="J133" s="590"/>
      <c r="K133" s="590"/>
      <c r="L133" s="590"/>
      <c r="M133" s="808">
        <f>SUM(F133:K133)</f>
        <v>500000</v>
      </c>
      <c r="N133" s="808">
        <f>SUM(G133:L133)</f>
        <v>0</v>
      </c>
      <c r="O133" s="3618"/>
    </row>
    <row r="134" spans="1:17">
      <c r="A134" s="3513"/>
      <c r="B134" s="552" t="s">
        <v>18</v>
      </c>
      <c r="C134" s="3566"/>
      <c r="D134" s="523">
        <f t="shared" ref="D134:F134" si="95">+D135+D136</f>
        <v>37120921</v>
      </c>
      <c r="E134" s="523">
        <f t="shared" si="95"/>
        <v>17911168</v>
      </c>
      <c r="F134" s="523">
        <f t="shared" si="95"/>
        <v>19209753</v>
      </c>
      <c r="G134" s="523"/>
      <c r="H134" s="523"/>
      <c r="I134" s="523"/>
      <c r="J134" s="523"/>
      <c r="K134" s="523"/>
      <c r="L134" s="523"/>
      <c r="M134" s="522">
        <f>+M135+M136</f>
        <v>19209753</v>
      </c>
      <c r="N134" s="522">
        <f>+N135+N136</f>
        <v>0</v>
      </c>
      <c r="O134" s="3618"/>
    </row>
    <row r="135" spans="1:17" ht="12" hidden="1" customHeight="1">
      <c r="A135" s="3513"/>
      <c r="B135" s="600" t="s">
        <v>17</v>
      </c>
      <c r="C135" s="3566"/>
      <c r="D135" s="797">
        <v>0</v>
      </c>
      <c r="E135" s="595"/>
      <c r="F135" s="589"/>
      <c r="G135" s="589"/>
      <c r="H135" s="589"/>
      <c r="I135" s="589"/>
      <c r="J135" s="197"/>
      <c r="K135" s="197"/>
      <c r="L135" s="197"/>
      <c r="M135" s="67"/>
      <c r="N135" s="67"/>
      <c r="O135" s="3618"/>
    </row>
    <row r="136" spans="1:17" ht="12" customHeight="1">
      <c r="A136" s="3513"/>
      <c r="B136" s="600" t="s">
        <v>20</v>
      </c>
      <c r="C136" s="3658"/>
      <c r="D136" s="236">
        <f>E136+F136+G136+H136+I136+J136+K136+L136</f>
        <v>37120921</v>
      </c>
      <c r="E136" s="266">
        <f>17911168</f>
        <v>17911168</v>
      </c>
      <c r="F136" s="800">
        <f>10955672-8630312+17358828-100+791-377238-83726-14162</f>
        <v>19209753</v>
      </c>
      <c r="G136" s="589"/>
      <c r="H136" s="589"/>
      <c r="I136" s="589"/>
      <c r="J136" s="589"/>
      <c r="K136" s="589"/>
      <c r="L136" s="589"/>
      <c r="M136" s="808">
        <f>SUM(F136:K136)</f>
        <v>19209753</v>
      </c>
      <c r="N136" s="808">
        <f>SUM(G136:L136)</f>
        <v>0</v>
      </c>
      <c r="O136" s="3619"/>
      <c r="P136" s="2389">
        <f>D136-D143</f>
        <v>0</v>
      </c>
    </row>
    <row r="137" spans="1:17" ht="21.75" customHeight="1">
      <c r="A137" s="3513"/>
      <c r="B137" s="182" t="s">
        <v>21</v>
      </c>
      <c r="C137" s="519" t="s">
        <v>296</v>
      </c>
      <c r="D137" s="584">
        <f t="shared" ref="D137:G137" si="96">+D141+D138</f>
        <v>38620921</v>
      </c>
      <c r="E137" s="584">
        <f>+E138+E141</f>
        <v>14036781</v>
      </c>
      <c r="F137" s="584">
        <f t="shared" si="96"/>
        <v>24046022</v>
      </c>
      <c r="G137" s="584">
        <f t="shared" si="96"/>
        <v>538118</v>
      </c>
      <c r="H137" s="584"/>
      <c r="I137" s="584"/>
      <c r="J137" s="584"/>
      <c r="K137" s="584"/>
      <c r="L137" s="584"/>
      <c r="M137" s="3548" t="s">
        <v>22</v>
      </c>
      <c r="N137" s="3548" t="s">
        <v>22</v>
      </c>
      <c r="O137" s="3570" t="s">
        <v>93</v>
      </c>
      <c r="P137" s="2389"/>
      <c r="Q137" s="2389">
        <v>-14140496</v>
      </c>
    </row>
    <row r="138" spans="1:17">
      <c r="A138" s="3513"/>
      <c r="B138" s="3384" t="s">
        <v>23</v>
      </c>
      <c r="C138" s="3560" t="s">
        <v>441</v>
      </c>
      <c r="D138" s="523">
        <f>+D139+D140</f>
        <v>1500000</v>
      </c>
      <c r="E138" s="523">
        <f>+E140</f>
        <v>1000000</v>
      </c>
      <c r="F138" s="523">
        <f>+F139+F140</f>
        <v>500000</v>
      </c>
      <c r="G138" s="811">
        <f>+G139+G140</f>
        <v>0</v>
      </c>
      <c r="H138" s="523"/>
      <c r="I138" s="523"/>
      <c r="J138" s="523"/>
      <c r="K138" s="523"/>
      <c r="L138" s="523"/>
      <c r="M138" s="3549"/>
      <c r="N138" s="3549"/>
      <c r="O138" s="3571"/>
    </row>
    <row r="139" spans="1:17" ht="12" hidden="1" customHeight="1">
      <c r="A139" s="3513"/>
      <c r="B139" s="1896" t="s">
        <v>17</v>
      </c>
      <c r="C139" s="3566"/>
      <c r="D139" s="785">
        <f>SUM(E139:I139)</f>
        <v>0</v>
      </c>
      <c r="E139" s="1898"/>
      <c r="F139" s="797">
        <v>0</v>
      </c>
      <c r="G139" s="1642"/>
      <c r="H139" s="797"/>
      <c r="I139" s="797"/>
      <c r="J139" s="797"/>
      <c r="K139" s="797"/>
      <c r="L139" s="797"/>
      <c r="M139" s="3549"/>
      <c r="N139" s="3549"/>
      <c r="O139" s="3571"/>
    </row>
    <row r="140" spans="1:17">
      <c r="A140" s="3513"/>
      <c r="B140" s="1896" t="s">
        <v>15</v>
      </c>
      <c r="C140" s="3566"/>
      <c r="D140" s="236">
        <f>E140+F140+G140+H140+I140+J140+K140+L140</f>
        <v>1500000</v>
      </c>
      <c r="E140" s="266">
        <f>1000000</f>
        <v>1000000</v>
      </c>
      <c r="F140" s="797">
        <f>500000</f>
        <v>500000</v>
      </c>
      <c r="G140" s="1642">
        <v>0</v>
      </c>
      <c r="H140" s="797"/>
      <c r="I140" s="797"/>
      <c r="J140" s="797"/>
      <c r="K140" s="797"/>
      <c r="L140" s="797"/>
      <c r="M140" s="3549"/>
      <c r="N140" s="3549"/>
      <c r="O140" s="3571"/>
    </row>
    <row r="141" spans="1:17" ht="13.5" customHeight="1">
      <c r="A141" s="3513"/>
      <c r="B141" s="547" t="s">
        <v>18</v>
      </c>
      <c r="C141" s="3566"/>
      <c r="D141" s="726">
        <f t="shared" ref="D141" si="97">+D142+D143</f>
        <v>37120921</v>
      </c>
      <c r="E141" s="726">
        <f>+E143</f>
        <v>13036781</v>
      </c>
      <c r="F141" s="1899">
        <f>+F142+F143</f>
        <v>23546022</v>
      </c>
      <c r="G141" s="1899">
        <f>+G142+G143</f>
        <v>538118</v>
      </c>
      <c r="H141" s="1899"/>
      <c r="I141" s="1899"/>
      <c r="J141" s="1899"/>
      <c r="K141" s="1899"/>
      <c r="L141" s="1899"/>
      <c r="M141" s="3549"/>
      <c r="N141" s="3549"/>
      <c r="O141" s="3571"/>
    </row>
    <row r="142" spans="1:17" ht="12" hidden="1" customHeight="1">
      <c r="A142" s="3513"/>
      <c r="B142" s="600" t="s">
        <v>17</v>
      </c>
      <c r="C142" s="3566"/>
      <c r="D142" s="785">
        <f>SUM(E142:I142)</f>
        <v>0</v>
      </c>
      <c r="E142" s="1898"/>
      <c r="F142" s="797"/>
      <c r="G142" s="797"/>
      <c r="H142" s="797"/>
      <c r="I142" s="797"/>
      <c r="J142" s="797"/>
      <c r="K142" s="797"/>
      <c r="L142" s="797"/>
      <c r="M142" s="3549"/>
      <c r="N142" s="3549"/>
      <c r="O142" s="3571"/>
    </row>
    <row r="143" spans="1:17" ht="14.25" customHeight="1" thickBot="1">
      <c r="A143" s="3579"/>
      <c r="B143" s="1183" t="s">
        <v>20</v>
      </c>
      <c r="C143" s="3567"/>
      <c r="D143" s="236">
        <f>E143+F143+G143+H143+I143+J143+K143+L143</f>
        <v>37120921</v>
      </c>
      <c r="E143" s="266">
        <f>13036781</f>
        <v>13036781</v>
      </c>
      <c r="F143" s="779">
        <f>10955672-500000+20900496-6760000-36782-120-377238-636006</f>
        <v>23546022</v>
      </c>
      <c r="G143" s="1184">
        <f>552280-14162</f>
        <v>538118</v>
      </c>
      <c r="H143" s="1184"/>
      <c r="I143" s="1184"/>
      <c r="J143" s="1184"/>
      <c r="K143" s="1184"/>
      <c r="L143" s="1184"/>
      <c r="M143" s="3550"/>
      <c r="N143" s="3550"/>
      <c r="O143" s="3572"/>
    </row>
    <row r="144" spans="1:17" ht="30" hidden="1" customHeight="1">
      <c r="A144" s="3512"/>
      <c r="B144" s="72" t="s">
        <v>418</v>
      </c>
      <c r="C144" s="56"/>
      <c r="D144" s="57"/>
      <c r="E144" s="42"/>
      <c r="F144" s="42"/>
      <c r="G144" s="42"/>
      <c r="H144" s="42"/>
      <c r="I144" s="42"/>
      <c r="J144" s="42"/>
      <c r="K144" s="42"/>
      <c r="L144" s="42"/>
      <c r="M144" s="43"/>
      <c r="N144" s="43"/>
      <c r="O144" s="87"/>
    </row>
    <row r="145" spans="1:17" ht="13.5" hidden="1" customHeight="1">
      <c r="A145" s="3513"/>
      <c r="B145" s="539" t="s">
        <v>10</v>
      </c>
      <c r="C145" s="1390" t="s">
        <v>73</v>
      </c>
      <c r="D145" s="1370">
        <f t="shared" ref="D145" si="98">+D146+D149</f>
        <v>0</v>
      </c>
      <c r="E145" s="1293">
        <f>+E146+E149</f>
        <v>0</v>
      </c>
      <c r="F145" s="1293">
        <f>+F146+F149</f>
        <v>0</v>
      </c>
      <c r="G145" s="1293"/>
      <c r="H145" s="1293"/>
      <c r="I145" s="1293"/>
      <c r="J145" s="1293"/>
      <c r="K145" s="1293"/>
      <c r="L145" s="1293"/>
      <c r="M145" s="1294">
        <f>M146+M149</f>
        <v>0</v>
      </c>
      <c r="N145" s="1294">
        <f>N146+N149</f>
        <v>0</v>
      </c>
      <c r="O145" s="3618" t="s">
        <v>78</v>
      </c>
      <c r="P145" s="2389"/>
    </row>
    <row r="146" spans="1:17" ht="13.5" hidden="1" customHeight="1">
      <c r="A146" s="3513"/>
      <c r="B146" s="515" t="s">
        <v>23</v>
      </c>
      <c r="C146" s="3522" t="s">
        <v>76</v>
      </c>
      <c r="D146" s="1371">
        <f>+D147+D148</f>
        <v>0</v>
      </c>
      <c r="E146" s="1371">
        <f>+E147</f>
        <v>0</v>
      </c>
      <c r="F146" s="1371">
        <f>+F147+F148</f>
        <v>0</v>
      </c>
      <c r="G146" s="1371"/>
      <c r="H146" s="1371"/>
      <c r="I146" s="1371"/>
      <c r="J146" s="1371"/>
      <c r="K146" s="1371"/>
      <c r="L146" s="1371"/>
      <c r="M146" s="1361">
        <f>M147</f>
        <v>0</v>
      </c>
      <c r="N146" s="1361">
        <f>N147</f>
        <v>0</v>
      </c>
      <c r="O146" s="3618"/>
      <c r="P146" s="2389"/>
    </row>
    <row r="147" spans="1:17" ht="11.25" hidden="1" customHeight="1">
      <c r="A147" s="3513"/>
      <c r="B147" s="814" t="s">
        <v>12</v>
      </c>
      <c r="C147" s="3595"/>
      <c r="D147" s="1288">
        <f>E147+F147+G147+H147+I147+J147+K147+L147</f>
        <v>0</v>
      </c>
      <c r="E147" s="1334"/>
      <c r="F147" s="1334"/>
      <c r="G147" s="1334"/>
      <c r="H147" s="1334"/>
      <c r="I147" s="1334"/>
      <c r="J147" s="1334"/>
      <c r="K147" s="1334"/>
      <c r="L147" s="1334"/>
      <c r="M147" s="808">
        <f>SUM(F147:K147)</f>
        <v>0</v>
      </c>
      <c r="N147" s="808">
        <f>SUM(G147:L147)</f>
        <v>0</v>
      </c>
      <c r="O147" s="3618"/>
      <c r="P147" s="2389"/>
    </row>
    <row r="148" spans="1:17" ht="10.5" hidden="1" customHeight="1">
      <c r="A148" s="3513"/>
      <c r="B148" s="1190" t="s">
        <v>15</v>
      </c>
      <c r="C148" s="3595"/>
      <c r="D148" s="1288">
        <f>SUM(E148:I148)</f>
        <v>0</v>
      </c>
      <c r="E148" s="1391">
        <v>0</v>
      </c>
      <c r="F148" s="1392"/>
      <c r="G148" s="1392"/>
      <c r="H148" s="1392"/>
      <c r="I148" s="1392"/>
      <c r="J148" s="197"/>
      <c r="K148" s="197"/>
      <c r="L148" s="197"/>
      <c r="M148" s="67"/>
      <c r="N148" s="67"/>
      <c r="O148" s="3618"/>
    </row>
    <row r="149" spans="1:17" ht="12.75" hidden="1" customHeight="1">
      <c r="A149" s="3513"/>
      <c r="B149" s="810" t="s">
        <v>18</v>
      </c>
      <c r="C149" s="3595"/>
      <c r="D149" s="1360">
        <f>+D150</f>
        <v>0</v>
      </c>
      <c r="E149" s="1304">
        <f>+E150</f>
        <v>0</v>
      </c>
      <c r="F149" s="1304">
        <f t="shared" ref="F149" si="99">+F150</f>
        <v>0</v>
      </c>
      <c r="G149" s="1304"/>
      <c r="H149" s="1304"/>
      <c r="I149" s="1304"/>
      <c r="J149" s="1360"/>
      <c r="K149" s="1360"/>
      <c r="L149" s="1360"/>
      <c r="M149" s="1361">
        <f>M150</f>
        <v>0</v>
      </c>
      <c r="N149" s="1361">
        <f>N150</f>
        <v>0</v>
      </c>
      <c r="O149" s="3618"/>
    </row>
    <row r="150" spans="1:17" ht="12" hidden="1" customHeight="1">
      <c r="A150" s="3513"/>
      <c r="B150" s="814" t="s">
        <v>20</v>
      </c>
      <c r="C150" s="3596"/>
      <c r="D150" s="1393">
        <f>E150+F150+G150+H150+I150+J150+K150+L150</f>
        <v>0</v>
      </c>
      <c r="E150" s="1334"/>
      <c r="F150" s="1334"/>
      <c r="G150" s="1334"/>
      <c r="H150" s="1301"/>
      <c r="I150" s="1301"/>
      <c r="J150" s="1373"/>
      <c r="K150" s="1373"/>
      <c r="L150" s="1373"/>
      <c r="M150" s="808">
        <f>SUM(F150:K150)</f>
        <v>0</v>
      </c>
      <c r="N150" s="808">
        <f>SUM(G150:L150)</f>
        <v>0</v>
      </c>
      <c r="O150" s="3619"/>
    </row>
    <row r="151" spans="1:17" ht="23.25" hidden="1" thickBot="1">
      <c r="A151" s="3514"/>
      <c r="B151" s="91" t="s">
        <v>21</v>
      </c>
      <c r="C151" s="519" t="s">
        <v>296</v>
      </c>
      <c r="D151" s="97">
        <f t="shared" ref="D151" si="100">+D152+D154</f>
        <v>0</v>
      </c>
      <c r="E151" s="224">
        <f>+E154</f>
        <v>0</v>
      </c>
      <c r="F151" s="224">
        <f>+F152+F154</f>
        <v>0</v>
      </c>
      <c r="G151" s="224"/>
      <c r="H151" s="224"/>
      <c r="I151" s="224"/>
      <c r="J151" s="224"/>
      <c r="K151" s="224"/>
      <c r="L151" s="224"/>
      <c r="M151" s="3519" t="s">
        <v>22</v>
      </c>
      <c r="N151" s="3519" t="s">
        <v>22</v>
      </c>
      <c r="O151" s="3696" t="s">
        <v>93</v>
      </c>
      <c r="P151" s="2389"/>
      <c r="Q151" s="2389">
        <v>-1435987</v>
      </c>
    </row>
    <row r="152" spans="1:17" ht="13.5" hidden="1" customHeight="1">
      <c r="A152" s="3514"/>
      <c r="B152" s="1364" t="s">
        <v>23</v>
      </c>
      <c r="C152" s="3695" t="s">
        <v>192</v>
      </c>
      <c r="D152" s="50">
        <f>+D153</f>
        <v>0</v>
      </c>
      <c r="E152" s="251">
        <v>0</v>
      </c>
      <c r="F152" s="50"/>
      <c r="G152" s="50"/>
      <c r="H152" s="50"/>
      <c r="I152" s="50"/>
      <c r="J152" s="50"/>
      <c r="K152" s="50"/>
      <c r="L152" s="50"/>
      <c r="M152" s="3517"/>
      <c r="N152" s="3517"/>
      <c r="O152" s="3625"/>
    </row>
    <row r="153" spans="1:17" ht="13.5" hidden="1" thickBot="1">
      <c r="A153" s="3514"/>
      <c r="B153" s="90" t="s">
        <v>15</v>
      </c>
      <c r="C153" s="3599"/>
      <c r="D153" s="1288">
        <f>SUM(E153:I153)</f>
        <v>0</v>
      </c>
      <c r="E153" s="1394">
        <v>0</v>
      </c>
      <c r="F153" s="1303"/>
      <c r="G153" s="1303"/>
      <c r="H153" s="1303"/>
      <c r="I153" s="1303"/>
      <c r="J153" s="1303"/>
      <c r="K153" s="1303"/>
      <c r="L153" s="1303"/>
      <c r="M153" s="3517"/>
      <c r="N153" s="3517"/>
      <c r="O153" s="3625"/>
    </row>
    <row r="154" spans="1:17" ht="12" hidden="1" customHeight="1">
      <c r="A154" s="3514"/>
      <c r="B154" s="1395" t="s">
        <v>18</v>
      </c>
      <c r="C154" s="3599"/>
      <c r="D154" s="1360">
        <f t="shared" ref="D154:F154" si="101">+D155</f>
        <v>0</v>
      </c>
      <c r="E154" s="1304">
        <f>+E155</f>
        <v>0</v>
      </c>
      <c r="F154" s="1304">
        <f t="shared" si="101"/>
        <v>0</v>
      </c>
      <c r="G154" s="1304"/>
      <c r="H154" s="1304"/>
      <c r="I154" s="1304"/>
      <c r="J154" s="1304"/>
      <c r="K154" s="1304"/>
      <c r="L154" s="1304"/>
      <c r="M154" s="3517"/>
      <c r="N154" s="3517"/>
      <c r="O154" s="3625"/>
    </row>
    <row r="155" spans="1:17" ht="13.5" hidden="1" customHeight="1" thickBot="1">
      <c r="A155" s="3515"/>
      <c r="B155" s="813" t="s">
        <v>20</v>
      </c>
      <c r="C155" s="3600"/>
      <c r="D155" s="779">
        <f>E155+F155+G155+H155+I155+J155+K155+L155</f>
        <v>0</v>
      </c>
      <c r="E155" s="779"/>
      <c r="F155" s="415"/>
      <c r="G155" s="415"/>
      <c r="H155" s="415"/>
      <c r="I155" s="415"/>
      <c r="J155" s="415"/>
      <c r="K155" s="415"/>
      <c r="L155" s="415"/>
      <c r="M155" s="3518"/>
      <c r="N155" s="3518"/>
      <c r="O155" s="3623"/>
    </row>
    <row r="156" spans="1:17" ht="24">
      <c r="A156" s="3512" t="s">
        <v>57</v>
      </c>
      <c r="B156" s="72" t="s">
        <v>563</v>
      </c>
      <c r="C156" s="56" t="s">
        <v>73</v>
      </c>
      <c r="D156" s="1081"/>
      <c r="E156" s="2752"/>
      <c r="F156" s="2752"/>
      <c r="G156" s="2752"/>
      <c r="H156" s="2752"/>
      <c r="I156" s="2752"/>
      <c r="J156" s="2752"/>
      <c r="K156" s="2752"/>
      <c r="L156" s="41"/>
      <c r="M156" s="43"/>
      <c r="N156" s="43"/>
      <c r="O156" s="87"/>
    </row>
    <row r="157" spans="1:17" ht="12" customHeight="1">
      <c r="A157" s="3513"/>
      <c r="B157" s="417" t="s">
        <v>10</v>
      </c>
      <c r="C157" s="1380"/>
      <c r="D157" s="1370">
        <f>+D158+D161</f>
        <v>50174153</v>
      </c>
      <c r="E157" s="1412">
        <f t="shared" ref="E157" si="102">+E158+E161</f>
        <v>330606</v>
      </c>
      <c r="F157" s="1412">
        <f>+F158+F161</f>
        <v>27200773</v>
      </c>
      <c r="G157" s="1412">
        <f>+G158+G161</f>
        <v>22642774</v>
      </c>
      <c r="H157" s="1412"/>
      <c r="I157" s="1412"/>
      <c r="J157" s="1412"/>
      <c r="K157" s="1412"/>
      <c r="L157" s="1412"/>
      <c r="M157" s="1358">
        <f>M158+M161</f>
        <v>49843547</v>
      </c>
      <c r="N157" s="1358">
        <f>N158+N161</f>
        <v>22642774</v>
      </c>
      <c r="O157" s="3618" t="s">
        <v>78</v>
      </c>
      <c r="P157" s="2389"/>
    </row>
    <row r="158" spans="1:17">
      <c r="A158" s="3513"/>
      <c r="B158" s="545" t="s">
        <v>23</v>
      </c>
      <c r="C158" s="3522" t="s">
        <v>76</v>
      </c>
      <c r="D158" s="1371">
        <f>+D159+D160</f>
        <v>7537329</v>
      </c>
      <c r="E158" s="1371">
        <f t="shared" ref="E158" si="103">+E159+E160</f>
        <v>49591</v>
      </c>
      <c r="F158" s="1371">
        <f>+F159+F160</f>
        <v>4091322</v>
      </c>
      <c r="G158" s="1371">
        <f>+G159+G160</f>
        <v>3396416</v>
      </c>
      <c r="H158" s="1371"/>
      <c r="I158" s="1371"/>
      <c r="J158" s="1371"/>
      <c r="K158" s="1371"/>
      <c r="L158" s="1371"/>
      <c r="M158" s="1361">
        <f>M159</f>
        <v>7487738</v>
      </c>
      <c r="N158" s="1361">
        <f>N159</f>
        <v>3396416</v>
      </c>
      <c r="O158" s="3618"/>
      <c r="P158" s="3708" t="s">
        <v>336</v>
      </c>
    </row>
    <row r="159" spans="1:17" ht="11.25" customHeight="1">
      <c r="A159" s="3513"/>
      <c r="B159" s="600" t="s">
        <v>12</v>
      </c>
      <c r="C159" s="3595"/>
      <c r="D159" s="785">
        <f>E159+F159+G159+H159+I159+J159+K159+L159</f>
        <v>7537329</v>
      </c>
      <c r="E159" s="1334">
        <v>49591</v>
      </c>
      <c r="F159" s="1334">
        <f>5700000+1500000+135000-2630000-22696-590982</f>
        <v>4091322</v>
      </c>
      <c r="G159" s="1334">
        <f>1875000+1435625-240216-14972+590982+300000-550003</f>
        <v>3396416</v>
      </c>
      <c r="H159" s="1334"/>
      <c r="I159" s="1334"/>
      <c r="J159" s="1334"/>
      <c r="K159" s="1334"/>
      <c r="L159" s="1334"/>
      <c r="M159" s="1374">
        <f>SUM(F159:K159)</f>
        <v>7487738</v>
      </c>
      <c r="N159" s="1374">
        <f>SUM(G159:L159)</f>
        <v>3396416</v>
      </c>
      <c r="O159" s="3618"/>
      <c r="P159" s="3708"/>
    </row>
    <row r="160" spans="1:17" ht="10.5" hidden="1" customHeight="1">
      <c r="A160" s="3513"/>
      <c r="B160" s="390" t="s">
        <v>15</v>
      </c>
      <c r="C160" s="3595"/>
      <c r="D160" s="785">
        <f>SUM(E160:I160)</f>
        <v>0</v>
      </c>
      <c r="E160" s="1900">
        <v>0</v>
      </c>
      <c r="F160" s="815"/>
      <c r="G160" s="815"/>
      <c r="H160" s="815"/>
      <c r="I160" s="815"/>
      <c r="J160" s="197"/>
      <c r="K160" s="197"/>
      <c r="L160" s="197"/>
      <c r="M160" s="67"/>
      <c r="N160" s="67"/>
      <c r="O160" s="3618"/>
      <c r="P160" s="3708"/>
    </row>
    <row r="161" spans="1:16">
      <c r="A161" s="3513"/>
      <c r="B161" s="547" t="s">
        <v>18</v>
      </c>
      <c r="C161" s="3595"/>
      <c r="D161" s="1360">
        <f>+D162</f>
        <v>42636824</v>
      </c>
      <c r="E161" s="1366">
        <f t="shared" ref="E161:G161" si="104">+E162</f>
        <v>281015</v>
      </c>
      <c r="F161" s="1366">
        <f t="shared" si="104"/>
        <v>23109451</v>
      </c>
      <c r="G161" s="1366">
        <f t="shared" si="104"/>
        <v>19246358</v>
      </c>
      <c r="H161" s="1366"/>
      <c r="I161" s="1366"/>
      <c r="J161" s="1360"/>
      <c r="K161" s="1360"/>
      <c r="L161" s="1360"/>
      <c r="M161" s="1361">
        <f>M162</f>
        <v>42355809</v>
      </c>
      <c r="N161" s="1361">
        <f>N162</f>
        <v>19246358</v>
      </c>
      <c r="O161" s="3618"/>
      <c r="P161" s="3708"/>
    </row>
    <row r="162" spans="1:16" ht="12" customHeight="1">
      <c r="A162" s="3513"/>
      <c r="B162" s="600" t="s">
        <v>20</v>
      </c>
      <c r="C162" s="3596"/>
      <c r="D162" s="785">
        <f>E162+F162+G162+H162+I162+J162+K162+L162</f>
        <v>42636824</v>
      </c>
      <c r="E162" s="1334">
        <v>281015</v>
      </c>
      <c r="F162" s="1334">
        <f>32300000+8500000+765000-15470000-128613-2856936</f>
        <v>23109451</v>
      </c>
      <c r="G162" s="1334">
        <f>10625000+4125213+2648772-84839+2856936-924724</f>
        <v>19246358</v>
      </c>
      <c r="H162" s="1369"/>
      <c r="I162" s="1369"/>
      <c r="J162" s="1373"/>
      <c r="K162" s="1373"/>
      <c r="L162" s="1373"/>
      <c r="M162" s="1374">
        <f>SUM(F162:K162)</f>
        <v>42355809</v>
      </c>
      <c r="N162" s="1374">
        <f>SUM(G162:L162)</f>
        <v>19246358</v>
      </c>
      <c r="O162" s="3619"/>
      <c r="P162" s="3708"/>
    </row>
    <row r="163" spans="1:16" ht="12" customHeight="1">
      <c r="A163" s="3514"/>
      <c r="B163" s="1073" t="s">
        <v>21</v>
      </c>
      <c r="C163" s="88"/>
      <c r="D163" s="97">
        <f t="shared" ref="D163" si="105">+D164+D166</f>
        <v>42636824</v>
      </c>
      <c r="E163" s="224">
        <f>+E164+E166</f>
        <v>0</v>
      </c>
      <c r="F163" s="224">
        <f>+F164+F166</f>
        <v>26097077</v>
      </c>
      <c r="G163" s="224">
        <f>+G164+G166</f>
        <v>16539747</v>
      </c>
      <c r="H163" s="224"/>
      <c r="I163" s="224"/>
      <c r="J163" s="224"/>
      <c r="K163" s="224"/>
      <c r="L163" s="224"/>
      <c r="M163" s="3604" t="s">
        <v>22</v>
      </c>
      <c r="N163" s="3604" t="s">
        <v>22</v>
      </c>
      <c r="O163" s="3622" t="s">
        <v>93</v>
      </c>
    </row>
    <row r="164" spans="1:16" ht="13.5" hidden="1" customHeight="1">
      <c r="A164" s="3514"/>
      <c r="B164" s="1376" t="s">
        <v>23</v>
      </c>
      <c r="C164" s="3597" t="s">
        <v>192</v>
      </c>
      <c r="D164" s="50">
        <f>+D165</f>
        <v>0</v>
      </c>
      <c r="E164" s="50"/>
      <c r="F164" s="50"/>
      <c r="G164" s="50"/>
      <c r="H164" s="50"/>
      <c r="I164" s="50"/>
      <c r="J164" s="50"/>
      <c r="K164" s="50"/>
      <c r="L164" s="50"/>
      <c r="M164" s="3517"/>
      <c r="N164" s="3517"/>
      <c r="O164" s="3625"/>
    </row>
    <row r="165" spans="1:16" ht="13.5" hidden="1" customHeight="1">
      <c r="A165" s="3514"/>
      <c r="B165" s="90" t="s">
        <v>15</v>
      </c>
      <c r="C165" s="3599"/>
      <c r="D165" s="785">
        <f>SUM(E165:I165)</f>
        <v>0</v>
      </c>
      <c r="E165" s="1377"/>
      <c r="F165" s="1377"/>
      <c r="G165" s="1377"/>
      <c r="H165" s="1377"/>
      <c r="I165" s="1377"/>
      <c r="J165" s="1377"/>
      <c r="K165" s="1377"/>
      <c r="L165" s="1377"/>
      <c r="M165" s="3517"/>
      <c r="N165" s="3517"/>
      <c r="O165" s="3625"/>
    </row>
    <row r="166" spans="1:16" ht="12" customHeight="1">
      <c r="A166" s="3514"/>
      <c r="B166" s="2229" t="s">
        <v>18</v>
      </c>
      <c r="C166" s="3599"/>
      <c r="D166" s="1360">
        <f t="shared" ref="D166:G166" si="106">+D167</f>
        <v>42636824</v>
      </c>
      <c r="E166" s="1366">
        <f t="shared" si="106"/>
        <v>0</v>
      </c>
      <c r="F166" s="1366">
        <f t="shared" si="106"/>
        <v>26097077</v>
      </c>
      <c r="G166" s="1366">
        <f t="shared" si="106"/>
        <v>16539747</v>
      </c>
      <c r="H166" s="1366"/>
      <c r="I166" s="1366"/>
      <c r="J166" s="1366"/>
      <c r="K166" s="1366"/>
      <c r="L166" s="1366"/>
      <c r="M166" s="3517"/>
      <c r="N166" s="3517"/>
      <c r="O166" s="3625"/>
    </row>
    <row r="167" spans="1:16" ht="13.5" customHeight="1" thickBot="1">
      <c r="A167" s="3515"/>
      <c r="B167" s="813" t="s">
        <v>20</v>
      </c>
      <c r="C167" s="3600"/>
      <c r="D167" s="779">
        <f>E167+F167+G167+H167+I167+J167+K167+L167</f>
        <v>42636824</v>
      </c>
      <c r="E167" s="779">
        <v>0</v>
      </c>
      <c r="F167" s="415">
        <f>29000000+6000000-8623985-128613-150325</f>
        <v>26097077</v>
      </c>
      <c r="G167" s="415">
        <f>14775000+6625213-4001228-84839+150325-924724</f>
        <v>16539747</v>
      </c>
      <c r="H167" s="415"/>
      <c r="I167" s="415"/>
      <c r="J167" s="415"/>
      <c r="K167" s="415"/>
      <c r="L167" s="415"/>
      <c r="M167" s="3518"/>
      <c r="N167" s="3518"/>
      <c r="O167" s="3623"/>
    </row>
    <row r="168" spans="1:16" ht="24">
      <c r="A168" s="3512" t="s">
        <v>58</v>
      </c>
      <c r="B168" s="72" t="s">
        <v>518</v>
      </c>
      <c r="C168" s="56" t="s">
        <v>73</v>
      </c>
      <c r="D168" s="1081"/>
      <c r="E168" s="2752"/>
      <c r="F168" s="2752"/>
      <c r="G168" s="2752"/>
      <c r="H168" s="2752"/>
      <c r="I168" s="2752"/>
      <c r="J168" s="2752"/>
      <c r="K168" s="2752"/>
      <c r="L168" s="41"/>
      <c r="M168" s="43"/>
      <c r="N168" s="43"/>
      <c r="O168" s="87"/>
      <c r="P168" s="2385" t="s">
        <v>372</v>
      </c>
    </row>
    <row r="169" spans="1:16" ht="13.5" customHeight="1">
      <c r="A169" s="3513"/>
      <c r="B169" s="2149" t="s">
        <v>10</v>
      </c>
      <c r="C169" s="1356"/>
      <c r="D169" s="807">
        <f>+D170+D173</f>
        <v>14296975</v>
      </c>
      <c r="E169" s="1885">
        <f t="shared" ref="E169" si="107">+E170+E173</f>
        <v>1591</v>
      </c>
      <c r="F169" s="1885">
        <f>+F170+F173</f>
        <v>1891948</v>
      </c>
      <c r="G169" s="1885">
        <f>+G170+G173</f>
        <v>12403436</v>
      </c>
      <c r="H169" s="1885"/>
      <c r="I169" s="1885"/>
      <c r="J169" s="1885"/>
      <c r="K169" s="1885"/>
      <c r="L169" s="1885"/>
      <c r="M169" s="1878">
        <f>M170+M173</f>
        <v>14295384</v>
      </c>
      <c r="N169" s="1878">
        <f>N170+N173</f>
        <v>12403436</v>
      </c>
      <c r="O169" s="3618" t="s">
        <v>78</v>
      </c>
      <c r="P169" s="2389"/>
    </row>
    <row r="170" spans="1:16" ht="13.5" customHeight="1">
      <c r="A170" s="3513"/>
      <c r="B170" s="2187" t="s">
        <v>23</v>
      </c>
      <c r="C170" s="3560" t="s">
        <v>76</v>
      </c>
      <c r="D170" s="603">
        <f>+D171+D172</f>
        <v>2466682</v>
      </c>
      <c r="E170" s="603">
        <f t="shared" ref="E170" si="108">+E171+E172</f>
        <v>239</v>
      </c>
      <c r="F170" s="603">
        <f>+F171+F172</f>
        <v>362939</v>
      </c>
      <c r="G170" s="603">
        <f>+G171+G172</f>
        <v>2103504</v>
      </c>
      <c r="H170" s="603"/>
      <c r="I170" s="603"/>
      <c r="J170" s="603"/>
      <c r="K170" s="603"/>
      <c r="L170" s="603"/>
      <c r="M170" s="522">
        <f>M171+M172</f>
        <v>2466443</v>
      </c>
      <c r="N170" s="522">
        <f>N171+N172</f>
        <v>2103504</v>
      </c>
      <c r="O170" s="3618"/>
      <c r="P170" s="3708"/>
    </row>
    <row r="171" spans="1:16">
      <c r="A171" s="3513"/>
      <c r="B171" s="2188" t="s">
        <v>12</v>
      </c>
      <c r="C171" s="3595"/>
      <c r="D171" s="785">
        <f>E171+F171+G171+H171+I171+J171+K171+L171</f>
        <v>2199812</v>
      </c>
      <c r="E171" s="800">
        <v>239</v>
      </c>
      <c r="F171" s="800">
        <f>2821000+15000-1954801-48563-304636-41551-203290</f>
        <v>283159</v>
      </c>
      <c r="G171" s="800">
        <f>2016162+18262+304636-188902+202673-436417</f>
        <v>1916414</v>
      </c>
      <c r="H171" s="800"/>
      <c r="I171" s="800"/>
      <c r="J171" s="800"/>
      <c r="K171" s="800"/>
      <c r="L171" s="800"/>
      <c r="M171" s="808">
        <f>SUM(F171:K171)</f>
        <v>2199573</v>
      </c>
      <c r="N171" s="808">
        <f>SUM(G171:L171)</f>
        <v>1916414</v>
      </c>
      <c r="O171" s="3618"/>
      <c r="P171" s="3708"/>
    </row>
    <row r="172" spans="1:16" ht="10.5" customHeight="1">
      <c r="A172" s="3513"/>
      <c r="B172" s="1190" t="s">
        <v>15</v>
      </c>
      <c r="C172" s="3595"/>
      <c r="D172" s="785">
        <f>SUM(E172:I172)</f>
        <v>266870</v>
      </c>
      <c r="E172" s="1900">
        <v>0</v>
      </c>
      <c r="F172" s="815">
        <f>79781-1</f>
        <v>79780</v>
      </c>
      <c r="G172" s="815">
        <f>150673+36417</f>
        <v>187090</v>
      </c>
      <c r="H172" s="815"/>
      <c r="I172" s="815"/>
      <c r="J172" s="1887"/>
      <c r="K172" s="1887"/>
      <c r="L172" s="1887"/>
      <c r="M172" s="808">
        <f>SUM(F172:K172)</f>
        <v>266870</v>
      </c>
      <c r="N172" s="808">
        <f>SUM(G172:L172)</f>
        <v>187090</v>
      </c>
      <c r="O172" s="3618"/>
      <c r="P172" s="3708"/>
    </row>
    <row r="173" spans="1:16" ht="12.75" customHeight="1">
      <c r="A173" s="3513"/>
      <c r="B173" s="2189" t="s">
        <v>18</v>
      </c>
      <c r="C173" s="3595"/>
      <c r="D173" s="523">
        <f>+D174</f>
        <v>11830293</v>
      </c>
      <c r="E173" s="1886">
        <f t="shared" ref="E173:G173" si="109">+E174</f>
        <v>1352</v>
      </c>
      <c r="F173" s="1886">
        <f t="shared" si="109"/>
        <v>1529009</v>
      </c>
      <c r="G173" s="1886">
        <f t="shared" si="109"/>
        <v>10299932</v>
      </c>
      <c r="H173" s="1886"/>
      <c r="I173" s="1886"/>
      <c r="J173" s="523"/>
      <c r="K173" s="523"/>
      <c r="L173" s="523"/>
      <c r="M173" s="522">
        <f>M174</f>
        <v>11828941</v>
      </c>
      <c r="N173" s="522">
        <f>N174</f>
        <v>10299932</v>
      </c>
      <c r="O173" s="3618"/>
      <c r="P173" s="3708"/>
    </row>
    <row r="174" spans="1:16">
      <c r="A174" s="3513"/>
      <c r="B174" s="2188" t="s">
        <v>20</v>
      </c>
      <c r="C174" s="3596"/>
      <c r="D174" s="1891">
        <f>E174+F174+G174+H174+I174+J174+K174+L174</f>
        <v>11830293</v>
      </c>
      <c r="E174" s="800">
        <v>1352</v>
      </c>
      <c r="F174" s="800">
        <f>15079000+85000-11487872+534253-1388381-117724-1175267</f>
        <v>1529009</v>
      </c>
      <c r="G174" s="800">
        <f>11424920-705956+1388381-1279186+1171773-1700000</f>
        <v>10299932</v>
      </c>
      <c r="H174" s="1887"/>
      <c r="I174" s="1887"/>
      <c r="J174" s="589"/>
      <c r="K174" s="589"/>
      <c r="L174" s="589"/>
      <c r="M174" s="808">
        <f>SUM(F174:K174)</f>
        <v>11828941</v>
      </c>
      <c r="N174" s="808">
        <f>SUM(G174:L174)</f>
        <v>10299932</v>
      </c>
      <c r="O174" s="3619"/>
      <c r="P174" s="3708"/>
    </row>
    <row r="175" spans="1:16" ht="13.5" thickBot="1">
      <c r="A175" s="3515"/>
      <c r="B175" s="91" t="s">
        <v>21</v>
      </c>
      <c r="C175" s="88"/>
      <c r="D175" s="97">
        <f t="shared" ref="D175" si="110">+D176+D178</f>
        <v>12097163</v>
      </c>
      <c r="E175" s="224">
        <f>+E176+E178</f>
        <v>0</v>
      </c>
      <c r="F175" s="224">
        <f>+F176+F178</f>
        <v>700892</v>
      </c>
      <c r="G175" s="224">
        <f>+G176+G178</f>
        <v>11396271</v>
      </c>
      <c r="H175" s="224"/>
      <c r="I175" s="224"/>
      <c r="J175" s="224"/>
      <c r="K175" s="224"/>
      <c r="L175" s="224"/>
      <c r="M175" s="3604" t="s">
        <v>22</v>
      </c>
      <c r="N175" s="3604" t="s">
        <v>22</v>
      </c>
      <c r="O175" s="3622" t="s">
        <v>93</v>
      </c>
    </row>
    <row r="176" spans="1:16" ht="13.5" customHeight="1" thickBot="1">
      <c r="A176" s="3594"/>
      <c r="B176" s="812" t="s">
        <v>23</v>
      </c>
      <c r="C176" s="3597" t="s">
        <v>442</v>
      </c>
      <c r="D176" s="50">
        <f>+D177</f>
        <v>266870</v>
      </c>
      <c r="E176" s="50">
        <v>0</v>
      </c>
      <c r="F176" s="50">
        <f>F177</f>
        <v>79780</v>
      </c>
      <c r="G176" s="50">
        <f>G177</f>
        <v>187090</v>
      </c>
      <c r="H176" s="50"/>
      <c r="I176" s="50"/>
      <c r="J176" s="50"/>
      <c r="K176" s="50"/>
      <c r="L176" s="50"/>
      <c r="M176" s="3517"/>
      <c r="N176" s="3517"/>
      <c r="O176" s="3625"/>
    </row>
    <row r="177" spans="1:16" ht="13.5" customHeight="1" thickBot="1">
      <c r="A177" s="3594"/>
      <c r="B177" s="2843" t="s">
        <v>15</v>
      </c>
      <c r="C177" s="3599"/>
      <c r="D177" s="785">
        <f>SUM(E177:I177)</f>
        <v>266870</v>
      </c>
      <c r="E177" s="1884">
        <v>0</v>
      </c>
      <c r="F177" s="1884">
        <f>79781-1</f>
        <v>79780</v>
      </c>
      <c r="G177" s="1884">
        <f>150673+36417</f>
        <v>187090</v>
      </c>
      <c r="H177" s="1884"/>
      <c r="I177" s="1884"/>
      <c r="J177" s="1884"/>
      <c r="K177" s="1884"/>
      <c r="L177" s="1884"/>
      <c r="M177" s="3517"/>
      <c r="N177" s="3517"/>
      <c r="O177" s="3625"/>
    </row>
    <row r="178" spans="1:16" ht="12" customHeight="1" thickBot="1">
      <c r="A178" s="3594"/>
      <c r="B178" s="1897" t="s">
        <v>18</v>
      </c>
      <c r="C178" s="3599"/>
      <c r="D178" s="523">
        <f t="shared" ref="D178:G178" si="111">+D179</f>
        <v>11830293</v>
      </c>
      <c r="E178" s="1886">
        <f t="shared" si="111"/>
        <v>0</v>
      </c>
      <c r="F178" s="1886">
        <f t="shared" si="111"/>
        <v>621112</v>
      </c>
      <c r="G178" s="1886">
        <f t="shared" si="111"/>
        <v>11209181</v>
      </c>
      <c r="H178" s="1886"/>
      <c r="I178" s="1886"/>
      <c r="J178" s="1886"/>
      <c r="K178" s="1886"/>
      <c r="L178" s="1886"/>
      <c r="M178" s="3517"/>
      <c r="N178" s="3517"/>
      <c r="O178" s="3625"/>
    </row>
    <row r="179" spans="1:16" ht="13.5" customHeight="1" thickBot="1">
      <c r="A179" s="3594"/>
      <c r="B179" s="674" t="s">
        <v>20</v>
      </c>
      <c r="C179" s="3600"/>
      <c r="D179" s="2031">
        <f>E179+F179+G179+H179+I179+J179+K179+L179</f>
        <v>11830293</v>
      </c>
      <c r="E179" s="2031">
        <v>0</v>
      </c>
      <c r="F179" s="1662">
        <f>14164000-10486520+534253-1388381-2193352-8888</f>
        <v>621112</v>
      </c>
      <c r="G179" s="1662">
        <f>1000000+10424920-705956+1388381+796442+5394-1700000</f>
        <v>11209181</v>
      </c>
      <c r="H179" s="1662"/>
      <c r="I179" s="1662"/>
      <c r="J179" s="1662"/>
      <c r="K179" s="1662"/>
      <c r="L179" s="1662"/>
      <c r="M179" s="3518"/>
      <c r="N179" s="3518"/>
      <c r="O179" s="3623"/>
    </row>
    <row r="180" spans="1:16" ht="24.75" thickBot="1">
      <c r="A180" s="3593" t="s">
        <v>59</v>
      </c>
      <c r="B180" s="72" t="s">
        <v>564</v>
      </c>
      <c r="C180" s="56" t="s">
        <v>73</v>
      </c>
      <c r="D180" s="1081"/>
      <c r="E180" s="2752"/>
      <c r="F180" s="2752"/>
      <c r="G180" s="2752"/>
      <c r="H180" s="2752"/>
      <c r="I180" s="2752"/>
      <c r="J180" s="2752"/>
      <c r="K180" s="2752"/>
      <c r="L180" s="41"/>
      <c r="M180" s="43"/>
      <c r="N180" s="43"/>
      <c r="O180" s="87"/>
      <c r="P180" s="2385" t="s">
        <v>259</v>
      </c>
    </row>
    <row r="181" spans="1:16" ht="13.5" thickBot="1">
      <c r="A181" s="3593"/>
      <c r="B181" s="539" t="s">
        <v>10</v>
      </c>
      <c r="C181" s="433"/>
      <c r="D181" s="807">
        <f>+D182+D185</f>
        <v>45446170</v>
      </c>
      <c r="E181" s="1885">
        <f>+E182+E185</f>
        <v>0</v>
      </c>
      <c r="F181" s="1885">
        <f>+F182+F185</f>
        <v>14408172</v>
      </c>
      <c r="G181" s="1885">
        <f>+G182+G185</f>
        <v>29937998</v>
      </c>
      <c r="H181" s="1885">
        <f>+H182+H185</f>
        <v>1100000</v>
      </c>
      <c r="I181" s="1885"/>
      <c r="J181" s="1885"/>
      <c r="K181" s="1885"/>
      <c r="L181" s="1885"/>
      <c r="M181" s="1878">
        <f>M182+M185</f>
        <v>45446170</v>
      </c>
      <c r="N181" s="1878">
        <f>N182+N185</f>
        <v>31037998</v>
      </c>
      <c r="O181" s="3618" t="s">
        <v>78</v>
      </c>
      <c r="P181" s="2389"/>
    </row>
    <row r="182" spans="1:16" ht="13.5" customHeight="1" thickBot="1">
      <c r="A182" s="3593"/>
      <c r="B182" s="515" t="s">
        <v>23</v>
      </c>
      <c r="C182" s="3560" t="s">
        <v>76</v>
      </c>
      <c r="D182" s="603">
        <f>+D183+D184</f>
        <v>8511188</v>
      </c>
      <c r="E182" s="603">
        <f>+E183+E184</f>
        <v>0</v>
      </c>
      <c r="F182" s="603">
        <f>+F183+F184</f>
        <v>2611259</v>
      </c>
      <c r="G182" s="603">
        <f>+G183+G184</f>
        <v>4799929</v>
      </c>
      <c r="H182" s="603">
        <f>+H183+H184</f>
        <v>1100000</v>
      </c>
      <c r="I182" s="603"/>
      <c r="J182" s="603"/>
      <c r="K182" s="603"/>
      <c r="L182" s="603"/>
      <c r="M182" s="522">
        <f>M183</f>
        <v>8511188</v>
      </c>
      <c r="N182" s="522">
        <f>N183</f>
        <v>5899929</v>
      </c>
      <c r="O182" s="3618"/>
      <c r="P182" s="2389"/>
    </row>
    <row r="183" spans="1:16" ht="13.5" thickBot="1">
      <c r="A183" s="3593"/>
      <c r="B183" s="814" t="s">
        <v>12</v>
      </c>
      <c r="C183" s="3595"/>
      <c r="D183" s="785">
        <f>E183+F183+G183+H183+I183+J183+K183+L183</f>
        <v>8511188</v>
      </c>
      <c r="E183" s="800">
        <v>0</v>
      </c>
      <c r="F183" s="800">
        <f>4500000-1204062+1962312-2646991</f>
        <v>2611259</v>
      </c>
      <c r="G183" s="800">
        <f>4215000+1785000+1171207-1962312+2646991-2670153-385804</f>
        <v>4799929</v>
      </c>
      <c r="H183" s="800">
        <v>1100000</v>
      </c>
      <c r="I183" s="800"/>
      <c r="J183" s="800"/>
      <c r="K183" s="800"/>
      <c r="L183" s="800"/>
      <c r="M183" s="808">
        <f>SUM(F183:K183)</f>
        <v>8511188</v>
      </c>
      <c r="N183" s="808">
        <f>SUM(G183:L183)</f>
        <v>5899929</v>
      </c>
      <c r="O183" s="3618"/>
      <c r="P183" s="2389"/>
    </row>
    <row r="184" spans="1:16" ht="10.5" hidden="1" customHeight="1">
      <c r="A184" s="3593"/>
      <c r="B184" s="1190" t="s">
        <v>15</v>
      </c>
      <c r="C184" s="3595"/>
      <c r="D184" s="785">
        <f>SUM(E184:I184)</f>
        <v>0</v>
      </c>
      <c r="E184" s="1900">
        <v>0</v>
      </c>
      <c r="F184" s="815"/>
      <c r="G184" s="815"/>
      <c r="H184" s="815"/>
      <c r="I184" s="815"/>
      <c r="J184" s="197"/>
      <c r="K184" s="197"/>
      <c r="L184" s="197"/>
      <c r="M184" s="67"/>
      <c r="N184" s="67"/>
      <c r="O184" s="3618"/>
    </row>
    <row r="185" spans="1:16" ht="12.75" customHeight="1" thickBot="1">
      <c r="A185" s="3593"/>
      <c r="B185" s="810" t="s">
        <v>18</v>
      </c>
      <c r="C185" s="3595"/>
      <c r="D185" s="523">
        <f>+D186</f>
        <v>36934982</v>
      </c>
      <c r="E185" s="1886">
        <f t="shared" ref="E185:H185" si="112">+E186</f>
        <v>0</v>
      </c>
      <c r="F185" s="1886">
        <f t="shared" si="112"/>
        <v>11796913</v>
      </c>
      <c r="G185" s="1886">
        <f t="shared" si="112"/>
        <v>25138069</v>
      </c>
      <c r="H185" s="1886">
        <f t="shared" si="112"/>
        <v>0</v>
      </c>
      <c r="I185" s="1886"/>
      <c r="J185" s="523"/>
      <c r="K185" s="523"/>
      <c r="L185" s="523"/>
      <c r="M185" s="522">
        <f>M186</f>
        <v>36934982</v>
      </c>
      <c r="N185" s="522">
        <f>N186</f>
        <v>25138069</v>
      </c>
      <c r="O185" s="3618"/>
    </row>
    <row r="186" spans="1:16" ht="13.5" thickBot="1">
      <c r="A186" s="3593"/>
      <c r="B186" s="327" t="s">
        <v>20</v>
      </c>
      <c r="C186" s="3596"/>
      <c r="D186" s="1891">
        <f>E186+F186+G186+H186+I186+J186+K186+L186</f>
        <v>36934982</v>
      </c>
      <c r="E186" s="800">
        <v>0</v>
      </c>
      <c r="F186" s="800">
        <f>38250000+85000-21335000+1110315-5313565-999837</f>
        <v>11796913</v>
      </c>
      <c r="G186" s="800">
        <f>13685000+11815000-1296496+5313565+999837-3861343-1517494</f>
        <v>25138069</v>
      </c>
      <c r="H186" s="1887">
        <v>0</v>
      </c>
      <c r="I186" s="1887"/>
      <c r="J186" s="589"/>
      <c r="K186" s="589"/>
      <c r="L186" s="589"/>
      <c r="M186" s="808">
        <f>SUM(F186:K186)</f>
        <v>36934982</v>
      </c>
      <c r="N186" s="808">
        <f>SUM(G186:L186)</f>
        <v>25138069</v>
      </c>
      <c r="O186" s="3619"/>
    </row>
    <row r="187" spans="1:16" ht="11.25" customHeight="1" thickBot="1">
      <c r="A187" s="3594"/>
      <c r="B187" s="19" t="s">
        <v>21</v>
      </c>
      <c r="C187" s="88"/>
      <c r="D187" s="97">
        <f t="shared" ref="D187:E187" si="113">+D188+D190</f>
        <v>36934982</v>
      </c>
      <c r="E187" s="224">
        <f t="shared" si="113"/>
        <v>0</v>
      </c>
      <c r="F187" s="224">
        <f>+F188+F190</f>
        <v>0</v>
      </c>
      <c r="G187" s="224">
        <f>+G188+G190</f>
        <v>33696736</v>
      </c>
      <c r="H187" s="224">
        <f>+H188+H190</f>
        <v>3238246</v>
      </c>
      <c r="I187" s="224"/>
      <c r="J187" s="224"/>
      <c r="K187" s="224"/>
      <c r="L187" s="224"/>
      <c r="M187" s="3604" t="s">
        <v>22</v>
      </c>
      <c r="N187" s="3604" t="s">
        <v>22</v>
      </c>
      <c r="O187" s="3622" t="s">
        <v>93</v>
      </c>
    </row>
    <row r="188" spans="1:16" ht="13.5" hidden="1" customHeight="1">
      <c r="A188" s="3594"/>
      <c r="B188" s="812" t="s">
        <v>23</v>
      </c>
      <c r="C188" s="3597" t="s">
        <v>192</v>
      </c>
      <c r="D188" s="50">
        <f>+D189</f>
        <v>0</v>
      </c>
      <c r="E188" s="251">
        <v>0</v>
      </c>
      <c r="F188" s="50"/>
      <c r="G188" s="50"/>
      <c r="H188" s="50"/>
      <c r="I188" s="50"/>
      <c r="J188" s="50"/>
      <c r="K188" s="50"/>
      <c r="L188" s="50"/>
      <c r="M188" s="3517"/>
      <c r="N188" s="3517"/>
      <c r="O188" s="3625"/>
    </row>
    <row r="189" spans="1:16" ht="13.5" hidden="1" customHeight="1">
      <c r="A189" s="3594"/>
      <c r="B189" s="90" t="s">
        <v>15</v>
      </c>
      <c r="C189" s="3599"/>
      <c r="D189" s="785">
        <f>SUM(E189:I189)</f>
        <v>0</v>
      </c>
      <c r="E189" s="1901">
        <v>0</v>
      </c>
      <c r="F189" s="1884"/>
      <c r="G189" s="1884"/>
      <c r="H189" s="1884"/>
      <c r="I189" s="1884"/>
      <c r="J189" s="1884"/>
      <c r="K189" s="1884"/>
      <c r="L189" s="1884"/>
      <c r="M189" s="3517"/>
      <c r="N189" s="3517"/>
      <c r="O189" s="3625"/>
    </row>
    <row r="190" spans="1:16" ht="12" customHeight="1" thickBot="1">
      <c r="A190" s="3594"/>
      <c r="B190" s="1897" t="s">
        <v>18</v>
      </c>
      <c r="C190" s="3599"/>
      <c r="D190" s="523">
        <f t="shared" ref="D190:H190" si="114">+D191</f>
        <v>36934982</v>
      </c>
      <c r="E190" s="1886">
        <f t="shared" si="114"/>
        <v>0</v>
      </c>
      <c r="F190" s="1886">
        <f t="shared" si="114"/>
        <v>0</v>
      </c>
      <c r="G190" s="1886">
        <f t="shared" si="114"/>
        <v>33696736</v>
      </c>
      <c r="H190" s="1886">
        <f t="shared" si="114"/>
        <v>3238246</v>
      </c>
      <c r="I190" s="1886"/>
      <c r="J190" s="1886"/>
      <c r="K190" s="1886"/>
      <c r="L190" s="1886"/>
      <c r="M190" s="3517"/>
      <c r="N190" s="3517"/>
      <c r="O190" s="3625"/>
    </row>
    <row r="191" spans="1:16" ht="13.5" customHeight="1" thickBot="1">
      <c r="A191" s="3594"/>
      <c r="B191" s="813" t="s">
        <v>20</v>
      </c>
      <c r="C191" s="3600"/>
      <c r="D191" s="1742">
        <f>E191+F191+G191+H191+I191+J191+K191+L191</f>
        <v>36934982</v>
      </c>
      <c r="E191" s="1742">
        <v>0</v>
      </c>
      <c r="F191" s="1662">
        <f>38335000-21335000+1110315-18110315</f>
        <v>0</v>
      </c>
      <c r="G191" s="1662">
        <f>13685000+11815000-1296496+18110315-11313819+2696736</f>
        <v>33696736</v>
      </c>
      <c r="H191" s="1662">
        <f>7452476-4214230</f>
        <v>3238246</v>
      </c>
      <c r="I191" s="1662"/>
      <c r="J191" s="1662"/>
      <c r="K191" s="1662"/>
      <c r="L191" s="1662"/>
      <c r="M191" s="3518"/>
      <c r="N191" s="3518"/>
      <c r="O191" s="3623"/>
    </row>
    <row r="192" spans="1:16" ht="24.75" customHeight="1" thickBot="1">
      <c r="A192" s="3593" t="s">
        <v>106</v>
      </c>
      <c r="B192" s="72" t="s">
        <v>500</v>
      </c>
      <c r="C192" s="56" t="s">
        <v>73</v>
      </c>
      <c r="D192" s="1081"/>
      <c r="E192" s="2752"/>
      <c r="F192" s="2752"/>
      <c r="G192" s="2752"/>
      <c r="H192" s="2752"/>
      <c r="I192" s="2752"/>
      <c r="J192" s="2752"/>
      <c r="K192" s="2752"/>
      <c r="L192" s="41"/>
      <c r="M192" s="43"/>
      <c r="N192" s="43"/>
      <c r="O192" s="87"/>
    </row>
    <row r="193" spans="1:16" ht="13.5" thickBot="1">
      <c r="A193" s="3593"/>
      <c r="B193" s="539" t="s">
        <v>10</v>
      </c>
      <c r="C193" s="612"/>
      <c r="D193" s="807">
        <f>+D194+D197</f>
        <v>110000000</v>
      </c>
      <c r="E193" s="571">
        <f t="shared" ref="E193" si="115">+E194+E197</f>
        <v>0</v>
      </c>
      <c r="F193" s="571">
        <f>+F194+F197</f>
        <v>0</v>
      </c>
      <c r="G193" s="571">
        <f>+G194+G197</f>
        <v>0</v>
      </c>
      <c r="H193" s="571">
        <f t="shared" ref="H193:J193" si="116">+H194+H197</f>
        <v>39650000</v>
      </c>
      <c r="I193" s="571">
        <f t="shared" si="116"/>
        <v>40350000</v>
      </c>
      <c r="J193" s="571">
        <f t="shared" si="116"/>
        <v>30000000</v>
      </c>
      <c r="K193" s="571"/>
      <c r="L193" s="571"/>
      <c r="M193" s="793">
        <f>M194+M197</f>
        <v>110000000</v>
      </c>
      <c r="N193" s="793">
        <f>N194+N197</f>
        <v>110000000</v>
      </c>
      <c r="O193" s="3618" t="s">
        <v>78</v>
      </c>
      <c r="P193" s="2389"/>
    </row>
    <row r="194" spans="1:16" ht="13.5" customHeight="1" thickBot="1">
      <c r="A194" s="3593"/>
      <c r="B194" s="515" t="s">
        <v>23</v>
      </c>
      <c r="C194" s="3560" t="s">
        <v>76</v>
      </c>
      <c r="D194" s="603">
        <f>+D195+D196</f>
        <v>16627500</v>
      </c>
      <c r="E194" s="603">
        <f t="shared" ref="E194" si="117">+E195+E196</f>
        <v>0</v>
      </c>
      <c r="F194" s="603">
        <f>+F195+F196</f>
        <v>0</v>
      </c>
      <c r="G194" s="603">
        <f>+G195+G196</f>
        <v>0</v>
      </c>
      <c r="H194" s="603">
        <f t="shared" ref="H194:J194" si="118">+H195+H196</f>
        <v>6075000</v>
      </c>
      <c r="I194" s="603">
        <f t="shared" si="118"/>
        <v>6052500</v>
      </c>
      <c r="J194" s="603">
        <f t="shared" si="118"/>
        <v>4500000</v>
      </c>
      <c r="K194" s="603"/>
      <c r="L194" s="603"/>
      <c r="M194" s="522">
        <f>M195</f>
        <v>16627500</v>
      </c>
      <c r="N194" s="522">
        <f>N195</f>
        <v>16627500</v>
      </c>
      <c r="O194" s="3618"/>
      <c r="P194" s="2389"/>
    </row>
    <row r="195" spans="1:16" ht="11.25" customHeight="1" thickBot="1">
      <c r="A195" s="3593"/>
      <c r="B195" s="814" t="s">
        <v>12</v>
      </c>
      <c r="C195" s="3595"/>
      <c r="D195" s="236">
        <f>E195+F195+G195+H195+I195+J195+K195+L195</f>
        <v>16627500</v>
      </c>
      <c r="E195" s="266"/>
      <c r="F195" s="800"/>
      <c r="G195" s="800">
        <f>200000-200000</f>
        <v>0</v>
      </c>
      <c r="H195" s="800">
        <f>5875000+200000</f>
        <v>6075000</v>
      </c>
      <c r="I195" s="800">
        <v>6052500</v>
      </c>
      <c r="J195" s="800">
        <v>4500000</v>
      </c>
      <c r="K195" s="800"/>
      <c r="L195" s="800"/>
      <c r="M195" s="808">
        <f>SUM(F195:K195)</f>
        <v>16627500</v>
      </c>
      <c r="N195" s="808">
        <f>SUM(G195:L195)</f>
        <v>16627500</v>
      </c>
      <c r="O195" s="3618"/>
      <c r="P195" s="2389"/>
    </row>
    <row r="196" spans="1:16" ht="10.5" hidden="1" customHeight="1">
      <c r="A196" s="3593"/>
      <c r="B196" s="1190" t="s">
        <v>15</v>
      </c>
      <c r="C196" s="3595"/>
      <c r="D196" s="785">
        <f>SUM(E196:I196)</f>
        <v>0</v>
      </c>
      <c r="E196" s="1900">
        <v>0</v>
      </c>
      <c r="F196" s="815"/>
      <c r="G196" s="815"/>
      <c r="H196" s="815"/>
      <c r="I196" s="815"/>
      <c r="J196" s="197"/>
      <c r="K196" s="197"/>
      <c r="L196" s="197"/>
      <c r="M196" s="67"/>
      <c r="N196" s="67"/>
      <c r="O196" s="3618"/>
    </row>
    <row r="197" spans="1:16" ht="12.75" customHeight="1" thickBot="1">
      <c r="A197" s="3593"/>
      <c r="B197" s="810" t="s">
        <v>18</v>
      </c>
      <c r="C197" s="3595"/>
      <c r="D197" s="523">
        <f>+D198</f>
        <v>93372500</v>
      </c>
      <c r="E197" s="798">
        <f t="shared" ref="E197:J197" si="119">+E198</f>
        <v>0</v>
      </c>
      <c r="F197" s="798">
        <f t="shared" si="119"/>
        <v>0</v>
      </c>
      <c r="G197" s="798">
        <f t="shared" si="119"/>
        <v>0</v>
      </c>
      <c r="H197" s="798">
        <f t="shared" si="119"/>
        <v>33575000</v>
      </c>
      <c r="I197" s="798">
        <f t="shared" si="119"/>
        <v>34297500</v>
      </c>
      <c r="J197" s="798">
        <f t="shared" si="119"/>
        <v>25500000</v>
      </c>
      <c r="K197" s="523"/>
      <c r="L197" s="523"/>
      <c r="M197" s="522">
        <f>M198</f>
        <v>93372500</v>
      </c>
      <c r="N197" s="522">
        <f>N198</f>
        <v>93372500</v>
      </c>
      <c r="O197" s="3618"/>
    </row>
    <row r="198" spans="1:16" ht="12" customHeight="1" thickBot="1">
      <c r="A198" s="3593"/>
      <c r="B198" s="814" t="s">
        <v>20</v>
      </c>
      <c r="C198" s="3596"/>
      <c r="D198" s="1393">
        <f>E198+F198+G198+H198+I198+J198+K198+L198</f>
        <v>93372500</v>
      </c>
      <c r="E198" s="266"/>
      <c r="F198" s="800"/>
      <c r="G198" s="800">
        <f>850000-850000</f>
        <v>0</v>
      </c>
      <c r="H198" s="590">
        <f>32725000+850000</f>
        <v>33575000</v>
      </c>
      <c r="I198" s="590">
        <v>34297500</v>
      </c>
      <c r="J198" s="589">
        <v>25500000</v>
      </c>
      <c r="K198" s="589"/>
      <c r="L198" s="589"/>
      <c r="M198" s="808">
        <f>SUM(F198:K198)</f>
        <v>93372500</v>
      </c>
      <c r="N198" s="808">
        <f>SUM(G198:L198)</f>
        <v>93372500</v>
      </c>
      <c r="O198" s="3619"/>
    </row>
    <row r="199" spans="1:16" ht="13.5" thickBot="1">
      <c r="A199" s="3594"/>
      <c r="B199" s="91" t="s">
        <v>21</v>
      </c>
      <c r="C199" s="88"/>
      <c r="D199" s="97">
        <f t="shared" ref="D199" si="120">+D200+D202</f>
        <v>93372500</v>
      </c>
      <c r="E199" s="224">
        <f t="shared" ref="E199" si="121">+E200+E202</f>
        <v>0</v>
      </c>
      <c r="F199" s="224">
        <f>+F200+F202</f>
        <v>0</v>
      </c>
      <c r="G199" s="224">
        <f>+G200+G202</f>
        <v>0</v>
      </c>
      <c r="H199" s="224">
        <f t="shared" ref="H199:J199" si="122">+H200+H202</f>
        <v>33575000</v>
      </c>
      <c r="I199" s="224">
        <f t="shared" si="122"/>
        <v>34297500</v>
      </c>
      <c r="J199" s="224">
        <f t="shared" si="122"/>
        <v>25500000</v>
      </c>
      <c r="K199" s="224"/>
      <c r="L199" s="224"/>
      <c r="M199" s="3604" t="s">
        <v>22</v>
      </c>
      <c r="N199" s="3604" t="s">
        <v>22</v>
      </c>
      <c r="O199" s="3622" t="s">
        <v>93</v>
      </c>
    </row>
    <row r="200" spans="1:16" ht="13.5" hidden="1" thickBot="1">
      <c r="A200" s="3594"/>
      <c r="B200" s="812" t="s">
        <v>23</v>
      </c>
      <c r="C200" s="3597" t="s">
        <v>192</v>
      </c>
      <c r="D200" s="50">
        <f>+D201</f>
        <v>0</v>
      </c>
      <c r="E200" s="50">
        <f t="shared" ref="E200" si="123">+E201</f>
        <v>0</v>
      </c>
      <c r="F200" s="50"/>
      <c r="G200" s="50"/>
      <c r="H200" s="50"/>
      <c r="I200" s="50"/>
      <c r="J200" s="50"/>
      <c r="K200" s="50"/>
      <c r="L200" s="50"/>
      <c r="M200" s="3517"/>
      <c r="N200" s="3518"/>
      <c r="O200" s="3623"/>
    </row>
    <row r="201" spans="1:16" ht="13.5" hidden="1" thickBot="1">
      <c r="A201" s="3594"/>
      <c r="B201" s="90" t="s">
        <v>15</v>
      </c>
      <c r="C201" s="3600"/>
      <c r="D201" s="785">
        <f>SUM(E201:I201)</f>
        <v>0</v>
      </c>
      <c r="E201" s="797">
        <v>0</v>
      </c>
      <c r="F201" s="797"/>
      <c r="G201" s="797"/>
      <c r="H201" s="797"/>
      <c r="I201" s="797"/>
      <c r="J201" s="797"/>
      <c r="K201" s="797"/>
      <c r="L201" s="797"/>
      <c r="M201" s="3517"/>
      <c r="N201" s="3605"/>
      <c r="O201" s="3624"/>
    </row>
    <row r="202" spans="1:16" ht="12" customHeight="1" thickBot="1">
      <c r="A202" s="3594"/>
      <c r="B202" s="1897" t="s">
        <v>18</v>
      </c>
      <c r="C202" s="3626"/>
      <c r="D202" s="523">
        <f t="shared" ref="D202:J202" si="124">+D203</f>
        <v>93372500</v>
      </c>
      <c r="E202" s="798">
        <f t="shared" si="124"/>
        <v>0</v>
      </c>
      <c r="F202" s="798">
        <f t="shared" si="124"/>
        <v>0</v>
      </c>
      <c r="G202" s="798">
        <f t="shared" si="124"/>
        <v>0</v>
      </c>
      <c r="H202" s="798">
        <f t="shared" si="124"/>
        <v>33575000</v>
      </c>
      <c r="I202" s="798">
        <f t="shared" si="124"/>
        <v>34297500</v>
      </c>
      <c r="J202" s="798">
        <f t="shared" si="124"/>
        <v>25500000</v>
      </c>
      <c r="K202" s="798"/>
      <c r="L202" s="798"/>
      <c r="M202" s="3517"/>
      <c r="N202" s="3605"/>
      <c r="O202" s="3624"/>
    </row>
    <row r="203" spans="1:16" ht="13.5" thickBot="1">
      <c r="A203" s="3594"/>
      <c r="B203" s="813" t="s">
        <v>20</v>
      </c>
      <c r="C203" s="3626"/>
      <c r="D203" s="236">
        <f>E203+F203+G203+H203+I203+J203+K203+L203</f>
        <v>93372500</v>
      </c>
      <c r="E203" s="266">
        <v>0</v>
      </c>
      <c r="F203" s="415">
        <v>0</v>
      </c>
      <c r="G203" s="415">
        <v>0</v>
      </c>
      <c r="H203" s="415">
        <v>33575000</v>
      </c>
      <c r="I203" s="415">
        <v>34297500</v>
      </c>
      <c r="J203" s="415">
        <v>25500000</v>
      </c>
      <c r="K203" s="415"/>
      <c r="L203" s="415"/>
      <c r="M203" s="3518"/>
      <c r="N203" s="3605"/>
      <c r="O203" s="3624"/>
    </row>
    <row r="204" spans="1:16" ht="24.75" customHeight="1" thickBot="1">
      <c r="A204" s="3512" t="s">
        <v>79</v>
      </c>
      <c r="B204" s="372" t="s">
        <v>565</v>
      </c>
      <c r="C204" s="1411" t="s">
        <v>73</v>
      </c>
      <c r="D204" s="2776"/>
      <c r="E204" s="2752"/>
      <c r="F204" s="2752"/>
      <c r="G204" s="2752"/>
      <c r="H204" s="2752"/>
      <c r="I204" s="2752"/>
      <c r="J204" s="2752"/>
      <c r="K204" s="2752"/>
      <c r="L204" s="41"/>
      <c r="M204" s="43"/>
      <c r="N204" s="3385"/>
      <c r="O204" s="3621" t="s">
        <v>78</v>
      </c>
    </row>
    <row r="205" spans="1:16" ht="13.5" thickBot="1">
      <c r="A205" s="3513"/>
      <c r="B205" s="417" t="s">
        <v>10</v>
      </c>
      <c r="C205" s="3386"/>
      <c r="D205" s="114">
        <f>+D206+D209</f>
        <v>23642533</v>
      </c>
      <c r="E205" s="114">
        <f t="shared" ref="E205" si="125">+E206+E209</f>
        <v>598614</v>
      </c>
      <c r="F205" s="114">
        <f t="shared" ref="F205:H205" si="126">+F206+F209</f>
        <v>2091120</v>
      </c>
      <c r="G205" s="114">
        <f t="shared" si="126"/>
        <v>10664710</v>
      </c>
      <c r="H205" s="114">
        <f t="shared" si="126"/>
        <v>10288089</v>
      </c>
      <c r="I205" s="114"/>
      <c r="J205" s="114"/>
      <c r="K205" s="114"/>
      <c r="L205" s="114"/>
      <c r="M205" s="3387">
        <f>+M206+M209</f>
        <v>23043919</v>
      </c>
      <c r="N205" s="533">
        <f>+N206+N209</f>
        <v>20952799</v>
      </c>
      <c r="O205" s="3621"/>
      <c r="P205" s="2385" t="s">
        <v>346</v>
      </c>
    </row>
    <row r="206" spans="1:16" ht="13.5" customHeight="1" thickBot="1">
      <c r="A206" s="3513"/>
      <c r="B206" s="545" t="s">
        <v>23</v>
      </c>
      <c r="C206" s="3580" t="s">
        <v>76</v>
      </c>
      <c r="D206" s="1397">
        <f>+D207+D208</f>
        <v>8793718</v>
      </c>
      <c r="E206" s="1397">
        <f t="shared" ref="E206" si="127">+E207</f>
        <v>598614</v>
      </c>
      <c r="F206" s="1397">
        <f>+F207+F208</f>
        <v>1120337</v>
      </c>
      <c r="G206" s="1397">
        <f>+G207+G208</f>
        <v>2917334</v>
      </c>
      <c r="H206" s="1397">
        <f>+H207+H208</f>
        <v>4157433</v>
      </c>
      <c r="I206" s="1397"/>
      <c r="J206" s="1397"/>
      <c r="K206" s="1397"/>
      <c r="L206" s="1397"/>
      <c r="M206" s="1398">
        <f>+M207+M208</f>
        <v>8195104</v>
      </c>
      <c r="N206" s="1398">
        <f>+N207+N208</f>
        <v>7074767</v>
      </c>
      <c r="O206" s="3621"/>
      <c r="P206" s="2389"/>
    </row>
    <row r="207" spans="1:16" ht="13.5" thickBot="1">
      <c r="A207" s="3513"/>
      <c r="B207" s="600" t="s">
        <v>12</v>
      </c>
      <c r="C207" s="3581"/>
      <c r="D207" s="1288">
        <f>E207+F207+G207+H207+I207+J207+K207+L207</f>
        <v>718614</v>
      </c>
      <c r="E207" s="1334">
        <v>598614</v>
      </c>
      <c r="F207" s="1373">
        <f>2960680-2945680+5000-13764</f>
        <v>6236</v>
      </c>
      <c r="G207" s="1373">
        <v>113764</v>
      </c>
      <c r="H207" s="1373"/>
      <c r="I207" s="1373"/>
      <c r="J207" s="1373"/>
      <c r="K207" s="1373"/>
      <c r="L207" s="1373"/>
      <c r="M207" s="808">
        <f>SUM(F207:K207)</f>
        <v>120000</v>
      </c>
      <c r="N207" s="808">
        <f>SUM(G207:L207)</f>
        <v>113764</v>
      </c>
      <c r="O207" s="3621"/>
    </row>
    <row r="208" spans="1:16" ht="13.5" thickBot="1">
      <c r="A208" s="3513"/>
      <c r="B208" s="2844" t="s">
        <v>15</v>
      </c>
      <c r="C208" s="3581"/>
      <c r="D208" s="1288">
        <f>E208+F208+G208+H208+I208+J208+K208+L208</f>
        <v>8075104</v>
      </c>
      <c r="E208" s="1334">
        <v>0</v>
      </c>
      <c r="F208" s="826">
        <f>4895843-1267664-2000000-514078</f>
        <v>1114101</v>
      </c>
      <c r="G208" s="826">
        <f>4774157+1267664-1486774+514078-2265555</f>
        <v>2803570</v>
      </c>
      <c r="H208" s="826">
        <f>2426653+1730780</f>
        <v>4157433</v>
      </c>
      <c r="I208" s="826"/>
      <c r="J208" s="826"/>
      <c r="K208" s="826"/>
      <c r="L208" s="826"/>
      <c r="M208" s="808">
        <f>SUM(F208:K208)</f>
        <v>8075104</v>
      </c>
      <c r="N208" s="808">
        <f>SUM(G208:L208)</f>
        <v>6961003</v>
      </c>
      <c r="O208" s="3621"/>
    </row>
    <row r="209" spans="1:17" ht="13.5" customHeight="1" thickBot="1">
      <c r="A209" s="3513"/>
      <c r="B209" s="547" t="s">
        <v>18</v>
      </c>
      <c r="C209" s="3581"/>
      <c r="D209" s="1360">
        <f>+D210</f>
        <v>14848815</v>
      </c>
      <c r="E209" s="1360">
        <f t="shared" ref="E209:H209" si="128">+E210</f>
        <v>0</v>
      </c>
      <c r="F209" s="1360">
        <f t="shared" si="128"/>
        <v>970783</v>
      </c>
      <c r="G209" s="1360">
        <f t="shared" si="128"/>
        <v>7747376</v>
      </c>
      <c r="H209" s="1360">
        <f t="shared" si="128"/>
        <v>6130656</v>
      </c>
      <c r="I209" s="1360"/>
      <c r="J209" s="1360"/>
      <c r="K209" s="1360"/>
      <c r="L209" s="1360"/>
      <c r="M209" s="1361">
        <f>+M210</f>
        <v>14848815</v>
      </c>
      <c r="N209" s="1361">
        <f>+N210</f>
        <v>13878032</v>
      </c>
      <c r="O209" s="3621"/>
    </row>
    <row r="210" spans="1:17">
      <c r="A210" s="3513"/>
      <c r="B210" s="1375" t="s">
        <v>20</v>
      </c>
      <c r="C210" s="3582"/>
      <c r="D210" s="1288">
        <f>E210+F210+G210+H210+I210+J210+K210+L210</f>
        <v>14848815</v>
      </c>
      <c r="E210" s="1334">
        <v>0</v>
      </c>
      <c r="F210" s="1373">
        <f>5649157-3777336-901038</f>
        <v>970783</v>
      </c>
      <c r="G210" s="1373">
        <f>14225843+3777336-5026185+901038-6130656</f>
        <v>7747376</v>
      </c>
      <c r="H210" s="1373">
        <v>6130656</v>
      </c>
      <c r="I210" s="1373"/>
      <c r="J210" s="1373"/>
      <c r="K210" s="1373"/>
      <c r="L210" s="1373"/>
      <c r="M210" s="808">
        <f>SUM(F210:K210)</f>
        <v>14848815</v>
      </c>
      <c r="N210" s="808">
        <f>SUM(G210:L210)</f>
        <v>13878032</v>
      </c>
      <c r="O210" s="3710"/>
    </row>
    <row r="211" spans="1:17" ht="13.5" thickBot="1">
      <c r="A211" s="3513"/>
      <c r="B211" s="417" t="s">
        <v>21</v>
      </c>
      <c r="C211" s="519"/>
      <c r="D211" s="1357">
        <f>+D214+D212</f>
        <v>22923919</v>
      </c>
      <c r="E211" s="1357">
        <f t="shared" ref="E211" si="129">+E214+E212</f>
        <v>0</v>
      </c>
      <c r="F211" s="1357">
        <f t="shared" ref="F211" si="130">+F214+F212</f>
        <v>2985504</v>
      </c>
      <c r="G211" s="1357">
        <f t="shared" ref="G211:H211" si="131">+G214+G212</f>
        <v>11302970</v>
      </c>
      <c r="H211" s="1357">
        <f t="shared" si="131"/>
        <v>8635445</v>
      </c>
      <c r="I211" s="1357"/>
      <c r="J211" s="1357"/>
      <c r="K211" s="1357"/>
      <c r="L211" s="1357"/>
      <c r="M211" s="3559" t="s">
        <v>22</v>
      </c>
      <c r="N211" s="3559" t="s">
        <v>22</v>
      </c>
      <c r="O211" s="3572" t="s">
        <v>93</v>
      </c>
      <c r="P211" s="2389"/>
      <c r="Q211" s="2389">
        <v>-1230552</v>
      </c>
    </row>
    <row r="212" spans="1:17" ht="12" customHeight="1" thickBot="1">
      <c r="A212" s="3513"/>
      <c r="B212" s="1376" t="s">
        <v>23</v>
      </c>
      <c r="C212" s="3522" t="s">
        <v>441</v>
      </c>
      <c r="D212" s="1360">
        <f>+D213</f>
        <v>8075104</v>
      </c>
      <c r="E212" s="1360">
        <f t="shared" ref="E212:H212" si="132">+E213</f>
        <v>0</v>
      </c>
      <c r="F212" s="1360">
        <f t="shared" si="132"/>
        <v>1114101</v>
      </c>
      <c r="G212" s="1360">
        <f t="shared" si="132"/>
        <v>2803570</v>
      </c>
      <c r="H212" s="1360">
        <f t="shared" si="132"/>
        <v>4157433</v>
      </c>
      <c r="I212" s="1360"/>
      <c r="J212" s="1360"/>
      <c r="K212" s="1360"/>
      <c r="L212" s="1360"/>
      <c r="M212" s="3549"/>
      <c r="N212" s="3549"/>
      <c r="O212" s="3612"/>
    </row>
    <row r="213" spans="1:17" ht="12" customHeight="1" thickBot="1">
      <c r="A213" s="3513"/>
      <c r="B213" s="1387" t="s">
        <v>15</v>
      </c>
      <c r="C213" s="3566"/>
      <c r="D213" s="1288">
        <f>E213+F213+G213+H213+I213+J213+K213+L213</f>
        <v>8075104</v>
      </c>
      <c r="E213" s="1334">
        <v>0</v>
      </c>
      <c r="F213" s="1303">
        <f>4895843-1267664-2000000-514078</f>
        <v>1114101</v>
      </c>
      <c r="G213" s="1303">
        <f>4774157+1267664-1486774+514078-2265555</f>
        <v>2803570</v>
      </c>
      <c r="H213" s="1303">
        <f>2426653+1730780</f>
        <v>4157433</v>
      </c>
      <c r="I213" s="1303"/>
      <c r="J213" s="1303"/>
      <c r="K213" s="1303"/>
      <c r="L213" s="1303"/>
      <c r="M213" s="3549"/>
      <c r="N213" s="3549"/>
      <c r="O213" s="3612"/>
    </row>
    <row r="214" spans="1:17" s="3379" customFormat="1">
      <c r="A214" s="3513"/>
      <c r="B214" s="547" t="s">
        <v>18</v>
      </c>
      <c r="C214" s="3566"/>
      <c r="D214" s="1378">
        <f>+D215</f>
        <v>14848815</v>
      </c>
      <c r="E214" s="1378">
        <f t="shared" ref="E214:H214" si="133">+E215</f>
        <v>0</v>
      </c>
      <c r="F214" s="1378">
        <f t="shared" si="133"/>
        <v>1871403</v>
      </c>
      <c r="G214" s="1378">
        <f t="shared" si="133"/>
        <v>8499400</v>
      </c>
      <c r="H214" s="1378">
        <f t="shared" si="133"/>
        <v>4478012</v>
      </c>
      <c r="I214" s="1378"/>
      <c r="J214" s="1378"/>
      <c r="K214" s="1378"/>
      <c r="L214" s="1378"/>
      <c r="M214" s="3549"/>
      <c r="N214" s="3549"/>
      <c r="O214" s="3620"/>
    </row>
    <row r="215" spans="1:17" s="3379" customFormat="1" ht="13.5" thickBot="1">
      <c r="A215" s="3579"/>
      <c r="B215" s="813" t="s">
        <v>20</v>
      </c>
      <c r="C215" s="3567"/>
      <c r="D215" s="779">
        <f>E215+F215+G215+H215+I215+J215+K215+L215</f>
        <v>14848815</v>
      </c>
      <c r="E215" s="779">
        <v>0</v>
      </c>
      <c r="F215" s="414">
        <f>5649157-3777336-418</f>
        <v>1871403</v>
      </c>
      <c r="G215" s="414">
        <f>14225843+3777336-5026185+418-6091962+1613950</f>
        <v>8499400</v>
      </c>
      <c r="H215" s="414">
        <f>6091962-1613950</f>
        <v>4478012</v>
      </c>
      <c r="I215" s="414"/>
      <c r="J215" s="414"/>
      <c r="K215" s="414"/>
      <c r="L215" s="414"/>
      <c r="M215" s="3550"/>
      <c r="N215" s="3550"/>
      <c r="O215" s="3572"/>
    </row>
    <row r="216" spans="1:17" ht="36.75" customHeight="1">
      <c r="A216" s="3512" t="s">
        <v>80</v>
      </c>
      <c r="B216" s="372" t="s">
        <v>566</v>
      </c>
      <c r="C216" s="56" t="s">
        <v>73</v>
      </c>
      <c r="D216" s="2776"/>
      <c r="E216" s="2752"/>
      <c r="F216" s="2752"/>
      <c r="G216" s="2752"/>
      <c r="H216" s="2752"/>
      <c r="I216" s="2752"/>
      <c r="J216" s="2752"/>
      <c r="K216" s="2752"/>
      <c r="L216" s="41"/>
      <c r="M216" s="43"/>
      <c r="N216" s="43"/>
      <c r="O216" s="3540" t="s">
        <v>78</v>
      </c>
    </row>
    <row r="217" spans="1:17">
      <c r="A217" s="3513"/>
      <c r="B217" s="2131" t="s">
        <v>10</v>
      </c>
      <c r="C217" s="2845"/>
      <c r="D217" s="801">
        <f>+D218+D221</f>
        <v>27596585</v>
      </c>
      <c r="E217" s="801">
        <f t="shared" ref="E217" si="134">+E218+E221</f>
        <v>813504</v>
      </c>
      <c r="F217" s="801">
        <f t="shared" ref="F217" si="135">+F218+F221</f>
        <v>635700</v>
      </c>
      <c r="G217" s="801">
        <f t="shared" ref="G217:H217" si="136">+G218+G221</f>
        <v>1891480</v>
      </c>
      <c r="H217" s="801">
        <f t="shared" si="136"/>
        <v>24255901</v>
      </c>
      <c r="I217" s="801"/>
      <c r="J217" s="801"/>
      <c r="K217" s="801"/>
      <c r="L217" s="801"/>
      <c r="M217" s="1883">
        <f>+M218+M221</f>
        <v>26389281</v>
      </c>
      <c r="N217" s="1883">
        <f>+N218+N221</f>
        <v>26147381</v>
      </c>
      <c r="O217" s="3618"/>
      <c r="P217" s="2385" t="s">
        <v>259</v>
      </c>
    </row>
    <row r="218" spans="1:17" ht="13.5" customHeight="1">
      <c r="A218" s="3513"/>
      <c r="B218" s="2846" t="s">
        <v>23</v>
      </c>
      <c r="C218" s="3627" t="s">
        <v>76</v>
      </c>
      <c r="D218" s="587">
        <f>+D219+D220</f>
        <v>5257058</v>
      </c>
      <c r="E218" s="587">
        <f t="shared" ref="E218" si="137">+E219+E220</f>
        <v>813504</v>
      </c>
      <c r="F218" s="587">
        <f>+F219+F220</f>
        <v>485608</v>
      </c>
      <c r="G218" s="587">
        <f>+G219+G220</f>
        <v>288842</v>
      </c>
      <c r="H218" s="587">
        <f>+H219+H220</f>
        <v>3669104</v>
      </c>
      <c r="I218" s="587"/>
      <c r="J218" s="587"/>
      <c r="K218" s="587"/>
      <c r="L218" s="587"/>
      <c r="M218" s="607">
        <f>+M219</f>
        <v>4049754</v>
      </c>
      <c r="N218" s="607">
        <f>+N219</f>
        <v>3957946</v>
      </c>
      <c r="O218" s="3618"/>
      <c r="P218" s="2389"/>
    </row>
    <row r="219" spans="1:17" ht="13.5" customHeight="1">
      <c r="A219" s="3513"/>
      <c r="B219" s="2847" t="s">
        <v>12</v>
      </c>
      <c r="C219" s="3581"/>
      <c r="D219" s="785">
        <f>E219+F219+G219+H219+I219+J219+K219+L219</f>
        <v>4049800</v>
      </c>
      <c r="E219" s="800">
        <f>5494+46-5494</f>
        <v>46</v>
      </c>
      <c r="F219" s="589">
        <f>990000-518715-41200-338277</f>
        <v>91808</v>
      </c>
      <c r="G219" s="589">
        <f>2977500-2027520-661138</f>
        <v>288842</v>
      </c>
      <c r="H219" s="589">
        <f>518715+532459+1982022+635908</f>
        <v>3669104</v>
      </c>
      <c r="I219" s="589"/>
      <c r="J219" s="589"/>
      <c r="K219" s="589"/>
      <c r="L219" s="589"/>
      <c r="M219" s="808">
        <f>SUM(F219:K219)</f>
        <v>4049754</v>
      </c>
      <c r="N219" s="3388">
        <f>SUM(G219:L219)</f>
        <v>3957946</v>
      </c>
      <c r="O219" s="3618"/>
    </row>
    <row r="220" spans="1:17" ht="13.5" customHeight="1">
      <c r="A220" s="3513"/>
      <c r="B220" s="2844" t="s">
        <v>15</v>
      </c>
      <c r="C220" s="3581"/>
      <c r="D220" s="785">
        <f>E220+F220+G220+H220+I220+J220+K220+L220</f>
        <v>1207258</v>
      </c>
      <c r="E220" s="800">
        <f>807828+136+5494</f>
        <v>813458</v>
      </c>
      <c r="F220" s="826">
        <v>393800</v>
      </c>
      <c r="G220" s="826">
        <v>0</v>
      </c>
      <c r="H220" s="826"/>
      <c r="I220" s="826"/>
      <c r="J220" s="826"/>
      <c r="K220" s="826"/>
      <c r="L220" s="826"/>
      <c r="M220" s="808">
        <f>SUM(F220:K220)</f>
        <v>393800</v>
      </c>
      <c r="N220" s="3388">
        <f>SUM(G220:L220)</f>
        <v>0</v>
      </c>
      <c r="O220" s="3618"/>
    </row>
    <row r="221" spans="1:17" ht="13.5" customHeight="1">
      <c r="A221" s="3513"/>
      <c r="B221" s="3389" t="s">
        <v>18</v>
      </c>
      <c r="C221" s="3581"/>
      <c r="D221" s="523">
        <f>+D222</f>
        <v>22339527</v>
      </c>
      <c r="E221" s="523">
        <f t="shared" ref="E221:H221" si="138">+E222</f>
        <v>0</v>
      </c>
      <c r="F221" s="523">
        <f t="shared" si="138"/>
        <v>150092</v>
      </c>
      <c r="G221" s="523">
        <f t="shared" si="138"/>
        <v>1602638</v>
      </c>
      <c r="H221" s="523">
        <f t="shared" si="138"/>
        <v>20586797</v>
      </c>
      <c r="I221" s="523"/>
      <c r="J221" s="523"/>
      <c r="K221" s="523"/>
      <c r="L221" s="523"/>
      <c r="M221" s="522">
        <f>+M222</f>
        <v>22339527</v>
      </c>
      <c r="N221" s="607">
        <f>+N222</f>
        <v>22189435</v>
      </c>
      <c r="O221" s="3618"/>
    </row>
    <row r="222" spans="1:17" ht="13.5" customHeight="1">
      <c r="A222" s="3513"/>
      <c r="B222" s="553" t="s">
        <v>20</v>
      </c>
      <c r="C222" s="3582"/>
      <c r="D222" s="785">
        <f>E222+F222+G222+H222+I222+J222+K222+L222</f>
        <v>22339527</v>
      </c>
      <c r="E222" s="800">
        <v>0</v>
      </c>
      <c r="F222" s="589">
        <f>5610000-5319385-85000-55523</f>
        <v>150092</v>
      </c>
      <c r="G222" s="589">
        <f>16872500-11640936-3628926</f>
        <v>1602638</v>
      </c>
      <c r="H222" s="589">
        <f>5319385+85000+11696459+3485953</f>
        <v>20586797</v>
      </c>
      <c r="I222" s="589"/>
      <c r="J222" s="589"/>
      <c r="K222" s="589"/>
      <c r="L222" s="589"/>
      <c r="M222" s="808">
        <f>SUM(F222:K222)</f>
        <v>22339527</v>
      </c>
      <c r="N222" s="3388">
        <f>SUM(G222:L222)</f>
        <v>22189435</v>
      </c>
      <c r="O222" s="3619"/>
    </row>
    <row r="223" spans="1:17">
      <c r="A223" s="3513"/>
      <c r="B223" s="2131" t="s">
        <v>21</v>
      </c>
      <c r="C223" s="519"/>
      <c r="D223" s="584">
        <f>+D226+D224</f>
        <v>23546785</v>
      </c>
      <c r="E223" s="584">
        <f t="shared" ref="E223" si="139">+E226+E224</f>
        <v>807964</v>
      </c>
      <c r="F223" s="584">
        <f t="shared" ref="F223:H223" si="140">+F226+F224</f>
        <v>0</v>
      </c>
      <c r="G223" s="584">
        <f t="shared" si="140"/>
        <v>5746726</v>
      </c>
      <c r="H223" s="584">
        <f t="shared" si="140"/>
        <v>16992095</v>
      </c>
      <c r="I223" s="584"/>
      <c r="J223" s="584"/>
      <c r="K223" s="584"/>
      <c r="L223" s="584"/>
      <c r="M223" s="3548" t="s">
        <v>22</v>
      </c>
      <c r="N223" s="3548" t="s">
        <v>22</v>
      </c>
      <c r="O223" s="3570" t="s">
        <v>93</v>
      </c>
      <c r="P223" s="2389"/>
      <c r="Q223" s="2389">
        <v>-1230552</v>
      </c>
    </row>
    <row r="224" spans="1:17" ht="12" customHeight="1">
      <c r="A224" s="3513"/>
      <c r="B224" s="3384" t="s">
        <v>23</v>
      </c>
      <c r="C224" s="3560" t="s">
        <v>441</v>
      </c>
      <c r="D224" s="523">
        <f>+D225</f>
        <v>1207258</v>
      </c>
      <c r="E224" s="523">
        <f t="shared" ref="E224:H224" si="141">+E225</f>
        <v>807964</v>
      </c>
      <c r="F224" s="523">
        <f t="shared" si="141"/>
        <v>0</v>
      </c>
      <c r="G224" s="523">
        <f t="shared" si="141"/>
        <v>399294</v>
      </c>
      <c r="H224" s="523">
        <f t="shared" si="141"/>
        <v>0</v>
      </c>
      <c r="I224" s="523"/>
      <c r="J224" s="523"/>
      <c r="K224" s="523"/>
      <c r="L224" s="523"/>
      <c r="M224" s="3549"/>
      <c r="N224" s="3549"/>
      <c r="O224" s="3571"/>
    </row>
    <row r="225" spans="1:17" ht="12" customHeight="1">
      <c r="A225" s="3513"/>
      <c r="B225" s="1896" t="s">
        <v>15</v>
      </c>
      <c r="C225" s="3566"/>
      <c r="D225" s="785">
        <f>E225+F225+G225+H225+I225+J225+K225+L225</f>
        <v>1207258</v>
      </c>
      <c r="E225" s="800">
        <f>807828+136</f>
        <v>807964</v>
      </c>
      <c r="F225" s="1884"/>
      <c r="G225" s="1884">
        <v>399294</v>
      </c>
      <c r="H225" s="1884"/>
      <c r="I225" s="1884"/>
      <c r="J225" s="1884"/>
      <c r="K225" s="1884"/>
      <c r="L225" s="1884"/>
      <c r="M225" s="3549"/>
      <c r="N225" s="3549"/>
      <c r="O225" s="3571"/>
    </row>
    <row r="226" spans="1:17" s="3379" customFormat="1" ht="13.5" customHeight="1">
      <c r="A226" s="3513"/>
      <c r="B226" s="3389" t="s">
        <v>18</v>
      </c>
      <c r="C226" s="3566"/>
      <c r="D226" s="726">
        <f>+D227</f>
        <v>22339527</v>
      </c>
      <c r="E226" s="726">
        <f t="shared" ref="E226:H226" si="142">+E227</f>
        <v>0</v>
      </c>
      <c r="F226" s="726">
        <f t="shared" si="142"/>
        <v>0</v>
      </c>
      <c r="G226" s="726">
        <f t="shared" si="142"/>
        <v>5347432</v>
      </c>
      <c r="H226" s="726">
        <f t="shared" si="142"/>
        <v>16992095</v>
      </c>
      <c r="I226" s="726"/>
      <c r="J226" s="726"/>
      <c r="K226" s="726"/>
      <c r="L226" s="726"/>
      <c r="M226" s="3549"/>
      <c r="N226" s="3549"/>
      <c r="O226" s="3571"/>
    </row>
    <row r="227" spans="1:17" s="3379" customFormat="1" ht="13.5" thickBot="1">
      <c r="A227" s="3579"/>
      <c r="B227" s="813" t="s">
        <v>20</v>
      </c>
      <c r="C227" s="3567"/>
      <c r="D227" s="2031">
        <f>E227+F227+G227+H227+I227+J227+K227+L227</f>
        <v>22339527</v>
      </c>
      <c r="E227" s="2031">
        <v>0</v>
      </c>
      <c r="F227" s="414">
        <f>5610000-5610000</f>
        <v>0</v>
      </c>
      <c r="G227" s="414">
        <f>16872500+290615-85000-11696459-34224</f>
        <v>5347432</v>
      </c>
      <c r="H227" s="414">
        <f>5319385+85000+11696459-108749</f>
        <v>16992095</v>
      </c>
      <c r="I227" s="414"/>
      <c r="J227" s="414"/>
      <c r="K227" s="414"/>
      <c r="L227" s="414"/>
      <c r="M227" s="3550"/>
      <c r="N227" s="3550"/>
      <c r="O227" s="3572"/>
    </row>
    <row r="228" spans="1:17" ht="35.25" customHeight="1">
      <c r="A228" s="3512" t="s">
        <v>81</v>
      </c>
      <c r="B228" s="372" t="s">
        <v>567</v>
      </c>
      <c r="C228" s="56" t="s">
        <v>73</v>
      </c>
      <c r="D228" s="2776"/>
      <c r="E228" s="2752"/>
      <c r="F228" s="2752"/>
      <c r="G228" s="2752"/>
      <c r="H228" s="2752"/>
      <c r="I228" s="2752"/>
      <c r="J228" s="2752"/>
      <c r="K228" s="2752"/>
      <c r="L228" s="41"/>
      <c r="M228" s="43"/>
      <c r="N228" s="43"/>
      <c r="O228" s="3540" t="s">
        <v>78</v>
      </c>
    </row>
    <row r="229" spans="1:17" ht="13.5" customHeight="1">
      <c r="A229" s="3513"/>
      <c r="B229" s="417" t="s">
        <v>10</v>
      </c>
      <c r="C229" s="3390"/>
      <c r="D229" s="801">
        <f>+D230+D233</f>
        <v>8669814</v>
      </c>
      <c r="E229" s="801">
        <f t="shared" ref="E229" si="143">+E230+E233</f>
        <v>0</v>
      </c>
      <c r="F229" s="801">
        <f t="shared" ref="F229:G229" si="144">+F230+F233</f>
        <v>617780</v>
      </c>
      <c r="G229" s="801">
        <f t="shared" si="144"/>
        <v>8052034</v>
      </c>
      <c r="H229" s="801"/>
      <c r="I229" s="801"/>
      <c r="J229" s="801"/>
      <c r="K229" s="801"/>
      <c r="L229" s="801"/>
      <c r="M229" s="1883">
        <f>+M230+M233</f>
        <v>8669814</v>
      </c>
      <c r="N229" s="1883">
        <f>+N230+N233</f>
        <v>8052034</v>
      </c>
      <c r="O229" s="3618"/>
    </row>
    <row r="230" spans="1:17" ht="13.5" customHeight="1">
      <c r="A230" s="3513"/>
      <c r="B230" s="545" t="s">
        <v>23</v>
      </c>
      <c r="C230" s="3627" t="s">
        <v>76</v>
      </c>
      <c r="D230" s="587">
        <f>+D231+D232</f>
        <v>1782370</v>
      </c>
      <c r="E230" s="587">
        <f t="shared" ref="E230" si="145">+E231+E232</f>
        <v>0</v>
      </c>
      <c r="F230" s="587">
        <f>+F231+F232</f>
        <v>141638</v>
      </c>
      <c r="G230" s="587">
        <f>+G231+G232</f>
        <v>1640732</v>
      </c>
      <c r="H230" s="587"/>
      <c r="I230" s="587"/>
      <c r="J230" s="587"/>
      <c r="K230" s="587"/>
      <c r="L230" s="587"/>
      <c r="M230" s="607">
        <f>+M231+M232</f>
        <v>1782370</v>
      </c>
      <c r="N230" s="607">
        <f>+N231+N232</f>
        <v>1640732</v>
      </c>
      <c r="O230" s="3618"/>
      <c r="P230" s="2389"/>
    </row>
    <row r="231" spans="1:17">
      <c r="A231" s="3513"/>
      <c r="B231" s="600" t="s">
        <v>12</v>
      </c>
      <c r="C231" s="3581"/>
      <c r="D231" s="785">
        <f>E231+F231+G231+H231+I231+J231+K231+L231</f>
        <v>1273044</v>
      </c>
      <c r="E231" s="800">
        <v>0</v>
      </c>
      <c r="F231" s="589">
        <f>520000-5922-43134-329306</f>
        <v>141638</v>
      </c>
      <c r="G231" s="589">
        <f>1260000-17764-54248+329306-196264-189624</f>
        <v>1131406</v>
      </c>
      <c r="H231" s="589"/>
      <c r="I231" s="589"/>
      <c r="J231" s="589"/>
      <c r="K231" s="589"/>
      <c r="L231" s="589"/>
      <c r="M231" s="808">
        <f>SUM(F231:K231)</f>
        <v>1273044</v>
      </c>
      <c r="N231" s="808">
        <f>SUM(G231:L231)</f>
        <v>1131406</v>
      </c>
      <c r="O231" s="3618"/>
    </row>
    <row r="232" spans="1:17">
      <c r="A232" s="3513"/>
      <c r="B232" s="2844" t="s">
        <v>15</v>
      </c>
      <c r="C232" s="3581"/>
      <c r="D232" s="785">
        <f>E232+F232+G232+H232+I232+J232+K232+L232</f>
        <v>509326</v>
      </c>
      <c r="E232" s="2848">
        <v>0</v>
      </c>
      <c r="F232" s="826">
        <f>138882-138882</f>
        <v>0</v>
      </c>
      <c r="G232" s="826">
        <f>370445+138882-1</f>
        <v>509326</v>
      </c>
      <c r="H232" s="826"/>
      <c r="I232" s="826"/>
      <c r="J232" s="826"/>
      <c r="K232" s="826"/>
      <c r="L232" s="826"/>
      <c r="M232" s="808">
        <f>SUM(E232:K232)</f>
        <v>509326</v>
      </c>
      <c r="N232" s="808">
        <f>SUM(G232:L232)</f>
        <v>509326</v>
      </c>
      <c r="O232" s="3618"/>
    </row>
    <row r="233" spans="1:17" ht="13.5" customHeight="1">
      <c r="A233" s="3513"/>
      <c r="B233" s="547" t="s">
        <v>18</v>
      </c>
      <c r="C233" s="3581"/>
      <c r="D233" s="523">
        <f>+D234</f>
        <v>6887444</v>
      </c>
      <c r="E233" s="523">
        <f t="shared" ref="E233:G233" si="146">+E234</f>
        <v>0</v>
      </c>
      <c r="F233" s="523">
        <f t="shared" si="146"/>
        <v>476142</v>
      </c>
      <c r="G233" s="523">
        <f t="shared" si="146"/>
        <v>6411302</v>
      </c>
      <c r="H233" s="523"/>
      <c r="I233" s="523"/>
      <c r="J233" s="523"/>
      <c r="K233" s="523"/>
      <c r="L233" s="523"/>
      <c r="M233" s="522">
        <f>+M234</f>
        <v>6887444</v>
      </c>
      <c r="N233" s="522">
        <f>+N234</f>
        <v>6411302</v>
      </c>
      <c r="O233" s="3618"/>
    </row>
    <row r="234" spans="1:17">
      <c r="A234" s="3513"/>
      <c r="B234" s="553" t="s">
        <v>20</v>
      </c>
      <c r="C234" s="3582"/>
      <c r="D234" s="785">
        <f>E234+F234+G234+H234+I234+J234+K234+L234</f>
        <v>6887444</v>
      </c>
      <c r="E234" s="800">
        <v>0</v>
      </c>
      <c r="F234" s="589">
        <f>2380000-33554-226296-1644008</f>
        <v>476142</v>
      </c>
      <c r="G234" s="589">
        <f>7140000-100662-325542+1644008-1112161-834341</f>
        <v>6411302</v>
      </c>
      <c r="H234" s="589"/>
      <c r="I234" s="589"/>
      <c r="J234" s="589"/>
      <c r="K234" s="589"/>
      <c r="L234" s="589"/>
      <c r="M234" s="808">
        <f>SUM(F234:K234)</f>
        <v>6887444</v>
      </c>
      <c r="N234" s="808">
        <f>SUM(G234:L234)</f>
        <v>6411302</v>
      </c>
      <c r="O234" s="3619"/>
    </row>
    <row r="235" spans="1:17">
      <c r="A235" s="3513"/>
      <c r="B235" s="417" t="s">
        <v>21</v>
      </c>
      <c r="C235" s="519"/>
      <c r="D235" s="584">
        <f>+D238+D236</f>
        <v>7396770</v>
      </c>
      <c r="E235" s="584">
        <f t="shared" ref="E235" si="147">+E238+E236</f>
        <v>0</v>
      </c>
      <c r="F235" s="584">
        <f t="shared" ref="F235:G235" si="148">+F238+F236</f>
        <v>2069792</v>
      </c>
      <c r="G235" s="584">
        <f t="shared" si="148"/>
        <v>5326978</v>
      </c>
      <c r="H235" s="584"/>
      <c r="I235" s="584"/>
      <c r="J235" s="584"/>
      <c r="K235" s="584"/>
      <c r="L235" s="584"/>
      <c r="M235" s="3548" t="s">
        <v>22</v>
      </c>
      <c r="N235" s="3548" t="s">
        <v>22</v>
      </c>
      <c r="O235" s="3570" t="s">
        <v>93</v>
      </c>
      <c r="P235" s="2389"/>
      <c r="Q235" s="2389">
        <v>-1230552</v>
      </c>
    </row>
    <row r="236" spans="1:17" ht="12" customHeight="1">
      <c r="A236" s="3513"/>
      <c r="B236" s="3384" t="s">
        <v>23</v>
      </c>
      <c r="C236" s="3560" t="s">
        <v>441</v>
      </c>
      <c r="D236" s="523">
        <f>+D237</f>
        <v>509326</v>
      </c>
      <c r="E236" s="523">
        <f t="shared" ref="E236:G236" si="149">+E237</f>
        <v>0</v>
      </c>
      <c r="F236" s="523">
        <f t="shared" si="149"/>
        <v>0</v>
      </c>
      <c r="G236" s="523">
        <f t="shared" si="149"/>
        <v>509326</v>
      </c>
      <c r="H236" s="523"/>
      <c r="I236" s="523"/>
      <c r="J236" s="523"/>
      <c r="K236" s="523"/>
      <c r="L236" s="523"/>
      <c r="M236" s="3549"/>
      <c r="N236" s="3549"/>
      <c r="O236" s="3571"/>
    </row>
    <row r="237" spans="1:17" ht="12" customHeight="1">
      <c r="A237" s="3513"/>
      <c r="B237" s="1896" t="s">
        <v>15</v>
      </c>
      <c r="C237" s="3566"/>
      <c r="D237" s="785">
        <f>E237+F237+G237+H237+I237+J237+K237+L237</f>
        <v>509326</v>
      </c>
      <c r="E237" s="1884"/>
      <c r="F237" s="1884">
        <f>138882-138882</f>
        <v>0</v>
      </c>
      <c r="G237" s="1884">
        <f>370445+138882-1</f>
        <v>509326</v>
      </c>
      <c r="H237" s="1884"/>
      <c r="I237" s="1884"/>
      <c r="J237" s="1884"/>
      <c r="K237" s="1884"/>
      <c r="L237" s="1884"/>
      <c r="M237" s="3549"/>
      <c r="N237" s="3549"/>
      <c r="O237" s="3571"/>
    </row>
    <row r="238" spans="1:17" s="3379" customFormat="1" ht="13.5" customHeight="1">
      <c r="A238" s="3513"/>
      <c r="B238" s="547" t="s">
        <v>18</v>
      </c>
      <c r="C238" s="3566"/>
      <c r="D238" s="726">
        <f>+D239</f>
        <v>6887444</v>
      </c>
      <c r="E238" s="726">
        <f t="shared" ref="E238:G238" si="150">+E239</f>
        <v>0</v>
      </c>
      <c r="F238" s="726">
        <f t="shared" si="150"/>
        <v>2069792</v>
      </c>
      <c r="G238" s="726">
        <f t="shared" si="150"/>
        <v>4817652</v>
      </c>
      <c r="H238" s="726"/>
      <c r="I238" s="726"/>
      <c r="J238" s="726"/>
      <c r="K238" s="726"/>
      <c r="L238" s="726"/>
      <c r="M238" s="3549"/>
      <c r="N238" s="3549"/>
      <c r="O238" s="3571"/>
    </row>
    <row r="239" spans="1:17" s="3379" customFormat="1" ht="13.5" thickBot="1">
      <c r="A239" s="3579"/>
      <c r="B239" s="813" t="s">
        <v>20</v>
      </c>
      <c r="C239" s="3567"/>
      <c r="D239" s="1742">
        <f>E239+F239+G239+H239+I239+J239+K239+L239</f>
        <v>6887444</v>
      </c>
      <c r="E239" s="1742">
        <v>0</v>
      </c>
      <c r="F239" s="414">
        <f>2380000-33554-226296-50358</f>
        <v>2069792</v>
      </c>
      <c r="G239" s="414">
        <f>7140000-100662-325542+50358-1112161-834341</f>
        <v>4817652</v>
      </c>
      <c r="H239" s="414"/>
      <c r="I239" s="414"/>
      <c r="J239" s="414"/>
      <c r="K239" s="414"/>
      <c r="L239" s="414"/>
      <c r="M239" s="3550"/>
      <c r="N239" s="3550"/>
      <c r="O239" s="3572"/>
    </row>
    <row r="240" spans="1:17" ht="28.5" customHeight="1">
      <c r="A240" s="3512" t="s">
        <v>82</v>
      </c>
      <c r="B240" s="372" t="s">
        <v>568</v>
      </c>
      <c r="C240" s="56" t="s">
        <v>73</v>
      </c>
      <c r="D240" s="2776"/>
      <c r="E240" s="2752"/>
      <c r="F240" s="2752"/>
      <c r="G240" s="2752"/>
      <c r="H240" s="2752"/>
      <c r="I240" s="2752"/>
      <c r="J240" s="2752"/>
      <c r="K240" s="2752"/>
      <c r="L240" s="41"/>
      <c r="M240" s="43"/>
      <c r="N240" s="43"/>
      <c r="O240" s="3540" t="s">
        <v>78</v>
      </c>
    </row>
    <row r="241" spans="1:17" ht="15.75" customHeight="1">
      <c r="A241" s="3513"/>
      <c r="B241" s="417" t="s">
        <v>10</v>
      </c>
      <c r="C241" s="2849"/>
      <c r="D241" s="801">
        <f>+D242+D245</f>
        <v>18052656</v>
      </c>
      <c r="E241" s="801">
        <f t="shared" ref="E241" si="151">+E242+E245</f>
        <v>0</v>
      </c>
      <c r="F241" s="801">
        <f t="shared" ref="F241:G241" si="152">+F242+F245</f>
        <v>1914309</v>
      </c>
      <c r="G241" s="801">
        <f t="shared" si="152"/>
        <v>16138347</v>
      </c>
      <c r="H241" s="801"/>
      <c r="I241" s="801"/>
      <c r="J241" s="801"/>
      <c r="K241" s="801"/>
      <c r="L241" s="801"/>
      <c r="M241" s="790">
        <f>+M242+M245</f>
        <v>18052656</v>
      </c>
      <c r="N241" s="790">
        <f>+N242+N245</f>
        <v>16138347</v>
      </c>
      <c r="O241" s="3618"/>
      <c r="P241" s="2385" t="s">
        <v>402</v>
      </c>
    </row>
    <row r="242" spans="1:17" ht="13.5" customHeight="1">
      <c r="A242" s="3513"/>
      <c r="B242" s="545" t="s">
        <v>23</v>
      </c>
      <c r="C242" s="3627" t="s">
        <v>76</v>
      </c>
      <c r="D242" s="587">
        <f>+D243+D244</f>
        <v>2792898</v>
      </c>
      <c r="E242" s="587">
        <f t="shared" ref="E242" si="153">+E243+E244</f>
        <v>0</v>
      </c>
      <c r="F242" s="587">
        <f>+F243+F244</f>
        <v>293086</v>
      </c>
      <c r="G242" s="587">
        <f>+G243+G244</f>
        <v>2499812</v>
      </c>
      <c r="H242" s="587"/>
      <c r="I242" s="587"/>
      <c r="J242" s="587"/>
      <c r="K242" s="587"/>
      <c r="L242" s="587"/>
      <c r="M242" s="607">
        <f>+M243</f>
        <v>2792898</v>
      </c>
      <c r="N242" s="607">
        <f>+N243</f>
        <v>2499812</v>
      </c>
      <c r="O242" s="3618"/>
      <c r="P242" s="2389"/>
    </row>
    <row r="243" spans="1:17" ht="13.5" customHeight="1">
      <c r="A243" s="3513"/>
      <c r="B243" s="600" t="s">
        <v>12</v>
      </c>
      <c r="C243" s="3581"/>
      <c r="D243" s="236">
        <f>E243+F243+G243+H243+I243+J243+K243+L243</f>
        <v>2792898</v>
      </c>
      <c r="E243" s="266">
        <v>0</v>
      </c>
      <c r="F243" s="589">
        <f>824400-289400-195000+49500-96414</f>
        <v>293086</v>
      </c>
      <c r="G243" s="589">
        <f>4671600-1971600+172898-49500+96414-270000-150000</f>
        <v>2499812</v>
      </c>
      <c r="H243" s="589"/>
      <c r="I243" s="589"/>
      <c r="J243" s="589"/>
      <c r="K243" s="589"/>
      <c r="L243" s="589"/>
      <c r="M243" s="808">
        <f>SUM(F243:K243)</f>
        <v>2792898</v>
      </c>
      <c r="N243" s="808">
        <f>SUM(G243:L243)</f>
        <v>2499812</v>
      </c>
      <c r="O243" s="3618"/>
    </row>
    <row r="244" spans="1:17" ht="13.5" hidden="1" customHeight="1">
      <c r="A244" s="3513"/>
      <c r="B244" s="2844" t="s">
        <v>15</v>
      </c>
      <c r="C244" s="3581"/>
      <c r="D244" s="236">
        <f>E244+F244+G244+H244+I244+J244+K244+L244</f>
        <v>0</v>
      </c>
      <c r="E244" s="2850">
        <v>0</v>
      </c>
      <c r="F244" s="826">
        <v>0</v>
      </c>
      <c r="G244" s="826">
        <v>0</v>
      </c>
      <c r="H244" s="826"/>
      <c r="I244" s="826"/>
      <c r="J244" s="826"/>
      <c r="K244" s="826"/>
      <c r="L244" s="826"/>
      <c r="M244" s="808">
        <f>SUM(E244:K244)</f>
        <v>0</v>
      </c>
      <c r="N244" s="808">
        <f>SUM(F244:L244)</f>
        <v>0</v>
      </c>
      <c r="O244" s="3618"/>
    </row>
    <row r="245" spans="1:17" ht="13.5" customHeight="1">
      <c r="A245" s="3513"/>
      <c r="B245" s="547" t="s">
        <v>18</v>
      </c>
      <c r="C245" s="3581"/>
      <c r="D245" s="523">
        <f>+D246</f>
        <v>15259758</v>
      </c>
      <c r="E245" s="523">
        <f t="shared" ref="E245:G245" si="154">+E246</f>
        <v>0</v>
      </c>
      <c r="F245" s="523">
        <f t="shared" si="154"/>
        <v>1621223</v>
      </c>
      <c r="G245" s="523">
        <f t="shared" si="154"/>
        <v>13638535</v>
      </c>
      <c r="H245" s="523"/>
      <c r="I245" s="523"/>
      <c r="J245" s="523"/>
      <c r="K245" s="523"/>
      <c r="L245" s="523"/>
      <c r="M245" s="522">
        <f>+M246</f>
        <v>15259758</v>
      </c>
      <c r="N245" s="522">
        <f>+N246</f>
        <v>13638535</v>
      </c>
      <c r="O245" s="3618"/>
    </row>
    <row r="246" spans="1:17" ht="13.5" customHeight="1">
      <c r="A246" s="3513"/>
      <c r="B246" s="553" t="s">
        <v>20</v>
      </c>
      <c r="C246" s="3582"/>
      <c r="D246" s="236">
        <f>E246+F246+G246+H246+I246+J246+K246+L246</f>
        <v>15259758</v>
      </c>
      <c r="E246" s="266">
        <v>0</v>
      </c>
      <c r="F246" s="589">
        <f>4671600-2206600-1105000+450500-189277</f>
        <v>1621223</v>
      </c>
      <c r="G246" s="589">
        <f>26472400-11172400+979758-450500+189277-1530000-850000</f>
        <v>13638535</v>
      </c>
      <c r="H246" s="589"/>
      <c r="I246" s="589"/>
      <c r="J246" s="589"/>
      <c r="K246" s="589"/>
      <c r="L246" s="589"/>
      <c r="M246" s="808">
        <f>SUM(F246:K246)</f>
        <v>15259758</v>
      </c>
      <c r="N246" s="808">
        <f>SUM(G246:L246)</f>
        <v>13638535</v>
      </c>
      <c r="O246" s="3619"/>
    </row>
    <row r="247" spans="1:17" ht="13.5" thickBot="1">
      <c r="A247" s="3513"/>
      <c r="B247" s="417" t="s">
        <v>21</v>
      </c>
      <c r="C247" s="519"/>
      <c r="D247" s="584">
        <f>+D250+D248</f>
        <v>15259758</v>
      </c>
      <c r="E247" s="584">
        <f t="shared" ref="E247" si="155">+E250+E248</f>
        <v>0</v>
      </c>
      <c r="F247" s="584">
        <f t="shared" ref="F247:G247" si="156">+F250+F248</f>
        <v>1803921</v>
      </c>
      <c r="G247" s="584">
        <f t="shared" si="156"/>
        <v>13455837</v>
      </c>
      <c r="H247" s="584"/>
      <c r="I247" s="584"/>
      <c r="J247" s="584"/>
      <c r="K247" s="584"/>
      <c r="L247" s="584"/>
      <c r="M247" s="3548" t="s">
        <v>22</v>
      </c>
      <c r="N247" s="3548" t="s">
        <v>22</v>
      </c>
      <c r="O247" s="3570" t="s">
        <v>93</v>
      </c>
      <c r="P247" s="2389"/>
      <c r="Q247" s="2389">
        <v>-1230552</v>
      </c>
    </row>
    <row r="248" spans="1:17" ht="12" hidden="1" customHeight="1">
      <c r="A248" s="3513"/>
      <c r="B248" s="3384" t="s">
        <v>23</v>
      </c>
      <c r="C248" s="3560" t="s">
        <v>182</v>
      </c>
      <c r="D248" s="523">
        <f>+D249</f>
        <v>0</v>
      </c>
      <c r="E248" s="523">
        <f t="shared" ref="E248:G248" si="157">+E249</f>
        <v>0</v>
      </c>
      <c r="F248" s="523">
        <f t="shared" si="157"/>
        <v>0</v>
      </c>
      <c r="G248" s="523">
        <f t="shared" si="157"/>
        <v>0</v>
      </c>
      <c r="H248" s="523"/>
      <c r="I248" s="523"/>
      <c r="J248" s="523"/>
      <c r="K248" s="523"/>
      <c r="L248" s="523"/>
      <c r="M248" s="3549"/>
      <c r="N248" s="3549"/>
      <c r="O248" s="3572"/>
    </row>
    <row r="249" spans="1:17" ht="12" hidden="1" customHeight="1">
      <c r="A249" s="3513"/>
      <c r="B249" s="1896" t="s">
        <v>15</v>
      </c>
      <c r="C249" s="3566"/>
      <c r="D249" s="236">
        <f>E249+F249+G249+H249+I249+J249+K249+L249</f>
        <v>0</v>
      </c>
      <c r="E249" s="797"/>
      <c r="F249" s="797"/>
      <c r="G249" s="797"/>
      <c r="H249" s="797"/>
      <c r="I249" s="797"/>
      <c r="J249" s="797"/>
      <c r="K249" s="797"/>
      <c r="L249" s="797"/>
      <c r="M249" s="3549"/>
      <c r="N249" s="3549"/>
      <c r="O249" s="3612"/>
    </row>
    <row r="250" spans="1:17" s="3379" customFormat="1" ht="13.5" customHeight="1" thickBot="1">
      <c r="A250" s="3513"/>
      <c r="B250" s="547" t="s">
        <v>18</v>
      </c>
      <c r="C250" s="3566"/>
      <c r="D250" s="726">
        <f>+D251</f>
        <v>15259758</v>
      </c>
      <c r="E250" s="726">
        <f t="shared" ref="E250:G250" si="158">+E251</f>
        <v>0</v>
      </c>
      <c r="F250" s="726">
        <f t="shared" si="158"/>
        <v>1803921</v>
      </c>
      <c r="G250" s="726">
        <f t="shared" si="158"/>
        <v>13455837</v>
      </c>
      <c r="H250" s="726"/>
      <c r="I250" s="726"/>
      <c r="J250" s="726"/>
      <c r="K250" s="726"/>
      <c r="L250" s="726"/>
      <c r="M250" s="3549"/>
      <c r="N250" s="3549"/>
      <c r="O250" s="3612"/>
    </row>
    <row r="251" spans="1:17" s="3379" customFormat="1" ht="13.5" thickBot="1">
      <c r="A251" s="3579"/>
      <c r="B251" s="813" t="s">
        <v>20</v>
      </c>
      <c r="C251" s="3567"/>
      <c r="D251" s="236">
        <f>E251+F251+G251+H251+I251+J251+K251+L251</f>
        <v>15259758</v>
      </c>
      <c r="E251" s="266">
        <v>0</v>
      </c>
      <c r="F251" s="414">
        <f>4671600-2206600-1105000+450500-6579</f>
        <v>1803921</v>
      </c>
      <c r="G251" s="414">
        <f>26472400-11172400+979758-450500+6579-1530000-850000</f>
        <v>13455837</v>
      </c>
      <c r="H251" s="414"/>
      <c r="I251" s="414"/>
      <c r="J251" s="414"/>
      <c r="K251" s="414"/>
      <c r="L251" s="414"/>
      <c r="M251" s="3550"/>
      <c r="N251" s="3550"/>
      <c r="O251" s="3612"/>
    </row>
    <row r="252" spans="1:17" s="3379" customFormat="1" ht="24.75" customHeight="1" thickBot="1">
      <c r="A252" s="3512" t="s">
        <v>83</v>
      </c>
      <c r="B252" s="372" t="s">
        <v>519</v>
      </c>
      <c r="C252" s="56" t="s">
        <v>73</v>
      </c>
      <c r="D252" s="2776"/>
      <c r="E252" s="2752"/>
      <c r="F252" s="2752"/>
      <c r="G252" s="2752"/>
      <c r="H252" s="2752"/>
      <c r="I252" s="2752"/>
      <c r="J252" s="2752"/>
      <c r="K252" s="2752"/>
      <c r="L252" s="41"/>
      <c r="M252" s="43"/>
      <c r="N252" s="43"/>
      <c r="O252" s="3621" t="s">
        <v>78</v>
      </c>
    </row>
    <row r="253" spans="1:17" s="3379" customFormat="1" ht="13.5" thickBot="1">
      <c r="A253" s="3513"/>
      <c r="B253" s="417" t="s">
        <v>10</v>
      </c>
      <c r="C253" s="2845"/>
      <c r="D253" s="1396">
        <f>+D254+D257</f>
        <v>100250000</v>
      </c>
      <c r="E253" s="1396">
        <f t="shared" ref="E253:I253" si="159">+E254+E257</f>
        <v>0</v>
      </c>
      <c r="F253" s="1396">
        <f t="shared" si="159"/>
        <v>500918</v>
      </c>
      <c r="G253" s="1396">
        <f t="shared" si="159"/>
        <v>1000000</v>
      </c>
      <c r="H253" s="1396">
        <f t="shared" si="159"/>
        <v>45550000</v>
      </c>
      <c r="I253" s="1396">
        <f t="shared" si="159"/>
        <v>53199082</v>
      </c>
      <c r="J253" s="1396"/>
      <c r="K253" s="1396"/>
      <c r="L253" s="1396"/>
      <c r="M253" s="1413">
        <f>+M254+M257</f>
        <v>100250000</v>
      </c>
      <c r="N253" s="1413">
        <f>+N254+N257</f>
        <v>99749082</v>
      </c>
      <c r="O253" s="3621"/>
    </row>
    <row r="254" spans="1:17" s="3379" customFormat="1" ht="13.5" thickBot="1">
      <c r="A254" s="3513"/>
      <c r="B254" s="545" t="s">
        <v>23</v>
      </c>
      <c r="C254" s="3580" t="s">
        <v>76</v>
      </c>
      <c r="D254" s="1397">
        <f>+D255+D256</f>
        <v>15132500</v>
      </c>
      <c r="E254" s="1397">
        <f t="shared" ref="E254" si="160">+E255+E256</f>
        <v>0</v>
      </c>
      <c r="F254" s="1397">
        <f>+F255+F256</f>
        <v>75138</v>
      </c>
      <c r="G254" s="1397">
        <f>+G255+G256</f>
        <v>245000</v>
      </c>
      <c r="H254" s="1397">
        <f>+H255+H256</f>
        <v>6832500</v>
      </c>
      <c r="I254" s="1397">
        <f>+I255+I256</f>
        <v>7979862</v>
      </c>
      <c r="J254" s="1397"/>
      <c r="K254" s="1397"/>
      <c r="L254" s="1397"/>
      <c r="M254" s="1398">
        <f>+M255</f>
        <v>15132500</v>
      </c>
      <c r="N254" s="1398">
        <f>+N255</f>
        <v>15057362</v>
      </c>
      <c r="O254" s="3621"/>
    </row>
    <row r="255" spans="1:17" s="3379" customFormat="1" ht="13.5" thickBot="1">
      <c r="A255" s="3513"/>
      <c r="B255" s="600" t="s">
        <v>12</v>
      </c>
      <c r="C255" s="3581"/>
      <c r="D255" s="1288">
        <f>E255+F255+G255+H255+I255+J255+K255+L255</f>
        <v>15132500</v>
      </c>
      <c r="E255" s="1334">
        <v>0</v>
      </c>
      <c r="F255" s="1373">
        <f>88875-13737</f>
        <v>75138</v>
      </c>
      <c r="G255" s="1373">
        <f>7426660+13737-7195397</f>
        <v>245000</v>
      </c>
      <c r="H255" s="1373">
        <f>4654440+2178060</f>
        <v>6832500</v>
      </c>
      <c r="I255" s="1373">
        <v>7979862</v>
      </c>
      <c r="J255" s="1373"/>
      <c r="K255" s="1373"/>
      <c r="L255" s="1373"/>
      <c r="M255" s="1374">
        <f>SUM(F255:K255)</f>
        <v>15132500</v>
      </c>
      <c r="N255" s="1374">
        <f>SUM(G255:L255)</f>
        <v>15057362</v>
      </c>
      <c r="O255" s="3621"/>
    </row>
    <row r="256" spans="1:17" s="3379" customFormat="1" ht="13.5" hidden="1" thickBot="1">
      <c r="A256" s="3513"/>
      <c r="B256" s="2844" t="s">
        <v>15</v>
      </c>
      <c r="C256" s="3581"/>
      <c r="D256" s="1288">
        <f>E256+F256+G256+H256+I256+J256+K256+L256</f>
        <v>0</v>
      </c>
      <c r="E256" s="2851">
        <v>0</v>
      </c>
      <c r="F256" s="826">
        <v>0</v>
      </c>
      <c r="G256" s="826">
        <v>0</v>
      </c>
      <c r="H256" s="826"/>
      <c r="I256" s="826"/>
      <c r="J256" s="826"/>
      <c r="K256" s="826"/>
      <c r="L256" s="826"/>
      <c r="M256" s="1374">
        <f>SUM(E256:K256)</f>
        <v>0</v>
      </c>
      <c r="N256" s="1374">
        <f>SUM(F256:L256)</f>
        <v>0</v>
      </c>
      <c r="O256" s="3621"/>
    </row>
    <row r="257" spans="1:15" s="3379" customFormat="1" ht="13.5" thickBot="1">
      <c r="A257" s="3513"/>
      <c r="B257" s="810" t="s">
        <v>18</v>
      </c>
      <c r="C257" s="3581"/>
      <c r="D257" s="1360">
        <f>+D258</f>
        <v>85117500</v>
      </c>
      <c r="E257" s="1360">
        <f t="shared" ref="E257:I257" si="161">+E258</f>
        <v>0</v>
      </c>
      <c r="F257" s="1360">
        <f t="shared" si="161"/>
        <v>425780</v>
      </c>
      <c r="G257" s="1360">
        <f t="shared" si="161"/>
        <v>755000</v>
      </c>
      <c r="H257" s="1360">
        <f t="shared" si="161"/>
        <v>38717500</v>
      </c>
      <c r="I257" s="1360">
        <f t="shared" si="161"/>
        <v>45219220</v>
      </c>
      <c r="J257" s="1360"/>
      <c r="K257" s="1360"/>
      <c r="L257" s="1360"/>
      <c r="M257" s="1361">
        <f>+M258</f>
        <v>85117500</v>
      </c>
      <c r="N257" s="1361">
        <f>+N258</f>
        <v>84691720</v>
      </c>
      <c r="O257" s="3621"/>
    </row>
    <row r="258" spans="1:15" s="3379" customFormat="1" ht="13.5" thickBot="1">
      <c r="A258" s="3513"/>
      <c r="B258" s="2852" t="s">
        <v>20</v>
      </c>
      <c r="C258" s="3582"/>
      <c r="D258" s="1288">
        <f>E258+F258+G258+H258+I258+J258+K258+L258</f>
        <v>85117500</v>
      </c>
      <c r="E258" s="1334">
        <v>0</v>
      </c>
      <c r="F258" s="1373">
        <f>503625-77845</f>
        <v>425780</v>
      </c>
      <c r="G258" s="1373">
        <f>41517740+77845-40840585</f>
        <v>755000</v>
      </c>
      <c r="H258" s="1373">
        <f>26375160+12342340</f>
        <v>38717500</v>
      </c>
      <c r="I258" s="1373">
        <v>45219220</v>
      </c>
      <c r="J258" s="1373"/>
      <c r="K258" s="1373"/>
      <c r="L258" s="1373"/>
      <c r="M258" s="1374">
        <f>SUM(F258:K258)</f>
        <v>85117500</v>
      </c>
      <c r="N258" s="1374">
        <f>SUM(G258:L258)</f>
        <v>84691720</v>
      </c>
      <c r="O258" s="3621"/>
    </row>
    <row r="259" spans="1:15" s="3379" customFormat="1" ht="13.5" thickBot="1">
      <c r="A259" s="3513"/>
      <c r="B259" s="417" t="s">
        <v>21</v>
      </c>
      <c r="C259" s="519"/>
      <c r="D259" s="1357">
        <f>+D262+D260</f>
        <v>85117500</v>
      </c>
      <c r="E259" s="1357">
        <f t="shared" ref="E259:I259" si="162">+E262+E260</f>
        <v>0</v>
      </c>
      <c r="F259" s="1357">
        <f t="shared" si="162"/>
        <v>0</v>
      </c>
      <c r="G259" s="1357">
        <f t="shared" si="162"/>
        <v>1180780</v>
      </c>
      <c r="H259" s="1357">
        <f t="shared" si="162"/>
        <v>38717500</v>
      </c>
      <c r="I259" s="1357">
        <f t="shared" si="162"/>
        <v>45219220</v>
      </c>
      <c r="J259" s="1357"/>
      <c r="K259" s="1357"/>
      <c r="L259" s="1357"/>
      <c r="M259" s="3559" t="s">
        <v>22</v>
      </c>
      <c r="N259" s="3559" t="s">
        <v>22</v>
      </c>
      <c r="O259" s="3612" t="s">
        <v>93</v>
      </c>
    </row>
    <row r="260" spans="1:15" s="3379" customFormat="1" ht="13.5" hidden="1" thickBot="1">
      <c r="A260" s="3513"/>
      <c r="B260" s="1364" t="s">
        <v>23</v>
      </c>
      <c r="C260" s="3522" t="s">
        <v>182</v>
      </c>
      <c r="D260" s="1360">
        <f>+D261</f>
        <v>0</v>
      </c>
      <c r="E260" s="1360">
        <f t="shared" ref="E260:G260" si="163">+E261</f>
        <v>0</v>
      </c>
      <c r="F260" s="1360">
        <f t="shared" si="163"/>
        <v>0</v>
      </c>
      <c r="G260" s="1360">
        <f t="shared" si="163"/>
        <v>0</v>
      </c>
      <c r="H260" s="1360"/>
      <c r="I260" s="1360"/>
      <c r="J260" s="1360"/>
      <c r="K260" s="1360"/>
      <c r="L260" s="1360"/>
      <c r="M260" s="3549"/>
      <c r="N260" s="3549"/>
      <c r="O260" s="3612"/>
    </row>
    <row r="261" spans="1:15" s="3379" customFormat="1" ht="13.5" hidden="1" thickBot="1">
      <c r="A261" s="3513"/>
      <c r="B261" s="1387" t="s">
        <v>15</v>
      </c>
      <c r="C261" s="3566"/>
      <c r="D261" s="1288">
        <f>E261+F261+G261+H261+I261+J261+K261+L261</f>
        <v>0</v>
      </c>
      <c r="E261" s="1377"/>
      <c r="F261" s="1377"/>
      <c r="G261" s="1377"/>
      <c r="H261" s="1377"/>
      <c r="I261" s="1377"/>
      <c r="J261" s="1377"/>
      <c r="K261" s="1377"/>
      <c r="L261" s="1377"/>
      <c r="M261" s="3549"/>
      <c r="N261" s="3549"/>
      <c r="O261" s="3612"/>
    </row>
    <row r="262" spans="1:15" s="3379" customFormat="1">
      <c r="A262" s="3513"/>
      <c r="B262" s="547" t="s">
        <v>18</v>
      </c>
      <c r="C262" s="3566"/>
      <c r="D262" s="1378">
        <f>+D263</f>
        <v>85117500</v>
      </c>
      <c r="E262" s="1378">
        <f t="shared" ref="E262:I262" si="164">+E263</f>
        <v>0</v>
      </c>
      <c r="F262" s="1378">
        <f t="shared" si="164"/>
        <v>0</v>
      </c>
      <c r="G262" s="1378">
        <f t="shared" si="164"/>
        <v>1180780</v>
      </c>
      <c r="H262" s="1378">
        <f t="shared" si="164"/>
        <v>38717500</v>
      </c>
      <c r="I262" s="1378">
        <f t="shared" si="164"/>
        <v>45219220</v>
      </c>
      <c r="J262" s="1378"/>
      <c r="K262" s="1378"/>
      <c r="L262" s="1378"/>
      <c r="M262" s="3549"/>
      <c r="N262" s="3549"/>
      <c r="O262" s="3620"/>
    </row>
    <row r="263" spans="1:15" s="3379" customFormat="1" ht="13.5" thickBot="1">
      <c r="A263" s="3579"/>
      <c r="B263" s="813" t="s">
        <v>20</v>
      </c>
      <c r="C263" s="3567"/>
      <c r="D263" s="1455">
        <f>E263+F263+G263+H263+I263+J263+K263+L263</f>
        <v>85117500</v>
      </c>
      <c r="E263" s="1455">
        <v>0</v>
      </c>
      <c r="F263" s="414"/>
      <c r="G263" s="414">
        <f>38021365-36840585</f>
        <v>1180780</v>
      </c>
      <c r="H263" s="414">
        <f>30375160+8342340</f>
        <v>38717500</v>
      </c>
      <c r="I263" s="414">
        <v>45219220</v>
      </c>
      <c r="J263" s="414"/>
      <c r="K263" s="414"/>
      <c r="L263" s="414"/>
      <c r="M263" s="3550"/>
      <c r="N263" s="3550"/>
      <c r="O263" s="3572"/>
    </row>
    <row r="264" spans="1:15" s="3379" customFormat="1" ht="36">
      <c r="A264" s="3512" t="s">
        <v>84</v>
      </c>
      <c r="B264" s="372" t="s">
        <v>450</v>
      </c>
      <c r="C264" s="56" t="s">
        <v>73</v>
      </c>
      <c r="D264" s="2776"/>
      <c r="E264" s="2752"/>
      <c r="F264" s="2752"/>
      <c r="G264" s="2752"/>
      <c r="H264" s="2752"/>
      <c r="I264" s="2752"/>
      <c r="J264" s="2752"/>
      <c r="K264" s="2752"/>
      <c r="L264" s="41"/>
      <c r="M264" s="43"/>
      <c r="N264" s="43"/>
      <c r="O264" s="3540" t="s">
        <v>78</v>
      </c>
    </row>
    <row r="265" spans="1:15" s="3379" customFormat="1">
      <c r="A265" s="3513"/>
      <c r="B265" s="2131" t="s">
        <v>10</v>
      </c>
      <c r="C265" s="2845"/>
      <c r="D265" s="801">
        <f>+D266+D269</f>
        <v>40700000</v>
      </c>
      <c r="E265" s="801">
        <f t="shared" ref="E265:I265" si="165">+E266+E269</f>
        <v>874393</v>
      </c>
      <c r="F265" s="801">
        <f t="shared" si="165"/>
        <v>488999</v>
      </c>
      <c r="G265" s="801">
        <f t="shared" si="165"/>
        <v>4280014</v>
      </c>
      <c r="H265" s="801">
        <f t="shared" si="165"/>
        <v>24500000</v>
      </c>
      <c r="I265" s="801">
        <f t="shared" si="165"/>
        <v>10556594</v>
      </c>
      <c r="J265" s="801"/>
      <c r="K265" s="801"/>
      <c r="L265" s="801"/>
      <c r="M265" s="1883">
        <f>+M266+M269</f>
        <v>39825607</v>
      </c>
      <c r="N265" s="1883">
        <f>+N266+N269</f>
        <v>39336608</v>
      </c>
      <c r="O265" s="3618"/>
    </row>
    <row r="266" spans="1:15" s="3379" customFormat="1">
      <c r="A266" s="3513"/>
      <c r="B266" s="2846" t="s">
        <v>23</v>
      </c>
      <c r="C266" s="3627" t="s">
        <v>76</v>
      </c>
      <c r="D266" s="587">
        <f>+D267+D268</f>
        <v>6275110</v>
      </c>
      <c r="E266" s="587">
        <f t="shared" ref="E266" si="166">+E267+E268</f>
        <v>144271</v>
      </c>
      <c r="F266" s="587">
        <f>+F267+F268</f>
        <v>77226</v>
      </c>
      <c r="G266" s="587">
        <f>+G267+G268</f>
        <v>795019</v>
      </c>
      <c r="H266" s="587">
        <f>+H267+H268</f>
        <v>3675105</v>
      </c>
      <c r="I266" s="587">
        <f>+I267+I268</f>
        <v>1583489</v>
      </c>
      <c r="J266" s="587"/>
      <c r="K266" s="587"/>
      <c r="L266" s="587"/>
      <c r="M266" s="607">
        <f>+M267</f>
        <v>6130839</v>
      </c>
      <c r="N266" s="607">
        <f>+N267</f>
        <v>6053613</v>
      </c>
      <c r="O266" s="3618"/>
    </row>
    <row r="267" spans="1:15" s="3379" customFormat="1">
      <c r="A267" s="3513"/>
      <c r="B267" s="2847" t="s">
        <v>12</v>
      </c>
      <c r="C267" s="3581"/>
      <c r="D267" s="785">
        <f>E267+F267+G267+H267+I267+J267+K267+L267</f>
        <v>6275110</v>
      </c>
      <c r="E267" s="800">
        <v>144271</v>
      </c>
      <c r="F267" s="589">
        <v>77226</v>
      </c>
      <c r="G267" s="589">
        <f>495014+300005</f>
        <v>795019</v>
      </c>
      <c r="H267" s="589">
        <f>3300000+675000-299895</f>
        <v>3675105</v>
      </c>
      <c r="I267" s="589">
        <v>1583489</v>
      </c>
      <c r="J267" s="589"/>
      <c r="K267" s="589"/>
      <c r="L267" s="589"/>
      <c r="M267" s="808">
        <f>SUM(F267:K267)</f>
        <v>6130839</v>
      </c>
      <c r="N267" s="3388">
        <f>SUM(G267:L267)</f>
        <v>6053613</v>
      </c>
      <c r="O267" s="3618"/>
    </row>
    <row r="268" spans="1:15" s="3379" customFormat="1" hidden="1">
      <c r="A268" s="3513"/>
      <c r="B268" s="2844" t="s">
        <v>15</v>
      </c>
      <c r="C268" s="3581"/>
      <c r="D268" s="785">
        <f>E268+F268+G268+H268+I268+J268+K268+L268</f>
        <v>0</v>
      </c>
      <c r="E268" s="2848">
        <v>0</v>
      </c>
      <c r="F268" s="826">
        <v>0</v>
      </c>
      <c r="G268" s="826">
        <v>0</v>
      </c>
      <c r="H268" s="826"/>
      <c r="I268" s="826"/>
      <c r="J268" s="826"/>
      <c r="K268" s="826"/>
      <c r="L268" s="826"/>
      <c r="M268" s="808">
        <f>SUM(E268:K268)</f>
        <v>0</v>
      </c>
      <c r="N268" s="3388">
        <f>SUM(F268:L268)</f>
        <v>0</v>
      </c>
      <c r="O268" s="3618"/>
    </row>
    <row r="269" spans="1:15" s="3379" customFormat="1">
      <c r="A269" s="3513"/>
      <c r="B269" s="3389" t="s">
        <v>18</v>
      </c>
      <c r="C269" s="3581"/>
      <c r="D269" s="523">
        <f>+D270</f>
        <v>34424890</v>
      </c>
      <c r="E269" s="523">
        <f t="shared" ref="E269:I269" si="167">+E270</f>
        <v>730122</v>
      </c>
      <c r="F269" s="523">
        <f t="shared" si="167"/>
        <v>411773</v>
      </c>
      <c r="G269" s="523">
        <f t="shared" si="167"/>
        <v>3484995</v>
      </c>
      <c r="H269" s="523">
        <f t="shared" si="167"/>
        <v>20824895</v>
      </c>
      <c r="I269" s="523">
        <f t="shared" si="167"/>
        <v>8973105</v>
      </c>
      <c r="J269" s="523"/>
      <c r="K269" s="523"/>
      <c r="L269" s="523"/>
      <c r="M269" s="522">
        <f>+M270</f>
        <v>33694768</v>
      </c>
      <c r="N269" s="607">
        <f>+N270</f>
        <v>33282995</v>
      </c>
      <c r="O269" s="3618"/>
    </row>
    <row r="270" spans="1:15" s="3379" customFormat="1">
      <c r="A270" s="3513"/>
      <c r="B270" s="553" t="s">
        <v>20</v>
      </c>
      <c r="C270" s="3582"/>
      <c r="D270" s="785">
        <f>E270+F270+G270+H270+I270+J270+K270+L270</f>
        <v>34424890</v>
      </c>
      <c r="E270" s="800">
        <v>730122</v>
      </c>
      <c r="F270" s="589">
        <v>411773</v>
      </c>
      <c r="G270" s="589">
        <f>1785000+1699995</f>
        <v>3484995</v>
      </c>
      <c r="H270" s="589">
        <f>18700000+3825000-1700105</f>
        <v>20824895</v>
      </c>
      <c r="I270" s="589">
        <v>8973105</v>
      </c>
      <c r="J270" s="589"/>
      <c r="K270" s="589"/>
      <c r="L270" s="589"/>
      <c r="M270" s="808">
        <f>SUM(F270:K270)</f>
        <v>33694768</v>
      </c>
      <c r="N270" s="3388">
        <f>SUM(G270:L270)</f>
        <v>33282995</v>
      </c>
      <c r="O270" s="3619"/>
    </row>
    <row r="271" spans="1:15" s="3379" customFormat="1">
      <c r="A271" s="3513"/>
      <c r="B271" s="2131" t="s">
        <v>21</v>
      </c>
      <c r="C271" s="519"/>
      <c r="D271" s="584">
        <f>+D274+D272</f>
        <v>34424890</v>
      </c>
      <c r="E271" s="584">
        <f t="shared" ref="E271:I271" si="168">+E274+E272</f>
        <v>0</v>
      </c>
      <c r="F271" s="584">
        <f t="shared" si="168"/>
        <v>0</v>
      </c>
      <c r="G271" s="584">
        <f t="shared" si="168"/>
        <v>0</v>
      </c>
      <c r="H271" s="584">
        <f t="shared" si="168"/>
        <v>25451785</v>
      </c>
      <c r="I271" s="584">
        <f t="shared" si="168"/>
        <v>8973105</v>
      </c>
      <c r="J271" s="584"/>
      <c r="K271" s="584"/>
      <c r="L271" s="584"/>
      <c r="M271" s="3548" t="s">
        <v>22</v>
      </c>
      <c r="N271" s="3604" t="s">
        <v>22</v>
      </c>
      <c r="O271" s="3570" t="s">
        <v>93</v>
      </c>
    </row>
    <row r="272" spans="1:15" s="3379" customFormat="1" hidden="1">
      <c r="A272" s="3513"/>
      <c r="B272" s="3384" t="s">
        <v>23</v>
      </c>
      <c r="C272" s="3560" t="s">
        <v>182</v>
      </c>
      <c r="D272" s="523">
        <f>+D273</f>
        <v>0</v>
      </c>
      <c r="E272" s="523">
        <f t="shared" ref="E272:G272" si="169">+E273</f>
        <v>0</v>
      </c>
      <c r="F272" s="523">
        <f t="shared" si="169"/>
        <v>0</v>
      </c>
      <c r="G272" s="523">
        <f t="shared" si="169"/>
        <v>0</v>
      </c>
      <c r="H272" s="523"/>
      <c r="I272" s="523"/>
      <c r="J272" s="523"/>
      <c r="K272" s="523"/>
      <c r="L272" s="523"/>
      <c r="M272" s="3549"/>
      <c r="N272" s="3517"/>
      <c r="O272" s="3571"/>
    </row>
    <row r="273" spans="1:15" s="3379" customFormat="1" hidden="1">
      <c r="A273" s="3513"/>
      <c r="B273" s="1896" t="s">
        <v>15</v>
      </c>
      <c r="C273" s="3566"/>
      <c r="D273" s="785">
        <f>E273+F273+G273+H273+I273+J273+K273+L273</f>
        <v>0</v>
      </c>
      <c r="E273" s="1884"/>
      <c r="F273" s="1884"/>
      <c r="G273" s="1884"/>
      <c r="H273" s="1884"/>
      <c r="I273" s="1884"/>
      <c r="J273" s="1884"/>
      <c r="K273" s="1884"/>
      <c r="L273" s="1884"/>
      <c r="M273" s="3549"/>
      <c r="N273" s="3517"/>
      <c r="O273" s="3571"/>
    </row>
    <row r="274" spans="1:15" s="3379" customFormat="1">
      <c r="A274" s="3513"/>
      <c r="B274" s="3389" t="s">
        <v>18</v>
      </c>
      <c r="C274" s="3566"/>
      <c r="D274" s="726">
        <f>+D275</f>
        <v>34424890</v>
      </c>
      <c r="E274" s="726">
        <f t="shared" ref="E274:I274" si="170">+E275</f>
        <v>0</v>
      </c>
      <c r="F274" s="726">
        <f t="shared" si="170"/>
        <v>0</v>
      </c>
      <c r="G274" s="726">
        <f t="shared" si="170"/>
        <v>0</v>
      </c>
      <c r="H274" s="726">
        <f t="shared" si="170"/>
        <v>25451785</v>
      </c>
      <c r="I274" s="726">
        <f t="shared" si="170"/>
        <v>8973105</v>
      </c>
      <c r="J274" s="726"/>
      <c r="K274" s="726"/>
      <c r="L274" s="726"/>
      <c r="M274" s="3549"/>
      <c r="N274" s="3517"/>
      <c r="O274" s="3571"/>
    </row>
    <row r="275" spans="1:15" s="3379" customFormat="1" ht="13.5" thickBot="1">
      <c r="A275" s="3579"/>
      <c r="B275" s="813" t="s">
        <v>20</v>
      </c>
      <c r="C275" s="3567"/>
      <c r="D275" s="2031">
        <f>E275+F275+G275+H275+I275+J275+K275+L275</f>
        <v>34424890</v>
      </c>
      <c r="E275" s="2031">
        <v>0</v>
      </c>
      <c r="F275" s="2031">
        <v>0</v>
      </c>
      <c r="G275" s="414">
        <f>1785000+1141895-2926895</f>
        <v>0</v>
      </c>
      <c r="H275" s="414">
        <f>18700000+3825000+2926895-110</f>
        <v>25451785</v>
      </c>
      <c r="I275" s="414">
        <v>8973105</v>
      </c>
      <c r="J275" s="414"/>
      <c r="K275" s="414"/>
      <c r="L275" s="414"/>
      <c r="M275" s="3550"/>
      <c r="N275" s="3518"/>
      <c r="O275" s="3572"/>
    </row>
    <row r="276" spans="1:15" s="3379" customFormat="1" ht="24">
      <c r="A276" s="3512" t="s">
        <v>85</v>
      </c>
      <c r="B276" s="372" t="s">
        <v>445</v>
      </c>
      <c r="C276" s="56" t="s">
        <v>73</v>
      </c>
      <c r="D276" s="2776"/>
      <c r="E276" s="2752"/>
      <c r="F276" s="2752"/>
      <c r="G276" s="2752"/>
      <c r="H276" s="2752"/>
      <c r="I276" s="2752"/>
      <c r="J276" s="2752"/>
      <c r="K276" s="2752"/>
      <c r="L276" s="41"/>
      <c r="M276" s="43"/>
      <c r="N276" s="43"/>
      <c r="O276" s="3540" t="s">
        <v>78</v>
      </c>
    </row>
    <row r="277" spans="1:15" s="3379" customFormat="1">
      <c r="A277" s="3513"/>
      <c r="B277" s="417" t="s">
        <v>10</v>
      </c>
      <c r="C277" s="2845"/>
      <c r="D277" s="1396">
        <f>+D278+D281</f>
        <v>17800000</v>
      </c>
      <c r="E277" s="1396">
        <f t="shared" ref="E277:H277" si="171">+E278+E281</f>
        <v>0</v>
      </c>
      <c r="F277" s="1396">
        <f t="shared" si="171"/>
        <v>0</v>
      </c>
      <c r="G277" s="1396">
        <f t="shared" si="171"/>
        <v>2290650</v>
      </c>
      <c r="H277" s="1396">
        <f t="shared" si="171"/>
        <v>15509350</v>
      </c>
      <c r="I277" s="1396"/>
      <c r="J277" s="1396"/>
      <c r="K277" s="1396"/>
      <c r="L277" s="1396"/>
      <c r="M277" s="1413">
        <f>+M278+M281</f>
        <v>17800000</v>
      </c>
      <c r="N277" s="1413">
        <f>+N278+N281</f>
        <v>17800000</v>
      </c>
      <c r="O277" s="3618"/>
    </row>
    <row r="278" spans="1:15" s="3379" customFormat="1">
      <c r="A278" s="3513"/>
      <c r="B278" s="545" t="s">
        <v>23</v>
      </c>
      <c r="C278" s="3580" t="s">
        <v>76</v>
      </c>
      <c r="D278" s="1397">
        <f>+D279+D280</f>
        <v>2755000</v>
      </c>
      <c r="E278" s="1397">
        <f t="shared" ref="E278" si="172">+E279+E280</f>
        <v>0</v>
      </c>
      <c r="F278" s="1397">
        <f>+F279+F280</f>
        <v>0</v>
      </c>
      <c r="G278" s="1397">
        <f>+G279+G280</f>
        <v>428598</v>
      </c>
      <c r="H278" s="1397">
        <f>+H279+H280</f>
        <v>2326402</v>
      </c>
      <c r="I278" s="1397"/>
      <c r="J278" s="1397"/>
      <c r="K278" s="1397"/>
      <c r="L278" s="1397"/>
      <c r="M278" s="1398">
        <f>+M279</f>
        <v>2755000</v>
      </c>
      <c r="N278" s="1398">
        <f>+N279</f>
        <v>2755000</v>
      </c>
      <c r="O278" s="3618"/>
    </row>
    <row r="279" spans="1:15" s="3379" customFormat="1">
      <c r="A279" s="3513"/>
      <c r="B279" s="600" t="s">
        <v>12</v>
      </c>
      <c r="C279" s="3581"/>
      <c r="D279" s="1288">
        <f>E279+F279+G279+H279+I279+J279+K279+L279</f>
        <v>2755000</v>
      </c>
      <c r="E279" s="1334"/>
      <c r="F279" s="1373"/>
      <c r="G279" s="1373">
        <v>428598</v>
      </c>
      <c r="H279" s="1373">
        <v>2326402</v>
      </c>
      <c r="I279" s="1373"/>
      <c r="J279" s="1373"/>
      <c r="K279" s="1373"/>
      <c r="L279" s="1373"/>
      <c r="M279" s="1374">
        <f>SUM(F279:K279)</f>
        <v>2755000</v>
      </c>
      <c r="N279" s="1374">
        <f>SUM(G279:L279)</f>
        <v>2755000</v>
      </c>
      <c r="O279" s="3618"/>
    </row>
    <row r="280" spans="1:15" s="3379" customFormat="1" hidden="1">
      <c r="A280" s="3513"/>
      <c r="B280" s="2844" t="s">
        <v>15</v>
      </c>
      <c r="C280" s="3581"/>
      <c r="D280" s="1288">
        <f>E280+F280+G280+H280+I280+J280+K280+L280</f>
        <v>0</v>
      </c>
      <c r="E280" s="2851">
        <v>0</v>
      </c>
      <c r="F280" s="826">
        <v>0</v>
      </c>
      <c r="G280" s="826">
        <v>0</v>
      </c>
      <c r="H280" s="826"/>
      <c r="I280" s="826"/>
      <c r="J280" s="826"/>
      <c r="K280" s="826"/>
      <c r="L280" s="826"/>
      <c r="M280" s="1374">
        <f>SUM(E280:K280)</f>
        <v>0</v>
      </c>
      <c r="N280" s="1374">
        <f>SUM(F280:L280)</f>
        <v>0</v>
      </c>
      <c r="O280" s="3618"/>
    </row>
    <row r="281" spans="1:15" s="3379" customFormat="1">
      <c r="A281" s="3513"/>
      <c r="B281" s="810" t="s">
        <v>18</v>
      </c>
      <c r="C281" s="3581"/>
      <c r="D281" s="1360">
        <f>+D282</f>
        <v>15045000</v>
      </c>
      <c r="E281" s="1360">
        <f t="shared" ref="E281:H281" si="173">+E282</f>
        <v>0</v>
      </c>
      <c r="F281" s="1360">
        <f t="shared" si="173"/>
        <v>0</v>
      </c>
      <c r="G281" s="1360">
        <f t="shared" si="173"/>
        <v>1862052</v>
      </c>
      <c r="H281" s="1360">
        <f t="shared" si="173"/>
        <v>13182948</v>
      </c>
      <c r="I281" s="1360"/>
      <c r="J281" s="1360"/>
      <c r="K281" s="1360"/>
      <c r="L281" s="1360"/>
      <c r="M281" s="1361">
        <f>+M282</f>
        <v>15045000</v>
      </c>
      <c r="N281" s="1361">
        <f>+N282</f>
        <v>15045000</v>
      </c>
      <c r="O281" s="3618"/>
    </row>
    <row r="282" spans="1:15" s="3379" customFormat="1">
      <c r="A282" s="3513"/>
      <c r="B282" s="2852" t="s">
        <v>20</v>
      </c>
      <c r="C282" s="3582"/>
      <c r="D282" s="1288">
        <f>E282+F282+G282+H282+I282+J282+K282+L282</f>
        <v>15045000</v>
      </c>
      <c r="E282" s="1334"/>
      <c r="F282" s="1373"/>
      <c r="G282" s="1373">
        <v>1862052</v>
      </c>
      <c r="H282" s="1373">
        <v>13182948</v>
      </c>
      <c r="I282" s="1373"/>
      <c r="J282" s="1373"/>
      <c r="K282" s="1373"/>
      <c r="L282" s="1373"/>
      <c r="M282" s="1374">
        <f>SUM(F282:K282)</f>
        <v>15045000</v>
      </c>
      <c r="N282" s="1374">
        <f>SUM(G282:L282)</f>
        <v>15045000</v>
      </c>
      <c r="O282" s="3619"/>
    </row>
    <row r="283" spans="1:15" s="3379" customFormat="1">
      <c r="A283" s="3513"/>
      <c r="B283" s="417" t="s">
        <v>21</v>
      </c>
      <c r="C283" s="519"/>
      <c r="D283" s="1357">
        <f>+D286+D284</f>
        <v>15045000</v>
      </c>
      <c r="E283" s="1357">
        <f t="shared" ref="E283:H283" si="174">+E286+E284</f>
        <v>0</v>
      </c>
      <c r="F283" s="1357">
        <f t="shared" si="174"/>
        <v>0</v>
      </c>
      <c r="G283" s="1357">
        <f t="shared" si="174"/>
        <v>0</v>
      </c>
      <c r="H283" s="1357">
        <f t="shared" si="174"/>
        <v>15045000</v>
      </c>
      <c r="I283" s="1357"/>
      <c r="J283" s="1357"/>
      <c r="K283" s="1357"/>
      <c r="L283" s="1357"/>
      <c r="M283" s="3559" t="s">
        <v>22</v>
      </c>
      <c r="N283" s="3559" t="s">
        <v>22</v>
      </c>
      <c r="O283" s="3583" t="s">
        <v>93</v>
      </c>
    </row>
    <row r="284" spans="1:15" s="3379" customFormat="1" hidden="1">
      <c r="A284" s="3513"/>
      <c r="B284" s="1364" t="s">
        <v>23</v>
      </c>
      <c r="C284" s="3522" t="s">
        <v>182</v>
      </c>
      <c r="D284" s="1360">
        <f>+D285</f>
        <v>0</v>
      </c>
      <c r="E284" s="1360">
        <f t="shared" ref="E284:H284" si="175">+E285</f>
        <v>0</v>
      </c>
      <c r="F284" s="1360">
        <f t="shared" si="175"/>
        <v>0</v>
      </c>
      <c r="G284" s="1360">
        <f t="shared" si="175"/>
        <v>0</v>
      </c>
      <c r="H284" s="1360">
        <f t="shared" si="175"/>
        <v>0</v>
      </c>
      <c r="I284" s="1360"/>
      <c r="J284" s="1360"/>
      <c r="K284" s="1360"/>
      <c r="L284" s="1360"/>
      <c r="M284" s="3549"/>
      <c r="N284" s="3549"/>
      <c r="O284" s="3571"/>
    </row>
    <row r="285" spans="1:15" s="3379" customFormat="1" hidden="1">
      <c r="A285" s="3513"/>
      <c r="B285" s="1387" t="s">
        <v>15</v>
      </c>
      <c r="C285" s="3566"/>
      <c r="D285" s="1288">
        <f>E285+F285+G285+H285+I285+J285+K285+L285</f>
        <v>0</v>
      </c>
      <c r="E285" s="1377"/>
      <c r="F285" s="1377"/>
      <c r="G285" s="1377"/>
      <c r="H285" s="1377"/>
      <c r="I285" s="1377"/>
      <c r="J285" s="1377"/>
      <c r="K285" s="1377"/>
      <c r="L285" s="1377"/>
      <c r="M285" s="3549"/>
      <c r="N285" s="3549"/>
      <c r="O285" s="3571"/>
    </row>
    <row r="286" spans="1:15" s="3379" customFormat="1">
      <c r="A286" s="3513"/>
      <c r="B286" s="547" t="s">
        <v>18</v>
      </c>
      <c r="C286" s="3566"/>
      <c r="D286" s="1378">
        <f>+D287</f>
        <v>15045000</v>
      </c>
      <c r="E286" s="1378">
        <f t="shared" ref="E286:H286" si="176">+E287</f>
        <v>0</v>
      </c>
      <c r="F286" s="1378">
        <f t="shared" si="176"/>
        <v>0</v>
      </c>
      <c r="G286" s="1378">
        <f t="shared" si="176"/>
        <v>0</v>
      </c>
      <c r="H286" s="1378">
        <f t="shared" si="176"/>
        <v>15045000</v>
      </c>
      <c r="I286" s="1378"/>
      <c r="J286" s="1378"/>
      <c r="K286" s="1378"/>
      <c r="L286" s="1378"/>
      <c r="M286" s="3549"/>
      <c r="N286" s="3549"/>
      <c r="O286" s="3571"/>
    </row>
    <row r="287" spans="1:15" s="3379" customFormat="1" ht="13.5" thickBot="1">
      <c r="A287" s="3579"/>
      <c r="B287" s="813" t="s">
        <v>20</v>
      </c>
      <c r="C287" s="3567"/>
      <c r="D287" s="1455">
        <f>E287+F287+G287+H287+I287+J287+K287+L287</f>
        <v>15045000</v>
      </c>
      <c r="E287" s="1455">
        <v>0</v>
      </c>
      <c r="F287" s="1455">
        <v>0</v>
      </c>
      <c r="G287" s="414">
        <f>1862052-1862052</f>
        <v>0</v>
      </c>
      <c r="H287" s="414">
        <f>13182948+1862052</f>
        <v>15045000</v>
      </c>
      <c r="I287" s="414"/>
      <c r="J287" s="414"/>
      <c r="K287" s="414"/>
      <c r="L287" s="414"/>
      <c r="M287" s="3550"/>
      <c r="N287" s="3550"/>
      <c r="O287" s="3572"/>
    </row>
    <row r="288" spans="1:15" s="3470" customFormat="1" ht="24">
      <c r="A288" s="3606" t="s">
        <v>86</v>
      </c>
      <c r="B288" s="372" t="s">
        <v>573</v>
      </c>
      <c r="C288" s="56" t="s">
        <v>73</v>
      </c>
      <c r="D288" s="2776"/>
      <c r="E288" s="2752"/>
      <c r="F288" s="2752"/>
      <c r="G288" s="2752"/>
      <c r="H288" s="2752"/>
      <c r="I288" s="2752"/>
      <c r="J288" s="2752"/>
      <c r="K288" s="2752"/>
      <c r="L288" s="41"/>
      <c r="M288" s="43"/>
      <c r="N288" s="43"/>
      <c r="O288" s="3540" t="s">
        <v>78</v>
      </c>
    </row>
    <row r="289" spans="1:15" s="3470" customFormat="1">
      <c r="A289" s="3607"/>
      <c r="B289" s="417" t="s">
        <v>10</v>
      </c>
      <c r="C289" s="2845"/>
      <c r="D289" s="1396">
        <f>+D290+D293</f>
        <v>55000000</v>
      </c>
      <c r="E289" s="1396">
        <f t="shared" ref="E289:H289" si="177">+E290+E293</f>
        <v>0</v>
      </c>
      <c r="F289" s="1396">
        <f t="shared" si="177"/>
        <v>0</v>
      </c>
      <c r="G289" s="1396">
        <f t="shared" si="177"/>
        <v>0</v>
      </c>
      <c r="H289" s="1396">
        <f t="shared" si="177"/>
        <v>7000000</v>
      </c>
      <c r="I289" s="1396">
        <f t="shared" ref="I289:J289" si="178">+I290+I293</f>
        <v>31000000</v>
      </c>
      <c r="J289" s="1396">
        <f t="shared" si="178"/>
        <v>17000000</v>
      </c>
      <c r="K289" s="1396"/>
      <c r="L289" s="1396"/>
      <c r="M289" s="1413">
        <f>+M290+M293</f>
        <v>55000000</v>
      </c>
      <c r="N289" s="1413">
        <f>+N290+N293</f>
        <v>55000000</v>
      </c>
      <c r="O289" s="3618"/>
    </row>
    <row r="290" spans="1:15" s="3470" customFormat="1">
      <c r="A290" s="3607"/>
      <c r="B290" s="545" t="s">
        <v>23</v>
      </c>
      <c r="C290" s="3580" t="s">
        <v>76</v>
      </c>
      <c r="D290" s="1397">
        <f>+D291+D292</f>
        <v>8250000</v>
      </c>
      <c r="E290" s="1397">
        <f t="shared" ref="E290" si="179">+E291+E292</f>
        <v>0</v>
      </c>
      <c r="F290" s="1397">
        <f>+F291+F292</f>
        <v>0</v>
      </c>
      <c r="G290" s="1397">
        <f>+G291+G292</f>
        <v>0</v>
      </c>
      <c r="H290" s="1397">
        <f>+H291+H292</f>
        <v>1050000</v>
      </c>
      <c r="I290" s="1397">
        <f>+I291+I292</f>
        <v>4650000</v>
      </c>
      <c r="J290" s="1397">
        <f>+J291+J292</f>
        <v>2550000</v>
      </c>
      <c r="K290" s="1397"/>
      <c r="L290" s="1397"/>
      <c r="M290" s="1398">
        <f>+M291</f>
        <v>8250000</v>
      </c>
      <c r="N290" s="1398">
        <f>+N291</f>
        <v>8250000</v>
      </c>
      <c r="O290" s="3618"/>
    </row>
    <row r="291" spans="1:15" s="3470" customFormat="1">
      <c r="A291" s="3607"/>
      <c r="B291" s="600" t="s">
        <v>12</v>
      </c>
      <c r="C291" s="3581"/>
      <c r="D291" s="1288">
        <f>E291+F291+G291+H291+I291+J291+K291+L291</f>
        <v>8250000</v>
      </c>
      <c r="E291" s="1334"/>
      <c r="F291" s="1373"/>
      <c r="G291" s="1373"/>
      <c r="H291" s="1373">
        <v>1050000</v>
      </c>
      <c r="I291" s="1373">
        <v>4650000</v>
      </c>
      <c r="J291" s="1373">
        <v>2550000</v>
      </c>
      <c r="K291" s="1373"/>
      <c r="L291" s="1373"/>
      <c r="M291" s="1374">
        <f>SUM(F291:K291)</f>
        <v>8250000</v>
      </c>
      <c r="N291" s="1374">
        <f>SUM(G291:L291)</f>
        <v>8250000</v>
      </c>
      <c r="O291" s="3618"/>
    </row>
    <row r="292" spans="1:15" s="3470" customFormat="1" hidden="1">
      <c r="A292" s="3607"/>
      <c r="B292" s="2844" t="s">
        <v>15</v>
      </c>
      <c r="C292" s="3581"/>
      <c r="D292" s="1288">
        <f>E292+F292+G292+H292+I292+J292+K292+L292</f>
        <v>0</v>
      </c>
      <c r="E292" s="2851">
        <v>0</v>
      </c>
      <c r="F292" s="826">
        <v>0</v>
      </c>
      <c r="G292" s="826">
        <v>0</v>
      </c>
      <c r="H292" s="826"/>
      <c r="I292" s="826"/>
      <c r="J292" s="826"/>
      <c r="K292" s="826"/>
      <c r="L292" s="826"/>
      <c r="M292" s="1374">
        <f>SUM(E292:K292)</f>
        <v>0</v>
      </c>
      <c r="N292" s="1374">
        <f>SUM(F292:L292)</f>
        <v>0</v>
      </c>
      <c r="O292" s="3618"/>
    </row>
    <row r="293" spans="1:15" s="3470" customFormat="1">
      <c r="A293" s="3607"/>
      <c r="B293" s="810" t="s">
        <v>18</v>
      </c>
      <c r="C293" s="3581"/>
      <c r="D293" s="1360">
        <f>+D294</f>
        <v>46750000</v>
      </c>
      <c r="E293" s="1360">
        <f t="shared" ref="E293:J293" si="180">+E294</f>
        <v>0</v>
      </c>
      <c r="F293" s="1360">
        <f t="shared" si="180"/>
        <v>0</v>
      </c>
      <c r="G293" s="1360">
        <f t="shared" si="180"/>
        <v>0</v>
      </c>
      <c r="H293" s="1360">
        <f t="shared" si="180"/>
        <v>5950000</v>
      </c>
      <c r="I293" s="1360">
        <f t="shared" si="180"/>
        <v>26350000</v>
      </c>
      <c r="J293" s="1360">
        <f t="shared" si="180"/>
        <v>14450000</v>
      </c>
      <c r="K293" s="1360"/>
      <c r="L293" s="1360"/>
      <c r="M293" s="1361">
        <f>+M294</f>
        <v>46750000</v>
      </c>
      <c r="N293" s="1361">
        <f>+N294</f>
        <v>46750000</v>
      </c>
      <c r="O293" s="3618"/>
    </row>
    <row r="294" spans="1:15" s="3470" customFormat="1">
      <c r="A294" s="3607"/>
      <c r="B294" s="2852" t="s">
        <v>20</v>
      </c>
      <c r="C294" s="3582"/>
      <c r="D294" s="1288">
        <f>E294+F294+G294+H294+I294+J294+K294+L294</f>
        <v>46750000</v>
      </c>
      <c r="E294" s="1334"/>
      <c r="F294" s="1373"/>
      <c r="G294" s="1373"/>
      <c r="H294" s="1373">
        <v>5950000</v>
      </c>
      <c r="I294" s="1373">
        <v>26350000</v>
      </c>
      <c r="J294" s="1373">
        <v>14450000</v>
      </c>
      <c r="K294" s="1373"/>
      <c r="L294" s="1373"/>
      <c r="M294" s="1374">
        <f>SUM(F294:K294)</f>
        <v>46750000</v>
      </c>
      <c r="N294" s="1374">
        <f>SUM(G294:L294)</f>
        <v>46750000</v>
      </c>
      <c r="O294" s="3619"/>
    </row>
    <row r="295" spans="1:15" s="3470" customFormat="1">
      <c r="A295" s="3607"/>
      <c r="B295" s="417" t="s">
        <v>21</v>
      </c>
      <c r="C295" s="3475"/>
      <c r="D295" s="1357">
        <f>+D298+D296</f>
        <v>46750000</v>
      </c>
      <c r="E295" s="1357">
        <f t="shared" ref="E295:J295" si="181">+E298+E296</f>
        <v>0</v>
      </c>
      <c r="F295" s="1357">
        <f t="shared" si="181"/>
        <v>0</v>
      </c>
      <c r="G295" s="1357">
        <f t="shared" si="181"/>
        <v>0</v>
      </c>
      <c r="H295" s="1357">
        <f t="shared" si="181"/>
        <v>2950000</v>
      </c>
      <c r="I295" s="1357">
        <f t="shared" si="181"/>
        <v>16350000</v>
      </c>
      <c r="J295" s="1357">
        <f t="shared" si="181"/>
        <v>27450000</v>
      </c>
      <c r="K295" s="1357"/>
      <c r="L295" s="1357"/>
      <c r="M295" s="3559" t="s">
        <v>22</v>
      </c>
      <c r="N295" s="3559" t="s">
        <v>22</v>
      </c>
      <c r="O295" s="3583" t="s">
        <v>93</v>
      </c>
    </row>
    <row r="296" spans="1:15" s="3470" customFormat="1" hidden="1">
      <c r="A296" s="3607"/>
      <c r="B296" s="1364" t="s">
        <v>23</v>
      </c>
      <c r="C296" s="3580" t="s">
        <v>182</v>
      </c>
      <c r="D296" s="1360">
        <f>+D297</f>
        <v>0</v>
      </c>
      <c r="E296" s="1360">
        <f t="shared" ref="E296:H296" si="182">+E297</f>
        <v>0</v>
      </c>
      <c r="F296" s="1360">
        <f t="shared" si="182"/>
        <v>0</v>
      </c>
      <c r="G296" s="1360">
        <f t="shared" si="182"/>
        <v>0</v>
      </c>
      <c r="H296" s="1360">
        <f t="shared" si="182"/>
        <v>0</v>
      </c>
      <c r="I296" s="1360"/>
      <c r="J296" s="1360"/>
      <c r="K296" s="1360"/>
      <c r="L296" s="1360"/>
      <c r="M296" s="3549"/>
      <c r="N296" s="3549"/>
      <c r="O296" s="3571"/>
    </row>
    <row r="297" spans="1:15" s="3470" customFormat="1" hidden="1">
      <c r="A297" s="3607"/>
      <c r="B297" s="1387" t="s">
        <v>15</v>
      </c>
      <c r="C297" s="3581"/>
      <c r="D297" s="1288">
        <f>E297+F297+G297+H297+I297+J297+K297+L297</f>
        <v>0</v>
      </c>
      <c r="E297" s="1377"/>
      <c r="F297" s="1377"/>
      <c r="G297" s="1377"/>
      <c r="H297" s="1377"/>
      <c r="I297" s="1377"/>
      <c r="J297" s="1377"/>
      <c r="K297" s="1377"/>
      <c r="L297" s="1377"/>
      <c r="M297" s="3549"/>
      <c r="N297" s="3549"/>
      <c r="O297" s="3571"/>
    </row>
    <row r="298" spans="1:15" s="3470" customFormat="1">
      <c r="A298" s="3607"/>
      <c r="B298" s="547" t="s">
        <v>18</v>
      </c>
      <c r="C298" s="3581"/>
      <c r="D298" s="1378">
        <f>+D299</f>
        <v>46750000</v>
      </c>
      <c r="E298" s="1378">
        <f t="shared" ref="E298:J298" si="183">+E299</f>
        <v>0</v>
      </c>
      <c r="F298" s="1378">
        <f t="shared" si="183"/>
        <v>0</v>
      </c>
      <c r="G298" s="1378">
        <f t="shared" si="183"/>
        <v>0</v>
      </c>
      <c r="H298" s="1378">
        <f t="shared" si="183"/>
        <v>2950000</v>
      </c>
      <c r="I298" s="1378">
        <f t="shared" si="183"/>
        <v>16350000</v>
      </c>
      <c r="J298" s="1378">
        <f t="shared" si="183"/>
        <v>27450000</v>
      </c>
      <c r="K298" s="1378"/>
      <c r="L298" s="1378"/>
      <c r="M298" s="3549"/>
      <c r="N298" s="3549"/>
      <c r="O298" s="3571"/>
    </row>
    <row r="299" spans="1:15" s="3470" customFormat="1" ht="13.5" thickBot="1">
      <c r="A299" s="3608"/>
      <c r="B299" s="813" t="s">
        <v>20</v>
      </c>
      <c r="C299" s="3739"/>
      <c r="D299" s="1455">
        <f>E299+F299+G299+H299+I299+J299+K299+L299</f>
        <v>46750000</v>
      </c>
      <c r="E299" s="1455">
        <v>0</v>
      </c>
      <c r="F299" s="1455">
        <v>0</v>
      </c>
      <c r="G299" s="414">
        <f>1862052-1862052</f>
        <v>0</v>
      </c>
      <c r="H299" s="414">
        <v>2950000</v>
      </c>
      <c r="I299" s="414">
        <v>16350000</v>
      </c>
      <c r="J299" s="414">
        <v>27450000</v>
      </c>
      <c r="K299" s="414"/>
      <c r="L299" s="414"/>
      <c r="M299" s="3550"/>
      <c r="N299" s="3550"/>
      <c r="O299" s="3572"/>
    </row>
    <row r="300" spans="1:15" s="3471" customFormat="1" ht="24">
      <c r="A300" s="3606" t="s">
        <v>87</v>
      </c>
      <c r="B300" s="372" t="s">
        <v>574</v>
      </c>
      <c r="C300" s="56" t="s">
        <v>73</v>
      </c>
      <c r="D300" s="2776"/>
      <c r="E300" s="2752"/>
      <c r="F300" s="2752"/>
      <c r="G300" s="2752"/>
      <c r="H300" s="2752"/>
      <c r="I300" s="2752"/>
      <c r="J300" s="2752"/>
      <c r="K300" s="2752"/>
      <c r="L300" s="41"/>
      <c r="M300" s="43"/>
      <c r="N300" s="43"/>
      <c r="O300" s="3540" t="s">
        <v>78</v>
      </c>
    </row>
    <row r="301" spans="1:15" s="3471" customFormat="1">
      <c r="A301" s="3607"/>
      <c r="B301" s="417" t="s">
        <v>10</v>
      </c>
      <c r="C301" s="2845"/>
      <c r="D301" s="1396">
        <f>+D302+D305</f>
        <v>25000000</v>
      </c>
      <c r="E301" s="1396">
        <f t="shared" ref="E301:J301" si="184">+E302+E305</f>
        <v>0</v>
      </c>
      <c r="F301" s="1396">
        <f t="shared" si="184"/>
        <v>0</v>
      </c>
      <c r="G301" s="1396">
        <f t="shared" si="184"/>
        <v>0</v>
      </c>
      <c r="H301" s="1396">
        <f>+H302+H305</f>
        <v>6000000</v>
      </c>
      <c r="I301" s="1396">
        <f t="shared" si="184"/>
        <v>19000000</v>
      </c>
      <c r="J301" s="1396">
        <f t="shared" si="184"/>
        <v>0</v>
      </c>
      <c r="K301" s="1396"/>
      <c r="L301" s="1396"/>
      <c r="M301" s="1413">
        <f>+M302+M305</f>
        <v>25000000</v>
      </c>
      <c r="N301" s="1413">
        <f>+N302+N305</f>
        <v>25000000</v>
      </c>
      <c r="O301" s="3618"/>
    </row>
    <row r="302" spans="1:15" s="3471" customFormat="1">
      <c r="A302" s="3607"/>
      <c r="B302" s="545" t="s">
        <v>23</v>
      </c>
      <c r="C302" s="3580" t="s">
        <v>76</v>
      </c>
      <c r="D302" s="1397">
        <f>+D303+D304</f>
        <v>3750000</v>
      </c>
      <c r="E302" s="1397">
        <f t="shared" ref="E302" si="185">+E303+E304</f>
        <v>0</v>
      </c>
      <c r="F302" s="1397">
        <f>+F303+F304</f>
        <v>0</v>
      </c>
      <c r="G302" s="1397">
        <f>+G303+G304</f>
        <v>0</v>
      </c>
      <c r="H302" s="1397">
        <f>+H303+H304</f>
        <v>900000</v>
      </c>
      <c r="I302" s="1397">
        <f>+I303+I304</f>
        <v>2850000</v>
      </c>
      <c r="J302" s="1397">
        <f>+J303+J304</f>
        <v>0</v>
      </c>
      <c r="K302" s="1397"/>
      <c r="L302" s="1397"/>
      <c r="M302" s="1398">
        <f>+M303</f>
        <v>3750000</v>
      </c>
      <c r="N302" s="1398">
        <f>+N303</f>
        <v>3750000</v>
      </c>
      <c r="O302" s="3618"/>
    </row>
    <row r="303" spans="1:15" s="3471" customFormat="1">
      <c r="A303" s="3607"/>
      <c r="B303" s="600" t="s">
        <v>12</v>
      </c>
      <c r="C303" s="3581"/>
      <c r="D303" s="1288">
        <f>E303+F303+G303+H303+I303+J303+K303+L303</f>
        <v>3750000</v>
      </c>
      <c r="E303" s="1334"/>
      <c r="F303" s="1373"/>
      <c r="G303" s="1373"/>
      <c r="H303" s="1373">
        <v>900000</v>
      </c>
      <c r="I303" s="1373">
        <v>2850000</v>
      </c>
      <c r="J303" s="1373">
        <v>0</v>
      </c>
      <c r="K303" s="1373"/>
      <c r="L303" s="1373"/>
      <c r="M303" s="1374">
        <f>SUM(F303:K303)</f>
        <v>3750000</v>
      </c>
      <c r="N303" s="1374">
        <f>SUM(G303:L303)</f>
        <v>3750000</v>
      </c>
      <c r="O303" s="3618"/>
    </row>
    <row r="304" spans="1:15" s="3471" customFormat="1" hidden="1">
      <c r="A304" s="3607"/>
      <c r="B304" s="2844" t="s">
        <v>15</v>
      </c>
      <c r="C304" s="3581"/>
      <c r="D304" s="1288">
        <f>E304+F304+G304+H304+I304+J304+K304+L304</f>
        <v>0</v>
      </c>
      <c r="E304" s="2851">
        <v>0</v>
      </c>
      <c r="F304" s="826">
        <v>0</v>
      </c>
      <c r="G304" s="826">
        <v>0</v>
      </c>
      <c r="H304" s="826"/>
      <c r="I304" s="826"/>
      <c r="J304" s="826"/>
      <c r="K304" s="826"/>
      <c r="L304" s="826"/>
      <c r="M304" s="1374">
        <f>SUM(E304:K304)</f>
        <v>0</v>
      </c>
      <c r="N304" s="1374">
        <f>SUM(F304:L304)</f>
        <v>0</v>
      </c>
      <c r="O304" s="3618"/>
    </row>
    <row r="305" spans="1:16" s="3471" customFormat="1">
      <c r="A305" s="3607"/>
      <c r="B305" s="810" t="s">
        <v>18</v>
      </c>
      <c r="C305" s="3581"/>
      <c r="D305" s="1360">
        <f>+D306</f>
        <v>21250000</v>
      </c>
      <c r="E305" s="1360">
        <f t="shared" ref="E305:J305" si="186">+E306</f>
        <v>0</v>
      </c>
      <c r="F305" s="1360">
        <f t="shared" si="186"/>
        <v>0</v>
      </c>
      <c r="G305" s="1360">
        <f t="shared" si="186"/>
        <v>0</v>
      </c>
      <c r="H305" s="1360">
        <f t="shared" si="186"/>
        <v>5100000</v>
      </c>
      <c r="I305" s="1360">
        <f t="shared" si="186"/>
        <v>16150000</v>
      </c>
      <c r="J305" s="1360">
        <f t="shared" si="186"/>
        <v>0</v>
      </c>
      <c r="K305" s="1360"/>
      <c r="L305" s="1360"/>
      <c r="M305" s="1361">
        <f>+M306</f>
        <v>21250000</v>
      </c>
      <c r="N305" s="1361">
        <f>+N306</f>
        <v>21250000</v>
      </c>
      <c r="O305" s="3618"/>
    </row>
    <row r="306" spans="1:16" s="3471" customFormat="1">
      <c r="A306" s="3607"/>
      <c r="B306" s="2852" t="s">
        <v>20</v>
      </c>
      <c r="C306" s="3582"/>
      <c r="D306" s="1288">
        <f>E306+F306+G306+H306+I306+J306+K306+L306</f>
        <v>21250000</v>
      </c>
      <c r="E306" s="1334"/>
      <c r="F306" s="1373"/>
      <c r="G306" s="1373"/>
      <c r="H306" s="1373">
        <v>5100000</v>
      </c>
      <c r="I306" s="1373">
        <v>16150000</v>
      </c>
      <c r="J306" s="1373">
        <v>0</v>
      </c>
      <c r="K306" s="1373"/>
      <c r="L306" s="1373"/>
      <c r="M306" s="1374">
        <f>SUM(F306:K306)</f>
        <v>21250000</v>
      </c>
      <c r="N306" s="1374">
        <f>SUM(G306:L306)</f>
        <v>21250000</v>
      </c>
      <c r="O306" s="3619"/>
    </row>
    <row r="307" spans="1:16" s="3471" customFormat="1">
      <c r="A307" s="3607"/>
      <c r="B307" s="417" t="s">
        <v>21</v>
      </c>
      <c r="C307" s="3475"/>
      <c r="D307" s="1357">
        <f>+D310+D308</f>
        <v>21250000</v>
      </c>
      <c r="E307" s="1357">
        <f t="shared" ref="E307:J307" si="187">+E310+E308</f>
        <v>0</v>
      </c>
      <c r="F307" s="1357">
        <f t="shared" si="187"/>
        <v>0</v>
      </c>
      <c r="G307" s="1357">
        <f t="shared" si="187"/>
        <v>0</v>
      </c>
      <c r="H307" s="1357">
        <f t="shared" si="187"/>
        <v>3500000</v>
      </c>
      <c r="I307" s="1357">
        <f t="shared" si="187"/>
        <v>11250000</v>
      </c>
      <c r="J307" s="1357">
        <f t="shared" si="187"/>
        <v>6500000</v>
      </c>
      <c r="K307" s="1357"/>
      <c r="L307" s="1357"/>
      <c r="M307" s="3559" t="s">
        <v>22</v>
      </c>
      <c r="N307" s="3559" t="s">
        <v>22</v>
      </c>
      <c r="O307" s="3583" t="s">
        <v>93</v>
      </c>
    </row>
    <row r="308" spans="1:16" s="3471" customFormat="1" hidden="1">
      <c r="A308" s="3607"/>
      <c r="B308" s="1364" t="s">
        <v>23</v>
      </c>
      <c r="C308" s="3580" t="s">
        <v>182</v>
      </c>
      <c r="D308" s="1360">
        <f>+D309</f>
        <v>0</v>
      </c>
      <c r="E308" s="1360">
        <f t="shared" ref="E308:H308" si="188">+E309</f>
        <v>0</v>
      </c>
      <c r="F308" s="1360">
        <f t="shared" si="188"/>
        <v>0</v>
      </c>
      <c r="G308" s="1360">
        <f t="shared" si="188"/>
        <v>0</v>
      </c>
      <c r="H308" s="1360">
        <f t="shared" si="188"/>
        <v>0</v>
      </c>
      <c r="I308" s="1360"/>
      <c r="J308" s="1360"/>
      <c r="K308" s="1360"/>
      <c r="L308" s="1360"/>
      <c r="M308" s="3549"/>
      <c r="N308" s="3549"/>
      <c r="O308" s="3571"/>
    </row>
    <row r="309" spans="1:16" s="3471" customFormat="1" hidden="1">
      <c r="A309" s="3607"/>
      <c r="B309" s="1387" t="s">
        <v>15</v>
      </c>
      <c r="C309" s="3581"/>
      <c r="D309" s="1288">
        <f>E309+F309+G309+H309+I309+J309+K309+L309</f>
        <v>0</v>
      </c>
      <c r="E309" s="1377"/>
      <c r="F309" s="1377"/>
      <c r="G309" s="1377"/>
      <c r="H309" s="1377"/>
      <c r="I309" s="1377"/>
      <c r="J309" s="1377"/>
      <c r="K309" s="1377"/>
      <c r="L309" s="1377"/>
      <c r="M309" s="3549"/>
      <c r="N309" s="3549"/>
      <c r="O309" s="3571"/>
    </row>
    <row r="310" spans="1:16" s="3471" customFormat="1">
      <c r="A310" s="3607"/>
      <c r="B310" s="547" t="s">
        <v>18</v>
      </c>
      <c r="C310" s="3581"/>
      <c r="D310" s="1378">
        <f>+D311</f>
        <v>21250000</v>
      </c>
      <c r="E310" s="1378">
        <f t="shared" ref="E310:J310" si="189">+E311</f>
        <v>0</v>
      </c>
      <c r="F310" s="1378">
        <f t="shared" si="189"/>
        <v>0</v>
      </c>
      <c r="G310" s="1378">
        <f t="shared" si="189"/>
        <v>0</v>
      </c>
      <c r="H310" s="1378">
        <f t="shared" si="189"/>
        <v>3500000</v>
      </c>
      <c r="I310" s="1378">
        <f t="shared" si="189"/>
        <v>11250000</v>
      </c>
      <c r="J310" s="1378">
        <f t="shared" si="189"/>
        <v>6500000</v>
      </c>
      <c r="K310" s="1378"/>
      <c r="L310" s="1378"/>
      <c r="M310" s="3549"/>
      <c r="N310" s="3549"/>
      <c r="O310" s="3571"/>
    </row>
    <row r="311" spans="1:16" s="3471" customFormat="1" ht="13.5" thickBot="1">
      <c r="A311" s="3608"/>
      <c r="B311" s="813" t="s">
        <v>20</v>
      </c>
      <c r="C311" s="3739"/>
      <c r="D311" s="1455">
        <f>E311+F311+G311+H311+I311+J311+K311+L311</f>
        <v>21250000</v>
      </c>
      <c r="E311" s="1455">
        <v>0</v>
      </c>
      <c r="F311" s="1455">
        <v>0</v>
      </c>
      <c r="G311" s="414">
        <f>1862052-1862052</f>
        <v>0</v>
      </c>
      <c r="H311" s="414">
        <v>3500000</v>
      </c>
      <c r="I311" s="414">
        <v>11250000</v>
      </c>
      <c r="J311" s="414">
        <v>6500000</v>
      </c>
      <c r="K311" s="414"/>
      <c r="L311" s="414"/>
      <c r="M311" s="3550"/>
      <c r="N311" s="3550"/>
      <c r="O311" s="3572"/>
    </row>
    <row r="312" spans="1:16" ht="24.75" customHeight="1">
      <c r="A312" s="3512" t="s">
        <v>88</v>
      </c>
      <c r="B312" s="264" t="s">
        <v>569</v>
      </c>
      <c r="C312" s="56" t="s">
        <v>73</v>
      </c>
      <c r="D312" s="2776"/>
      <c r="E312" s="2752"/>
      <c r="F312" s="2752"/>
      <c r="G312" s="2752"/>
      <c r="H312" s="2752"/>
      <c r="I312" s="2752"/>
      <c r="J312" s="2752"/>
      <c r="K312" s="2752"/>
      <c r="L312" s="41"/>
      <c r="M312" s="43"/>
      <c r="N312" s="43"/>
      <c r="O312" s="3540" t="s">
        <v>78</v>
      </c>
      <c r="P312" s="2385" t="s">
        <v>259</v>
      </c>
    </row>
    <row r="313" spans="1:16" ht="12" customHeight="1">
      <c r="A313" s="3513"/>
      <c r="B313" s="1355" t="s">
        <v>10</v>
      </c>
      <c r="C313" s="1380"/>
      <c r="D313" s="2853">
        <f t="shared" ref="D313" si="190">+D314+D317</f>
        <v>8557270</v>
      </c>
      <c r="E313" s="1292">
        <f t="shared" ref="E313" si="191">+E314+E317</f>
        <v>0</v>
      </c>
      <c r="F313" s="1292">
        <f>+F314+F317</f>
        <v>322280</v>
      </c>
      <c r="G313" s="1292">
        <f>+G314+G317</f>
        <v>0</v>
      </c>
      <c r="H313" s="1292">
        <f>+H314+H317</f>
        <v>7814990</v>
      </c>
      <c r="I313" s="1292">
        <f>+I314+I317</f>
        <v>420000</v>
      </c>
      <c r="J313" s="1292"/>
      <c r="K313" s="1292"/>
      <c r="L313" s="1292"/>
      <c r="M313" s="1294">
        <f>M314+M317</f>
        <v>8557270</v>
      </c>
      <c r="N313" s="1294">
        <f>N314+N317</f>
        <v>8234990</v>
      </c>
      <c r="O313" s="3618"/>
      <c r="P313" s="2389"/>
    </row>
    <row r="314" spans="1:16" ht="13.5" customHeight="1">
      <c r="A314" s="3513"/>
      <c r="B314" s="1364" t="s">
        <v>23</v>
      </c>
      <c r="C314" s="3522" t="s">
        <v>76</v>
      </c>
      <c r="D314" s="1296">
        <f>+D315+D316</f>
        <v>8283332</v>
      </c>
      <c r="E314" s="2854">
        <f t="shared" ref="E314:I314" si="192">+E315</f>
        <v>0</v>
      </c>
      <c r="F314" s="2854">
        <f t="shared" si="192"/>
        <v>48342</v>
      </c>
      <c r="G314" s="2854">
        <f t="shared" si="192"/>
        <v>0</v>
      </c>
      <c r="H314" s="2854">
        <f t="shared" si="192"/>
        <v>7814990</v>
      </c>
      <c r="I314" s="2854">
        <f t="shared" si="192"/>
        <v>420000</v>
      </c>
      <c r="J314" s="1371"/>
      <c r="K314" s="1371"/>
      <c r="L314" s="1371"/>
      <c r="M314" s="1361">
        <f>M315</f>
        <v>8283332</v>
      </c>
      <c r="N314" s="1361">
        <f>N315</f>
        <v>8234990</v>
      </c>
      <c r="O314" s="3618"/>
      <c r="P314" s="2389"/>
    </row>
    <row r="315" spans="1:16" ht="12" customHeight="1">
      <c r="A315" s="3513"/>
      <c r="B315" s="1445" t="s">
        <v>12</v>
      </c>
      <c r="C315" s="3595"/>
      <c r="D315" s="1288">
        <f>E315+F315+G315+H315+I315+J315+K315+L315</f>
        <v>8283332</v>
      </c>
      <c r="E315" s="1334">
        <v>0</v>
      </c>
      <c r="F315" s="1373">
        <f>3200000-1940000+1520081+249090-73261-57720-385500-592500-1597849-273999</f>
        <v>48342</v>
      </c>
      <c r="G315" s="1373">
        <f>4984499+500000+710922+57720+385500+1597849-126001-28598-20000-246901-7814990</f>
        <v>0</v>
      </c>
      <c r="H315" s="1373">
        <v>7814990</v>
      </c>
      <c r="I315" s="1373">
        <v>420000</v>
      </c>
      <c r="J315" s="1373"/>
      <c r="K315" s="1373"/>
      <c r="L315" s="1373"/>
      <c r="M315" s="808">
        <f>SUM(F315:K315)</f>
        <v>8283332</v>
      </c>
      <c r="N315" s="808">
        <f>SUM(G315:L315)</f>
        <v>8234990</v>
      </c>
      <c r="O315" s="3618"/>
    </row>
    <row r="316" spans="1:16" hidden="1">
      <c r="A316" s="3513"/>
      <c r="B316" s="2843" t="s">
        <v>15</v>
      </c>
      <c r="C316" s="3595"/>
      <c r="D316" s="1288">
        <f>E316+F316+G316+H316+I316+J316+K316+L316</f>
        <v>0</v>
      </c>
      <c r="E316" s="1391">
        <v>0</v>
      </c>
      <c r="F316" s="1392"/>
      <c r="G316" s="1392"/>
      <c r="H316" s="1392"/>
      <c r="I316" s="1392"/>
      <c r="J316" s="197"/>
      <c r="K316" s="197"/>
      <c r="L316" s="197"/>
      <c r="M316" s="67"/>
      <c r="N316" s="67"/>
      <c r="O316" s="3618"/>
    </row>
    <row r="317" spans="1:16" ht="13.5" customHeight="1">
      <c r="A317" s="3513"/>
      <c r="B317" s="1395" t="s">
        <v>18</v>
      </c>
      <c r="C317" s="3595"/>
      <c r="D317" s="1360">
        <f>+D318</f>
        <v>273938</v>
      </c>
      <c r="E317" s="1304">
        <f t="shared" ref="E317:I317" si="193">+E318</f>
        <v>0</v>
      </c>
      <c r="F317" s="2854">
        <f t="shared" si="193"/>
        <v>273938</v>
      </c>
      <c r="G317" s="2854">
        <f t="shared" si="193"/>
        <v>0</v>
      </c>
      <c r="H317" s="1707">
        <f t="shared" si="193"/>
        <v>0</v>
      </c>
      <c r="I317" s="1707">
        <f t="shared" si="193"/>
        <v>0</v>
      </c>
      <c r="J317" s="1360"/>
      <c r="K317" s="1360"/>
      <c r="L317" s="1360"/>
      <c r="M317" s="1361">
        <f>M318</f>
        <v>273938</v>
      </c>
      <c r="N317" s="1361">
        <f>N318</f>
        <v>0</v>
      </c>
      <c r="O317" s="3618"/>
    </row>
    <row r="318" spans="1:16">
      <c r="A318" s="3513"/>
      <c r="B318" s="814" t="s">
        <v>20</v>
      </c>
      <c r="C318" s="3596"/>
      <c r="D318" s="1393">
        <f>E318+F318+G318+H318+I318+J318+K318+L318</f>
        <v>273938</v>
      </c>
      <c r="E318" s="1334">
        <v>0</v>
      </c>
      <c r="F318" s="1373">
        <f>1617722-288485-415148-640151</f>
        <v>273938</v>
      </c>
      <c r="G318" s="1373">
        <f>640151-162052-478099</f>
        <v>0</v>
      </c>
      <c r="H318" s="2855">
        <f>1900090-569500-416501-914089</f>
        <v>0</v>
      </c>
      <c r="I318" s="2855">
        <f>1900090-569500-416501-914089</f>
        <v>0</v>
      </c>
      <c r="J318" s="1373"/>
      <c r="K318" s="1373"/>
      <c r="L318" s="1373"/>
      <c r="M318" s="808">
        <f>SUM(F318:K318)</f>
        <v>273938</v>
      </c>
      <c r="N318" s="808">
        <f>SUM(G318:L318)</f>
        <v>0</v>
      </c>
      <c r="O318" s="3619"/>
    </row>
    <row r="319" spans="1:16" ht="12" customHeight="1">
      <c r="A319" s="3514"/>
      <c r="B319" s="1355" t="s">
        <v>21</v>
      </c>
      <c r="C319" s="88"/>
      <c r="D319" s="97">
        <f>+D322+D320</f>
        <v>273938</v>
      </c>
      <c r="E319" s="97">
        <f t="shared" ref="E319" si="194">+E322+E320</f>
        <v>0</v>
      </c>
      <c r="F319" s="718">
        <f t="shared" ref="F319:H319" si="195">+F322+F320</f>
        <v>0</v>
      </c>
      <c r="G319" s="97">
        <f t="shared" si="195"/>
        <v>0</v>
      </c>
      <c r="H319" s="97">
        <f t="shared" si="195"/>
        <v>273938</v>
      </c>
      <c r="I319" s="97"/>
      <c r="J319" s="97"/>
      <c r="K319" s="97"/>
      <c r="L319" s="97"/>
      <c r="M319" s="3615" t="s">
        <v>22</v>
      </c>
      <c r="N319" s="3615" t="s">
        <v>22</v>
      </c>
      <c r="O319" s="3696" t="s">
        <v>93</v>
      </c>
    </row>
    <row r="320" spans="1:16" ht="13.5" hidden="1" customHeight="1">
      <c r="A320" s="3514"/>
      <c r="B320" s="1364" t="s">
        <v>23</v>
      </c>
      <c r="C320" s="3522" t="s">
        <v>182</v>
      </c>
      <c r="D320" s="50">
        <f>+D321</f>
        <v>0</v>
      </c>
      <c r="E320" s="50">
        <f t="shared" ref="E320" si="196">+E321</f>
        <v>0</v>
      </c>
      <c r="F320" s="251"/>
      <c r="G320" s="50"/>
      <c r="H320" s="50"/>
      <c r="I320" s="50"/>
      <c r="J320" s="50"/>
      <c r="K320" s="50"/>
      <c r="L320" s="50"/>
      <c r="M320" s="3616"/>
      <c r="N320" s="3616"/>
      <c r="O320" s="3625"/>
    </row>
    <row r="321" spans="1:16" ht="12.75" hidden="1" customHeight="1">
      <c r="A321" s="3514"/>
      <c r="B321" s="2843" t="s">
        <v>15</v>
      </c>
      <c r="C321" s="3566"/>
      <c r="D321" s="1288">
        <f>E321+F321+G321+H321+I321+J321+K321+L321</f>
        <v>0</v>
      </c>
      <c r="E321" s="1303">
        <v>0</v>
      </c>
      <c r="F321" s="1394"/>
      <c r="G321" s="1303"/>
      <c r="H321" s="1303"/>
      <c r="I321" s="1303"/>
      <c r="J321" s="1303"/>
      <c r="K321" s="1303"/>
      <c r="L321" s="1303"/>
      <c r="M321" s="3616"/>
      <c r="N321" s="3616"/>
      <c r="O321" s="3625"/>
    </row>
    <row r="322" spans="1:16" ht="12" customHeight="1">
      <c r="A322" s="3514"/>
      <c r="B322" s="1395" t="s">
        <v>18</v>
      </c>
      <c r="C322" s="3566"/>
      <c r="D322" s="1360">
        <f t="shared" ref="D322:H322" si="197">+D323</f>
        <v>273938</v>
      </c>
      <c r="E322" s="1304">
        <f t="shared" si="197"/>
        <v>0</v>
      </c>
      <c r="F322" s="1707">
        <f t="shared" si="197"/>
        <v>0</v>
      </c>
      <c r="G322" s="1304">
        <f t="shared" si="197"/>
        <v>0</v>
      </c>
      <c r="H322" s="1304">
        <f t="shared" si="197"/>
        <v>273938</v>
      </c>
      <c r="I322" s="1304"/>
      <c r="J322" s="1304"/>
      <c r="K322" s="1304"/>
      <c r="L322" s="1304"/>
      <c r="M322" s="3616"/>
      <c r="N322" s="3616"/>
      <c r="O322" s="3625"/>
    </row>
    <row r="323" spans="1:16" ht="13.5" customHeight="1" thickBot="1">
      <c r="A323" s="3515"/>
      <c r="B323" s="674" t="s">
        <v>20</v>
      </c>
      <c r="C323" s="3567"/>
      <c r="D323" s="779">
        <f>E323+F323+G323+H323+I323+J323+K323+L323</f>
        <v>273938</v>
      </c>
      <c r="E323" s="779">
        <v>0</v>
      </c>
      <c r="F323" s="1902">
        <f>1900090-569500-416501-914089</f>
        <v>0</v>
      </c>
      <c r="G323" s="55">
        <f>914089-162052-752037</f>
        <v>0</v>
      </c>
      <c r="H323" s="55">
        <v>273938</v>
      </c>
      <c r="I323" s="415"/>
      <c r="J323" s="415"/>
      <c r="K323" s="415"/>
      <c r="L323" s="415"/>
      <c r="M323" s="3617"/>
      <c r="N323" s="3617"/>
      <c r="O323" s="3623"/>
    </row>
    <row r="324" spans="1:16" ht="29.25" hidden="1" customHeight="1">
      <c r="A324" s="3512"/>
      <c r="B324" s="72" t="s">
        <v>344</v>
      </c>
      <c r="C324" s="56" t="s">
        <v>73</v>
      </c>
      <c r="D324" s="672"/>
      <c r="E324" s="373"/>
      <c r="F324" s="373"/>
      <c r="G324" s="373"/>
      <c r="H324" s="373"/>
      <c r="I324" s="373"/>
      <c r="J324" s="42"/>
      <c r="K324" s="42"/>
      <c r="L324" s="42"/>
      <c r="M324" s="43"/>
      <c r="N324" s="43"/>
      <c r="O324" s="3620" t="s">
        <v>93</v>
      </c>
      <c r="P324" s="2385" t="s">
        <v>259</v>
      </c>
    </row>
    <row r="325" spans="1:16" ht="13.5" hidden="1" customHeight="1">
      <c r="A325" s="3513"/>
      <c r="B325" s="543" t="s">
        <v>10</v>
      </c>
      <c r="C325" s="612"/>
      <c r="D325" s="584">
        <f t="shared" ref="D325" si="198">+D326+D329</f>
        <v>0</v>
      </c>
      <c r="E325" s="594">
        <v>0</v>
      </c>
      <c r="F325" s="585">
        <f>+F326+F329</f>
        <v>0</v>
      </c>
      <c r="G325" s="585"/>
      <c r="H325" s="585"/>
      <c r="I325" s="585"/>
      <c r="J325" s="585"/>
      <c r="K325" s="585"/>
      <c r="L325" s="585"/>
      <c r="M325" s="793">
        <f>M326+M329</f>
        <v>0</v>
      </c>
      <c r="N325" s="793">
        <f>N326+N329</f>
        <v>0</v>
      </c>
      <c r="O325" s="3571"/>
      <c r="P325" s="2389"/>
    </row>
    <row r="326" spans="1:16" ht="14.25" hidden="1" customHeight="1">
      <c r="A326" s="3513"/>
      <c r="B326" s="1068" t="s">
        <v>23</v>
      </c>
      <c r="C326" s="3560" t="s">
        <v>90</v>
      </c>
      <c r="D326" s="726">
        <f t="shared" ref="D326" si="199">+D327+D328</f>
        <v>0</v>
      </c>
      <c r="E326" s="557">
        <v>0</v>
      </c>
      <c r="F326" s="726">
        <f>+F327+F328</f>
        <v>0</v>
      </c>
      <c r="G326" s="726"/>
      <c r="H326" s="726"/>
      <c r="I326" s="726"/>
      <c r="J326" s="726"/>
      <c r="K326" s="726"/>
      <c r="L326" s="726"/>
      <c r="M326" s="522">
        <f>+M327+M328</f>
        <v>0</v>
      </c>
      <c r="N326" s="522">
        <f>+N327+N328</f>
        <v>0</v>
      </c>
      <c r="O326" s="3571"/>
      <c r="P326" s="2389"/>
    </row>
    <row r="327" spans="1:16" ht="12.75" hidden="1" customHeight="1">
      <c r="A327" s="3513"/>
      <c r="B327" s="1069" t="s">
        <v>12</v>
      </c>
      <c r="C327" s="3595"/>
      <c r="D327" s="785">
        <f>SUM(E327:L327)</f>
        <v>0</v>
      </c>
      <c r="E327" s="551"/>
      <c r="F327" s="590"/>
      <c r="G327" s="590"/>
      <c r="H327" s="590"/>
      <c r="I327" s="590"/>
      <c r="J327" s="590"/>
      <c r="K327" s="590"/>
      <c r="L327" s="590"/>
      <c r="M327" s="1070"/>
      <c r="N327" s="1070"/>
      <c r="O327" s="3571"/>
    </row>
    <row r="328" spans="1:16" ht="11.25" hidden="1" customHeight="1">
      <c r="A328" s="3513"/>
      <c r="B328" s="484" t="s">
        <v>97</v>
      </c>
      <c r="C328" s="3595"/>
      <c r="D328" s="236">
        <f>E328+F328+G328+H328+I328+J328+K328+L328</f>
        <v>0</v>
      </c>
      <c r="E328" s="551">
        <v>0</v>
      </c>
      <c r="F328" s="591">
        <f>5400000-5400000</f>
        <v>0</v>
      </c>
      <c r="G328" s="590"/>
      <c r="H328" s="590"/>
      <c r="I328" s="591"/>
      <c r="J328" s="590"/>
      <c r="K328" s="590"/>
      <c r="L328" s="590"/>
      <c r="M328" s="808">
        <f>SUM(E328:K328)</f>
        <v>0</v>
      </c>
      <c r="N328" s="808">
        <f>SUM(F328:L328)</f>
        <v>0</v>
      </c>
      <c r="O328" s="3571"/>
    </row>
    <row r="329" spans="1:16" ht="11.25" hidden="1" customHeight="1">
      <c r="A329" s="3513"/>
      <c r="B329" s="1071" t="s">
        <v>18</v>
      </c>
      <c r="C329" s="3595"/>
      <c r="D329" s="523">
        <f t="shared" ref="D329:F329" si="200">+D330</f>
        <v>0</v>
      </c>
      <c r="E329" s="816">
        <v>0</v>
      </c>
      <c r="F329" s="798">
        <f t="shared" si="200"/>
        <v>0</v>
      </c>
      <c r="G329" s="798"/>
      <c r="H329" s="798"/>
      <c r="I329" s="798"/>
      <c r="J329" s="798"/>
      <c r="K329" s="798"/>
      <c r="L329" s="798"/>
      <c r="M329" s="522">
        <f>M330</f>
        <v>0</v>
      </c>
      <c r="N329" s="522">
        <f>N330</f>
        <v>0</v>
      </c>
      <c r="O329" s="3571"/>
    </row>
    <row r="330" spans="1:16" ht="13.5" hidden="1" customHeight="1">
      <c r="A330" s="3513"/>
      <c r="B330" s="1072" t="s">
        <v>20</v>
      </c>
      <c r="C330" s="3596"/>
      <c r="D330" s="236">
        <f>E330+F330+G330+H330+I330+J330+K330+L330</f>
        <v>0</v>
      </c>
      <c r="E330" s="551">
        <v>0</v>
      </c>
      <c r="F330" s="590">
        <f>30600000-30600000</f>
        <v>0</v>
      </c>
      <c r="G330" s="590"/>
      <c r="H330" s="589"/>
      <c r="I330" s="590"/>
      <c r="J330" s="589"/>
      <c r="K330" s="589"/>
      <c r="L330" s="589"/>
      <c r="M330" s="808">
        <f>SUM(E330:K330)</f>
        <v>0</v>
      </c>
      <c r="N330" s="808">
        <f>SUM(F330:L330)</f>
        <v>0</v>
      </c>
      <c r="O330" s="3571"/>
    </row>
    <row r="331" spans="1:16" ht="13.5" hidden="1" customHeight="1">
      <c r="A331" s="3514"/>
      <c r="B331" s="1073" t="s">
        <v>21</v>
      </c>
      <c r="C331" s="88"/>
      <c r="D331" s="97">
        <f>+D334+D332</f>
        <v>0</v>
      </c>
      <c r="E331" s="718">
        <v>0</v>
      </c>
      <c r="F331" s="97">
        <f t="shared" ref="F331" si="201">+F334+F332</f>
        <v>0</v>
      </c>
      <c r="G331" s="97"/>
      <c r="H331" s="97"/>
      <c r="I331" s="97"/>
      <c r="J331" s="97"/>
      <c r="K331" s="97"/>
      <c r="L331" s="97"/>
      <c r="M331" s="3604" t="s">
        <v>22</v>
      </c>
      <c r="N331" s="3604" t="s">
        <v>22</v>
      </c>
      <c r="O331" s="3571"/>
    </row>
    <row r="332" spans="1:16" ht="13.5" hidden="1" customHeight="1">
      <c r="A332" s="3514"/>
      <c r="B332" s="812" t="s">
        <v>23</v>
      </c>
      <c r="C332" s="3560" t="s">
        <v>258</v>
      </c>
      <c r="D332" s="671">
        <f>D333</f>
        <v>0</v>
      </c>
      <c r="E332" s="1074">
        <v>0</v>
      </c>
      <c r="F332" s="671">
        <f t="shared" ref="F332" si="202">F333</f>
        <v>0</v>
      </c>
      <c r="G332" s="671"/>
      <c r="H332" s="671"/>
      <c r="I332" s="671"/>
      <c r="J332" s="671"/>
      <c r="K332" s="671"/>
      <c r="L332" s="671"/>
      <c r="M332" s="3517"/>
      <c r="N332" s="3517"/>
      <c r="O332" s="3571"/>
    </row>
    <row r="333" spans="1:16" ht="13.5" hidden="1" customHeight="1">
      <c r="A333" s="3514"/>
      <c r="B333" s="484" t="s">
        <v>97</v>
      </c>
      <c r="C333" s="3566"/>
      <c r="D333" s="236">
        <f>E333+F333+G333+H333+I333+J333+K333+L333</f>
        <v>0</v>
      </c>
      <c r="E333" s="551">
        <v>0</v>
      </c>
      <c r="F333" s="1075">
        <v>0</v>
      </c>
      <c r="G333" s="671"/>
      <c r="H333" s="1075"/>
      <c r="I333" s="1075"/>
      <c r="J333" s="671"/>
      <c r="K333" s="671"/>
      <c r="L333" s="671"/>
      <c r="M333" s="3517"/>
      <c r="N333" s="3517"/>
      <c r="O333" s="3571"/>
    </row>
    <row r="334" spans="1:16" ht="12" hidden="1" customHeight="1">
      <c r="A334" s="3514"/>
      <c r="B334" s="552" t="s">
        <v>18</v>
      </c>
      <c r="C334" s="3566"/>
      <c r="D334" s="523">
        <f>+D335</f>
        <v>0</v>
      </c>
      <c r="E334" s="816">
        <v>0</v>
      </c>
      <c r="F334" s="798">
        <f t="shared" ref="F334" si="203">+F335</f>
        <v>0</v>
      </c>
      <c r="G334" s="798"/>
      <c r="H334" s="798"/>
      <c r="I334" s="798"/>
      <c r="J334" s="798"/>
      <c r="K334" s="798"/>
      <c r="L334" s="798"/>
      <c r="M334" s="3517"/>
      <c r="N334" s="3517"/>
      <c r="O334" s="3571"/>
    </row>
    <row r="335" spans="1:16" ht="13.5" hidden="1" customHeight="1" thickBot="1">
      <c r="A335" s="3515"/>
      <c r="B335" s="813" t="s">
        <v>20</v>
      </c>
      <c r="C335" s="3567"/>
      <c r="D335" s="236">
        <f>E335+F335+G335+H335+I335+J335+K335+L335</f>
        <v>0</v>
      </c>
      <c r="E335" s="554">
        <v>0</v>
      </c>
      <c r="F335" s="55">
        <f>30600000-30600000</f>
        <v>0</v>
      </c>
      <c r="G335" s="55"/>
      <c r="H335" s="55"/>
      <c r="I335" s="55"/>
      <c r="J335" s="55"/>
      <c r="K335" s="55"/>
      <c r="L335" s="55"/>
      <c r="M335" s="3518"/>
      <c r="N335" s="3518"/>
      <c r="O335" s="3572"/>
    </row>
    <row r="336" spans="1:16" ht="24.75" customHeight="1">
      <c r="A336" s="3512" t="s">
        <v>89</v>
      </c>
      <c r="B336" s="72" t="s">
        <v>434</v>
      </c>
      <c r="C336" s="56" t="s">
        <v>73</v>
      </c>
      <c r="D336" s="2759"/>
      <c r="E336" s="2760"/>
      <c r="F336" s="2760"/>
      <c r="G336" s="2760"/>
      <c r="H336" s="2760"/>
      <c r="I336" s="2760"/>
      <c r="J336" s="2760"/>
      <c r="K336" s="2760"/>
      <c r="L336" s="2761"/>
      <c r="M336" s="43"/>
      <c r="N336" s="43"/>
      <c r="O336" s="3620" t="s">
        <v>93</v>
      </c>
    </row>
    <row r="337" spans="1:17" ht="13.5" customHeight="1">
      <c r="A337" s="3513"/>
      <c r="B337" s="827" t="s">
        <v>10</v>
      </c>
      <c r="C337" s="433"/>
      <c r="D337" s="598">
        <f t="shared" ref="D337" si="204">+D338+D342</f>
        <v>203900000</v>
      </c>
      <c r="E337" s="1903">
        <f t="shared" ref="E337" si="205">+E338+E342</f>
        <v>0</v>
      </c>
      <c r="F337" s="1904">
        <f>+F338+F342</f>
        <v>142545000</v>
      </c>
      <c r="G337" s="1904">
        <f>+G338+G342</f>
        <v>61355000</v>
      </c>
      <c r="H337" s="1905">
        <f>+H338+H342</f>
        <v>0</v>
      </c>
      <c r="I337" s="1905">
        <f>+I338+I342</f>
        <v>0</v>
      </c>
      <c r="J337" s="1904"/>
      <c r="K337" s="1904"/>
      <c r="L337" s="1904"/>
      <c r="M337" s="1878">
        <f>+M338+M342</f>
        <v>203900000</v>
      </c>
      <c r="N337" s="1878">
        <f>+N338+N342</f>
        <v>61355000</v>
      </c>
      <c r="O337" s="3571"/>
      <c r="Q337" s="2389"/>
    </row>
    <row r="338" spans="1:17" ht="13.5" customHeight="1">
      <c r="A338" s="3513"/>
      <c r="B338" s="812" t="s">
        <v>23</v>
      </c>
      <c r="C338" s="3560" t="s">
        <v>90</v>
      </c>
      <c r="D338" s="1906">
        <f>+D339+D341+D340</f>
        <v>30585000</v>
      </c>
      <c r="E338" s="1907">
        <f t="shared" ref="E338" si="206">+E339+E341+E340</f>
        <v>0</v>
      </c>
      <c r="F338" s="1906">
        <f t="shared" ref="F338:G338" si="207">+F339+F341+F340</f>
        <v>21381750</v>
      </c>
      <c r="G338" s="1906">
        <f t="shared" si="207"/>
        <v>9203250</v>
      </c>
      <c r="H338" s="1907">
        <f>+H339+H341+H340</f>
        <v>0</v>
      </c>
      <c r="I338" s="1907">
        <f>+I339+I341+I340</f>
        <v>0</v>
      </c>
      <c r="J338" s="1906"/>
      <c r="K338" s="1906"/>
      <c r="L338" s="1906"/>
      <c r="M338" s="522">
        <f>+M339+M341+M340</f>
        <v>30585000</v>
      </c>
      <c r="N338" s="522">
        <f>+N339+N341+N340</f>
        <v>9203250</v>
      </c>
      <c r="O338" s="3571"/>
      <c r="Q338" s="2389"/>
    </row>
    <row r="339" spans="1:17">
      <c r="A339" s="3513"/>
      <c r="B339" s="1896" t="s">
        <v>12</v>
      </c>
      <c r="C339" s="3595"/>
      <c r="D339" s="785">
        <f>E339+F339+G339+H339+I339+J339+K339+L339</f>
        <v>30585000</v>
      </c>
      <c r="E339" s="551">
        <v>0</v>
      </c>
      <c r="F339" s="589">
        <v>21381750</v>
      </c>
      <c r="G339" s="1894">
        <f>27609750-18406500</f>
        <v>9203250</v>
      </c>
      <c r="H339" s="809">
        <v>0</v>
      </c>
      <c r="I339" s="1881">
        <v>0</v>
      </c>
      <c r="J339" s="589"/>
      <c r="K339" s="589"/>
      <c r="L339" s="589"/>
      <c r="M339" s="808">
        <f>SUM(F339:K339)</f>
        <v>30585000</v>
      </c>
      <c r="N339" s="808">
        <f>SUM(G339:L339)</f>
        <v>9203250</v>
      </c>
      <c r="O339" s="3571"/>
    </row>
    <row r="340" spans="1:17" ht="12.75" hidden="1" customHeight="1">
      <c r="A340" s="3513"/>
      <c r="B340" s="484" t="s">
        <v>97</v>
      </c>
      <c r="C340" s="3595"/>
      <c r="D340" s="785">
        <f>E340+F340+G340+H340+I340+J340+K340+L340</f>
        <v>0</v>
      </c>
      <c r="E340" s="551">
        <v>0</v>
      </c>
      <c r="F340" s="818">
        <f>15546856-2076856-13470000</f>
        <v>0</v>
      </c>
      <c r="G340" s="1908">
        <f>8419285+6619715-15039000</f>
        <v>0</v>
      </c>
      <c r="H340" s="1122">
        <v>0</v>
      </c>
      <c r="I340" s="1416">
        <f>2076000-2076000</f>
        <v>0</v>
      </c>
      <c r="J340" s="818"/>
      <c r="K340" s="818"/>
      <c r="L340" s="818"/>
      <c r="M340" s="808">
        <f>SUM(E340:K340)</f>
        <v>0</v>
      </c>
      <c r="N340" s="808">
        <f>SUM(F340:L340)</f>
        <v>0</v>
      </c>
      <c r="O340" s="3571"/>
    </row>
    <row r="341" spans="1:17" ht="13.5" hidden="1" customHeight="1">
      <c r="A341" s="3513"/>
      <c r="B341" s="90" t="s">
        <v>15</v>
      </c>
      <c r="C341" s="3595"/>
      <c r="D341" s="785">
        <f>SUM(E341:I341)</f>
        <v>0</v>
      </c>
      <c r="E341" s="551"/>
      <c r="F341" s="818">
        <v>0</v>
      </c>
      <c r="G341" s="818">
        <v>0</v>
      </c>
      <c r="H341" s="1122"/>
      <c r="I341" s="1122"/>
      <c r="J341" s="818"/>
      <c r="K341" s="818"/>
      <c r="L341" s="818"/>
      <c r="M341" s="67"/>
      <c r="N341" s="67"/>
      <c r="O341" s="3571"/>
    </row>
    <row r="342" spans="1:17" ht="13.5" customHeight="1">
      <c r="A342" s="3513"/>
      <c r="B342" s="1897" t="s">
        <v>18</v>
      </c>
      <c r="C342" s="3595"/>
      <c r="D342" s="523">
        <f>+D343</f>
        <v>173315000</v>
      </c>
      <c r="E342" s="1909">
        <f t="shared" ref="E342:N342" si="208">+E343</f>
        <v>0</v>
      </c>
      <c r="F342" s="1886">
        <f t="shared" si="208"/>
        <v>121163250</v>
      </c>
      <c r="G342" s="1886">
        <f t="shared" si="208"/>
        <v>52151750</v>
      </c>
      <c r="H342" s="1909">
        <f t="shared" si="208"/>
        <v>0</v>
      </c>
      <c r="I342" s="1909">
        <f t="shared" si="208"/>
        <v>0</v>
      </c>
      <c r="J342" s="1886"/>
      <c r="K342" s="1886"/>
      <c r="L342" s="1886"/>
      <c r="M342" s="522">
        <f t="shared" si="208"/>
        <v>173315000</v>
      </c>
      <c r="N342" s="522">
        <f t="shared" si="208"/>
        <v>52151750</v>
      </c>
      <c r="O342" s="3571"/>
    </row>
    <row r="343" spans="1:17">
      <c r="A343" s="3513"/>
      <c r="B343" s="553" t="s">
        <v>20</v>
      </c>
      <c r="C343" s="3596"/>
      <c r="D343" s="785">
        <f>E343+F343+G343+H343+I343+J343+K343+L343</f>
        <v>173315000</v>
      </c>
      <c r="E343" s="551">
        <v>0</v>
      </c>
      <c r="F343" s="818">
        <f>112200000-35870000+44833250</f>
        <v>121163250</v>
      </c>
      <c r="G343" s="818">
        <f>96900000-11679000+71234250-104303500</f>
        <v>52151750</v>
      </c>
      <c r="H343" s="1122">
        <v>0</v>
      </c>
      <c r="I343" s="1122">
        <f>11764000-11764000</f>
        <v>0</v>
      </c>
      <c r="J343" s="818"/>
      <c r="K343" s="818"/>
      <c r="L343" s="818"/>
      <c r="M343" s="808">
        <f>SUM(F343:K343)</f>
        <v>173315000</v>
      </c>
      <c r="N343" s="808">
        <f>SUM(G343:L343)</f>
        <v>52151750</v>
      </c>
      <c r="O343" s="3571"/>
    </row>
    <row r="344" spans="1:17" ht="13.5" customHeight="1">
      <c r="A344" s="3514"/>
      <c r="B344" s="827" t="s">
        <v>21</v>
      </c>
      <c r="C344" s="433"/>
      <c r="D344" s="584">
        <f>+D345+D348</f>
        <v>173315000</v>
      </c>
      <c r="E344" s="1910">
        <f t="shared" ref="E344" si="209">+E345+E348</f>
        <v>0</v>
      </c>
      <c r="F344" s="1911">
        <f t="shared" ref="F344:I344" si="210">+F345+F348</f>
        <v>121163250</v>
      </c>
      <c r="G344" s="1911">
        <f t="shared" si="210"/>
        <v>52151750</v>
      </c>
      <c r="H344" s="1910">
        <f t="shared" si="210"/>
        <v>0</v>
      </c>
      <c r="I344" s="1910">
        <f t="shared" si="210"/>
        <v>0</v>
      </c>
      <c r="J344" s="1911"/>
      <c r="K344" s="1911"/>
      <c r="L344" s="1911"/>
      <c r="M344" s="1912"/>
      <c r="N344" s="1912"/>
      <c r="O344" s="3571"/>
    </row>
    <row r="345" spans="1:17" hidden="1">
      <c r="A345" s="3514"/>
      <c r="B345" s="812" t="s">
        <v>23</v>
      </c>
      <c r="C345" s="3597" t="s">
        <v>328</v>
      </c>
      <c r="D345" s="50">
        <f>+D347+D346</f>
        <v>0</v>
      </c>
      <c r="E345" s="251">
        <f t="shared" ref="E345" si="211">+E347+E346</f>
        <v>0</v>
      </c>
      <c r="F345" s="50">
        <f t="shared" ref="F345" si="212">+F347+F346</f>
        <v>0</v>
      </c>
      <c r="G345" s="50">
        <f t="shared" ref="G345" si="213">+G347+G346</f>
        <v>0</v>
      </c>
      <c r="H345" s="251">
        <f>+H347+H346</f>
        <v>0</v>
      </c>
      <c r="I345" s="251">
        <f>+I347+I346</f>
        <v>0</v>
      </c>
      <c r="J345" s="50"/>
      <c r="K345" s="50"/>
      <c r="L345" s="50"/>
      <c r="M345" s="3160"/>
      <c r="N345" s="3160"/>
      <c r="O345" s="3571"/>
    </row>
    <row r="346" spans="1:17" ht="13.5" hidden="1" customHeight="1">
      <c r="A346" s="3514"/>
      <c r="B346" s="484" t="s">
        <v>97</v>
      </c>
      <c r="C346" s="3598"/>
      <c r="D346" s="785">
        <f>E346+F346+G346+H346+I346+J346+K346+L346</f>
        <v>0</v>
      </c>
      <c r="E346" s="251"/>
      <c r="F346" s="1913">
        <f>8419285-8419285</f>
        <v>0</v>
      </c>
      <c r="G346" s="1913">
        <f>8419285-8419285</f>
        <v>0</v>
      </c>
      <c r="H346" s="1914">
        <v>0</v>
      </c>
      <c r="I346" s="251">
        <v>0</v>
      </c>
      <c r="J346" s="50"/>
      <c r="K346" s="50"/>
      <c r="L346" s="50"/>
      <c r="M346" s="3160"/>
      <c r="N346" s="3160"/>
      <c r="O346" s="3571"/>
    </row>
    <row r="347" spans="1:17" ht="12.75" hidden="1" customHeight="1">
      <c r="A347" s="3514"/>
      <c r="B347" s="90" t="s">
        <v>15</v>
      </c>
      <c r="C347" s="3599"/>
      <c r="D347" s="785">
        <f>SUM(E347:I347)</f>
        <v>0</v>
      </c>
      <c r="E347" s="1901">
        <v>0</v>
      </c>
      <c r="F347" s="1915"/>
      <c r="G347" s="1915"/>
      <c r="H347" s="1916"/>
      <c r="I347" s="1916"/>
      <c r="J347" s="1915"/>
      <c r="K347" s="1915"/>
      <c r="L347" s="1915"/>
      <c r="M347" s="3160"/>
      <c r="N347" s="3160"/>
      <c r="O347" s="3571"/>
    </row>
    <row r="348" spans="1:17" ht="14.25" customHeight="1">
      <c r="A348" s="3514"/>
      <c r="B348" s="1897" t="s">
        <v>18</v>
      </c>
      <c r="C348" s="3599"/>
      <c r="D348" s="523">
        <f t="shared" ref="D348:I348" si="214">+D349</f>
        <v>173315000</v>
      </c>
      <c r="E348" s="1909">
        <f t="shared" si="214"/>
        <v>0</v>
      </c>
      <c r="F348" s="1886">
        <f t="shared" si="214"/>
        <v>121163250</v>
      </c>
      <c r="G348" s="1886">
        <f t="shared" si="214"/>
        <v>52151750</v>
      </c>
      <c r="H348" s="1909">
        <f t="shared" si="214"/>
        <v>0</v>
      </c>
      <c r="I348" s="1909">
        <f t="shared" si="214"/>
        <v>0</v>
      </c>
      <c r="J348" s="1886"/>
      <c r="K348" s="1886"/>
      <c r="L348" s="1886"/>
      <c r="M348" s="3160"/>
      <c r="N348" s="3160"/>
      <c r="O348" s="3571"/>
    </row>
    <row r="349" spans="1:17" ht="12.75" customHeight="1" thickBot="1">
      <c r="A349" s="3515"/>
      <c r="B349" s="813" t="s">
        <v>20</v>
      </c>
      <c r="C349" s="3600"/>
      <c r="D349" s="1742">
        <f>E349+F349+G349+H349+I349+J349+K349+L349</f>
        <v>173315000</v>
      </c>
      <c r="E349" s="1882">
        <v>0</v>
      </c>
      <c r="F349" s="55">
        <f>112200000-35870000+44833250</f>
        <v>121163250</v>
      </c>
      <c r="G349" s="55">
        <f>96900000-11679000+71234250-104303500</f>
        <v>52151750</v>
      </c>
      <c r="H349" s="1902">
        <v>0</v>
      </c>
      <c r="I349" s="1902">
        <f>11764000-11764000</f>
        <v>0</v>
      </c>
      <c r="J349" s="55"/>
      <c r="K349" s="55"/>
      <c r="L349" s="55"/>
      <c r="M349" s="3161"/>
      <c r="N349" s="3161"/>
      <c r="O349" s="3572"/>
    </row>
    <row r="350" spans="1:17" ht="28.5" customHeight="1">
      <c r="A350" s="3512" t="s">
        <v>91</v>
      </c>
      <c r="B350" s="72" t="s">
        <v>570</v>
      </c>
      <c r="C350" s="56" t="s">
        <v>100</v>
      </c>
      <c r="D350" s="1081"/>
      <c r="E350" s="2752"/>
      <c r="F350" s="2752"/>
      <c r="G350" s="2752"/>
      <c r="H350" s="2752"/>
      <c r="I350" s="2752"/>
      <c r="J350" s="2752"/>
      <c r="K350" s="2752"/>
      <c r="L350" s="41"/>
      <c r="M350" s="43"/>
      <c r="N350" s="43"/>
      <c r="O350" s="3620" t="s">
        <v>93</v>
      </c>
    </row>
    <row r="351" spans="1:17" ht="12.75" customHeight="1">
      <c r="A351" s="3513"/>
      <c r="B351" s="827" t="s">
        <v>10</v>
      </c>
      <c r="C351" s="1356"/>
      <c r="D351" s="807">
        <f>+D352+D355</f>
        <v>122710000</v>
      </c>
      <c r="E351" s="2230">
        <f t="shared" ref="E351:G351" si="215">+E352+E355</f>
        <v>0</v>
      </c>
      <c r="F351" s="2230">
        <f t="shared" si="215"/>
        <v>0</v>
      </c>
      <c r="G351" s="807">
        <f t="shared" si="215"/>
        <v>122710000</v>
      </c>
      <c r="H351" s="807"/>
      <c r="I351" s="807"/>
      <c r="J351" s="807"/>
      <c r="K351" s="807"/>
      <c r="L351" s="807"/>
      <c r="M351" s="1878">
        <f>M352+M355</f>
        <v>122710000</v>
      </c>
      <c r="N351" s="1878">
        <f>N352+N355</f>
        <v>122710000</v>
      </c>
      <c r="O351" s="3571"/>
    </row>
    <row r="352" spans="1:17" ht="12.75" customHeight="1">
      <c r="A352" s="3513"/>
      <c r="B352" s="812" t="s">
        <v>23</v>
      </c>
      <c r="C352" s="3560" t="s">
        <v>90</v>
      </c>
      <c r="D352" s="76">
        <f>+D353+D354</f>
        <v>18406500</v>
      </c>
      <c r="E352" s="1724">
        <f t="shared" ref="E352:G352" si="216">+E353+E354</f>
        <v>0</v>
      </c>
      <c r="F352" s="1724">
        <f t="shared" si="216"/>
        <v>0</v>
      </c>
      <c r="G352" s="76">
        <f t="shared" si="216"/>
        <v>18406500</v>
      </c>
      <c r="H352" s="76"/>
      <c r="I352" s="76"/>
      <c r="J352" s="76"/>
      <c r="K352" s="76"/>
      <c r="L352" s="76"/>
      <c r="M352" s="522">
        <f>+M353+M354</f>
        <v>18406500</v>
      </c>
      <c r="N352" s="522">
        <f>+N353+N354</f>
        <v>18406500</v>
      </c>
      <c r="O352" s="3571"/>
    </row>
    <row r="353" spans="1:17" ht="12.75" customHeight="1">
      <c r="A353" s="3513"/>
      <c r="B353" s="3391" t="s">
        <v>12</v>
      </c>
      <c r="C353" s="3595"/>
      <c r="D353" s="785">
        <f t="shared" ref="D353:D354" si="217">E353+F353+G353+H353+I353+J353+K353+L353</f>
        <v>6135500</v>
      </c>
      <c r="E353" s="2231">
        <v>0</v>
      </c>
      <c r="F353" s="2231">
        <v>0</v>
      </c>
      <c r="G353" s="785">
        <f>18406500-5013000-5874000-1384000</f>
        <v>6135500</v>
      </c>
      <c r="H353" s="809"/>
      <c r="I353" s="809"/>
      <c r="J353" s="809"/>
      <c r="K353" s="809"/>
      <c r="L353" s="809"/>
      <c r="M353" s="1070">
        <f>SUM(E353:H353)</f>
        <v>6135500</v>
      </c>
      <c r="N353" s="808">
        <f>SUM(G353:I353)</f>
        <v>6135500</v>
      </c>
      <c r="O353" s="3571"/>
    </row>
    <row r="354" spans="1:17" ht="12.75" customHeight="1">
      <c r="A354" s="3513"/>
      <c r="B354" s="3392" t="s">
        <v>17</v>
      </c>
      <c r="C354" s="3595"/>
      <c r="D354" s="785">
        <f t="shared" si="217"/>
        <v>12271000</v>
      </c>
      <c r="E354" s="2231">
        <v>0</v>
      </c>
      <c r="F354" s="2231">
        <v>0</v>
      </c>
      <c r="G354" s="785">
        <f>5013000+5874000+1384000</f>
        <v>12271000</v>
      </c>
      <c r="H354" s="589"/>
      <c r="I354" s="589"/>
      <c r="J354" s="589"/>
      <c r="K354" s="589"/>
      <c r="L354" s="589"/>
      <c r="M354" s="808">
        <f>SUM(E354:H354)</f>
        <v>12271000</v>
      </c>
      <c r="N354" s="808">
        <f>SUM(G354:I354)</f>
        <v>12271000</v>
      </c>
      <c r="O354" s="3571"/>
    </row>
    <row r="355" spans="1:17" ht="12.75" customHeight="1">
      <c r="A355" s="3513"/>
      <c r="B355" s="2189" t="s">
        <v>18</v>
      </c>
      <c r="C355" s="3595"/>
      <c r="D355" s="523">
        <f>+D356</f>
        <v>104303500</v>
      </c>
      <c r="E355" s="811">
        <f t="shared" ref="E355:G355" si="218">+E356</f>
        <v>0</v>
      </c>
      <c r="F355" s="811">
        <f t="shared" si="218"/>
        <v>0</v>
      </c>
      <c r="G355" s="523">
        <f t="shared" si="218"/>
        <v>104303500</v>
      </c>
      <c r="H355" s="523"/>
      <c r="I355" s="523"/>
      <c r="J355" s="523"/>
      <c r="K355" s="523"/>
      <c r="L355" s="523"/>
      <c r="M355" s="522">
        <f>M356</f>
        <v>104303500</v>
      </c>
      <c r="N355" s="522">
        <f>N356</f>
        <v>104303500</v>
      </c>
      <c r="O355" s="3571"/>
    </row>
    <row r="356" spans="1:17" ht="12.75" customHeight="1">
      <c r="A356" s="3513"/>
      <c r="B356" s="2232" t="s">
        <v>20</v>
      </c>
      <c r="C356" s="3595"/>
      <c r="D356" s="785">
        <f>E356+F356+G356+H356+I356+J356+K356+L356</f>
        <v>104303500</v>
      </c>
      <c r="E356" s="2233">
        <v>0</v>
      </c>
      <c r="F356" s="2233">
        <v>0</v>
      </c>
      <c r="G356" s="1891">
        <v>104303500</v>
      </c>
      <c r="H356" s="589"/>
      <c r="I356" s="589"/>
      <c r="J356" s="589"/>
      <c r="K356" s="589"/>
      <c r="L356" s="589"/>
      <c r="M356" s="808">
        <f>SUM(E356:K356)</f>
        <v>104303500</v>
      </c>
      <c r="N356" s="808">
        <f>SUM(G356:L356)</f>
        <v>104303500</v>
      </c>
      <c r="O356" s="3703"/>
    </row>
    <row r="357" spans="1:17" ht="12.75" customHeight="1">
      <c r="A357" s="3514"/>
      <c r="B357" s="2149" t="s">
        <v>21</v>
      </c>
      <c r="C357" s="1356"/>
      <c r="D357" s="584">
        <f>+D360+D358</f>
        <v>116574500</v>
      </c>
      <c r="E357" s="613">
        <f t="shared" ref="E357:G357" si="219">+E360+E358</f>
        <v>0</v>
      </c>
      <c r="F357" s="613">
        <f t="shared" si="219"/>
        <v>0</v>
      </c>
      <c r="G357" s="584">
        <f t="shared" si="219"/>
        <v>116574500</v>
      </c>
      <c r="H357" s="584"/>
      <c r="I357" s="584"/>
      <c r="J357" s="584"/>
      <c r="K357" s="584"/>
      <c r="L357" s="584"/>
      <c r="M357" s="3548" t="s">
        <v>22</v>
      </c>
      <c r="N357" s="3548" t="s">
        <v>22</v>
      </c>
      <c r="O357" s="3583" t="s">
        <v>451</v>
      </c>
    </row>
    <row r="358" spans="1:17" ht="12.75" customHeight="1">
      <c r="A358" s="3514"/>
      <c r="B358" s="812" t="s">
        <v>23</v>
      </c>
      <c r="C358" s="3560" t="s">
        <v>328</v>
      </c>
      <c r="D358" s="2234">
        <f>D359</f>
        <v>12271000</v>
      </c>
      <c r="E358" s="2235">
        <f t="shared" ref="E358:G358" si="220">E359</f>
        <v>0</v>
      </c>
      <c r="F358" s="2235">
        <f t="shared" si="220"/>
        <v>0</v>
      </c>
      <c r="G358" s="2234">
        <f t="shared" si="220"/>
        <v>12271000</v>
      </c>
      <c r="H358" s="2234"/>
      <c r="I358" s="2234"/>
      <c r="J358" s="2234"/>
      <c r="K358" s="2234"/>
      <c r="L358" s="2234"/>
      <c r="M358" s="3549"/>
      <c r="N358" s="3549"/>
      <c r="O358" s="3571"/>
    </row>
    <row r="359" spans="1:17" ht="12.75" customHeight="1">
      <c r="A359" s="3514"/>
      <c r="B359" s="484" t="s">
        <v>17</v>
      </c>
      <c r="C359" s="3566"/>
      <c r="D359" s="2037">
        <f>E359+F359+G359+H359+I359+J359+K359+L359</f>
        <v>12271000</v>
      </c>
      <c r="E359" s="2233">
        <v>0</v>
      </c>
      <c r="F359" s="2233">
        <v>0</v>
      </c>
      <c r="G359" s="2037">
        <f>5013000+5874000+1384000</f>
        <v>12271000</v>
      </c>
      <c r="H359" s="2234"/>
      <c r="I359" s="2234"/>
      <c r="J359" s="2234"/>
      <c r="K359" s="2234"/>
      <c r="L359" s="2234"/>
      <c r="M359" s="3549"/>
      <c r="N359" s="3549"/>
      <c r="O359" s="3571"/>
    </row>
    <row r="360" spans="1:17" ht="12.75" customHeight="1">
      <c r="A360" s="3514"/>
      <c r="B360" s="2189" t="s">
        <v>18</v>
      </c>
      <c r="C360" s="3566"/>
      <c r="D360" s="1919">
        <f>+D361</f>
        <v>104303500</v>
      </c>
      <c r="E360" s="1921">
        <f t="shared" ref="E360:G360" si="221">+E361</f>
        <v>0</v>
      </c>
      <c r="F360" s="1921">
        <f t="shared" si="221"/>
        <v>0</v>
      </c>
      <c r="G360" s="1919">
        <f t="shared" si="221"/>
        <v>104303500</v>
      </c>
      <c r="H360" s="726"/>
      <c r="I360" s="726"/>
      <c r="J360" s="726"/>
      <c r="K360" s="726"/>
      <c r="L360" s="726"/>
      <c r="M360" s="3549"/>
      <c r="N360" s="3549"/>
      <c r="O360" s="3571"/>
    </row>
    <row r="361" spans="1:17" ht="12.75" customHeight="1" thickBot="1">
      <c r="A361" s="3515"/>
      <c r="B361" s="327" t="s">
        <v>20</v>
      </c>
      <c r="C361" s="3567"/>
      <c r="D361" s="2031">
        <f>E361+F361+G361+H361+I361+J361+K361+L361</f>
        <v>104303500</v>
      </c>
      <c r="E361" s="1668">
        <v>0</v>
      </c>
      <c r="F361" s="1668">
        <v>0</v>
      </c>
      <c r="G361" s="1643">
        <v>104303500</v>
      </c>
      <c r="H361" s="414"/>
      <c r="I361" s="414"/>
      <c r="J361" s="414"/>
      <c r="K361" s="414"/>
      <c r="L361" s="414"/>
      <c r="M361" s="3550"/>
      <c r="N361" s="3550"/>
      <c r="O361" s="3572"/>
    </row>
    <row r="362" spans="1:17" ht="20.25" customHeight="1">
      <c r="A362" s="3586" t="s">
        <v>187</v>
      </c>
      <c r="B362" s="110" t="s">
        <v>468</v>
      </c>
      <c r="C362" s="719"/>
      <c r="D362" s="111"/>
      <c r="E362" s="112"/>
      <c r="F362" s="112"/>
      <c r="G362" s="112"/>
      <c r="H362" s="112"/>
      <c r="I362" s="112"/>
      <c r="J362" s="280"/>
      <c r="K362" s="281"/>
      <c r="L362" s="281"/>
      <c r="M362" s="113"/>
      <c r="N362" s="113"/>
      <c r="O362" s="3705"/>
    </row>
    <row r="363" spans="1:17" s="2387" customFormat="1" ht="14.25" customHeight="1">
      <c r="A363" s="3587"/>
      <c r="B363" s="827" t="s">
        <v>10</v>
      </c>
      <c r="C363" s="88"/>
      <c r="D363" s="114">
        <f>+D364+D367</f>
        <v>51740293</v>
      </c>
      <c r="E363" s="114">
        <f t="shared" ref="E363:N363" si="222">+E364+E367</f>
        <v>464290</v>
      </c>
      <c r="F363" s="114">
        <f t="shared" si="222"/>
        <v>7582140</v>
      </c>
      <c r="G363" s="114">
        <f t="shared" si="222"/>
        <v>5921652</v>
      </c>
      <c r="H363" s="114">
        <f t="shared" si="222"/>
        <v>29615655</v>
      </c>
      <c r="I363" s="114">
        <f t="shared" si="222"/>
        <v>8156556</v>
      </c>
      <c r="J363" s="114">
        <f t="shared" si="222"/>
        <v>0</v>
      </c>
      <c r="K363" s="114">
        <f t="shared" si="222"/>
        <v>0</v>
      </c>
      <c r="L363" s="114">
        <f t="shared" si="222"/>
        <v>0</v>
      </c>
      <c r="M363" s="790">
        <f t="shared" ref="M363" si="223">+M364+M367</f>
        <v>26462162</v>
      </c>
      <c r="N363" s="790">
        <f t="shared" si="222"/>
        <v>43693863</v>
      </c>
      <c r="O363" s="3706"/>
      <c r="P363" s="2389"/>
      <c r="Q363" s="3393"/>
    </row>
    <row r="364" spans="1:17" s="720" customFormat="1" ht="13.5" customHeight="1">
      <c r="A364" s="3587"/>
      <c r="B364" s="115" t="s">
        <v>11</v>
      </c>
      <c r="C364" s="116"/>
      <c r="D364" s="828">
        <f>+D365+D366</f>
        <v>26885626</v>
      </c>
      <c r="E364" s="828">
        <f>+E365+E366</f>
        <v>423464</v>
      </c>
      <c r="F364" s="828">
        <f t="shared" ref="F364:L364" si="224">+F365</f>
        <v>1208777</v>
      </c>
      <c r="G364" s="828">
        <f t="shared" si="224"/>
        <v>4188676</v>
      </c>
      <c r="H364" s="828">
        <f t="shared" si="224"/>
        <v>16508714</v>
      </c>
      <c r="I364" s="828">
        <f t="shared" si="224"/>
        <v>4555995</v>
      </c>
      <c r="J364" s="828">
        <f t="shared" si="224"/>
        <v>0</v>
      </c>
      <c r="K364" s="828">
        <f t="shared" si="224"/>
        <v>0</v>
      </c>
      <c r="L364" s="828">
        <f t="shared" si="224"/>
        <v>0</v>
      </c>
      <c r="M364" s="522">
        <f>+M365</f>
        <v>26462162</v>
      </c>
      <c r="N364" s="522">
        <f>+N365</f>
        <v>25253385</v>
      </c>
      <c r="O364" s="3706"/>
      <c r="Q364" s="3393"/>
    </row>
    <row r="365" spans="1:17" s="2387" customFormat="1" ht="11.25" customHeight="1">
      <c r="A365" s="3587"/>
      <c r="B365" s="36" t="s">
        <v>12</v>
      </c>
      <c r="C365" s="37"/>
      <c r="D365" s="829">
        <f>++D380+D437++D389+D401+D410+D419+D428+D452</f>
        <v>26828623</v>
      </c>
      <c r="E365" s="829">
        <f>+E380+E437++E389+E401+E410+E419+E428+E452</f>
        <v>366461</v>
      </c>
      <c r="F365" s="829">
        <f t="shared" ref="F365:L365" si="225">+F380+F437++F389+F401+F410+F419+F428+F452</f>
        <v>1208777</v>
      </c>
      <c r="G365" s="829">
        <f t="shared" si="225"/>
        <v>4188676</v>
      </c>
      <c r="H365" s="829">
        <f t="shared" si="225"/>
        <v>16508714</v>
      </c>
      <c r="I365" s="829">
        <f t="shared" si="225"/>
        <v>4555995</v>
      </c>
      <c r="J365" s="829">
        <f t="shared" si="225"/>
        <v>0</v>
      </c>
      <c r="K365" s="829">
        <f t="shared" si="225"/>
        <v>0</v>
      </c>
      <c r="L365" s="829">
        <f t="shared" si="225"/>
        <v>0</v>
      </c>
      <c r="M365" s="808">
        <f>SUM(F365:K365)</f>
        <v>26462162</v>
      </c>
      <c r="N365" s="808">
        <f>SUM(G365:L365)</f>
        <v>25253385</v>
      </c>
      <c r="O365" s="3706"/>
      <c r="P365" s="3393"/>
      <c r="Q365" s="3393"/>
    </row>
    <row r="366" spans="1:17" s="2387" customFormat="1" ht="11.25" customHeight="1">
      <c r="A366" s="3587"/>
      <c r="B366" s="36" t="s">
        <v>15</v>
      </c>
      <c r="C366" s="37"/>
      <c r="D366" s="829">
        <f>+D390</f>
        <v>57003</v>
      </c>
      <c r="E366" s="829">
        <f t="shared" ref="E366:L366" si="226">+E390</f>
        <v>57003</v>
      </c>
      <c r="F366" s="829">
        <f t="shared" si="226"/>
        <v>0</v>
      </c>
      <c r="G366" s="829">
        <f t="shared" si="226"/>
        <v>0</v>
      </c>
      <c r="H366" s="829">
        <f t="shared" si="226"/>
        <v>0</v>
      </c>
      <c r="I366" s="829">
        <f t="shared" si="226"/>
        <v>0</v>
      </c>
      <c r="J366" s="829">
        <f t="shared" si="226"/>
        <v>0</v>
      </c>
      <c r="K366" s="829">
        <f t="shared" si="226"/>
        <v>0</v>
      </c>
      <c r="L366" s="829">
        <f t="shared" si="226"/>
        <v>0</v>
      </c>
      <c r="M366" s="808">
        <f>SUM(F366:K366)</f>
        <v>0</v>
      </c>
      <c r="N366" s="808">
        <f>SUM(G366:L366)</f>
        <v>0</v>
      </c>
      <c r="O366" s="3706"/>
      <c r="P366" s="3393"/>
      <c r="Q366" s="3393"/>
    </row>
    <row r="367" spans="1:17" s="720" customFormat="1" ht="13.5" customHeight="1">
      <c r="A367" s="3587"/>
      <c r="B367" s="830" t="s">
        <v>92</v>
      </c>
      <c r="C367" s="831"/>
      <c r="D367" s="832">
        <f>+D368+D369</f>
        <v>24854667</v>
      </c>
      <c r="E367" s="832">
        <f>+E368+E369</f>
        <v>40826</v>
      </c>
      <c r="F367" s="832">
        <f t="shared" ref="F367:L367" si="227">+F368+F369</f>
        <v>6373363</v>
      </c>
      <c r="G367" s="832">
        <f t="shared" si="227"/>
        <v>1732976</v>
      </c>
      <c r="H367" s="832">
        <f t="shared" si="227"/>
        <v>13106941</v>
      </c>
      <c r="I367" s="832">
        <f t="shared" si="227"/>
        <v>3600561</v>
      </c>
      <c r="J367" s="832">
        <f t="shared" si="227"/>
        <v>0</v>
      </c>
      <c r="K367" s="832">
        <f t="shared" si="227"/>
        <v>0</v>
      </c>
      <c r="L367" s="832">
        <f t="shared" si="227"/>
        <v>0</v>
      </c>
      <c r="M367" s="522">
        <f>+M368</f>
        <v>0</v>
      </c>
      <c r="N367" s="522">
        <f>+N368+N369</f>
        <v>18440478</v>
      </c>
      <c r="O367" s="3706"/>
      <c r="Q367" s="3393"/>
    </row>
    <row r="368" spans="1:17" s="2387" customFormat="1" ht="12.75" hidden="1" customHeight="1">
      <c r="A368" s="3587"/>
      <c r="B368" s="36" t="s">
        <v>19</v>
      </c>
      <c r="C368" s="37"/>
      <c r="D368" s="829"/>
      <c r="E368" s="829"/>
      <c r="F368" s="829"/>
      <c r="G368" s="829"/>
      <c r="H368" s="829"/>
      <c r="I368" s="829"/>
      <c r="J368" s="829"/>
      <c r="K368" s="829">
        <f>K442+K457</f>
        <v>0</v>
      </c>
      <c r="L368" s="829">
        <f>L442+L457</f>
        <v>0</v>
      </c>
      <c r="M368" s="808">
        <f>SUM(F368:K368)</f>
        <v>0</v>
      </c>
      <c r="N368" s="808">
        <f>SUM(G368:L368)</f>
        <v>0</v>
      </c>
      <c r="O368" s="3706"/>
      <c r="P368" s="3393"/>
      <c r="Q368" s="3393"/>
    </row>
    <row r="369" spans="1:17" s="2387" customFormat="1" ht="12.75" customHeight="1">
      <c r="A369" s="3587"/>
      <c r="B369" s="36" t="s">
        <v>20</v>
      </c>
      <c r="C369" s="37"/>
      <c r="D369" s="2298">
        <f>D382+D392+D421+D430+D442+D457</f>
        <v>24854667</v>
      </c>
      <c r="E369" s="2298">
        <f>E382+E392+E421+E430+E442+E457</f>
        <v>40826</v>
      </c>
      <c r="F369" s="2298">
        <f>F382+F392+F421+F430+F442+F457</f>
        <v>6373363</v>
      </c>
      <c r="G369" s="2298">
        <f>G382+G392+G421+G430+G442+G457</f>
        <v>1732976</v>
      </c>
      <c r="H369" s="2298">
        <f t="shared" ref="H369:L369" si="228">H382+H392+H421+H430+H442+H457</f>
        <v>13106941</v>
      </c>
      <c r="I369" s="2298">
        <f t="shared" si="228"/>
        <v>3600561</v>
      </c>
      <c r="J369" s="2298">
        <f t="shared" si="228"/>
        <v>0</v>
      </c>
      <c r="K369" s="2298">
        <f t="shared" si="228"/>
        <v>0</v>
      </c>
      <c r="L369" s="2298">
        <f t="shared" si="228"/>
        <v>0</v>
      </c>
      <c r="M369" s="2299"/>
      <c r="N369" s="2299">
        <f>SUM(G369:L369)</f>
        <v>18440478</v>
      </c>
      <c r="O369" s="3145"/>
      <c r="P369" s="3393"/>
      <c r="Q369" s="3393"/>
    </row>
    <row r="370" spans="1:17" s="2387" customFormat="1" ht="12" customHeight="1">
      <c r="A370" s="3587"/>
      <c r="B370" s="539" t="s">
        <v>21</v>
      </c>
      <c r="C370" s="612"/>
      <c r="D370" s="807">
        <f>+D373+D371</f>
        <v>24911670</v>
      </c>
      <c r="E370" s="807">
        <f t="shared" ref="E370:L370" si="229">+E373+E371</f>
        <v>57003</v>
      </c>
      <c r="F370" s="807">
        <f t="shared" si="229"/>
        <v>45734</v>
      </c>
      <c r="G370" s="807">
        <f t="shared" si="229"/>
        <v>6469478</v>
      </c>
      <c r="H370" s="807">
        <f t="shared" si="229"/>
        <v>7789996</v>
      </c>
      <c r="I370" s="807">
        <f t="shared" si="229"/>
        <v>8632091</v>
      </c>
      <c r="J370" s="807">
        <f t="shared" si="229"/>
        <v>1917368</v>
      </c>
      <c r="K370" s="807">
        <f t="shared" si="229"/>
        <v>0</v>
      </c>
      <c r="L370" s="807">
        <f t="shared" si="229"/>
        <v>0</v>
      </c>
      <c r="M370" s="3548" t="s">
        <v>22</v>
      </c>
      <c r="N370" s="3704" t="s">
        <v>22</v>
      </c>
      <c r="O370" s="118"/>
      <c r="P370" s="3393"/>
    </row>
    <row r="371" spans="1:17" s="2387" customFormat="1" ht="12" customHeight="1">
      <c r="A371" s="3587"/>
      <c r="B371" s="115" t="s">
        <v>23</v>
      </c>
      <c r="C371" s="116"/>
      <c r="D371" s="828">
        <f>+D372</f>
        <v>57003</v>
      </c>
      <c r="E371" s="828">
        <v>57003</v>
      </c>
      <c r="F371" s="828"/>
      <c r="G371" s="828"/>
      <c r="H371" s="828"/>
      <c r="I371" s="828"/>
      <c r="J371" s="828"/>
      <c r="K371" s="828"/>
      <c r="L371" s="828"/>
      <c r="M371" s="3549"/>
      <c r="N371" s="3574"/>
      <c r="O371" s="118"/>
      <c r="P371" s="3393"/>
    </row>
    <row r="372" spans="1:17" s="2387" customFormat="1" ht="12" customHeight="1">
      <c r="A372" s="3587"/>
      <c r="B372" s="36" t="s">
        <v>15</v>
      </c>
      <c r="C372" s="37"/>
      <c r="D372" s="829">
        <f>+D395</f>
        <v>57003</v>
      </c>
      <c r="E372" s="829">
        <f>+E390</f>
        <v>57003</v>
      </c>
      <c r="F372" s="829">
        <f>+F390</f>
        <v>0</v>
      </c>
      <c r="G372" s="829">
        <f t="shared" ref="G372:K372" si="230">+G390</f>
        <v>0</v>
      </c>
      <c r="H372" s="829">
        <f t="shared" si="230"/>
        <v>0</v>
      </c>
      <c r="I372" s="829">
        <f t="shared" si="230"/>
        <v>0</v>
      </c>
      <c r="J372" s="829">
        <f t="shared" si="230"/>
        <v>0</v>
      </c>
      <c r="K372" s="829">
        <f t="shared" si="230"/>
        <v>0</v>
      </c>
      <c r="L372" s="829">
        <f t="shared" ref="L372" si="231">+L395</f>
        <v>0</v>
      </c>
      <c r="M372" s="3549"/>
      <c r="N372" s="3574"/>
      <c r="O372" s="118"/>
      <c r="P372" s="3393"/>
    </row>
    <row r="373" spans="1:17" s="2387" customFormat="1" ht="12.75" customHeight="1">
      <c r="A373" s="3587"/>
      <c r="B373" s="2301" t="s">
        <v>18</v>
      </c>
      <c r="C373" s="2170"/>
      <c r="D373" s="2302">
        <f t="shared" ref="D373:L373" si="232">+D374+D375</f>
        <v>24854667</v>
      </c>
      <c r="E373" s="2302">
        <f t="shared" si="232"/>
        <v>0</v>
      </c>
      <c r="F373" s="2302">
        <f t="shared" si="232"/>
        <v>45734</v>
      </c>
      <c r="G373" s="2302">
        <f t="shared" si="232"/>
        <v>6469478</v>
      </c>
      <c r="H373" s="2302">
        <f t="shared" si="232"/>
        <v>7789996</v>
      </c>
      <c r="I373" s="2302">
        <f t="shared" si="232"/>
        <v>8632091</v>
      </c>
      <c r="J373" s="2302">
        <f t="shared" si="232"/>
        <v>1917368</v>
      </c>
      <c r="K373" s="2302">
        <f t="shared" si="232"/>
        <v>0</v>
      </c>
      <c r="L373" s="2302">
        <f t="shared" si="232"/>
        <v>0</v>
      </c>
      <c r="M373" s="3549"/>
      <c r="N373" s="3574"/>
      <c r="O373" s="3145"/>
      <c r="P373" s="3393"/>
    </row>
    <row r="374" spans="1:17" s="2387" customFormat="1" ht="13.5" hidden="1" customHeight="1" thickBot="1">
      <c r="A374" s="3587"/>
      <c r="B374" s="250" t="s">
        <v>19</v>
      </c>
      <c r="C374" s="737"/>
      <c r="D374" s="2303"/>
      <c r="E374" s="2303"/>
      <c r="F374" s="2303"/>
      <c r="G374" s="2303"/>
      <c r="H374" s="2303"/>
      <c r="I374" s="2303"/>
      <c r="J374" s="2303">
        <f>J448+J463</f>
        <v>0</v>
      </c>
      <c r="K374" s="2303">
        <f>K448+K463</f>
        <v>0</v>
      </c>
      <c r="L374" s="2303">
        <f>L448+L463</f>
        <v>0</v>
      </c>
      <c r="M374" s="3550"/>
      <c r="N374" s="3574"/>
      <c r="O374" s="3145"/>
      <c r="P374" s="3393">
        <f>D374-D368</f>
        <v>0</v>
      </c>
    </row>
    <row r="375" spans="1:17" ht="12" customHeight="1" thickBot="1">
      <c r="A375" s="3588"/>
      <c r="B375" s="721" t="s">
        <v>20</v>
      </c>
      <c r="C375" s="722"/>
      <c r="D375" s="119">
        <f>D385+D397+D424+D433+D448+D463</f>
        <v>24854667</v>
      </c>
      <c r="E375" s="119">
        <f t="shared" ref="E375" si="233">E385+E397+E424+E433</f>
        <v>0</v>
      </c>
      <c r="F375" s="119">
        <f>+F448+F463</f>
        <v>45734</v>
      </c>
      <c r="G375" s="119">
        <f>G385+G397+G424+G433+G448+G463</f>
        <v>6469478</v>
      </c>
      <c r="H375" s="119">
        <f t="shared" ref="H375:L375" si="234">H385+H397+H424+H433+H448+H463</f>
        <v>7789996</v>
      </c>
      <c r="I375" s="119">
        <f t="shared" si="234"/>
        <v>8632091</v>
      </c>
      <c r="J375" s="119">
        <f t="shared" si="234"/>
        <v>1917368</v>
      </c>
      <c r="K375" s="119">
        <f t="shared" si="234"/>
        <v>0</v>
      </c>
      <c r="L375" s="119">
        <f t="shared" si="234"/>
        <v>0</v>
      </c>
      <c r="M375" s="2300"/>
      <c r="N375" s="3575"/>
      <c r="O375" s="120"/>
    </row>
    <row r="376" spans="1:17" ht="20.25" customHeight="1" thickBot="1">
      <c r="A376" s="3394"/>
      <c r="B376" s="263" t="s">
        <v>476</v>
      </c>
      <c r="C376" s="3140"/>
      <c r="D376" s="723"/>
      <c r="E376" s="198"/>
      <c r="F376" s="724"/>
      <c r="G376" s="724"/>
      <c r="H376" s="725"/>
      <c r="I376" s="199"/>
      <c r="J376" s="725"/>
      <c r="K376" s="725"/>
      <c r="L376" s="725"/>
      <c r="M376" s="268"/>
      <c r="N376" s="268"/>
      <c r="O376" s="3139"/>
    </row>
    <row r="377" spans="1:17" ht="28.5" customHeight="1">
      <c r="A377" s="3512" t="s">
        <v>248</v>
      </c>
      <c r="B377" s="264" t="s">
        <v>469</v>
      </c>
      <c r="C377" s="56" t="s">
        <v>73</v>
      </c>
      <c r="D377" s="2753"/>
      <c r="E377" s="2752"/>
      <c r="F377" s="2752"/>
      <c r="G377" s="2752"/>
      <c r="H377" s="2752"/>
      <c r="I377" s="2752"/>
      <c r="J377" s="2752"/>
      <c r="K377" s="2752"/>
      <c r="L377" s="41"/>
      <c r="M377" s="60"/>
      <c r="N377" s="60"/>
      <c r="O377" s="3507" t="s">
        <v>78</v>
      </c>
    </row>
    <row r="378" spans="1:17">
      <c r="A378" s="3513"/>
      <c r="B378" s="539" t="s">
        <v>10</v>
      </c>
      <c r="C378" s="1356"/>
      <c r="D378" s="1381">
        <f>+D379+D381</f>
        <v>12985378</v>
      </c>
      <c r="E378" s="1381">
        <f t="shared" ref="E378" si="235">+E379+E381</f>
        <v>20256</v>
      </c>
      <c r="F378" s="1381">
        <f>+F379+F381</f>
        <v>7431430</v>
      </c>
      <c r="G378" s="1381">
        <f>+G379+G381</f>
        <v>5533692</v>
      </c>
      <c r="H378" s="1381"/>
      <c r="I378" s="1381"/>
      <c r="J378" s="1381"/>
      <c r="K378" s="1381"/>
      <c r="L378" s="1381"/>
      <c r="M378" s="1358">
        <f>+M379+M381</f>
        <v>12965122</v>
      </c>
      <c r="N378" s="1358">
        <f>+N379+N381</f>
        <v>5533692</v>
      </c>
      <c r="O378" s="3508"/>
    </row>
    <row r="379" spans="1:17">
      <c r="A379" s="3513"/>
      <c r="B379" s="515" t="s">
        <v>23</v>
      </c>
      <c r="C379" s="3522" t="s">
        <v>76</v>
      </c>
      <c r="D379" s="1382">
        <f>+D380</f>
        <v>5335378</v>
      </c>
      <c r="E379" s="1382">
        <f t="shared" ref="E379:G379" si="236">+E380</f>
        <v>20256</v>
      </c>
      <c r="F379" s="1382">
        <f t="shared" si="236"/>
        <v>1186026</v>
      </c>
      <c r="G379" s="1382">
        <f t="shared" si="236"/>
        <v>4129096</v>
      </c>
      <c r="H379" s="1382"/>
      <c r="I379" s="1382"/>
      <c r="J379" s="1382"/>
      <c r="K379" s="1382"/>
      <c r="L379" s="1382"/>
      <c r="M379" s="1361">
        <f>+M380</f>
        <v>5315122</v>
      </c>
      <c r="N379" s="1361">
        <f>+N380</f>
        <v>4129096</v>
      </c>
      <c r="O379" s="3508"/>
    </row>
    <row r="380" spans="1:17">
      <c r="A380" s="3513"/>
      <c r="B380" s="814" t="s">
        <v>12</v>
      </c>
      <c r="C380" s="3561"/>
      <c r="D380" s="1288">
        <f>E380+F380+G380+H380+I380+J380+K380+L380</f>
        <v>5335378</v>
      </c>
      <c r="E380" s="1334">
        <f>20256</f>
        <v>20256</v>
      </c>
      <c r="F380" s="1372">
        <f>1743624+383940+1505122+240000-1765801-309301-611558</f>
        <v>1186026</v>
      </c>
      <c r="G380" s="1372">
        <f>3265801+266359+611558-14622</f>
        <v>4129096</v>
      </c>
      <c r="H380" s="1372"/>
      <c r="I380" s="1372"/>
      <c r="J380" s="1372"/>
      <c r="K380" s="1372"/>
      <c r="L380" s="1372"/>
      <c r="M380" s="1374">
        <f>SUM(F380:K380)</f>
        <v>5315122</v>
      </c>
      <c r="N380" s="1374">
        <f>SUM(G380:L380)</f>
        <v>4129096</v>
      </c>
      <c r="O380" s="3508"/>
    </row>
    <row r="381" spans="1:17">
      <c r="A381" s="3513"/>
      <c r="B381" s="810" t="s">
        <v>18</v>
      </c>
      <c r="C381" s="3561"/>
      <c r="D381" s="1360">
        <f>+D382</f>
        <v>7650000</v>
      </c>
      <c r="E381" s="1654">
        <f t="shared" ref="E381:G381" si="237">+E382</f>
        <v>0</v>
      </c>
      <c r="F381" s="1360">
        <f t="shared" si="237"/>
        <v>6245404</v>
      </c>
      <c r="G381" s="1360">
        <f t="shared" si="237"/>
        <v>1404596</v>
      </c>
      <c r="H381" s="1360"/>
      <c r="I381" s="1360"/>
      <c r="J381" s="1360"/>
      <c r="K381" s="1360"/>
      <c r="L381" s="1360"/>
      <c r="M381" s="1361">
        <f>+M382</f>
        <v>7650000</v>
      </c>
      <c r="N381" s="1361">
        <f>+N382</f>
        <v>1404596</v>
      </c>
      <c r="O381" s="3508"/>
    </row>
    <row r="382" spans="1:17">
      <c r="A382" s="3513"/>
      <c r="B382" s="1655" t="s">
        <v>20</v>
      </c>
      <c r="C382" s="3568"/>
      <c r="D382" s="1288">
        <f>E382+F382+G382+H382+I382+J382+K382+L382</f>
        <v>7650000</v>
      </c>
      <c r="E382" s="1918">
        <v>0</v>
      </c>
      <c r="F382" s="1372">
        <f>5576376+1196060+74622+760000-1086523-886689+611558</f>
        <v>6245404</v>
      </c>
      <c r="G382" s="1372">
        <f>1086523+929631-611558</f>
        <v>1404596</v>
      </c>
      <c r="H382" s="1372"/>
      <c r="I382" s="1372"/>
      <c r="J382" s="1372"/>
      <c r="K382" s="1372"/>
      <c r="L382" s="1372"/>
      <c r="M382" s="1374">
        <f>SUM(F382:K382)</f>
        <v>7650000</v>
      </c>
      <c r="N382" s="1374">
        <f>SUM(G382:L382)</f>
        <v>1404596</v>
      </c>
      <c r="O382" s="3569"/>
      <c r="P382" s="2389"/>
    </row>
    <row r="383" spans="1:17">
      <c r="A383" s="3514"/>
      <c r="B383" s="539" t="s">
        <v>21</v>
      </c>
      <c r="C383" s="1356"/>
      <c r="D383" s="1357">
        <f>+D384</f>
        <v>7650000</v>
      </c>
      <c r="E383" s="1656">
        <f t="shared" ref="E383:H384" si="238">+E384</f>
        <v>0</v>
      </c>
      <c r="F383" s="1656">
        <f t="shared" si="238"/>
        <v>0</v>
      </c>
      <c r="G383" s="1357">
        <f t="shared" si="238"/>
        <v>6245404</v>
      </c>
      <c r="H383" s="1357">
        <f t="shared" si="238"/>
        <v>1404596</v>
      </c>
      <c r="I383" s="1357"/>
      <c r="J383" s="1357"/>
      <c r="K383" s="1357"/>
      <c r="L383" s="1357"/>
      <c r="M383" s="3559" t="s">
        <v>22</v>
      </c>
      <c r="N383" s="3559" t="s">
        <v>22</v>
      </c>
      <c r="O383" s="3583" t="s">
        <v>93</v>
      </c>
      <c r="P383" s="2389"/>
    </row>
    <row r="384" spans="1:17" s="3379" customFormat="1" ht="12.75" customHeight="1">
      <c r="A384" s="3514"/>
      <c r="B384" s="810" t="s">
        <v>18</v>
      </c>
      <c r="C384" s="3522" t="s">
        <v>76</v>
      </c>
      <c r="D384" s="1378">
        <f>+D385</f>
        <v>7650000</v>
      </c>
      <c r="E384" s="1917">
        <v>0</v>
      </c>
      <c r="F384" s="1917">
        <f t="shared" si="238"/>
        <v>0</v>
      </c>
      <c r="G384" s="1385">
        <f t="shared" si="238"/>
        <v>6245404</v>
      </c>
      <c r="H384" s="1385">
        <f t="shared" si="238"/>
        <v>1404596</v>
      </c>
      <c r="I384" s="1378"/>
      <c r="J384" s="1378"/>
      <c r="K384" s="1378"/>
      <c r="L384" s="1378"/>
      <c r="M384" s="3549"/>
      <c r="N384" s="3549"/>
      <c r="O384" s="3571"/>
    </row>
    <row r="385" spans="1:16" ht="12" customHeight="1" thickBot="1">
      <c r="A385" s="3515"/>
      <c r="B385" s="674" t="s">
        <v>20</v>
      </c>
      <c r="C385" s="3523"/>
      <c r="D385" s="1455">
        <f>E385+F385+G385+H385+I385+J385+K385+L385</f>
        <v>7650000</v>
      </c>
      <c r="E385" s="2856">
        <v>0</v>
      </c>
      <c r="F385" s="1663">
        <v>0</v>
      </c>
      <c r="G385" s="1662">
        <f>2861124+4745934-1600000+238346</f>
        <v>6245404</v>
      </c>
      <c r="H385" s="1662">
        <f>1642942-238346</f>
        <v>1404596</v>
      </c>
      <c r="I385" s="1662"/>
      <c r="J385" s="1662"/>
      <c r="K385" s="1662"/>
      <c r="L385" s="1662"/>
      <c r="M385" s="3550"/>
      <c r="N385" s="3550"/>
      <c r="O385" s="3572"/>
    </row>
    <row r="386" spans="1:16" ht="24">
      <c r="A386" s="3512" t="s">
        <v>95</v>
      </c>
      <c r="B386" s="264" t="s">
        <v>470</v>
      </c>
      <c r="C386" s="56" t="s">
        <v>73</v>
      </c>
      <c r="D386" s="2753"/>
      <c r="E386" s="2752"/>
      <c r="F386" s="2752"/>
      <c r="G386" s="2752"/>
      <c r="H386" s="2752"/>
      <c r="I386" s="2752"/>
      <c r="J386" s="2752"/>
      <c r="K386" s="2752"/>
      <c r="L386" s="41"/>
      <c r="M386" s="60"/>
      <c r="N386" s="60"/>
      <c r="O386" s="3507" t="s">
        <v>78</v>
      </c>
    </row>
    <row r="387" spans="1:16">
      <c r="A387" s="3513"/>
      <c r="B387" s="539" t="s">
        <v>10</v>
      </c>
      <c r="C387" s="433"/>
      <c r="D387" s="1876">
        <f>+D388+D391</f>
        <v>17624366</v>
      </c>
      <c r="E387" s="1876">
        <f t="shared" ref="E387" si="239">+E388+E391</f>
        <v>395660</v>
      </c>
      <c r="F387" s="1877">
        <f t="shared" ref="F387:H387" si="240">+F388+F391</f>
        <v>0</v>
      </c>
      <c r="G387" s="1876">
        <f t="shared" si="240"/>
        <v>0</v>
      </c>
      <c r="H387" s="1876">
        <f t="shared" si="240"/>
        <v>17228706</v>
      </c>
      <c r="I387" s="1876"/>
      <c r="J387" s="1876"/>
      <c r="K387" s="1876"/>
      <c r="L387" s="1876"/>
      <c r="M387" s="1878">
        <f>+M388+M391</f>
        <v>17228706</v>
      </c>
      <c r="N387" s="1878">
        <f>+N388+N391</f>
        <v>17228706</v>
      </c>
      <c r="O387" s="3508"/>
    </row>
    <row r="388" spans="1:16">
      <c r="A388" s="3513"/>
      <c r="B388" s="515" t="s">
        <v>23</v>
      </c>
      <c r="C388" s="3560" t="s">
        <v>76</v>
      </c>
      <c r="D388" s="1879">
        <f>+D389+D390</f>
        <v>10805666</v>
      </c>
      <c r="E388" s="1879">
        <f t="shared" ref="E388" si="241">+E389+E390</f>
        <v>395660</v>
      </c>
      <c r="F388" s="1880">
        <v>0</v>
      </c>
      <c r="G388" s="1879">
        <f>+G389+G390</f>
        <v>0</v>
      </c>
      <c r="H388" s="1879">
        <f>+H389+H390</f>
        <v>10410006</v>
      </c>
      <c r="I388" s="1879"/>
      <c r="J388" s="1879"/>
      <c r="K388" s="1879"/>
      <c r="L388" s="1879"/>
      <c r="M388" s="522">
        <f>+M389</f>
        <v>10410006</v>
      </c>
      <c r="N388" s="522">
        <f>+N389</f>
        <v>10410006</v>
      </c>
      <c r="O388" s="3508"/>
    </row>
    <row r="389" spans="1:16">
      <c r="A389" s="3513"/>
      <c r="B389" s="814" t="s">
        <v>12</v>
      </c>
      <c r="C389" s="3561"/>
      <c r="D389" s="785">
        <f>E389+F389+G389+H389+I389+J389+K389+L389</f>
        <v>10748663</v>
      </c>
      <c r="E389" s="800">
        <v>338657</v>
      </c>
      <c r="F389" s="1416">
        <v>0</v>
      </c>
      <c r="G389" s="1894">
        <f>1887021+23820-1309191-151650-375000-75000</f>
        <v>0</v>
      </c>
      <c r="H389" s="1894">
        <f>601650+4147356+375000+5286000</f>
        <v>10410006</v>
      </c>
      <c r="I389" s="1894"/>
      <c r="J389" s="1894"/>
      <c r="K389" s="1894"/>
      <c r="L389" s="1894"/>
      <c r="M389" s="808">
        <f>SUM(F389:K389)</f>
        <v>10410006</v>
      </c>
      <c r="N389" s="808">
        <f>SUM(G389:L389)</f>
        <v>10410006</v>
      </c>
      <c r="O389" s="3508"/>
    </row>
    <row r="390" spans="1:16" ht="12" customHeight="1">
      <c r="A390" s="3513"/>
      <c r="B390" s="814" t="s">
        <v>15</v>
      </c>
      <c r="C390" s="3561"/>
      <c r="D390" s="785">
        <f>E390+F390+G390+H390+I390+J390+K390+L390</f>
        <v>57003</v>
      </c>
      <c r="E390" s="800">
        <v>57003</v>
      </c>
      <c r="F390" s="1416">
        <v>0</v>
      </c>
      <c r="G390" s="1416">
        <v>0</v>
      </c>
      <c r="H390" s="1416"/>
      <c r="I390" s="1416"/>
      <c r="J390" s="1416"/>
      <c r="K390" s="1416"/>
      <c r="L390" s="1416"/>
      <c r="M390" s="808">
        <f>SUM(F390:K390)</f>
        <v>0</v>
      </c>
      <c r="N390" s="808">
        <f>SUM(G390:L390)</f>
        <v>0</v>
      </c>
      <c r="O390" s="3508"/>
    </row>
    <row r="391" spans="1:16">
      <c r="A391" s="3513"/>
      <c r="B391" s="810" t="s">
        <v>18</v>
      </c>
      <c r="C391" s="3561"/>
      <c r="D391" s="523">
        <f>+D392</f>
        <v>6818700</v>
      </c>
      <c r="E391" s="523">
        <f t="shared" ref="E391:H391" si="242">+E392</f>
        <v>0</v>
      </c>
      <c r="F391" s="1880">
        <v>0</v>
      </c>
      <c r="G391" s="523">
        <f t="shared" si="242"/>
        <v>0</v>
      </c>
      <c r="H391" s="523">
        <f t="shared" si="242"/>
        <v>6818700</v>
      </c>
      <c r="I391" s="523"/>
      <c r="J391" s="523"/>
      <c r="K391" s="523"/>
      <c r="L391" s="523"/>
      <c r="M391" s="522">
        <f>+M392</f>
        <v>6818700</v>
      </c>
      <c r="N391" s="522">
        <f>+N392</f>
        <v>6818700</v>
      </c>
      <c r="O391" s="3508"/>
    </row>
    <row r="392" spans="1:16" ht="12" customHeight="1">
      <c r="A392" s="3513"/>
      <c r="B392" s="668" t="s">
        <v>20</v>
      </c>
      <c r="C392" s="3568"/>
      <c r="D392" s="785">
        <f>E392+F392+G392+H392+I392+J392+K392+L392</f>
        <v>6818700</v>
      </c>
      <c r="E392" s="800">
        <v>0</v>
      </c>
      <c r="F392" s="1416">
        <v>0</v>
      </c>
      <c r="G392" s="1894">
        <f>6034979+76180-2701809-859350-2125000-425000</f>
        <v>0</v>
      </c>
      <c r="H392" s="1894">
        <f>3409350+859350+2125000+425000</f>
        <v>6818700</v>
      </c>
      <c r="I392" s="1894"/>
      <c r="J392" s="1894"/>
      <c r="K392" s="1894"/>
      <c r="L392" s="1894"/>
      <c r="M392" s="808">
        <f>SUM(F392:K392)</f>
        <v>6818700</v>
      </c>
      <c r="N392" s="808">
        <f>SUM(G392:L392)</f>
        <v>6818700</v>
      </c>
      <c r="O392" s="3569"/>
      <c r="P392" s="2389"/>
    </row>
    <row r="393" spans="1:16" ht="11.25" customHeight="1">
      <c r="A393" s="3514"/>
      <c r="B393" s="539" t="s">
        <v>21</v>
      </c>
      <c r="C393" s="433"/>
      <c r="D393" s="584">
        <f>+D394+D396</f>
        <v>6875703</v>
      </c>
      <c r="E393" s="584">
        <f t="shared" ref="E393" si="243">+E394+E396</f>
        <v>57003</v>
      </c>
      <c r="F393" s="613">
        <f t="shared" ref="F393:I393" si="244">+F394+F396</f>
        <v>0</v>
      </c>
      <c r="G393" s="584">
        <f t="shared" si="244"/>
        <v>0</v>
      </c>
      <c r="H393" s="584">
        <f t="shared" si="244"/>
        <v>4091220</v>
      </c>
      <c r="I393" s="584">
        <f t="shared" si="244"/>
        <v>2727480</v>
      </c>
      <c r="J393" s="584"/>
      <c r="K393" s="584"/>
      <c r="L393" s="584"/>
      <c r="M393" s="3548" t="s">
        <v>22</v>
      </c>
      <c r="N393" s="3548" t="s">
        <v>22</v>
      </c>
      <c r="O393" s="3570" t="s">
        <v>93</v>
      </c>
    </row>
    <row r="394" spans="1:16">
      <c r="A394" s="3514"/>
      <c r="B394" s="810" t="s">
        <v>23</v>
      </c>
      <c r="C394" s="3601" t="s">
        <v>76</v>
      </c>
      <c r="D394" s="1879">
        <f>+D395</f>
        <v>57003</v>
      </c>
      <c r="E394" s="1879">
        <f t="shared" ref="E394" si="245">+E395</f>
        <v>57003</v>
      </c>
      <c r="F394" s="1880">
        <v>0</v>
      </c>
      <c r="G394" s="1880">
        <v>0</v>
      </c>
      <c r="H394" s="1880">
        <v>0</v>
      </c>
      <c r="I394" s="1880">
        <v>0</v>
      </c>
      <c r="J394" s="1880"/>
      <c r="K394" s="1880"/>
      <c r="L394" s="1880"/>
      <c r="M394" s="3549"/>
      <c r="N394" s="3549"/>
      <c r="O394" s="3571"/>
    </row>
    <row r="395" spans="1:16">
      <c r="A395" s="3514"/>
      <c r="B395" s="668" t="s">
        <v>15</v>
      </c>
      <c r="C395" s="3602"/>
      <c r="D395" s="785">
        <f>E395+F395+G395+H395+I395+J395+K395+L395</f>
        <v>57003</v>
      </c>
      <c r="E395" s="800">
        <v>57003</v>
      </c>
      <c r="F395" s="1416">
        <v>0</v>
      </c>
      <c r="G395" s="1416">
        <v>0</v>
      </c>
      <c r="H395" s="1416">
        <v>0</v>
      </c>
      <c r="I395" s="1416">
        <v>0</v>
      </c>
      <c r="J395" s="1416"/>
      <c r="K395" s="1416"/>
      <c r="L395" s="1416"/>
      <c r="M395" s="3549"/>
      <c r="N395" s="3549"/>
      <c r="O395" s="3571"/>
    </row>
    <row r="396" spans="1:16" s="3379" customFormat="1" ht="12.75" customHeight="1">
      <c r="A396" s="3514"/>
      <c r="B396" s="810" t="s">
        <v>18</v>
      </c>
      <c r="C396" s="3602"/>
      <c r="D396" s="726">
        <f>+D397</f>
        <v>6818700</v>
      </c>
      <c r="E396" s="2857">
        <f t="shared" ref="E396:I396" si="246">+E397</f>
        <v>0</v>
      </c>
      <c r="F396" s="1880">
        <v>0</v>
      </c>
      <c r="G396" s="1919">
        <f t="shared" si="246"/>
        <v>0</v>
      </c>
      <c r="H396" s="1919">
        <f t="shared" si="246"/>
        <v>4091220</v>
      </c>
      <c r="I396" s="1919">
        <f t="shared" si="246"/>
        <v>2727480</v>
      </c>
      <c r="J396" s="726"/>
      <c r="K396" s="726"/>
      <c r="L396" s="726"/>
      <c r="M396" s="3549"/>
      <c r="N396" s="3549"/>
      <c r="O396" s="3571"/>
    </row>
    <row r="397" spans="1:16" ht="12" customHeight="1" thickBot="1">
      <c r="A397" s="3515"/>
      <c r="B397" s="674" t="s">
        <v>20</v>
      </c>
      <c r="C397" s="3603"/>
      <c r="D397" s="1742">
        <f>E397+F397+G397+H397+I397+J397+K397+L397</f>
        <v>6818700</v>
      </c>
      <c r="E397" s="1742">
        <v>0</v>
      </c>
      <c r="F397" s="2858">
        <v>0</v>
      </c>
      <c r="G397" s="1662">
        <f>2555629+1141538-2197167-1500000</f>
        <v>0</v>
      </c>
      <c r="H397" s="1662">
        <f>2413992+2904708-1227480</f>
        <v>4091220</v>
      </c>
      <c r="I397" s="1662">
        <v>2727480</v>
      </c>
      <c r="J397" s="1662"/>
      <c r="K397" s="1662"/>
      <c r="L397" s="1662"/>
      <c r="M397" s="3550"/>
      <c r="N397" s="3550"/>
      <c r="O397" s="3572"/>
    </row>
    <row r="398" spans="1:16" ht="24.75" hidden="1" customHeight="1">
      <c r="A398" s="3512" t="s">
        <v>91</v>
      </c>
      <c r="B398" s="264"/>
      <c r="C398" s="56" t="s">
        <v>73</v>
      </c>
      <c r="D398" s="123"/>
      <c r="E398" s="520"/>
      <c r="F398" s="42"/>
      <c r="G398" s="42"/>
      <c r="H398" s="227"/>
      <c r="I398" s="41"/>
      <c r="J398" s="227"/>
      <c r="K398" s="227"/>
      <c r="L398" s="227"/>
      <c r="M398" s="60"/>
      <c r="N398" s="60"/>
      <c r="O398" s="3507" t="s">
        <v>78</v>
      </c>
      <c r="P398" s="2385" t="s">
        <v>259</v>
      </c>
    </row>
    <row r="399" spans="1:16" hidden="1">
      <c r="A399" s="3513"/>
      <c r="B399" s="2149" t="s">
        <v>10</v>
      </c>
      <c r="C399" s="1356"/>
      <c r="D399" s="1876">
        <f>+D400+D402</f>
        <v>0</v>
      </c>
      <c r="E399" s="1876">
        <f t="shared" ref="E399" si="247">+E400+E402</f>
        <v>0</v>
      </c>
      <c r="F399" s="1876">
        <f t="shared" ref="F399:H399" si="248">+F400+F402</f>
        <v>0</v>
      </c>
      <c r="G399" s="1876">
        <f t="shared" si="248"/>
        <v>0</v>
      </c>
      <c r="H399" s="1876">
        <f t="shared" si="248"/>
        <v>0</v>
      </c>
      <c r="I399" s="1876"/>
      <c r="J399" s="1876"/>
      <c r="K399" s="1876"/>
      <c r="L399" s="1876"/>
      <c r="M399" s="1878">
        <f>+M400+M402</f>
        <v>0</v>
      </c>
      <c r="N399" s="1878">
        <f>+N400+N402</f>
        <v>0</v>
      </c>
      <c r="O399" s="3508"/>
    </row>
    <row r="400" spans="1:16" hidden="1">
      <c r="A400" s="3513"/>
      <c r="B400" s="2187" t="s">
        <v>23</v>
      </c>
      <c r="C400" s="3560" t="s">
        <v>76</v>
      </c>
      <c r="D400" s="1879">
        <f>+D401</f>
        <v>0</v>
      </c>
      <c r="E400" s="1879">
        <f t="shared" ref="E400:H400" si="249">+E401</f>
        <v>0</v>
      </c>
      <c r="F400" s="1879">
        <f t="shared" si="249"/>
        <v>0</v>
      </c>
      <c r="G400" s="1879">
        <f t="shared" si="249"/>
        <v>0</v>
      </c>
      <c r="H400" s="1879">
        <f t="shared" si="249"/>
        <v>0</v>
      </c>
      <c r="I400" s="1879"/>
      <c r="J400" s="1879"/>
      <c r="K400" s="1879"/>
      <c r="L400" s="1879"/>
      <c r="M400" s="522">
        <f>+M401</f>
        <v>0</v>
      </c>
      <c r="N400" s="522">
        <f>+N401</f>
        <v>0</v>
      </c>
      <c r="O400" s="3508"/>
    </row>
    <row r="401" spans="1:16" hidden="1">
      <c r="A401" s="3513"/>
      <c r="B401" s="2188" t="s">
        <v>12</v>
      </c>
      <c r="C401" s="3561"/>
      <c r="D401" s="785"/>
      <c r="E401" s="800"/>
      <c r="F401" s="1894"/>
      <c r="G401" s="1894">
        <f>1854503+17167-1310168-561502</f>
        <v>0</v>
      </c>
      <c r="H401" s="1894">
        <f>1550169-1550169</f>
        <v>0</v>
      </c>
      <c r="I401" s="1894"/>
      <c r="J401" s="1894"/>
      <c r="K401" s="1894"/>
      <c r="L401" s="1894"/>
      <c r="M401" s="808">
        <f>SUM(F401:K401)</f>
        <v>0</v>
      </c>
      <c r="N401" s="808">
        <f>SUM(G401:L401)</f>
        <v>0</v>
      </c>
      <c r="O401" s="3508"/>
    </row>
    <row r="402" spans="1:16" hidden="1">
      <c r="A402" s="3513"/>
      <c r="B402" s="2189" t="s">
        <v>18</v>
      </c>
      <c r="C402" s="3561"/>
      <c r="D402" s="523">
        <f>+D403</f>
        <v>0</v>
      </c>
      <c r="E402" s="523">
        <f t="shared" ref="E402:H402" si="250">+E403</f>
        <v>0</v>
      </c>
      <c r="F402" s="523">
        <f t="shared" si="250"/>
        <v>0</v>
      </c>
      <c r="G402" s="523">
        <f t="shared" si="250"/>
        <v>0</v>
      </c>
      <c r="H402" s="523">
        <f t="shared" si="250"/>
        <v>0</v>
      </c>
      <c r="I402" s="523"/>
      <c r="J402" s="523"/>
      <c r="K402" s="523"/>
      <c r="L402" s="523"/>
      <c r="M402" s="522">
        <f>+M403</f>
        <v>0</v>
      </c>
      <c r="N402" s="522">
        <f>+N403</f>
        <v>0</v>
      </c>
      <c r="O402" s="3508"/>
    </row>
    <row r="403" spans="1:16" hidden="1">
      <c r="A403" s="3513"/>
      <c r="B403" s="668" t="s">
        <v>20</v>
      </c>
      <c r="C403" s="3568"/>
      <c r="D403" s="785">
        <f>E403+F403+G403+H403+I403+J403+K403+L403</f>
        <v>0</v>
      </c>
      <c r="E403" s="800">
        <f>4205-4205</f>
        <v>0</v>
      </c>
      <c r="F403" s="1894">
        <f>5928372+953820+1843-6884035</f>
        <v>0</v>
      </c>
      <c r="G403" s="1894">
        <f>6124035-4286825-1837210</f>
        <v>0</v>
      </c>
      <c r="H403" s="1894">
        <f>5046825-5046825</f>
        <v>0</v>
      </c>
      <c r="I403" s="1894"/>
      <c r="J403" s="1894"/>
      <c r="K403" s="1894"/>
      <c r="L403" s="1894"/>
      <c r="M403" s="808">
        <f>SUM(F403:K403)</f>
        <v>0</v>
      </c>
      <c r="N403" s="808">
        <f>SUM(G403:L403)</f>
        <v>0</v>
      </c>
      <c r="O403" s="3569"/>
      <c r="P403" s="2389"/>
    </row>
    <row r="404" spans="1:16" hidden="1">
      <c r="A404" s="3514"/>
      <c r="B404" s="2149" t="s">
        <v>21</v>
      </c>
      <c r="C404" s="1356"/>
      <c r="D404" s="584">
        <f>+D405</f>
        <v>0</v>
      </c>
      <c r="E404" s="584">
        <f t="shared" ref="E404:I405" si="251">+E405</f>
        <v>0</v>
      </c>
      <c r="F404" s="584">
        <f t="shared" si="251"/>
        <v>0</v>
      </c>
      <c r="G404" s="584">
        <f t="shared" si="251"/>
        <v>0</v>
      </c>
      <c r="H404" s="584">
        <f t="shared" si="251"/>
        <v>0</v>
      </c>
      <c r="I404" s="584">
        <f t="shared" si="251"/>
        <v>0</v>
      </c>
      <c r="J404" s="584"/>
      <c r="K404" s="584"/>
      <c r="L404" s="584"/>
      <c r="M404" s="3548" t="s">
        <v>22</v>
      </c>
      <c r="N404" s="3548" t="s">
        <v>22</v>
      </c>
      <c r="O404" s="3570" t="s">
        <v>93</v>
      </c>
    </row>
    <row r="405" spans="1:16" s="3379" customFormat="1" ht="12.75" hidden="1" customHeight="1">
      <c r="A405" s="3514"/>
      <c r="B405" s="2189" t="s">
        <v>18</v>
      </c>
      <c r="C405" s="3560" t="s">
        <v>76</v>
      </c>
      <c r="D405" s="726">
        <f>+D406</f>
        <v>0</v>
      </c>
      <c r="E405" s="1919">
        <f t="shared" si="251"/>
        <v>0</v>
      </c>
      <c r="F405" s="1919">
        <f t="shared" si="251"/>
        <v>0</v>
      </c>
      <c r="G405" s="1919">
        <f t="shared" si="251"/>
        <v>0</v>
      </c>
      <c r="H405" s="1919">
        <f t="shared" si="251"/>
        <v>0</v>
      </c>
      <c r="I405" s="1919">
        <f t="shared" si="251"/>
        <v>0</v>
      </c>
      <c r="J405" s="726"/>
      <c r="K405" s="726"/>
      <c r="L405" s="726"/>
      <c r="M405" s="3549"/>
      <c r="N405" s="3549"/>
      <c r="O405" s="3571"/>
    </row>
    <row r="406" spans="1:16" ht="13.5" hidden="1" thickBot="1">
      <c r="A406" s="3515"/>
      <c r="B406" s="674" t="s">
        <v>20</v>
      </c>
      <c r="C406" s="3523"/>
      <c r="D406" s="2031">
        <f>E406+F406+G406+H406+I406+J406+K406+L406</f>
        <v>0</v>
      </c>
      <c r="E406" s="2031">
        <v>0</v>
      </c>
      <c r="F406" s="1662">
        <f>3909880-3909880</f>
        <v>0</v>
      </c>
      <c r="G406" s="1662">
        <f>2978360+931520-3909880</f>
        <v>0</v>
      </c>
      <c r="H406" s="1662">
        <f>2218360+760000-2978360</f>
        <v>0</v>
      </c>
      <c r="I406" s="1662">
        <f>3909880-3909880</f>
        <v>0</v>
      </c>
      <c r="J406" s="1662"/>
      <c r="K406" s="1662"/>
      <c r="L406" s="1662"/>
      <c r="M406" s="3550"/>
      <c r="N406" s="3550"/>
      <c r="O406" s="3572"/>
    </row>
    <row r="407" spans="1:16" ht="22.5" hidden="1" customHeight="1">
      <c r="A407" s="3512" t="s">
        <v>95</v>
      </c>
      <c r="B407" s="264" t="s">
        <v>437</v>
      </c>
      <c r="C407" s="56" t="s">
        <v>73</v>
      </c>
      <c r="D407" s="123"/>
      <c r="E407" s="520"/>
      <c r="F407" s="42"/>
      <c r="G407" s="42"/>
      <c r="H407" s="227"/>
      <c r="I407" s="41"/>
      <c r="J407" s="227"/>
      <c r="K407" s="227"/>
      <c r="L407" s="227"/>
      <c r="M407" s="60"/>
      <c r="N407" s="60"/>
      <c r="O407" s="3507" t="s">
        <v>78</v>
      </c>
      <c r="P407" s="2385" t="s">
        <v>259</v>
      </c>
    </row>
    <row r="408" spans="1:16" ht="12" hidden="1" customHeight="1">
      <c r="A408" s="3513"/>
      <c r="B408" s="539" t="s">
        <v>10</v>
      </c>
      <c r="C408" s="1380"/>
      <c r="D408" s="1381">
        <f>+D409+D411</f>
        <v>0</v>
      </c>
      <c r="E408" s="1381">
        <f t="shared" ref="E408" si="252">+E409+E411</f>
        <v>0</v>
      </c>
      <c r="F408" s="1381">
        <f t="shared" ref="F408:G408" si="253">+F409+F411</f>
        <v>0</v>
      </c>
      <c r="G408" s="1381">
        <f t="shared" si="253"/>
        <v>0</v>
      </c>
      <c r="H408" s="1381"/>
      <c r="I408" s="1381"/>
      <c r="J408" s="1381"/>
      <c r="K408" s="1381"/>
      <c r="L408" s="1381"/>
      <c r="M408" s="1358">
        <f>+M409+M411</f>
        <v>0</v>
      </c>
      <c r="N408" s="1358">
        <f>+N409+N411</f>
        <v>0</v>
      </c>
      <c r="O408" s="3508"/>
    </row>
    <row r="409" spans="1:16" hidden="1">
      <c r="A409" s="3513"/>
      <c r="B409" s="515" t="s">
        <v>23</v>
      </c>
      <c r="C409" s="3560" t="s">
        <v>76</v>
      </c>
      <c r="D409" s="1382">
        <f>+D410</f>
        <v>0</v>
      </c>
      <c r="E409" s="1382">
        <f t="shared" ref="E409:G409" si="254">+E410</f>
        <v>0</v>
      </c>
      <c r="F409" s="1382">
        <f t="shared" si="254"/>
        <v>0</v>
      </c>
      <c r="G409" s="1382">
        <f t="shared" si="254"/>
        <v>0</v>
      </c>
      <c r="H409" s="1382"/>
      <c r="I409" s="1382"/>
      <c r="J409" s="1382"/>
      <c r="K409" s="1382"/>
      <c r="L409" s="1382"/>
      <c r="M409" s="1361">
        <f>+M410</f>
        <v>0</v>
      </c>
      <c r="N409" s="1361">
        <f>+N410</f>
        <v>0</v>
      </c>
      <c r="O409" s="3508"/>
    </row>
    <row r="410" spans="1:16" hidden="1">
      <c r="A410" s="3513"/>
      <c r="B410" s="814" t="s">
        <v>12</v>
      </c>
      <c r="C410" s="3561"/>
      <c r="D410" s="785">
        <f>E410+F410+G410+H410+I410+J410+K410+L410</f>
        <v>0</v>
      </c>
      <c r="E410" s="1334">
        <v>0</v>
      </c>
      <c r="F410" s="1372">
        <v>0</v>
      </c>
      <c r="G410" s="1372">
        <f>938336-938336</f>
        <v>0</v>
      </c>
      <c r="H410" s="1372"/>
      <c r="I410" s="1372"/>
      <c r="J410" s="1372"/>
      <c r="K410" s="1372"/>
      <c r="L410" s="1372"/>
      <c r="M410" s="1374">
        <f>SUM(F410:K410)</f>
        <v>0</v>
      </c>
      <c r="N410" s="1374">
        <f>SUM(G410:L410)</f>
        <v>0</v>
      </c>
      <c r="O410" s="3508"/>
    </row>
    <row r="411" spans="1:16" hidden="1">
      <c r="A411" s="3513"/>
      <c r="B411" s="810" t="s">
        <v>18</v>
      </c>
      <c r="C411" s="3561"/>
      <c r="D411" s="1360">
        <f>+D412</f>
        <v>0</v>
      </c>
      <c r="E411" s="1360">
        <f t="shared" ref="E411:G411" si="255">+E412</f>
        <v>0</v>
      </c>
      <c r="F411" s="1360">
        <f t="shared" si="255"/>
        <v>0</v>
      </c>
      <c r="G411" s="1360">
        <f t="shared" si="255"/>
        <v>0</v>
      </c>
      <c r="H411" s="1360"/>
      <c r="I411" s="1360"/>
      <c r="J411" s="1360"/>
      <c r="K411" s="1360"/>
      <c r="L411" s="1360"/>
      <c r="M411" s="1361">
        <f>+M412</f>
        <v>0</v>
      </c>
      <c r="N411" s="1361">
        <f>+N412</f>
        <v>0</v>
      </c>
      <c r="O411" s="3508"/>
    </row>
    <row r="412" spans="1:16" hidden="1">
      <c r="A412" s="3513"/>
      <c r="B412" s="668" t="s">
        <v>197</v>
      </c>
      <c r="C412" s="3568"/>
      <c r="D412" s="785">
        <f>E412+F412+G412+H412+I412+J412+K412+L412</f>
        <v>0</v>
      </c>
      <c r="E412" s="1334">
        <v>0</v>
      </c>
      <c r="F412" s="1372">
        <v>0</v>
      </c>
      <c r="G412" s="1372">
        <f>3019942-3019942</f>
        <v>0</v>
      </c>
      <c r="H412" s="1372"/>
      <c r="I412" s="1372"/>
      <c r="J412" s="1372"/>
      <c r="K412" s="1372"/>
      <c r="L412" s="1372"/>
      <c r="M412" s="1374">
        <f>SUM(F412:K412)</f>
        <v>0</v>
      </c>
      <c r="N412" s="1374">
        <f>SUM(G412:L412)</f>
        <v>0</v>
      </c>
      <c r="O412" s="3569"/>
      <c r="P412" s="2389"/>
    </row>
    <row r="413" spans="1:16" hidden="1">
      <c r="A413" s="3514"/>
      <c r="B413" s="539" t="s">
        <v>21</v>
      </c>
      <c r="C413" s="1380"/>
      <c r="D413" s="1357">
        <f>+D414</f>
        <v>0</v>
      </c>
      <c r="E413" s="1357">
        <f t="shared" ref="E413:H414" si="256">+E414</f>
        <v>0</v>
      </c>
      <c r="F413" s="1357">
        <f t="shared" si="256"/>
        <v>0</v>
      </c>
      <c r="G413" s="1357">
        <f t="shared" si="256"/>
        <v>0</v>
      </c>
      <c r="H413" s="1357">
        <f t="shared" si="256"/>
        <v>0</v>
      </c>
      <c r="I413" s="1357"/>
      <c r="J413" s="1357"/>
      <c r="K413" s="1357"/>
      <c r="L413" s="1357"/>
      <c r="M413" s="3548" t="s">
        <v>22</v>
      </c>
      <c r="N413" s="3548" t="s">
        <v>22</v>
      </c>
      <c r="O413" s="3570" t="s">
        <v>93</v>
      </c>
    </row>
    <row r="414" spans="1:16" s="3379" customFormat="1" ht="12.75" hidden="1" customHeight="1">
      <c r="A414" s="3514"/>
      <c r="B414" s="810" t="s">
        <v>18</v>
      </c>
      <c r="C414" s="3560" t="s">
        <v>76</v>
      </c>
      <c r="D414" s="1378">
        <f>+D415</f>
        <v>0</v>
      </c>
      <c r="E414" s="1385">
        <f t="shared" si="256"/>
        <v>0</v>
      </c>
      <c r="F414" s="1385">
        <f t="shared" si="256"/>
        <v>0</v>
      </c>
      <c r="G414" s="1385">
        <f t="shared" si="256"/>
        <v>0</v>
      </c>
      <c r="H414" s="1385">
        <f t="shared" si="256"/>
        <v>0</v>
      </c>
      <c r="I414" s="1378"/>
      <c r="J414" s="1378"/>
      <c r="K414" s="1378"/>
      <c r="L414" s="1378"/>
      <c r="M414" s="3549"/>
      <c r="N414" s="3549"/>
      <c r="O414" s="3571"/>
    </row>
    <row r="415" spans="1:16" ht="12" hidden="1" customHeight="1" thickBot="1">
      <c r="A415" s="3515"/>
      <c r="B415" s="674" t="s">
        <v>19</v>
      </c>
      <c r="C415" s="3523"/>
      <c r="D415" s="779">
        <f>E415+F415+G415+H415+I415+J415+K415+L415</f>
        <v>0</v>
      </c>
      <c r="E415" s="779">
        <v>0</v>
      </c>
      <c r="F415" s="415">
        <f>2334228-2334228</f>
        <v>0</v>
      </c>
      <c r="G415" s="415">
        <f>1025310+1308918-2334228</f>
        <v>0</v>
      </c>
      <c r="H415" s="415">
        <v>0</v>
      </c>
      <c r="I415" s="415"/>
      <c r="J415" s="415"/>
      <c r="K415" s="415"/>
      <c r="L415" s="415"/>
      <c r="M415" s="3550"/>
      <c r="N415" s="3550"/>
      <c r="O415" s="3572"/>
    </row>
    <row r="416" spans="1:16" ht="23.25" customHeight="1" thickBot="1">
      <c r="A416" s="3593" t="s">
        <v>249</v>
      </c>
      <c r="B416" s="264" t="s">
        <v>471</v>
      </c>
      <c r="C416" s="56" t="s">
        <v>73</v>
      </c>
      <c r="D416" s="2753"/>
      <c r="E416" s="2751"/>
      <c r="F416" s="2752"/>
      <c r="G416" s="2752"/>
      <c r="H416" s="2752"/>
      <c r="I416" s="2752"/>
      <c r="J416" s="2752"/>
      <c r="K416" s="2752"/>
      <c r="L416" s="41"/>
      <c r="M416" s="60"/>
      <c r="N416" s="60"/>
      <c r="O416" s="3507" t="s">
        <v>78</v>
      </c>
      <c r="P416" s="2385" t="s">
        <v>259</v>
      </c>
    </row>
    <row r="417" spans="1:16" ht="13.5" thickBot="1">
      <c r="A417" s="3593"/>
      <c r="B417" s="21" t="s">
        <v>10</v>
      </c>
      <c r="C417" s="22"/>
      <c r="D417" s="2307">
        <f>+D418+D420</f>
        <v>11037981</v>
      </c>
      <c r="E417" s="2308">
        <f t="shared" ref="E417:F417" si="257">+E418+E420</f>
        <v>0</v>
      </c>
      <c r="F417" s="2308">
        <f t="shared" si="257"/>
        <v>0</v>
      </c>
      <c r="G417" s="2307">
        <f>+G418+G420</f>
        <v>0</v>
      </c>
      <c r="H417" s="2307">
        <f>+H418+H420</f>
        <v>6622789</v>
      </c>
      <c r="I417" s="2307">
        <f>+I418+I420</f>
        <v>4415192</v>
      </c>
      <c r="J417" s="2307"/>
      <c r="K417" s="2307"/>
      <c r="L417" s="1876"/>
      <c r="M417" s="521">
        <f>+M418+M420</f>
        <v>11037981</v>
      </c>
      <c r="N417" s="521">
        <f>+N418+N420</f>
        <v>11037981</v>
      </c>
      <c r="O417" s="3508"/>
    </row>
    <row r="418" spans="1:16" ht="13.5" customHeight="1" thickBot="1">
      <c r="A418" s="3593"/>
      <c r="B418" s="166" t="s">
        <v>23</v>
      </c>
      <c r="C418" s="3576" t="s">
        <v>76</v>
      </c>
      <c r="D418" s="2309">
        <f>+D419</f>
        <v>5773368</v>
      </c>
      <c r="E418" s="2310">
        <f t="shared" ref="E418:I418" si="258">+E419</f>
        <v>0</v>
      </c>
      <c r="F418" s="2310">
        <f t="shared" si="258"/>
        <v>0</v>
      </c>
      <c r="G418" s="2309">
        <f t="shared" si="258"/>
        <v>0</v>
      </c>
      <c r="H418" s="2309">
        <f t="shared" si="258"/>
        <v>3311394</v>
      </c>
      <c r="I418" s="2309">
        <f t="shared" si="258"/>
        <v>2461974</v>
      </c>
      <c r="J418" s="2309"/>
      <c r="K418" s="2309"/>
      <c r="L418" s="1879"/>
      <c r="M418" s="522">
        <f>+M419</f>
        <v>5773368</v>
      </c>
      <c r="N418" s="522">
        <f>+N419</f>
        <v>5773368</v>
      </c>
      <c r="O418" s="3508"/>
    </row>
    <row r="419" spans="1:16" ht="13.5" thickBot="1">
      <c r="A419" s="3593"/>
      <c r="B419" s="376" t="s">
        <v>12</v>
      </c>
      <c r="C419" s="3561"/>
      <c r="D419" s="236">
        <f>E419+F419+G419+H419+I419+J419+K419+L419</f>
        <v>5773368</v>
      </c>
      <c r="E419" s="2311">
        <v>0</v>
      </c>
      <c r="F419" s="2311">
        <v>0</v>
      </c>
      <c r="G419" s="2312">
        <f>621874-435312-186562</f>
        <v>0</v>
      </c>
      <c r="H419" s="2312">
        <f>1058866+787322+1465206</f>
        <v>3311394</v>
      </c>
      <c r="I419" s="2312">
        <v>2461974</v>
      </c>
      <c r="J419" s="2312"/>
      <c r="K419" s="2312"/>
      <c r="L419" s="1894"/>
      <c r="M419" s="808">
        <f>SUM(F419:K419)</f>
        <v>5773368</v>
      </c>
      <c r="N419" s="808">
        <f>SUM(G419:L419)</f>
        <v>5773368</v>
      </c>
      <c r="O419" s="3508"/>
    </row>
    <row r="420" spans="1:16" ht="13.5" thickBot="1">
      <c r="A420" s="3593"/>
      <c r="B420" s="399" t="s">
        <v>18</v>
      </c>
      <c r="C420" s="3561"/>
      <c r="D420" s="2313">
        <f>+D421</f>
        <v>5264613</v>
      </c>
      <c r="E420" s="2314">
        <f t="shared" ref="E420:I420" si="259">+E421</f>
        <v>0</v>
      </c>
      <c r="F420" s="2314">
        <f t="shared" si="259"/>
        <v>0</v>
      </c>
      <c r="G420" s="2313">
        <f t="shared" si="259"/>
        <v>0</v>
      </c>
      <c r="H420" s="2313">
        <f t="shared" si="259"/>
        <v>3311395</v>
      </c>
      <c r="I420" s="2313">
        <f t="shared" si="259"/>
        <v>1953218</v>
      </c>
      <c r="J420" s="2313"/>
      <c r="K420" s="2313"/>
      <c r="L420" s="523"/>
      <c r="M420" s="522">
        <f>+M421</f>
        <v>5264613</v>
      </c>
      <c r="N420" s="522">
        <f>+N421</f>
        <v>5264613</v>
      </c>
      <c r="O420" s="3508"/>
    </row>
    <row r="421" spans="1:16" ht="11.25" customHeight="1" thickBot="1">
      <c r="A421" s="3593"/>
      <c r="B421" s="2315" t="s">
        <v>20</v>
      </c>
      <c r="C421" s="3568"/>
      <c r="D421" s="236">
        <f>E421+F421+G421+H421+I421+J421+K421+L421</f>
        <v>5264613</v>
      </c>
      <c r="E421" s="2311">
        <v>0</v>
      </c>
      <c r="F421" s="2311">
        <v>0</v>
      </c>
      <c r="G421" s="2312">
        <f>1988846-1392192-596654</f>
        <v>0</v>
      </c>
      <c r="H421" s="2312">
        <f>3386414+2522163-2597182</f>
        <v>3311395</v>
      </c>
      <c r="I421" s="2312">
        <v>1953218</v>
      </c>
      <c r="J421" s="2312"/>
      <c r="K421" s="2312"/>
      <c r="L421" s="1894"/>
      <c r="M421" s="808">
        <f>SUM(F421:K421)</f>
        <v>5264613</v>
      </c>
      <c r="N421" s="808">
        <f>SUM(G421:L421)</f>
        <v>5264613</v>
      </c>
      <c r="O421" s="3569"/>
      <c r="P421" s="2389"/>
    </row>
    <row r="422" spans="1:16" ht="13.5" thickBot="1">
      <c r="A422" s="3594"/>
      <c r="B422" s="21" t="s">
        <v>21</v>
      </c>
      <c r="C422" s="22"/>
      <c r="D422" s="2316">
        <f>+D423</f>
        <v>5264613</v>
      </c>
      <c r="E422" s="2317">
        <f t="shared" ref="E422:J423" si="260">+E423</f>
        <v>0</v>
      </c>
      <c r="F422" s="2317">
        <f t="shared" si="260"/>
        <v>0</v>
      </c>
      <c r="G422" s="2316">
        <f t="shared" si="260"/>
        <v>0</v>
      </c>
      <c r="H422" s="2316">
        <f t="shared" si="260"/>
        <v>1052923</v>
      </c>
      <c r="I422" s="2316">
        <f t="shared" si="260"/>
        <v>3158768</v>
      </c>
      <c r="J422" s="2316">
        <f t="shared" si="260"/>
        <v>1052922</v>
      </c>
      <c r="K422" s="2316"/>
      <c r="L422" s="584"/>
      <c r="M422" s="3573" t="s">
        <v>22</v>
      </c>
      <c r="N422" s="3584" t="s">
        <v>22</v>
      </c>
      <c r="O422" s="3611" t="s">
        <v>93</v>
      </c>
    </row>
    <row r="423" spans="1:16" s="3379" customFormat="1" ht="13.5" thickBot="1">
      <c r="A423" s="3594"/>
      <c r="B423" s="399" t="s">
        <v>18</v>
      </c>
      <c r="C423" s="3613" t="s">
        <v>76</v>
      </c>
      <c r="D423" s="2318">
        <f>+D424</f>
        <v>5264613</v>
      </c>
      <c r="E423" s="2319">
        <f t="shared" si="260"/>
        <v>0</v>
      </c>
      <c r="F423" s="2319">
        <f t="shared" si="260"/>
        <v>0</v>
      </c>
      <c r="G423" s="2320">
        <f t="shared" si="260"/>
        <v>0</v>
      </c>
      <c r="H423" s="2320">
        <f t="shared" si="260"/>
        <v>1052923</v>
      </c>
      <c r="I423" s="2320">
        <f t="shared" si="260"/>
        <v>3158768</v>
      </c>
      <c r="J423" s="2320">
        <f t="shared" si="260"/>
        <v>1052922</v>
      </c>
      <c r="K423" s="2318"/>
      <c r="L423" s="726"/>
      <c r="M423" s="3574"/>
      <c r="N423" s="3585"/>
      <c r="O423" s="3612"/>
    </row>
    <row r="424" spans="1:16" ht="12" customHeight="1" thickBot="1">
      <c r="A424" s="3594"/>
      <c r="B424" s="53" t="s">
        <v>20</v>
      </c>
      <c r="C424" s="3614"/>
      <c r="D424" s="2031">
        <f>E424+F424+G424+H424+I424+J424+K424+L424</f>
        <v>5264613</v>
      </c>
      <c r="E424" s="1663">
        <v>0</v>
      </c>
      <c r="F424" s="1663">
        <v>0</v>
      </c>
      <c r="G424" s="1662">
        <v>0</v>
      </c>
      <c r="H424" s="1662">
        <f>3657763-2604840</f>
        <v>1052923</v>
      </c>
      <c r="I424" s="1662">
        <f>1717497+1129971+311300</f>
        <v>3158768</v>
      </c>
      <c r="J424" s="1662">
        <v>1052922</v>
      </c>
      <c r="K424" s="1662"/>
      <c r="L424" s="1662"/>
      <c r="M424" s="3575"/>
      <c r="N424" s="3585"/>
      <c r="O424" s="3612"/>
    </row>
    <row r="425" spans="1:16" ht="24.75" thickBot="1">
      <c r="A425" s="3593" t="s">
        <v>183</v>
      </c>
      <c r="B425" s="264" t="s">
        <v>472</v>
      </c>
      <c r="C425" s="56" t="s">
        <v>73</v>
      </c>
      <c r="D425" s="2753"/>
      <c r="E425" s="2751"/>
      <c r="F425" s="2751"/>
      <c r="G425" s="2752"/>
      <c r="H425" s="2752"/>
      <c r="I425" s="2752"/>
      <c r="J425" s="2752"/>
      <c r="K425" s="2752"/>
      <c r="L425" s="41"/>
      <c r="M425" s="60"/>
      <c r="N425" s="60"/>
      <c r="O425" s="3609" t="s">
        <v>78</v>
      </c>
      <c r="P425" s="2385" t="s">
        <v>259</v>
      </c>
    </row>
    <row r="426" spans="1:16" ht="10.5" customHeight="1" thickBot="1">
      <c r="A426" s="3593"/>
      <c r="B426" s="539" t="s">
        <v>10</v>
      </c>
      <c r="C426" s="1356"/>
      <c r="D426" s="1381">
        <f>+D427+D429</f>
        <v>9147981</v>
      </c>
      <c r="E426" s="1381">
        <f t="shared" ref="E426" si="261">+E427+E429</f>
        <v>0</v>
      </c>
      <c r="F426" s="1386">
        <f t="shared" ref="F426:I426" si="262">+F427+F429</f>
        <v>0</v>
      </c>
      <c r="G426" s="1381">
        <f t="shared" si="262"/>
        <v>0</v>
      </c>
      <c r="H426" s="1381">
        <f t="shared" si="262"/>
        <v>5488789</v>
      </c>
      <c r="I426" s="1381">
        <f t="shared" si="262"/>
        <v>3659192</v>
      </c>
      <c r="J426" s="1381"/>
      <c r="K426" s="1381"/>
      <c r="L426" s="1381"/>
      <c r="M426" s="1419">
        <f>+M427+M429</f>
        <v>9147981</v>
      </c>
      <c r="N426" s="1419">
        <f>+N427+N429</f>
        <v>9147981</v>
      </c>
      <c r="O426" s="3609"/>
    </row>
    <row r="427" spans="1:16" ht="13.5" thickBot="1">
      <c r="A427" s="3593"/>
      <c r="B427" s="515" t="s">
        <v>23</v>
      </c>
      <c r="C427" s="3522" t="s">
        <v>76</v>
      </c>
      <c r="D427" s="1382">
        <f>+D428</f>
        <v>4825749</v>
      </c>
      <c r="E427" s="1382">
        <f t="shared" ref="E427:I427" si="263">+E428</f>
        <v>0</v>
      </c>
      <c r="F427" s="1384">
        <f t="shared" si="263"/>
        <v>0</v>
      </c>
      <c r="G427" s="1382">
        <f t="shared" si="263"/>
        <v>0</v>
      </c>
      <c r="H427" s="1382">
        <f t="shared" si="263"/>
        <v>2744394</v>
      </c>
      <c r="I427" s="1382">
        <f t="shared" si="263"/>
        <v>2081355</v>
      </c>
      <c r="J427" s="1382"/>
      <c r="K427" s="1382"/>
      <c r="L427" s="1382"/>
      <c r="M427" s="1361">
        <f>+M428</f>
        <v>4825749</v>
      </c>
      <c r="N427" s="1361">
        <f>+N428</f>
        <v>4825749</v>
      </c>
      <c r="O427" s="3609"/>
    </row>
    <row r="428" spans="1:16" ht="11.25" customHeight="1" thickBot="1">
      <c r="A428" s="3593"/>
      <c r="B428" s="814" t="s">
        <v>12</v>
      </c>
      <c r="C428" s="3561"/>
      <c r="D428" s="1288">
        <f>E428+F428+G428+H428+I428+J428+K428+L428</f>
        <v>4825749</v>
      </c>
      <c r="E428" s="1372">
        <f>47545-47545</f>
        <v>0</v>
      </c>
      <c r="F428" s="1317">
        <v>0</v>
      </c>
      <c r="G428" s="1372">
        <f>455300-318710-136590</f>
        <v>0</v>
      </c>
      <c r="H428" s="1372">
        <f>775241+670720+1298433</f>
        <v>2744394</v>
      </c>
      <c r="I428" s="1372">
        <v>2081355</v>
      </c>
      <c r="J428" s="1372"/>
      <c r="K428" s="1372"/>
      <c r="L428" s="1372"/>
      <c r="M428" s="1374">
        <f>SUM(F428:K428)</f>
        <v>4825749</v>
      </c>
      <c r="N428" s="1374">
        <f>SUM(G428:L428)</f>
        <v>4825749</v>
      </c>
      <c r="O428" s="3609"/>
    </row>
    <row r="429" spans="1:16" ht="13.5" thickBot="1">
      <c r="A429" s="3593"/>
      <c r="B429" s="810" t="s">
        <v>18</v>
      </c>
      <c r="C429" s="3561"/>
      <c r="D429" s="1360">
        <f>+D430</f>
        <v>4322232</v>
      </c>
      <c r="E429" s="1360">
        <f t="shared" ref="E429:I429" si="264">+E430</f>
        <v>0</v>
      </c>
      <c r="F429" s="1654">
        <f t="shared" si="264"/>
        <v>0</v>
      </c>
      <c r="G429" s="1360">
        <f t="shared" si="264"/>
        <v>0</v>
      </c>
      <c r="H429" s="1360">
        <f t="shared" si="264"/>
        <v>2744395</v>
      </c>
      <c r="I429" s="1360">
        <f t="shared" si="264"/>
        <v>1577837</v>
      </c>
      <c r="J429" s="1360"/>
      <c r="K429" s="1360"/>
      <c r="L429" s="1360"/>
      <c r="M429" s="1361">
        <f>+M430</f>
        <v>4322232</v>
      </c>
      <c r="N429" s="1361">
        <f>+N430</f>
        <v>4322232</v>
      </c>
      <c r="O429" s="3609"/>
    </row>
    <row r="430" spans="1:16" ht="13.5" thickBot="1">
      <c r="A430" s="3593"/>
      <c r="B430" s="1655" t="s">
        <v>20</v>
      </c>
      <c r="C430" s="3568"/>
      <c r="D430" s="1288">
        <f>E430+F430+G430+H430+I430+J430+K430+L430</f>
        <v>4322232</v>
      </c>
      <c r="E430" s="1334">
        <v>0</v>
      </c>
      <c r="F430" s="1317">
        <v>0</v>
      </c>
      <c r="G430" s="1372">
        <f>1456120-1019284-436836</f>
        <v>0</v>
      </c>
      <c r="H430" s="1372">
        <f>2479339+2149255-1884199</f>
        <v>2744395</v>
      </c>
      <c r="I430" s="1372">
        <v>1577837</v>
      </c>
      <c r="J430" s="1372"/>
      <c r="K430" s="1372"/>
      <c r="L430" s="1372"/>
      <c r="M430" s="1374">
        <f>SUM(F430:K430)</f>
        <v>4322232</v>
      </c>
      <c r="N430" s="1374">
        <f>SUM(G430:L430)</f>
        <v>4322232</v>
      </c>
      <c r="O430" s="3610"/>
      <c r="P430" s="2389"/>
    </row>
    <row r="431" spans="1:16" ht="12" customHeight="1" thickBot="1">
      <c r="A431" s="3594"/>
      <c r="B431" s="539" t="s">
        <v>21</v>
      </c>
      <c r="C431" s="1356"/>
      <c r="D431" s="1357">
        <f>+D432</f>
        <v>4322232</v>
      </c>
      <c r="E431" s="1357">
        <f t="shared" ref="E431:J432" si="265">+E432</f>
        <v>0</v>
      </c>
      <c r="F431" s="1656">
        <f t="shared" si="265"/>
        <v>0</v>
      </c>
      <c r="G431" s="1357">
        <f t="shared" si="265"/>
        <v>0</v>
      </c>
      <c r="H431" s="1357">
        <f t="shared" si="265"/>
        <v>864447</v>
      </c>
      <c r="I431" s="1357">
        <f t="shared" si="265"/>
        <v>2593339</v>
      </c>
      <c r="J431" s="1357">
        <f t="shared" si="265"/>
        <v>864446</v>
      </c>
      <c r="K431" s="1357"/>
      <c r="L431" s="1357"/>
      <c r="M431" s="3559" t="s">
        <v>22</v>
      </c>
      <c r="N431" s="3559" t="s">
        <v>22</v>
      </c>
      <c r="O431" s="3583" t="s">
        <v>93</v>
      </c>
    </row>
    <row r="432" spans="1:16" s="3379" customFormat="1" ht="12.75" customHeight="1" thickBot="1">
      <c r="A432" s="3594"/>
      <c r="B432" s="810" t="s">
        <v>18</v>
      </c>
      <c r="C432" s="3522" t="s">
        <v>76</v>
      </c>
      <c r="D432" s="1378">
        <f>+D433</f>
        <v>4322232</v>
      </c>
      <c r="E432" s="1385">
        <f t="shared" si="265"/>
        <v>0</v>
      </c>
      <c r="F432" s="1917">
        <f t="shared" si="265"/>
        <v>0</v>
      </c>
      <c r="G432" s="1385">
        <f t="shared" si="265"/>
        <v>0</v>
      </c>
      <c r="H432" s="1385">
        <f t="shared" si="265"/>
        <v>864447</v>
      </c>
      <c r="I432" s="1385">
        <f t="shared" si="265"/>
        <v>2593339</v>
      </c>
      <c r="J432" s="1385">
        <f t="shared" si="265"/>
        <v>864446</v>
      </c>
      <c r="K432" s="1378"/>
      <c r="L432" s="1378"/>
      <c r="M432" s="3549"/>
      <c r="N432" s="3549"/>
      <c r="O432" s="3571"/>
    </row>
    <row r="433" spans="1:16" ht="12" customHeight="1" thickBot="1">
      <c r="A433" s="3594"/>
      <c r="B433" s="674" t="s">
        <v>20</v>
      </c>
      <c r="C433" s="3523"/>
      <c r="D433" s="1455">
        <f>E433+F433+G433+H433+I433+J433+K433+L433</f>
        <v>4322232</v>
      </c>
      <c r="E433" s="1455">
        <v>0</v>
      </c>
      <c r="F433" s="1663">
        <v>0</v>
      </c>
      <c r="G433" s="1662">
        <v>0</v>
      </c>
      <c r="H433" s="1662">
        <f>2671398-1806951</f>
        <v>864447</v>
      </c>
      <c r="I433" s="1662">
        <f>1264061+1129971+199307</f>
        <v>2593339</v>
      </c>
      <c r="J433" s="1662">
        <v>864446</v>
      </c>
      <c r="K433" s="1662"/>
      <c r="L433" s="1662"/>
      <c r="M433" s="3550"/>
      <c r="N433" s="3550"/>
      <c r="O433" s="3572"/>
    </row>
    <row r="434" spans="1:16" ht="27.75" customHeight="1">
      <c r="A434" s="3562" t="s">
        <v>184</v>
      </c>
      <c r="B434" s="264" t="s">
        <v>473</v>
      </c>
      <c r="C434" s="56" t="s">
        <v>100</v>
      </c>
      <c r="D434" s="373"/>
      <c r="E434" s="2751"/>
      <c r="F434" s="2752"/>
      <c r="G434" s="2752"/>
      <c r="H434" s="2752"/>
      <c r="I434" s="2752"/>
      <c r="J434" s="2752"/>
      <c r="K434" s="2752"/>
      <c r="L434" s="41"/>
      <c r="M434" s="60"/>
      <c r="N434" s="60"/>
      <c r="O434" s="3507" t="s">
        <v>262</v>
      </c>
    </row>
    <row r="435" spans="1:16" ht="15.75" customHeight="1">
      <c r="A435" s="3563"/>
      <c r="B435" s="539" t="s">
        <v>10</v>
      </c>
      <c r="C435" s="433"/>
      <c r="D435" s="1876">
        <f>+D436+D441</f>
        <v>454666</v>
      </c>
      <c r="E435" s="1876">
        <f t="shared" ref="E435" si="266">+E436+E441</f>
        <v>48374</v>
      </c>
      <c r="F435" s="1876">
        <f>+F436+F441</f>
        <v>130976</v>
      </c>
      <c r="G435" s="1876">
        <f>+G436+G441</f>
        <v>167936</v>
      </c>
      <c r="H435" s="1876">
        <f>+H436+H441</f>
        <v>107380</v>
      </c>
      <c r="I435" s="1877">
        <v>0</v>
      </c>
      <c r="J435" s="1877">
        <v>0</v>
      </c>
      <c r="K435" s="1877">
        <v>0</v>
      </c>
      <c r="L435" s="1877">
        <v>0</v>
      </c>
      <c r="M435" s="1878">
        <f>+M436+M441</f>
        <v>406292</v>
      </c>
      <c r="N435" s="1878">
        <f>+N436+N441</f>
        <v>275316</v>
      </c>
      <c r="O435" s="3508"/>
    </row>
    <row r="436" spans="1:16" ht="12.75" customHeight="1">
      <c r="A436" s="3563"/>
      <c r="B436" s="515" t="s">
        <v>23</v>
      </c>
      <c r="C436" s="3560" t="s">
        <v>348</v>
      </c>
      <c r="D436" s="1879">
        <f>+D437</f>
        <v>70277</v>
      </c>
      <c r="E436" s="1879">
        <f t="shared" ref="E436" si="267">+E437</f>
        <v>7548</v>
      </c>
      <c r="F436" s="1879">
        <f>+F437</f>
        <v>19763</v>
      </c>
      <c r="G436" s="1879">
        <f>+G437</f>
        <v>25755</v>
      </c>
      <c r="H436" s="1879">
        <f>+H437</f>
        <v>17211</v>
      </c>
      <c r="I436" s="1880">
        <v>0</v>
      </c>
      <c r="J436" s="1880">
        <v>0</v>
      </c>
      <c r="K436" s="1880">
        <v>0</v>
      </c>
      <c r="L436" s="1880">
        <v>0</v>
      </c>
      <c r="M436" s="522">
        <f>M437</f>
        <v>62729</v>
      </c>
      <c r="N436" s="522">
        <f>N437</f>
        <v>42966</v>
      </c>
      <c r="O436" s="3508"/>
    </row>
    <row r="437" spans="1:16" ht="12.75" customHeight="1">
      <c r="A437" s="3563"/>
      <c r="B437" s="814" t="s">
        <v>12</v>
      </c>
      <c r="C437" s="3561"/>
      <c r="D437" s="785">
        <f>E437+F437+G437+H437+I437+J437+K437+L437</f>
        <v>70277</v>
      </c>
      <c r="E437" s="800">
        <f>+E439+E440</f>
        <v>7548</v>
      </c>
      <c r="F437" s="1894">
        <f>+F439+F440</f>
        <v>19763</v>
      </c>
      <c r="G437" s="1894">
        <f>+G439+G440</f>
        <v>25755</v>
      </c>
      <c r="H437" s="1894">
        <f>+H439+H440</f>
        <v>17211</v>
      </c>
      <c r="I437" s="1881">
        <v>0</v>
      </c>
      <c r="J437" s="1881">
        <v>0</v>
      </c>
      <c r="K437" s="1881">
        <v>0</v>
      </c>
      <c r="L437" s="1881">
        <v>0</v>
      </c>
      <c r="M437" s="808">
        <f>SUM(F437:L437)</f>
        <v>62729</v>
      </c>
      <c r="N437" s="808">
        <f>SUM(G437:L437)</f>
        <v>42966</v>
      </c>
      <c r="O437" s="3508"/>
    </row>
    <row r="438" spans="1:16" ht="12.75" hidden="1" customHeight="1">
      <c r="A438" s="3563"/>
      <c r="B438" s="814" t="s">
        <v>140</v>
      </c>
      <c r="C438" s="3561"/>
      <c r="D438" s="785"/>
      <c r="E438" s="551"/>
      <c r="F438" s="1894"/>
      <c r="G438" s="1894"/>
      <c r="H438" s="1894"/>
      <c r="I438" s="1881"/>
      <c r="J438" s="1881"/>
      <c r="K438" s="1881"/>
      <c r="L438" s="1881"/>
      <c r="M438" s="808"/>
      <c r="N438" s="808"/>
      <c r="O438" s="3508"/>
    </row>
    <row r="439" spans="1:16" ht="18" hidden="1" customHeight="1">
      <c r="A439" s="3563"/>
      <c r="B439" s="814" t="s">
        <v>101</v>
      </c>
      <c r="C439" s="3561"/>
      <c r="D439" s="785">
        <f>SUM(E439:H439)</f>
        <v>54138</v>
      </c>
      <c r="E439" s="1894">
        <v>3466</v>
      </c>
      <c r="F439" s="1894">
        <f>35747+1841-2300-20219</f>
        <v>15069</v>
      </c>
      <c r="G439" s="1894">
        <f>12993+600-951+20219-12550</f>
        <v>20311</v>
      </c>
      <c r="H439" s="1894">
        <f>2242+500+12550</f>
        <v>15292</v>
      </c>
      <c r="I439" s="1881"/>
      <c r="J439" s="1881"/>
      <c r="K439" s="1881"/>
      <c r="L439" s="1881"/>
      <c r="M439" s="808">
        <f>SUM(E439:G439)</f>
        <v>38846</v>
      </c>
      <c r="N439" s="808">
        <f>SUM(G439:H439)</f>
        <v>35603</v>
      </c>
      <c r="O439" s="3508"/>
    </row>
    <row r="440" spans="1:16" ht="18" hidden="1" customHeight="1">
      <c r="A440" s="3563"/>
      <c r="B440" s="814" t="s">
        <v>250</v>
      </c>
      <c r="C440" s="3561"/>
      <c r="D440" s="785">
        <f>SUM(E440:H440)</f>
        <v>16139</v>
      </c>
      <c r="E440" s="1894">
        <f>3291+791</f>
        <v>4082</v>
      </c>
      <c r="F440" s="1894">
        <f>4259+28+585-178</f>
        <v>4694</v>
      </c>
      <c r="G440" s="1894">
        <f>4315+951+178</f>
        <v>5444</v>
      </c>
      <c r="H440" s="1894">
        <f>995+924</f>
        <v>1919</v>
      </c>
      <c r="I440" s="1881"/>
      <c r="J440" s="1881"/>
      <c r="K440" s="1881"/>
      <c r="L440" s="1881"/>
      <c r="M440" s="808">
        <f>SUM(E440:G440)</f>
        <v>14220</v>
      </c>
      <c r="N440" s="808">
        <f>SUM(G440:H440)</f>
        <v>7363</v>
      </c>
      <c r="O440" s="3508"/>
    </row>
    <row r="441" spans="1:16" ht="12.75" customHeight="1">
      <c r="A441" s="3563"/>
      <c r="B441" s="810" t="s">
        <v>18</v>
      </c>
      <c r="C441" s="3561"/>
      <c r="D441" s="523">
        <f>+D442</f>
        <v>384389</v>
      </c>
      <c r="E441" s="523">
        <f t="shared" ref="E441" si="268">+E442</f>
        <v>40826</v>
      </c>
      <c r="F441" s="523">
        <f>+F442</f>
        <v>111213</v>
      </c>
      <c r="G441" s="523">
        <f>+G442</f>
        <v>142181</v>
      </c>
      <c r="H441" s="523">
        <f>+H442</f>
        <v>90169</v>
      </c>
      <c r="I441" s="811">
        <v>0</v>
      </c>
      <c r="J441" s="811">
        <v>0</v>
      </c>
      <c r="K441" s="811">
        <v>0</v>
      </c>
      <c r="L441" s="811">
        <v>0</v>
      </c>
      <c r="M441" s="522">
        <f>+M442</f>
        <v>343563</v>
      </c>
      <c r="N441" s="522">
        <f>+N442</f>
        <v>232350</v>
      </c>
      <c r="O441" s="3508"/>
    </row>
    <row r="442" spans="1:16" ht="12.75" customHeight="1">
      <c r="A442" s="3563"/>
      <c r="B442" s="2188" t="s">
        <v>20</v>
      </c>
      <c r="C442" s="3568"/>
      <c r="D442" s="785">
        <f>E442+F442+G442+H442+I442+J442+K442+L442</f>
        <v>384389</v>
      </c>
      <c r="E442" s="800">
        <f>+E444+E445</f>
        <v>40826</v>
      </c>
      <c r="F442" s="1894">
        <f>+F444+F445</f>
        <v>111213</v>
      </c>
      <c r="G442" s="1894">
        <f>+G444+G445</f>
        <v>142181</v>
      </c>
      <c r="H442" s="1894">
        <f>+H444+H445</f>
        <v>90169</v>
      </c>
      <c r="I442" s="1881">
        <v>0</v>
      </c>
      <c r="J442" s="1881">
        <v>0</v>
      </c>
      <c r="K442" s="1881">
        <v>0</v>
      </c>
      <c r="L442" s="1881">
        <v>0</v>
      </c>
      <c r="M442" s="808">
        <f>SUM(F442:L442)</f>
        <v>343563</v>
      </c>
      <c r="N442" s="808">
        <f>SUM(G442:L442)</f>
        <v>232350</v>
      </c>
      <c r="O442" s="3569"/>
    </row>
    <row r="443" spans="1:16" ht="12.75" hidden="1" customHeight="1">
      <c r="A443" s="3563"/>
      <c r="B443" s="1924" t="s">
        <v>140</v>
      </c>
      <c r="C443" s="3135"/>
      <c r="D443" s="785"/>
      <c r="E443" s="551"/>
      <c r="F443" s="1894"/>
      <c r="G443" s="1894"/>
      <c r="H443" s="1894"/>
      <c r="I443" s="1881"/>
      <c r="J443" s="1881"/>
      <c r="K443" s="1881"/>
      <c r="L443" s="1881"/>
      <c r="M443" s="3395"/>
      <c r="N443" s="3395"/>
      <c r="O443" s="3396"/>
    </row>
    <row r="444" spans="1:16" ht="21" hidden="1" customHeight="1">
      <c r="A444" s="3563"/>
      <c r="B444" s="814" t="s">
        <v>101</v>
      </c>
      <c r="C444" s="1920"/>
      <c r="D444" s="785">
        <f>+F444+G444+H444+E444</f>
        <v>292933</v>
      </c>
      <c r="E444" s="1894">
        <v>17695</v>
      </c>
      <c r="F444" s="1894">
        <f>202561+4760-13035-109673</f>
        <v>84613</v>
      </c>
      <c r="G444" s="1894">
        <f>73627-5379+109673-66586</f>
        <v>111335</v>
      </c>
      <c r="H444" s="1894">
        <f>12704+66586</f>
        <v>79290</v>
      </c>
      <c r="I444" s="1881"/>
      <c r="J444" s="1881"/>
      <c r="K444" s="1881"/>
      <c r="L444" s="1881"/>
      <c r="M444" s="808">
        <f>SUM(E444:G444)</f>
        <v>213643</v>
      </c>
      <c r="N444" s="808">
        <f>SUM(G444:H444)</f>
        <v>190625</v>
      </c>
      <c r="O444" s="3396"/>
    </row>
    <row r="445" spans="1:16" ht="14.25" hidden="1" customHeight="1">
      <c r="A445" s="3563"/>
      <c r="B445" s="814" t="s">
        <v>250</v>
      </c>
      <c r="C445" s="1920"/>
      <c r="D445" s="785">
        <f>+F445+G445+H445+E445</f>
        <v>91456</v>
      </c>
      <c r="E445" s="1894">
        <f>18646+4485</f>
        <v>23131</v>
      </c>
      <c r="F445" s="1894">
        <f>24139+163+3315-1017</f>
        <v>26600</v>
      </c>
      <c r="G445" s="1894">
        <f>24450+5379+1017</f>
        <v>30846</v>
      </c>
      <c r="H445" s="1894">
        <f>5644+5235</f>
        <v>10879</v>
      </c>
      <c r="I445" s="1881"/>
      <c r="J445" s="1881"/>
      <c r="K445" s="1881"/>
      <c r="L445" s="1881"/>
      <c r="M445" s="808">
        <f>SUM(E445:G445)</f>
        <v>80577</v>
      </c>
      <c r="N445" s="808">
        <f>SUM(G445:H445)</f>
        <v>41725</v>
      </c>
      <c r="O445" s="3396"/>
    </row>
    <row r="446" spans="1:16" ht="15.75" customHeight="1">
      <c r="A446" s="3563"/>
      <c r="B446" s="539" t="s">
        <v>21</v>
      </c>
      <c r="C446" s="433"/>
      <c r="D446" s="584">
        <f>SUM(E446:L446)</f>
        <v>384389</v>
      </c>
      <c r="E446" s="584">
        <v>0</v>
      </c>
      <c r="F446" s="584">
        <f t="shared" ref="F446:I447" si="269">+F447</f>
        <v>45734</v>
      </c>
      <c r="G446" s="584">
        <f t="shared" si="269"/>
        <v>129745</v>
      </c>
      <c r="H446" s="584">
        <f t="shared" si="269"/>
        <v>208910</v>
      </c>
      <c r="I446" s="613">
        <f t="shared" si="269"/>
        <v>0</v>
      </c>
      <c r="J446" s="613">
        <v>0</v>
      </c>
      <c r="K446" s="613">
        <v>0</v>
      </c>
      <c r="L446" s="613">
        <v>0</v>
      </c>
      <c r="M446" s="3548" t="s">
        <v>22</v>
      </c>
      <c r="N446" s="3548" t="s">
        <v>22</v>
      </c>
      <c r="O446" s="3396"/>
    </row>
    <row r="447" spans="1:16" ht="12.75" customHeight="1">
      <c r="A447" s="3563"/>
      <c r="B447" s="810" t="s">
        <v>18</v>
      </c>
      <c r="C447" s="3560" t="s">
        <v>102</v>
      </c>
      <c r="D447" s="726">
        <f>+D448</f>
        <v>384389</v>
      </c>
      <c r="E447" s="726">
        <v>0</v>
      </c>
      <c r="F447" s="1919">
        <f t="shared" si="269"/>
        <v>45734</v>
      </c>
      <c r="G447" s="1919">
        <f t="shared" si="269"/>
        <v>129745</v>
      </c>
      <c r="H447" s="1919">
        <f t="shared" si="269"/>
        <v>208910</v>
      </c>
      <c r="I447" s="1921">
        <f t="shared" si="269"/>
        <v>0</v>
      </c>
      <c r="J447" s="557">
        <v>0</v>
      </c>
      <c r="K447" s="557">
        <v>0</v>
      </c>
      <c r="L447" s="557">
        <v>0</v>
      </c>
      <c r="M447" s="3549"/>
      <c r="N447" s="3549"/>
      <c r="O447" s="3128" t="s">
        <v>101</v>
      </c>
    </row>
    <row r="448" spans="1:16" ht="12" customHeight="1" thickBot="1">
      <c r="A448" s="3564"/>
      <c r="B448" s="674" t="s">
        <v>20</v>
      </c>
      <c r="C448" s="3523"/>
      <c r="D448" s="1742">
        <f>E448+F448+G448+H448+I448+J448+K448+L448</f>
        <v>384389</v>
      </c>
      <c r="E448" s="1742">
        <v>0</v>
      </c>
      <c r="F448" s="1662">
        <f>20632+7848+17417-163</f>
        <v>45734</v>
      </c>
      <c r="G448" s="1662">
        <f>133982+66898+38178-74283-35030</f>
        <v>129745</v>
      </c>
      <c r="H448" s="1662">
        <f>229775-109440-20901+74446+35030</f>
        <v>208910</v>
      </c>
      <c r="I448" s="1663">
        <f>34694-34694</f>
        <v>0</v>
      </c>
      <c r="J448" s="1663">
        <v>0</v>
      </c>
      <c r="K448" s="1663">
        <v>0</v>
      </c>
      <c r="L448" s="1663">
        <v>0</v>
      </c>
      <c r="M448" s="3550"/>
      <c r="N448" s="3550"/>
      <c r="O448" s="3397"/>
      <c r="P448" s="2389">
        <f>D448-D442</f>
        <v>0</v>
      </c>
    </row>
    <row r="449" spans="1:16" ht="27.75" customHeight="1">
      <c r="A449" s="2683"/>
      <c r="B449" s="264" t="s">
        <v>474</v>
      </c>
      <c r="C449" s="56" t="s">
        <v>100</v>
      </c>
      <c r="D449" s="2753"/>
      <c r="E449" s="2751"/>
      <c r="F449" s="2752"/>
      <c r="G449" s="2752"/>
      <c r="H449" s="2752"/>
      <c r="I449" s="2752"/>
      <c r="J449" s="2752"/>
      <c r="K449" s="2752"/>
      <c r="L449" s="41"/>
      <c r="M449" s="60"/>
      <c r="N449" s="60"/>
      <c r="O449" s="3128"/>
    </row>
    <row r="450" spans="1:16" ht="15.75" customHeight="1">
      <c r="A450" s="2683"/>
      <c r="B450" s="539" t="s">
        <v>10</v>
      </c>
      <c r="C450" s="612"/>
      <c r="D450" s="1876">
        <f>+F450+G450+H450+I450</f>
        <v>489921</v>
      </c>
      <c r="E450" s="1876">
        <f>+E451+E456</f>
        <v>0</v>
      </c>
      <c r="F450" s="1876">
        <f>+F451+F456</f>
        <v>19734</v>
      </c>
      <c r="G450" s="1876">
        <f t="shared" ref="G450:I450" si="270">+G451+G456</f>
        <v>220024</v>
      </c>
      <c r="H450" s="1876">
        <f t="shared" si="270"/>
        <v>167991</v>
      </c>
      <c r="I450" s="1876">
        <f t="shared" si="270"/>
        <v>82172</v>
      </c>
      <c r="J450" s="1877">
        <v>0</v>
      </c>
      <c r="K450" s="1877">
        <v>0</v>
      </c>
      <c r="L450" s="1877">
        <v>0</v>
      </c>
      <c r="M450" s="1294">
        <f>+M451+M456</f>
        <v>489921</v>
      </c>
      <c r="N450" s="1294">
        <f>+N451+N456</f>
        <v>470187</v>
      </c>
      <c r="O450" s="3128"/>
    </row>
    <row r="451" spans="1:16" ht="12.75" customHeight="1">
      <c r="A451" s="2683"/>
      <c r="B451" s="515" t="s">
        <v>23</v>
      </c>
      <c r="C451" s="3522" t="s">
        <v>348</v>
      </c>
      <c r="D451" s="1382">
        <f t="shared" ref="D451:D455" si="271">+F451+G451+H451+I451</f>
        <v>75188</v>
      </c>
      <c r="E451" s="1382">
        <f>+E452</f>
        <v>0</v>
      </c>
      <c r="F451" s="1382">
        <f>+F452</f>
        <v>2988</v>
      </c>
      <c r="G451" s="1382">
        <f t="shared" ref="G451:I451" si="272">+G452</f>
        <v>33825</v>
      </c>
      <c r="H451" s="1382">
        <f t="shared" si="272"/>
        <v>25709</v>
      </c>
      <c r="I451" s="1382">
        <f t="shared" si="272"/>
        <v>12666</v>
      </c>
      <c r="J451" s="1384">
        <v>0</v>
      </c>
      <c r="K451" s="1384">
        <v>0</v>
      </c>
      <c r="L451" s="1384">
        <v>0</v>
      </c>
      <c r="M451" s="1361">
        <f>+M452</f>
        <v>75188</v>
      </c>
      <c r="N451" s="1361">
        <f>+N452</f>
        <v>72200</v>
      </c>
      <c r="O451" s="3128"/>
    </row>
    <row r="452" spans="1:16" ht="12.75" customHeight="1">
      <c r="A452" s="2683" t="s">
        <v>243</v>
      </c>
      <c r="B452" s="814" t="s">
        <v>12</v>
      </c>
      <c r="C452" s="3561"/>
      <c r="D452" s="785">
        <f>E452+F452+G452+H452+I452+J452+K452+L452</f>
        <v>75188</v>
      </c>
      <c r="E452" s="1334">
        <v>0</v>
      </c>
      <c r="F452" s="1372">
        <f>+F453</f>
        <v>2988</v>
      </c>
      <c r="G452" s="1372">
        <f t="shared" ref="G452:I452" si="273">+G453</f>
        <v>33825</v>
      </c>
      <c r="H452" s="1372">
        <f t="shared" si="273"/>
        <v>25709</v>
      </c>
      <c r="I452" s="1372">
        <f t="shared" si="273"/>
        <v>12666</v>
      </c>
      <c r="J452" s="1317">
        <v>0</v>
      </c>
      <c r="K452" s="1317">
        <v>0</v>
      </c>
      <c r="L452" s="1317">
        <v>0</v>
      </c>
      <c r="M452" s="1374">
        <f>SUM(F452:K452)</f>
        <v>75188</v>
      </c>
      <c r="N452" s="1374">
        <f>SUM(G452:L452)</f>
        <v>72200</v>
      </c>
      <c r="O452" s="3128" t="s">
        <v>262</v>
      </c>
    </row>
    <row r="453" spans="1:16" ht="12.75" hidden="1" customHeight="1">
      <c r="A453" s="2683"/>
      <c r="B453" s="814" t="s">
        <v>140</v>
      </c>
      <c r="C453" s="3561"/>
      <c r="D453" s="1372">
        <f t="shared" si="271"/>
        <v>75188</v>
      </c>
      <c r="E453" s="1918">
        <v>0</v>
      </c>
      <c r="F453" s="1372">
        <f>+F454+F455</f>
        <v>2988</v>
      </c>
      <c r="G453" s="1372">
        <f t="shared" ref="G453:I453" si="274">+G454+G455</f>
        <v>33825</v>
      </c>
      <c r="H453" s="1372">
        <f t="shared" si="274"/>
        <v>25709</v>
      </c>
      <c r="I453" s="1372">
        <f t="shared" si="274"/>
        <v>12666</v>
      </c>
      <c r="J453" s="1317">
        <v>0</v>
      </c>
      <c r="K453" s="1317">
        <v>0</v>
      </c>
      <c r="L453" s="1317">
        <v>0</v>
      </c>
      <c r="M453" s="1374">
        <f t="shared" ref="M453:M455" si="275">+H453+G453+F453+E453</f>
        <v>62522</v>
      </c>
      <c r="N453" s="1374">
        <f>G453+H453+I453</f>
        <v>72200</v>
      </c>
      <c r="O453" s="3128"/>
    </row>
    <row r="454" spans="1:16" ht="12.75" hidden="1" customHeight="1">
      <c r="A454" s="2683"/>
      <c r="B454" s="814" t="s">
        <v>101</v>
      </c>
      <c r="C454" s="3561"/>
      <c r="D454" s="1372">
        <f t="shared" si="271"/>
        <v>61857</v>
      </c>
      <c r="E454" s="1918">
        <v>0</v>
      </c>
      <c r="F454" s="1372">
        <f>10714-1427-8380</f>
        <v>907</v>
      </c>
      <c r="G454" s="1372">
        <f>21623-548+8380</f>
        <v>29455</v>
      </c>
      <c r="H454" s="1372">
        <f>21679-604</f>
        <v>21075</v>
      </c>
      <c r="I454" s="1372">
        <f>10713-293</f>
        <v>10420</v>
      </c>
      <c r="J454" s="1317">
        <v>0</v>
      </c>
      <c r="K454" s="1317">
        <v>0</v>
      </c>
      <c r="L454" s="1317">
        <v>0</v>
      </c>
      <c r="M454" s="1374">
        <f t="shared" si="275"/>
        <v>51437</v>
      </c>
      <c r="N454" s="1374">
        <f>G454+H454+I454</f>
        <v>60950</v>
      </c>
      <c r="O454" s="3128"/>
    </row>
    <row r="455" spans="1:16" ht="12.75" hidden="1" customHeight="1">
      <c r="A455" s="2683"/>
      <c r="B455" s="814" t="s">
        <v>250</v>
      </c>
      <c r="C455" s="3561"/>
      <c r="D455" s="1372">
        <f t="shared" si="271"/>
        <v>13331</v>
      </c>
      <c r="E455" s="1918">
        <v>0</v>
      </c>
      <c r="F455" s="1372">
        <f>1959+294-172</f>
        <v>2081</v>
      </c>
      <c r="G455" s="1372">
        <f>3650+548+172</f>
        <v>4370</v>
      </c>
      <c r="H455" s="1372">
        <f>4030+604</f>
        <v>4634</v>
      </c>
      <c r="I455" s="1372">
        <f>1953+293</f>
        <v>2246</v>
      </c>
      <c r="J455" s="1317">
        <v>0</v>
      </c>
      <c r="K455" s="1317">
        <v>0</v>
      </c>
      <c r="L455" s="1317">
        <v>0</v>
      </c>
      <c r="M455" s="1374">
        <f t="shared" si="275"/>
        <v>11085</v>
      </c>
      <c r="N455" s="1374">
        <f>G455+H455+I455</f>
        <v>11250</v>
      </c>
      <c r="O455" s="3128"/>
    </row>
    <row r="456" spans="1:16" ht="12.75" customHeight="1">
      <c r="A456" s="2683"/>
      <c r="B456" s="810" t="s">
        <v>18</v>
      </c>
      <c r="C456" s="3561"/>
      <c r="D456" s="1360">
        <f>+E456+F456+G456+H456+I456+J456+K456+L456</f>
        <v>414733</v>
      </c>
      <c r="E456" s="1360">
        <f>+E457</f>
        <v>0</v>
      </c>
      <c r="F456" s="1360">
        <f>+F457</f>
        <v>16746</v>
      </c>
      <c r="G456" s="1360">
        <f t="shared" ref="G456:I456" si="276">+G457</f>
        <v>186199</v>
      </c>
      <c r="H456" s="1360">
        <f t="shared" si="276"/>
        <v>142282</v>
      </c>
      <c r="I456" s="1360">
        <f t="shared" si="276"/>
        <v>69506</v>
      </c>
      <c r="J456" s="1654">
        <v>0</v>
      </c>
      <c r="K456" s="1654">
        <v>0</v>
      </c>
      <c r="L456" s="1654">
        <v>0</v>
      </c>
      <c r="M456" s="1361">
        <f>+M457</f>
        <v>414733</v>
      </c>
      <c r="N456" s="1361">
        <f>+N457</f>
        <v>397987</v>
      </c>
      <c r="O456" s="3128"/>
    </row>
    <row r="457" spans="1:16" ht="12.75" customHeight="1">
      <c r="A457" s="2683"/>
      <c r="B457" s="2188" t="s">
        <v>20</v>
      </c>
      <c r="C457" s="3568"/>
      <c r="D457" s="785">
        <f>E457+F457+G457+H457+I457+J457+K457+L457</f>
        <v>414733</v>
      </c>
      <c r="E457" s="1334">
        <v>0</v>
      </c>
      <c r="F457" s="1372">
        <f>+F458</f>
        <v>16746</v>
      </c>
      <c r="G457" s="1372">
        <f t="shared" ref="G457:I457" si="277">+G458</f>
        <v>186199</v>
      </c>
      <c r="H457" s="1372">
        <f t="shared" si="277"/>
        <v>142282</v>
      </c>
      <c r="I457" s="1372">
        <f t="shared" si="277"/>
        <v>69506</v>
      </c>
      <c r="J457" s="1317">
        <v>0</v>
      </c>
      <c r="K457" s="1317">
        <v>0</v>
      </c>
      <c r="L457" s="1317">
        <v>0</v>
      </c>
      <c r="M457" s="1374">
        <f>SUM(F457:K457)</f>
        <v>414733</v>
      </c>
      <c r="N457" s="1374">
        <f>SUM(G457:L457)</f>
        <v>397987</v>
      </c>
      <c r="O457" s="3136"/>
      <c r="P457" s="2389">
        <f>+F454+F459</f>
        <v>5859</v>
      </c>
    </row>
    <row r="458" spans="1:16" ht="12.75" hidden="1" customHeight="1">
      <c r="A458" s="2683"/>
      <c r="B458" s="1924" t="s">
        <v>140</v>
      </c>
      <c r="C458" s="3135"/>
      <c r="D458" s="785">
        <f t="shared" ref="D458:D460" si="278">E458+F458+G458+H458+I458+J458+K458+L458</f>
        <v>414733</v>
      </c>
      <c r="E458" s="1918">
        <v>0</v>
      </c>
      <c r="F458" s="1372">
        <f>+F459+F460</f>
        <v>16746</v>
      </c>
      <c r="G458" s="1372">
        <f>+G459+G460</f>
        <v>186199</v>
      </c>
      <c r="H458" s="1372">
        <f>+H459+H460</f>
        <v>142282</v>
      </c>
      <c r="I458" s="1372">
        <f>+I459+I460</f>
        <v>69506</v>
      </c>
      <c r="J458" s="1317">
        <v>0</v>
      </c>
      <c r="K458" s="1317">
        <v>0</v>
      </c>
      <c r="L458" s="1317">
        <v>0</v>
      </c>
      <c r="M458" s="1372">
        <f t="shared" ref="M458:N460" si="279">+H458+G458+F458+E458</f>
        <v>345227</v>
      </c>
      <c r="N458" s="1372">
        <f t="shared" si="279"/>
        <v>414733</v>
      </c>
      <c r="O458" s="3128"/>
    </row>
    <row r="459" spans="1:16" ht="12.75" hidden="1" customHeight="1">
      <c r="A459" s="2683"/>
      <c r="B459" s="814" t="s">
        <v>101</v>
      </c>
      <c r="C459" s="1920"/>
      <c r="D459" s="785">
        <f t="shared" si="278"/>
        <v>339192</v>
      </c>
      <c r="E459" s="1918">
        <v>0</v>
      </c>
      <c r="F459" s="1372">
        <f>58446-8085-45409</f>
        <v>4952</v>
      </c>
      <c r="G459" s="1372">
        <f>119128-3103+45409</f>
        <v>161434</v>
      </c>
      <c r="H459" s="1372">
        <f>119450-3425</f>
        <v>116025</v>
      </c>
      <c r="I459" s="1372">
        <f>58441-1660</f>
        <v>56781</v>
      </c>
      <c r="J459" s="1317">
        <v>0</v>
      </c>
      <c r="K459" s="1317">
        <v>0</v>
      </c>
      <c r="L459" s="1317">
        <v>0</v>
      </c>
      <c r="M459" s="1372">
        <f t="shared" si="279"/>
        <v>282411</v>
      </c>
      <c r="N459" s="1372">
        <f t="shared" si="279"/>
        <v>339192</v>
      </c>
      <c r="O459" s="3128"/>
    </row>
    <row r="460" spans="1:16" ht="12" hidden="1" customHeight="1">
      <c r="A460" s="2683"/>
      <c r="B460" s="814" t="s">
        <v>250</v>
      </c>
      <c r="C460" s="1920"/>
      <c r="D460" s="785">
        <f t="shared" si="278"/>
        <v>75541</v>
      </c>
      <c r="E460" s="1918">
        <v>0</v>
      </c>
      <c r="F460" s="1372">
        <f>11101+1665-972</f>
        <v>11794</v>
      </c>
      <c r="G460" s="1372">
        <f>20690+3103+972</f>
        <v>24765</v>
      </c>
      <c r="H460" s="1372">
        <f>22832+3425</f>
        <v>26257</v>
      </c>
      <c r="I460" s="1372">
        <f>11065+1660</f>
        <v>12725</v>
      </c>
      <c r="J460" s="1317">
        <v>0</v>
      </c>
      <c r="K460" s="1317">
        <v>0</v>
      </c>
      <c r="L460" s="1317">
        <v>0</v>
      </c>
      <c r="M460" s="1372">
        <f t="shared" si="279"/>
        <v>62816</v>
      </c>
      <c r="N460" s="1372">
        <f t="shared" si="279"/>
        <v>75541</v>
      </c>
      <c r="O460" s="3128"/>
    </row>
    <row r="461" spans="1:16" ht="15.75" customHeight="1">
      <c r="A461" s="2683"/>
      <c r="B461" s="539" t="s">
        <v>21</v>
      </c>
      <c r="C461" s="1356"/>
      <c r="D461" s="1357">
        <f>+D462</f>
        <v>414733</v>
      </c>
      <c r="E461" s="1357">
        <f>+E462</f>
        <v>0</v>
      </c>
      <c r="F461" s="1656">
        <v>0</v>
      </c>
      <c r="G461" s="1357">
        <f>+G462</f>
        <v>94329</v>
      </c>
      <c r="H461" s="1357">
        <f t="shared" ref="H461:I461" si="280">+H462</f>
        <v>167900</v>
      </c>
      <c r="I461" s="1357">
        <f t="shared" si="280"/>
        <v>152504</v>
      </c>
      <c r="J461" s="1656">
        <v>0</v>
      </c>
      <c r="K461" s="1656">
        <v>0</v>
      </c>
      <c r="L461" s="1656">
        <v>0</v>
      </c>
      <c r="M461" s="3559" t="s">
        <v>22</v>
      </c>
      <c r="N461" s="3559" t="s">
        <v>22</v>
      </c>
      <c r="O461" s="3128"/>
    </row>
    <row r="462" spans="1:16" ht="12.75" customHeight="1">
      <c r="A462" s="2683"/>
      <c r="B462" s="810" t="s">
        <v>18</v>
      </c>
      <c r="C462" s="3522" t="s">
        <v>347</v>
      </c>
      <c r="D462" s="1378">
        <f>+D463</f>
        <v>414733</v>
      </c>
      <c r="E462" s="1385">
        <f>+E463</f>
        <v>0</v>
      </c>
      <c r="F462" s="1917">
        <v>0</v>
      </c>
      <c r="G462" s="1385">
        <f>+G463</f>
        <v>94329</v>
      </c>
      <c r="H462" s="1385">
        <f t="shared" ref="H462:I462" si="281">+H463</f>
        <v>167900</v>
      </c>
      <c r="I462" s="1385">
        <f t="shared" si="281"/>
        <v>152504</v>
      </c>
      <c r="J462" s="1657">
        <v>0</v>
      </c>
      <c r="K462" s="1657">
        <v>0</v>
      </c>
      <c r="L462" s="1657">
        <v>0</v>
      </c>
      <c r="M462" s="3549"/>
      <c r="N462" s="3549"/>
      <c r="O462" s="3128" t="s">
        <v>101</v>
      </c>
    </row>
    <row r="463" spans="1:16" ht="12.75" customHeight="1" thickBot="1">
      <c r="A463" s="2684"/>
      <c r="B463" s="674" t="s">
        <v>20</v>
      </c>
      <c r="C463" s="3523"/>
      <c r="D463" s="1643">
        <f>E463+F463+G463+H463+I463+J463+K463+L463</f>
        <v>414733</v>
      </c>
      <c r="E463" s="1643">
        <v>0</v>
      </c>
      <c r="F463" s="1663">
        <v>0</v>
      </c>
      <c r="G463" s="1922">
        <f>127804-6420-27055</f>
        <v>94329</v>
      </c>
      <c r="H463" s="1922">
        <f>140845+27055</f>
        <v>167900</v>
      </c>
      <c r="I463" s="1923">
        <v>152504</v>
      </c>
      <c r="J463" s="1663">
        <v>0</v>
      </c>
      <c r="K463" s="1663">
        <v>0</v>
      </c>
      <c r="L463" s="1663">
        <v>0</v>
      </c>
      <c r="M463" s="3550"/>
      <c r="N463" s="3550"/>
      <c r="O463" s="3129"/>
    </row>
    <row r="464" spans="1:16" ht="26.25" hidden="1" customHeight="1">
      <c r="A464" s="3727" t="s">
        <v>228</v>
      </c>
      <c r="B464" s="124" t="s">
        <v>94</v>
      </c>
      <c r="C464" s="727"/>
      <c r="D464" s="728"/>
      <c r="E464" s="730"/>
      <c r="F464" s="730"/>
      <c r="G464" s="730"/>
      <c r="H464" s="730"/>
      <c r="I464" s="730"/>
      <c r="J464" s="730"/>
      <c r="K464" s="730"/>
      <c r="L464" s="730"/>
      <c r="M464" s="731"/>
      <c r="N464" s="731"/>
      <c r="O464" s="3577"/>
    </row>
    <row r="465" spans="1:17" ht="12" hidden="1" customHeight="1">
      <c r="A465" s="3728"/>
      <c r="B465" s="21" t="s">
        <v>10</v>
      </c>
      <c r="C465" s="22"/>
      <c r="D465" s="125">
        <f>+D466+D470</f>
        <v>0</v>
      </c>
      <c r="E465" s="125">
        <f>+E466+E470</f>
        <v>0</v>
      </c>
      <c r="F465" s="125">
        <f t="shared" ref="F465:G465" si="282">+F466+F470</f>
        <v>0</v>
      </c>
      <c r="G465" s="125">
        <f t="shared" si="282"/>
        <v>0</v>
      </c>
      <c r="H465" s="125">
        <f t="shared" ref="H465:N465" si="283">+H466+H470</f>
        <v>0</v>
      </c>
      <c r="I465" s="125">
        <f t="shared" si="283"/>
        <v>0</v>
      </c>
      <c r="J465" s="125">
        <f t="shared" si="283"/>
        <v>0</v>
      </c>
      <c r="K465" s="125">
        <f t="shared" si="283"/>
        <v>0</v>
      </c>
      <c r="L465" s="125">
        <f t="shared" si="283"/>
        <v>0</v>
      </c>
      <c r="M465" s="30">
        <f t="shared" ref="M465" si="284">+M466+M470</f>
        <v>0</v>
      </c>
      <c r="N465" s="30">
        <f t="shared" si="283"/>
        <v>0</v>
      </c>
      <c r="O465" s="3578"/>
      <c r="P465" s="2389" t="e">
        <f>+#REF!+#REF!</f>
        <v>#REF!</v>
      </c>
      <c r="Q465" s="2389"/>
    </row>
    <row r="466" spans="1:17" s="690" customFormat="1" ht="12" hidden="1" customHeight="1">
      <c r="A466" s="3728"/>
      <c r="B466" s="732" t="s">
        <v>11</v>
      </c>
      <c r="C466" s="733"/>
      <c r="D466" s="117">
        <f>+D467+D468+D469</f>
        <v>0</v>
      </c>
      <c r="E466" s="117">
        <f>+E467+E468+E469</f>
        <v>0</v>
      </c>
      <c r="F466" s="117">
        <f t="shared" ref="F466:G466" si="285">+F467+F468+F469</f>
        <v>0</v>
      </c>
      <c r="G466" s="117">
        <f t="shared" si="285"/>
        <v>0</v>
      </c>
      <c r="H466" s="117">
        <f t="shared" ref="H466:N466" si="286">+H467+H468+H469</f>
        <v>0</v>
      </c>
      <c r="I466" s="117">
        <f t="shared" si="286"/>
        <v>0</v>
      </c>
      <c r="J466" s="117">
        <f t="shared" si="286"/>
        <v>0</v>
      </c>
      <c r="K466" s="117">
        <f t="shared" si="286"/>
        <v>0</v>
      </c>
      <c r="L466" s="117">
        <f t="shared" si="286"/>
        <v>0</v>
      </c>
      <c r="M466" s="32">
        <f t="shared" ref="M466" si="287">+M467+M468+M469</f>
        <v>0</v>
      </c>
      <c r="N466" s="32">
        <f t="shared" si="286"/>
        <v>0</v>
      </c>
      <c r="O466" s="3578"/>
      <c r="Q466" s="2389"/>
    </row>
    <row r="467" spans="1:17" ht="12" hidden="1" customHeight="1">
      <c r="A467" s="3728"/>
      <c r="B467" s="734" t="s">
        <v>12</v>
      </c>
      <c r="C467" s="735"/>
      <c r="D467" s="33">
        <f>+D483+D501</f>
        <v>0</v>
      </c>
      <c r="E467" s="33">
        <f>+E483+E501</f>
        <v>0</v>
      </c>
      <c r="F467" s="33">
        <f t="shared" ref="F467:G467" si="288">+F483+F501</f>
        <v>0</v>
      </c>
      <c r="G467" s="33">
        <f t="shared" si="288"/>
        <v>0</v>
      </c>
      <c r="H467" s="33">
        <f>+H483+H501</f>
        <v>0</v>
      </c>
      <c r="I467" s="33">
        <f>+I483+I501</f>
        <v>0</v>
      </c>
      <c r="J467" s="33">
        <f>+J483+J501</f>
        <v>0</v>
      </c>
      <c r="K467" s="33">
        <f>+K483+K501</f>
        <v>0</v>
      </c>
      <c r="L467" s="33">
        <f>+L483+L501</f>
        <v>0</v>
      </c>
      <c r="M467" s="34">
        <f t="shared" ref="M467:N469" si="289">SUM(E467:H467)</f>
        <v>0</v>
      </c>
      <c r="N467" s="34">
        <f t="shared" si="289"/>
        <v>0</v>
      </c>
      <c r="O467" s="3578"/>
      <c r="P467" s="2389"/>
      <c r="Q467" s="2389"/>
    </row>
    <row r="468" spans="1:17" ht="12" hidden="1" customHeight="1">
      <c r="A468" s="3728"/>
      <c r="B468" s="702" t="s">
        <v>70</v>
      </c>
      <c r="C468" s="703"/>
      <c r="D468" s="33">
        <f>+D484</f>
        <v>0</v>
      </c>
      <c r="E468" s="33">
        <f>+E484</f>
        <v>0</v>
      </c>
      <c r="F468" s="33">
        <f t="shared" ref="F468:G469" si="290">+F484</f>
        <v>0</v>
      </c>
      <c r="G468" s="33">
        <f t="shared" si="290"/>
        <v>0</v>
      </c>
      <c r="H468" s="33">
        <f t="shared" ref="H468:L469" si="291">+H484</f>
        <v>0</v>
      </c>
      <c r="I468" s="33">
        <f t="shared" si="291"/>
        <v>0</v>
      </c>
      <c r="J468" s="33">
        <f t="shared" si="291"/>
        <v>0</v>
      </c>
      <c r="K468" s="33">
        <f t="shared" si="291"/>
        <v>0</v>
      </c>
      <c r="L468" s="33">
        <f t="shared" si="291"/>
        <v>0</v>
      </c>
      <c r="M468" s="34">
        <f t="shared" si="289"/>
        <v>0</v>
      </c>
      <c r="N468" s="34">
        <f t="shared" si="289"/>
        <v>0</v>
      </c>
      <c r="O468" s="3578"/>
      <c r="Q468" s="2389"/>
    </row>
    <row r="469" spans="1:17" ht="12" hidden="1" customHeight="1">
      <c r="A469" s="3728"/>
      <c r="B469" s="736" t="s">
        <v>50</v>
      </c>
      <c r="C469" s="737"/>
      <c r="D469" s="33">
        <f>+D485</f>
        <v>0</v>
      </c>
      <c r="E469" s="33">
        <f>+E485</f>
        <v>0</v>
      </c>
      <c r="F469" s="33">
        <f t="shared" si="290"/>
        <v>0</v>
      </c>
      <c r="G469" s="33">
        <f t="shared" si="290"/>
        <v>0</v>
      </c>
      <c r="H469" s="33">
        <f t="shared" si="291"/>
        <v>0</v>
      </c>
      <c r="I469" s="33">
        <f t="shared" si="291"/>
        <v>0</v>
      </c>
      <c r="J469" s="33">
        <f t="shared" si="291"/>
        <v>0</v>
      </c>
      <c r="K469" s="33">
        <f t="shared" si="291"/>
        <v>0</v>
      </c>
      <c r="L469" s="33">
        <f t="shared" si="291"/>
        <v>0</v>
      </c>
      <c r="M469" s="34">
        <f t="shared" si="289"/>
        <v>0</v>
      </c>
      <c r="N469" s="34">
        <f t="shared" si="289"/>
        <v>0</v>
      </c>
      <c r="O469" s="3578"/>
      <c r="P469" s="2389"/>
      <c r="Q469" s="2389"/>
    </row>
    <row r="470" spans="1:17" s="739" customFormat="1" ht="12" hidden="1" customHeight="1">
      <c r="A470" s="3728"/>
      <c r="B470" s="705" t="s">
        <v>18</v>
      </c>
      <c r="C470" s="738"/>
      <c r="D470" s="31">
        <f>+D471+D472</f>
        <v>0</v>
      </c>
      <c r="E470" s="31">
        <f>+E471+E472</f>
        <v>0</v>
      </c>
      <c r="F470" s="31">
        <f t="shared" ref="F470:G470" si="292">+F471+F472</f>
        <v>0</v>
      </c>
      <c r="G470" s="31">
        <f t="shared" si="292"/>
        <v>0</v>
      </c>
      <c r="H470" s="31">
        <f t="shared" ref="H470:N470" si="293">+H471+H472</f>
        <v>0</v>
      </c>
      <c r="I470" s="31">
        <f t="shared" si="293"/>
        <v>0</v>
      </c>
      <c r="J470" s="31">
        <f t="shared" si="293"/>
        <v>0</v>
      </c>
      <c r="K470" s="31">
        <f t="shared" si="293"/>
        <v>0</v>
      </c>
      <c r="L470" s="31">
        <f t="shared" si="293"/>
        <v>0</v>
      </c>
      <c r="M470" s="126">
        <f t="shared" ref="M470" si="294">+M471+M472</f>
        <v>0</v>
      </c>
      <c r="N470" s="126">
        <f t="shared" si="293"/>
        <v>0</v>
      </c>
      <c r="O470" s="3578"/>
      <c r="P470" s="689"/>
      <c r="Q470" s="689"/>
    </row>
    <row r="471" spans="1:17" ht="12" hidden="1" customHeight="1">
      <c r="A471" s="3728"/>
      <c r="B471" s="706" t="s">
        <v>20</v>
      </c>
      <c r="C471" s="737"/>
      <c r="D471" s="33">
        <f>+D487+D503</f>
        <v>0</v>
      </c>
      <c r="E471" s="33">
        <f>+E487+E503</f>
        <v>0</v>
      </c>
      <c r="F471" s="33">
        <f t="shared" ref="F471:G471" si="295">+F487+F503</f>
        <v>0</v>
      </c>
      <c r="G471" s="33">
        <f t="shared" si="295"/>
        <v>0</v>
      </c>
      <c r="H471" s="33">
        <f>+H487+H503</f>
        <v>0</v>
      </c>
      <c r="I471" s="33">
        <f>+I487+I503</f>
        <v>0</v>
      </c>
      <c r="J471" s="33">
        <f>+J487+J503</f>
        <v>0</v>
      </c>
      <c r="K471" s="33">
        <f>+K487+K503</f>
        <v>0</v>
      </c>
      <c r="L471" s="33">
        <f>+L487+L503</f>
        <v>0</v>
      </c>
      <c r="M471" s="34">
        <f>SUM(E471:H471)</f>
        <v>0</v>
      </c>
      <c r="N471" s="34">
        <f>SUM(F471:I471)</f>
        <v>0</v>
      </c>
      <c r="O471" s="3578"/>
      <c r="P471" s="2389"/>
      <c r="Q471" s="2389"/>
    </row>
    <row r="472" spans="1:17" ht="12" hidden="1" customHeight="1">
      <c r="A472" s="3728"/>
      <c r="B472" s="706" t="s">
        <v>71</v>
      </c>
      <c r="C472" s="737"/>
      <c r="D472" s="33">
        <f>+D488</f>
        <v>0</v>
      </c>
      <c r="E472" s="33">
        <f>+E488</f>
        <v>0</v>
      </c>
      <c r="F472" s="33">
        <f t="shared" ref="F472:G472" si="296">+F488</f>
        <v>0</v>
      </c>
      <c r="G472" s="33">
        <f t="shared" si="296"/>
        <v>0</v>
      </c>
      <c r="H472" s="33">
        <f>+H488</f>
        <v>0</v>
      </c>
      <c r="I472" s="33">
        <f>+I488</f>
        <v>0</v>
      </c>
      <c r="J472" s="33">
        <f>+J488</f>
        <v>0</v>
      </c>
      <c r="K472" s="33">
        <f>+K488</f>
        <v>0</v>
      </c>
      <c r="L472" s="33">
        <f>+L488</f>
        <v>0</v>
      </c>
      <c r="M472" s="34">
        <f>SUM(E472:H472)</f>
        <v>0</v>
      </c>
      <c r="N472" s="34">
        <f>SUM(F472:I472)</f>
        <v>0</v>
      </c>
      <c r="O472" s="3578"/>
      <c r="P472" s="2389"/>
      <c r="Q472" s="2389"/>
    </row>
    <row r="473" spans="1:17" ht="12" hidden="1" customHeight="1">
      <c r="A473" s="3728"/>
      <c r="B473" s="21" t="s">
        <v>21</v>
      </c>
      <c r="C473" s="22"/>
      <c r="D473" s="192">
        <f>+D474+D477</f>
        <v>0</v>
      </c>
      <c r="E473" s="192">
        <f>+E474+E477</f>
        <v>0</v>
      </c>
      <c r="F473" s="192">
        <f t="shared" ref="F473:G473" si="297">+F474+F477</f>
        <v>0</v>
      </c>
      <c r="G473" s="192">
        <f t="shared" si="297"/>
        <v>0</v>
      </c>
      <c r="H473" s="192">
        <f>+H474+H477</f>
        <v>0</v>
      </c>
      <c r="I473" s="192">
        <f>+I474+I477</f>
        <v>0</v>
      </c>
      <c r="J473" s="192">
        <f>+J474+J477</f>
        <v>0</v>
      </c>
      <c r="K473" s="192">
        <f>+K474+K477</f>
        <v>0</v>
      </c>
      <c r="L473" s="192">
        <f>+L474+L477</f>
        <v>0</v>
      </c>
      <c r="M473" s="3565" t="s">
        <v>22</v>
      </c>
      <c r="N473" s="3565" t="s">
        <v>22</v>
      </c>
      <c r="O473" s="3578"/>
    </row>
    <row r="474" spans="1:17" ht="12" hidden="1" customHeight="1">
      <c r="A474" s="3728"/>
      <c r="B474" s="740" t="s">
        <v>23</v>
      </c>
      <c r="C474" s="741"/>
      <c r="D474" s="117">
        <f>+D475+D476</f>
        <v>0</v>
      </c>
      <c r="E474" s="117">
        <f>+E475+E476</f>
        <v>0</v>
      </c>
      <c r="F474" s="117">
        <f t="shared" ref="F474:G474" si="298">+F475+F476</f>
        <v>0</v>
      </c>
      <c r="G474" s="117">
        <f t="shared" si="298"/>
        <v>0</v>
      </c>
      <c r="H474" s="117">
        <f>+H475+H476</f>
        <v>0</v>
      </c>
      <c r="I474" s="117">
        <f>+I475+I476</f>
        <v>0</v>
      </c>
      <c r="J474" s="117">
        <f>+J475+J476</f>
        <v>0</v>
      </c>
      <c r="K474" s="117">
        <f>+K475+K476</f>
        <v>0</v>
      </c>
      <c r="L474" s="117">
        <f>+L475+L476</f>
        <v>0</v>
      </c>
      <c r="M474" s="3549"/>
      <c r="N474" s="3549"/>
      <c r="O474" s="3578"/>
      <c r="P474" s="2389"/>
    </row>
    <row r="475" spans="1:17" ht="12" hidden="1" customHeight="1">
      <c r="A475" s="3728"/>
      <c r="B475" s="250" t="s">
        <v>70</v>
      </c>
      <c r="C475" s="737"/>
      <c r="D475" s="33">
        <f>+D491</f>
        <v>0</v>
      </c>
      <c r="E475" s="33">
        <f>+E491</f>
        <v>0</v>
      </c>
      <c r="F475" s="33">
        <f t="shared" ref="F475:L475" si="299">+F491</f>
        <v>0</v>
      </c>
      <c r="G475" s="33">
        <f t="shared" si="299"/>
        <v>0</v>
      </c>
      <c r="H475" s="33">
        <f t="shared" si="299"/>
        <v>0</v>
      </c>
      <c r="I475" s="33">
        <f t="shared" si="299"/>
        <v>0</v>
      </c>
      <c r="J475" s="33">
        <f t="shared" si="299"/>
        <v>0</v>
      </c>
      <c r="K475" s="33">
        <f t="shared" si="299"/>
        <v>0</v>
      </c>
      <c r="L475" s="33">
        <f t="shared" si="299"/>
        <v>0</v>
      </c>
      <c r="M475" s="3549"/>
      <c r="N475" s="3549"/>
      <c r="O475" s="3578"/>
    </row>
    <row r="476" spans="1:17" ht="12" hidden="1" customHeight="1">
      <c r="A476" s="3728"/>
      <c r="B476" s="742" t="s">
        <v>50</v>
      </c>
      <c r="C476" s="127"/>
      <c r="D476" s="33">
        <f>+D493</f>
        <v>0</v>
      </c>
      <c r="E476" s="33">
        <f>+E493</f>
        <v>0</v>
      </c>
      <c r="F476" s="33">
        <f t="shared" ref="F476:L476" si="300">+F493</f>
        <v>0</v>
      </c>
      <c r="G476" s="33">
        <f t="shared" si="300"/>
        <v>0</v>
      </c>
      <c r="H476" s="33">
        <f t="shared" si="300"/>
        <v>0</v>
      </c>
      <c r="I476" s="33">
        <f t="shared" si="300"/>
        <v>0</v>
      </c>
      <c r="J476" s="33">
        <f t="shared" si="300"/>
        <v>0</v>
      </c>
      <c r="K476" s="33">
        <f t="shared" si="300"/>
        <v>0</v>
      </c>
      <c r="L476" s="33">
        <f t="shared" si="300"/>
        <v>0</v>
      </c>
      <c r="M476" s="3549"/>
      <c r="N476" s="3549"/>
      <c r="O476" s="3578"/>
    </row>
    <row r="477" spans="1:17" s="739" customFormat="1" ht="12" hidden="1" customHeight="1">
      <c r="A477" s="3728"/>
      <c r="B477" s="743" t="s">
        <v>18</v>
      </c>
      <c r="C477" s="738"/>
      <c r="D477" s="128">
        <f>+D478+D479</f>
        <v>0</v>
      </c>
      <c r="E477" s="128">
        <f>+E478+E479</f>
        <v>0</v>
      </c>
      <c r="F477" s="128">
        <f t="shared" ref="F477:G477" si="301">+F478+F479</f>
        <v>0</v>
      </c>
      <c r="G477" s="128">
        <f t="shared" si="301"/>
        <v>0</v>
      </c>
      <c r="H477" s="128">
        <f>+H478+H479</f>
        <v>0</v>
      </c>
      <c r="I477" s="128">
        <f>+I478+I479</f>
        <v>0</v>
      </c>
      <c r="J477" s="128">
        <f>+J478+J479</f>
        <v>0</v>
      </c>
      <c r="K477" s="128">
        <f>+K478+K479</f>
        <v>0</v>
      </c>
      <c r="L477" s="128">
        <f>+L478+L479</f>
        <v>0</v>
      </c>
      <c r="M477" s="3549"/>
      <c r="N477" s="3549"/>
      <c r="O477" s="3578"/>
    </row>
    <row r="478" spans="1:17" ht="12" hidden="1" customHeight="1">
      <c r="A478" s="3728"/>
      <c r="B478" s="744" t="s">
        <v>20</v>
      </c>
      <c r="C478" s="737"/>
      <c r="D478" s="33">
        <f>+D496+D506</f>
        <v>0</v>
      </c>
      <c r="E478" s="33">
        <f>+E496+E506</f>
        <v>0</v>
      </c>
      <c r="F478" s="33">
        <f t="shared" ref="F478:G478" si="302">+F496+F506</f>
        <v>0</v>
      </c>
      <c r="G478" s="33">
        <f t="shared" si="302"/>
        <v>0</v>
      </c>
      <c r="H478" s="33">
        <f>+H496+H506</f>
        <v>0</v>
      </c>
      <c r="I478" s="33">
        <f>+I496+I506</f>
        <v>0</v>
      </c>
      <c r="J478" s="33">
        <f>+J496+J506</f>
        <v>0</v>
      </c>
      <c r="K478" s="33">
        <f>+K496+K506</f>
        <v>0</v>
      </c>
      <c r="L478" s="33">
        <f>+L496+L506</f>
        <v>0</v>
      </c>
      <c r="M478" s="3549"/>
      <c r="N478" s="3549"/>
      <c r="O478" s="3578"/>
    </row>
    <row r="479" spans="1:17" ht="12" hidden="1" customHeight="1" thickBot="1">
      <c r="A479" s="3729"/>
      <c r="B479" s="745" t="s">
        <v>71</v>
      </c>
      <c r="C479" s="722"/>
      <c r="D479" s="119">
        <f>+D497</f>
        <v>0</v>
      </c>
      <c r="E479" s="119">
        <f>+E497</f>
        <v>0</v>
      </c>
      <c r="F479" s="119">
        <f t="shared" ref="F479:G479" si="303">+F497</f>
        <v>0</v>
      </c>
      <c r="G479" s="119">
        <f t="shared" si="303"/>
        <v>0</v>
      </c>
      <c r="H479" s="239">
        <f>+H497</f>
        <v>0</v>
      </c>
      <c r="I479" s="240">
        <f>+I497</f>
        <v>0</v>
      </c>
      <c r="J479" s="240">
        <f>+J497</f>
        <v>0</v>
      </c>
      <c r="K479" s="240">
        <f>+K497</f>
        <v>0</v>
      </c>
      <c r="L479" s="240">
        <f>+L497</f>
        <v>0</v>
      </c>
      <c r="M479" s="3550"/>
      <c r="N479" s="3550"/>
      <c r="O479" s="746"/>
    </row>
    <row r="480" spans="1:17" hidden="1">
      <c r="A480" s="3512"/>
      <c r="B480" s="524"/>
      <c r="C480" s="56" t="s">
        <v>73</v>
      </c>
      <c r="D480" s="98"/>
      <c r="E480" s="100"/>
      <c r="F480" s="99"/>
      <c r="G480" s="525"/>
      <c r="H480" s="525"/>
      <c r="I480" s="525"/>
      <c r="J480" s="525"/>
      <c r="K480" s="525"/>
      <c r="L480" s="525"/>
      <c r="M480" s="43"/>
      <c r="N480" s="43"/>
      <c r="O480" s="3507" t="s">
        <v>96</v>
      </c>
    </row>
    <row r="481" spans="1:16" ht="15" hidden="1" customHeight="1">
      <c r="A481" s="3513"/>
      <c r="B481" s="21" t="s">
        <v>10</v>
      </c>
      <c r="C481" s="22"/>
      <c r="D481" s="101">
        <f t="shared" ref="D481:I481" si="304">+D482+D486</f>
        <v>0</v>
      </c>
      <c r="E481" s="101">
        <f t="shared" si="304"/>
        <v>0</v>
      </c>
      <c r="F481" s="101">
        <f t="shared" si="304"/>
        <v>0</v>
      </c>
      <c r="G481" s="101">
        <f t="shared" si="304"/>
        <v>0</v>
      </c>
      <c r="H481" s="101">
        <f t="shared" si="304"/>
        <v>0</v>
      </c>
      <c r="I481" s="101">
        <f t="shared" si="304"/>
        <v>0</v>
      </c>
      <c r="J481" s="101"/>
      <c r="K481" s="101"/>
      <c r="L481" s="101"/>
      <c r="M481" s="30">
        <f>+M482+M486</f>
        <v>0</v>
      </c>
      <c r="N481" s="30">
        <f>+N482+N486</f>
        <v>0</v>
      </c>
      <c r="O481" s="3508"/>
      <c r="P481" s="2389" t="e">
        <f>+#REF!+#REF!</f>
        <v>#REF!</v>
      </c>
    </row>
    <row r="482" spans="1:16" hidden="1">
      <c r="A482" s="3513"/>
      <c r="B482" s="166" t="s">
        <v>23</v>
      </c>
      <c r="C482" s="3543" t="s">
        <v>90</v>
      </c>
      <c r="D482" s="102">
        <f t="shared" ref="D482:I482" si="305">+D483+D484+D485</f>
        <v>0</v>
      </c>
      <c r="E482" s="103">
        <f t="shared" si="305"/>
        <v>0</v>
      </c>
      <c r="F482" s="102">
        <f t="shared" si="305"/>
        <v>0</v>
      </c>
      <c r="G482" s="102">
        <f t="shared" si="305"/>
        <v>0</v>
      </c>
      <c r="H482" s="102">
        <f t="shared" si="305"/>
        <v>0</v>
      </c>
      <c r="I482" s="102">
        <f t="shared" si="305"/>
        <v>0</v>
      </c>
      <c r="J482" s="104"/>
      <c r="K482" s="104"/>
      <c r="L482" s="104"/>
      <c r="M482" s="77">
        <f>+M483+M484+M485</f>
        <v>0</v>
      </c>
      <c r="N482" s="77">
        <f>+N483+N484+N485</f>
        <v>0</v>
      </c>
      <c r="O482" s="3508"/>
    </row>
    <row r="483" spans="1:16" ht="11.25" hidden="1" customHeight="1">
      <c r="A483" s="3513"/>
      <c r="B483" s="382" t="s">
        <v>12</v>
      </c>
      <c r="C483" s="3566"/>
      <c r="D483" s="236">
        <f t="shared" ref="D483:D488" si="306">E483+F483+G483+H483+I483+J483+K483+L483</f>
        <v>0</v>
      </c>
      <c r="E483" s="266"/>
      <c r="F483" s="526">
        <v>0</v>
      </c>
      <c r="G483" s="526">
        <v>0</v>
      </c>
      <c r="H483" s="526">
        <v>0</v>
      </c>
      <c r="I483" s="526">
        <v>0</v>
      </c>
      <c r="J483" s="527"/>
      <c r="K483" s="527"/>
      <c r="L483" s="527"/>
      <c r="M483" s="34">
        <f t="shared" ref="M483:N485" si="307">SUM(E483:H483)</f>
        <v>0</v>
      </c>
      <c r="N483" s="34">
        <f t="shared" si="307"/>
        <v>0</v>
      </c>
      <c r="O483" s="3508"/>
      <c r="P483" s="2389"/>
    </row>
    <row r="484" spans="1:16" hidden="1">
      <c r="A484" s="3513"/>
      <c r="B484" s="129" t="s">
        <v>70</v>
      </c>
      <c r="C484" s="3566"/>
      <c r="D484" s="236">
        <f t="shared" si="306"/>
        <v>0</v>
      </c>
      <c r="E484" s="266"/>
      <c r="F484" s="130">
        <v>0</v>
      </c>
      <c r="G484" s="130">
        <v>0</v>
      </c>
      <c r="H484" s="130">
        <v>0</v>
      </c>
      <c r="I484" s="130">
        <v>0</v>
      </c>
      <c r="J484" s="108"/>
      <c r="K484" s="108"/>
      <c r="L484" s="108"/>
      <c r="M484" s="34">
        <f t="shared" si="307"/>
        <v>0</v>
      </c>
      <c r="N484" s="34">
        <f t="shared" si="307"/>
        <v>0</v>
      </c>
      <c r="O484" s="3508"/>
    </row>
    <row r="485" spans="1:16" ht="12" hidden="1" customHeight="1">
      <c r="A485" s="3513"/>
      <c r="B485" s="484" t="s">
        <v>97</v>
      </c>
      <c r="C485" s="3561"/>
      <c r="D485" s="236">
        <f t="shared" si="306"/>
        <v>0</v>
      </c>
      <c r="E485" s="266"/>
      <c r="F485" s="526">
        <v>0</v>
      </c>
      <c r="G485" s="526">
        <v>0</v>
      </c>
      <c r="H485" s="526">
        <v>0</v>
      </c>
      <c r="I485" s="526">
        <v>0</v>
      </c>
      <c r="J485" s="527"/>
      <c r="K485" s="527"/>
      <c r="L485" s="527"/>
      <c r="M485" s="34">
        <f t="shared" si="307"/>
        <v>0</v>
      </c>
      <c r="N485" s="34">
        <f t="shared" si="307"/>
        <v>0</v>
      </c>
      <c r="O485" s="3508"/>
    </row>
    <row r="486" spans="1:16" s="739" customFormat="1" hidden="1">
      <c r="A486" s="3513"/>
      <c r="B486" s="399" t="s">
        <v>18</v>
      </c>
      <c r="C486" s="528"/>
      <c r="D486" s="47">
        <f>+D487+D488</f>
        <v>0</v>
      </c>
      <c r="E486" s="529">
        <f t="shared" ref="E486:N486" si="308">+E487+E488</f>
        <v>0</v>
      </c>
      <c r="F486" s="529">
        <f t="shared" si="308"/>
        <v>0</v>
      </c>
      <c r="G486" s="529">
        <f t="shared" si="308"/>
        <v>0</v>
      </c>
      <c r="H486" s="529">
        <f t="shared" si="308"/>
        <v>0</v>
      </c>
      <c r="I486" s="529">
        <f t="shared" si="308"/>
        <v>0</v>
      </c>
      <c r="J486" s="529"/>
      <c r="K486" s="529"/>
      <c r="L486" s="529"/>
      <c r="M486" s="77">
        <f t="shared" ref="M486" si="309">+M487+M488</f>
        <v>0</v>
      </c>
      <c r="N486" s="77">
        <f t="shared" si="308"/>
        <v>0</v>
      </c>
      <c r="O486" s="3508"/>
    </row>
    <row r="487" spans="1:16" hidden="1">
      <c r="A487" s="3513"/>
      <c r="B487" s="712" t="s">
        <v>20</v>
      </c>
      <c r="C487" s="3134"/>
      <c r="D487" s="236">
        <f t="shared" si="306"/>
        <v>0</v>
      </c>
      <c r="E487" s="266"/>
      <c r="F487" s="527">
        <v>0</v>
      </c>
      <c r="G487" s="527">
        <v>0</v>
      </c>
      <c r="H487" s="527">
        <v>0</v>
      </c>
      <c r="I487" s="527">
        <v>0</v>
      </c>
      <c r="J487" s="527"/>
      <c r="K487" s="527"/>
      <c r="L487" s="527"/>
      <c r="M487" s="34">
        <f>SUM(E487:H487)</f>
        <v>0</v>
      </c>
      <c r="N487" s="34">
        <f>SUM(F487:I487)</f>
        <v>0</v>
      </c>
      <c r="O487" s="3508"/>
    </row>
    <row r="488" spans="1:16" ht="12" hidden="1" customHeight="1">
      <c r="A488" s="3513"/>
      <c r="B488" s="712" t="s">
        <v>71</v>
      </c>
      <c r="C488" s="3134"/>
      <c r="D488" s="236">
        <f t="shared" si="306"/>
        <v>0</v>
      </c>
      <c r="E488" s="266"/>
      <c r="F488" s="527">
        <v>0</v>
      </c>
      <c r="G488" s="527">
        <v>0</v>
      </c>
      <c r="H488" s="527">
        <v>0</v>
      </c>
      <c r="I488" s="527">
        <v>0</v>
      </c>
      <c r="J488" s="527"/>
      <c r="K488" s="527"/>
      <c r="L488" s="527"/>
      <c r="M488" s="34">
        <f>SUM(E488:H488)</f>
        <v>0</v>
      </c>
      <c r="N488" s="34">
        <f>SUM(F488:I488)</f>
        <v>0</v>
      </c>
      <c r="O488" s="3508"/>
    </row>
    <row r="489" spans="1:16" ht="14.25" hidden="1" customHeight="1">
      <c r="A489" s="3513"/>
      <c r="B489" s="21" t="s">
        <v>21</v>
      </c>
      <c r="C489" s="22"/>
      <c r="D489" s="192">
        <f t="shared" ref="D489:I489" si="310">+D490+D494</f>
        <v>0</v>
      </c>
      <c r="E489" s="192">
        <f t="shared" si="310"/>
        <v>0</v>
      </c>
      <c r="F489" s="192">
        <f t="shared" si="310"/>
        <v>0</v>
      </c>
      <c r="G489" s="192">
        <f t="shared" si="310"/>
        <v>0</v>
      </c>
      <c r="H489" s="192">
        <f t="shared" si="310"/>
        <v>0</v>
      </c>
      <c r="I489" s="192">
        <f t="shared" si="310"/>
        <v>0</v>
      </c>
      <c r="J489" s="192"/>
      <c r="K489" s="192"/>
      <c r="L489" s="192"/>
      <c r="M489" s="3565" t="s">
        <v>22</v>
      </c>
      <c r="N489" s="3565" t="s">
        <v>22</v>
      </c>
      <c r="O489" s="3508"/>
      <c r="P489" s="2389"/>
    </row>
    <row r="490" spans="1:16" s="747" customFormat="1" ht="12.75" hidden="1" customHeight="1">
      <c r="A490" s="3513"/>
      <c r="B490" s="166" t="s">
        <v>23</v>
      </c>
      <c r="C490" s="3543" t="s">
        <v>90</v>
      </c>
      <c r="D490" s="626">
        <f>+D491+D492+D493</f>
        <v>0</v>
      </c>
      <c r="E490" s="626">
        <f>SUM(E491:E493)</f>
        <v>0</v>
      </c>
      <c r="F490" s="626">
        <f>+F491+F493</f>
        <v>0</v>
      </c>
      <c r="G490" s="626">
        <f>+G491+G493</f>
        <v>0</v>
      </c>
      <c r="H490" s="626">
        <f>+H491+H493</f>
        <v>0</v>
      </c>
      <c r="I490" s="626">
        <f>+I491+I493</f>
        <v>0</v>
      </c>
      <c r="J490" s="626"/>
      <c r="K490" s="626"/>
      <c r="L490" s="626"/>
      <c r="M490" s="3549"/>
      <c r="N490" s="3549"/>
      <c r="O490" s="3508"/>
    </row>
    <row r="491" spans="1:16" s="3379" customFormat="1" hidden="1">
      <c r="A491" s="3513"/>
      <c r="B491" s="129" t="s">
        <v>98</v>
      </c>
      <c r="C491" s="3566"/>
      <c r="D491" s="236">
        <f t="shared" ref="D491:D493" si="311">E491+F491+G491+H491+I491+J491+K491+L491</f>
        <v>0</v>
      </c>
      <c r="E491" s="266"/>
      <c r="F491" s="748">
        <v>0</v>
      </c>
      <c r="G491" s="748">
        <v>0</v>
      </c>
      <c r="H491" s="748">
        <v>0</v>
      </c>
      <c r="I491" s="748">
        <v>0</v>
      </c>
      <c r="J491" s="748"/>
      <c r="K491" s="748"/>
      <c r="L491" s="748"/>
      <c r="M491" s="3549"/>
      <c r="N491" s="3549"/>
      <c r="O491" s="3508"/>
      <c r="P491" s="3382">
        <v>-14575000</v>
      </c>
    </row>
    <row r="492" spans="1:16" s="3379" customFormat="1" ht="10.5" hidden="1" customHeight="1">
      <c r="A492" s="3513"/>
      <c r="B492" s="749" t="s">
        <v>99</v>
      </c>
      <c r="C492" s="3566"/>
      <c r="D492" s="236">
        <f t="shared" si="311"/>
        <v>0</v>
      </c>
      <c r="E492" s="266"/>
      <c r="F492" s="748"/>
      <c r="G492" s="748"/>
      <c r="H492" s="748"/>
      <c r="I492" s="748"/>
      <c r="J492" s="748"/>
      <c r="K492" s="748"/>
      <c r="L492" s="748"/>
      <c r="M492" s="3549"/>
      <c r="N492" s="3549"/>
      <c r="O492" s="3508"/>
    </row>
    <row r="493" spans="1:16" s="3379" customFormat="1" hidden="1">
      <c r="A493" s="3513"/>
      <c r="B493" s="484" t="s">
        <v>97</v>
      </c>
      <c r="C493" s="3566"/>
      <c r="D493" s="236">
        <f t="shared" si="311"/>
        <v>0</v>
      </c>
      <c r="E493" s="266"/>
      <c r="F493" s="526">
        <v>0</v>
      </c>
      <c r="G493" s="526">
        <v>0</v>
      </c>
      <c r="H493" s="526">
        <v>0</v>
      </c>
      <c r="I493" s="526">
        <v>0</v>
      </c>
      <c r="J493" s="526"/>
      <c r="K493" s="526"/>
      <c r="L493" s="526"/>
      <c r="M493" s="3549"/>
      <c r="N493" s="3549"/>
      <c r="O493" s="3508"/>
      <c r="P493" s="3382"/>
    </row>
    <row r="494" spans="1:16" s="747" customFormat="1" hidden="1">
      <c r="A494" s="3513"/>
      <c r="B494" s="750" t="s">
        <v>18</v>
      </c>
      <c r="C494" s="3566"/>
      <c r="D494" s="50">
        <f>+D495+D496+D497</f>
        <v>0</v>
      </c>
      <c r="E494" s="628"/>
      <c r="F494" s="628">
        <f>+F496</f>
        <v>0</v>
      </c>
      <c r="G494" s="628">
        <f>+G496</f>
        <v>0</v>
      </c>
      <c r="H494" s="628">
        <f>+H496</f>
        <v>0</v>
      </c>
      <c r="I494" s="628">
        <f>+I496</f>
        <v>0</v>
      </c>
      <c r="J494" s="628"/>
      <c r="K494" s="628"/>
      <c r="L494" s="628"/>
      <c r="M494" s="3549"/>
      <c r="N494" s="3549"/>
      <c r="O494" s="3508"/>
    </row>
    <row r="495" spans="1:16" s="747" customFormat="1" ht="10.5" hidden="1" customHeight="1">
      <c r="A495" s="3513"/>
      <c r="B495" s="749" t="s">
        <v>99</v>
      </c>
      <c r="C495" s="3566"/>
      <c r="D495" s="236">
        <f t="shared" ref="D495:D497" si="312">E495+F495+G495+H495+I495+J495+K495+L495</f>
        <v>0</v>
      </c>
      <c r="E495" s="1283"/>
      <c r="F495" s="751"/>
      <c r="G495" s="751"/>
      <c r="H495" s="751"/>
      <c r="I495" s="751"/>
      <c r="J495" s="751"/>
      <c r="K495" s="751"/>
      <c r="L495" s="751"/>
      <c r="M495" s="3549"/>
      <c r="N495" s="3549"/>
      <c r="O495" s="3508"/>
    </row>
    <row r="496" spans="1:16" s="3379" customFormat="1" hidden="1">
      <c r="A496" s="3513"/>
      <c r="B496" s="382" t="s">
        <v>20</v>
      </c>
      <c r="C496" s="3566"/>
      <c r="D496" s="236">
        <f t="shared" si="312"/>
        <v>0</v>
      </c>
      <c r="E496" s="266"/>
      <c r="F496" s="530">
        <v>0</v>
      </c>
      <c r="G496" s="530">
        <v>0</v>
      </c>
      <c r="H496" s="530">
        <v>0</v>
      </c>
      <c r="I496" s="530">
        <v>0</v>
      </c>
      <c r="J496" s="530"/>
      <c r="K496" s="530"/>
      <c r="L496" s="530"/>
      <c r="M496" s="3549"/>
      <c r="N496" s="3549"/>
      <c r="O496" s="3508"/>
      <c r="P496" s="3382"/>
    </row>
    <row r="497" spans="1:19" s="3379" customFormat="1" ht="11.25" hidden="1" customHeight="1" thickBot="1">
      <c r="A497" s="3579"/>
      <c r="B497" s="74" t="s">
        <v>71</v>
      </c>
      <c r="C497" s="3567"/>
      <c r="D497" s="236">
        <f t="shared" si="312"/>
        <v>0</v>
      </c>
      <c r="E497" s="54"/>
      <c r="F497" s="531">
        <v>0</v>
      </c>
      <c r="G497" s="531">
        <v>0</v>
      </c>
      <c r="H497" s="532">
        <v>0</v>
      </c>
      <c r="I497" s="172">
        <v>0</v>
      </c>
      <c r="J497" s="172"/>
      <c r="K497" s="172"/>
      <c r="L497" s="172"/>
      <c r="M497" s="3550"/>
      <c r="N497" s="3550"/>
      <c r="O497" s="3129"/>
    </row>
    <row r="498" spans="1:19" hidden="1">
      <c r="A498" s="3512"/>
      <c r="B498" s="264"/>
      <c r="C498" s="56" t="s">
        <v>100</v>
      </c>
      <c r="D498" s="713"/>
      <c r="E498" s="92"/>
      <c r="F498" s="93"/>
      <c r="G498" s="93"/>
      <c r="H498" s="93"/>
      <c r="I498" s="93"/>
      <c r="J498" s="93"/>
      <c r="K498" s="93"/>
      <c r="L498" s="93"/>
      <c r="M498" s="43"/>
      <c r="N498" s="43"/>
      <c r="O498" s="3540" t="s">
        <v>93</v>
      </c>
      <c r="S498" s="3380"/>
    </row>
    <row r="499" spans="1:19" ht="14.25" hidden="1" customHeight="1">
      <c r="A499" s="3513"/>
      <c r="B499" s="21" t="s">
        <v>10</v>
      </c>
      <c r="C499" s="22"/>
      <c r="D499" s="61">
        <f t="shared" ref="D499" si="313">+D500+D502</f>
        <v>0</v>
      </c>
      <c r="E499" s="61">
        <f>+E500+E502</f>
        <v>0</v>
      </c>
      <c r="F499" s="61"/>
      <c r="G499" s="61"/>
      <c r="H499" s="62"/>
      <c r="I499" s="61"/>
      <c r="J499" s="61"/>
      <c r="K499" s="61"/>
      <c r="L499" s="61"/>
      <c r="M499" s="63">
        <f>+M500+M502</f>
        <v>0</v>
      </c>
      <c r="N499" s="63">
        <f>+N500+N502</f>
        <v>0</v>
      </c>
      <c r="O499" s="3618"/>
      <c r="P499" s="2389" t="e">
        <f>+#REF!+#REF!+F499+G499</f>
        <v>#REF!</v>
      </c>
      <c r="Q499" s="2389"/>
      <c r="R499" s="2389"/>
      <c r="S499" s="2389"/>
    </row>
    <row r="500" spans="1:19" ht="14.25" hidden="1" customHeight="1">
      <c r="A500" s="3513"/>
      <c r="B500" s="166" t="s">
        <v>23</v>
      </c>
      <c r="C500" s="3543" t="s">
        <v>90</v>
      </c>
      <c r="D500" s="64">
        <f>+D501</f>
        <v>0</v>
      </c>
      <c r="E500" s="64">
        <f t="shared" ref="E500" si="314">+E501</f>
        <v>0</v>
      </c>
      <c r="F500" s="64"/>
      <c r="G500" s="64"/>
      <c r="H500" s="94"/>
      <c r="I500" s="64"/>
      <c r="J500" s="64"/>
      <c r="K500" s="64"/>
      <c r="L500" s="64"/>
      <c r="M500" s="77">
        <f>+M501</f>
        <v>0</v>
      </c>
      <c r="N500" s="77">
        <f>+N501</f>
        <v>0</v>
      </c>
      <c r="O500" s="3618"/>
      <c r="P500" s="2389"/>
    </row>
    <row r="501" spans="1:19" hidden="1">
      <c r="A501" s="3513"/>
      <c r="B501" s="376" t="s">
        <v>12</v>
      </c>
      <c r="C501" s="3595"/>
      <c r="D501" s="236">
        <f t="shared" ref="D501" si="315">E501+F501+G501+H501+I501+J501+K501+L501</f>
        <v>0</v>
      </c>
      <c r="E501" s="266"/>
      <c r="F501" s="46"/>
      <c r="G501" s="46"/>
      <c r="H501" s="45"/>
      <c r="I501" s="46"/>
      <c r="J501" s="46"/>
      <c r="K501" s="46"/>
      <c r="L501" s="46"/>
      <c r="M501" s="34">
        <f>SUM(E501:H501)</f>
        <v>0</v>
      </c>
      <c r="N501" s="34">
        <f>SUM(F501:I501)</f>
        <v>0</v>
      </c>
      <c r="O501" s="3618"/>
    </row>
    <row r="502" spans="1:19" ht="14.25" hidden="1" customHeight="1">
      <c r="A502" s="3513"/>
      <c r="B502" s="399" t="s">
        <v>18</v>
      </c>
      <c r="C502" s="3595"/>
      <c r="D502" s="47">
        <f>+D503</f>
        <v>0</v>
      </c>
      <c r="E502" s="47">
        <f t="shared" ref="E502" si="316">+E503</f>
        <v>0</v>
      </c>
      <c r="F502" s="47"/>
      <c r="G502" s="47"/>
      <c r="H502" s="48"/>
      <c r="I502" s="47"/>
      <c r="J502" s="47"/>
      <c r="K502" s="47"/>
      <c r="L502" s="47"/>
      <c r="M502" s="77">
        <f>+M503</f>
        <v>0</v>
      </c>
      <c r="N502" s="77">
        <f>+N503</f>
        <v>0</v>
      </c>
      <c r="O502" s="3618"/>
    </row>
    <row r="503" spans="1:19" hidden="1">
      <c r="A503" s="3513"/>
      <c r="B503" s="715" t="s">
        <v>20</v>
      </c>
      <c r="C503" s="3595"/>
      <c r="D503" s="236">
        <f t="shared" ref="D503" si="317">E503+F503+G503+H503+I503+J503+K503+L503</f>
        <v>0</v>
      </c>
      <c r="E503" s="266"/>
      <c r="F503" s="46"/>
      <c r="G503" s="46"/>
      <c r="H503" s="45"/>
      <c r="I503" s="46"/>
      <c r="J503" s="46"/>
      <c r="K503" s="46"/>
      <c r="L503" s="46"/>
      <c r="M503" s="34">
        <f>SUM(E503:H503)</f>
        <v>0</v>
      </c>
      <c r="N503" s="34">
        <f>SUM(F503:I503)</f>
        <v>0</v>
      </c>
      <c r="O503" s="3618"/>
    </row>
    <row r="504" spans="1:19" ht="14.25" hidden="1" customHeight="1">
      <c r="A504" s="3514"/>
      <c r="B504" s="21" t="s">
        <v>21</v>
      </c>
      <c r="C504" s="22"/>
      <c r="D504" s="192">
        <f>+D505</f>
        <v>0</v>
      </c>
      <c r="E504" s="192">
        <f t="shared" ref="E504" si="318">+E505</f>
        <v>0</v>
      </c>
      <c r="F504" s="192"/>
      <c r="G504" s="192"/>
      <c r="H504" s="193"/>
      <c r="I504" s="192"/>
      <c r="J504" s="192"/>
      <c r="K504" s="192"/>
      <c r="L504" s="192"/>
      <c r="M504" s="3516" t="s">
        <v>22</v>
      </c>
      <c r="N504" s="3516" t="s">
        <v>22</v>
      </c>
      <c r="O504" s="3711"/>
      <c r="P504" s="2389"/>
    </row>
    <row r="505" spans="1:19" s="3379" customFormat="1" ht="14.25" hidden="1" customHeight="1">
      <c r="A505" s="3514"/>
      <c r="B505" s="399" t="s">
        <v>18</v>
      </c>
      <c r="C505" s="3543" t="s">
        <v>90</v>
      </c>
      <c r="D505" s="626">
        <f>+D506</f>
        <v>0</v>
      </c>
      <c r="E505" s="626"/>
      <c r="F505" s="626"/>
      <c r="G505" s="626"/>
      <c r="H505" s="628"/>
      <c r="I505" s="626"/>
      <c r="J505" s="626"/>
      <c r="K505" s="626"/>
      <c r="L505" s="626"/>
      <c r="M505" s="3517"/>
      <c r="N505" s="3517"/>
      <c r="O505" s="3711"/>
    </row>
    <row r="506" spans="1:19" s="3379" customFormat="1" ht="14.25" hidden="1" customHeight="1" thickBot="1">
      <c r="A506" s="3515"/>
      <c r="B506" s="53" t="s">
        <v>20</v>
      </c>
      <c r="C506" s="3523"/>
      <c r="D506" s="236">
        <f t="shared" ref="D506" si="319">E506+F506+G506+H506+I506+J506+K506+L506</f>
        <v>0</v>
      </c>
      <c r="E506" s="714"/>
      <c r="F506" s="414"/>
      <c r="G506" s="414"/>
      <c r="H506" s="414"/>
      <c r="I506" s="414"/>
      <c r="J506" s="414"/>
      <c r="K506" s="414"/>
      <c r="L506" s="414"/>
      <c r="M506" s="3518"/>
      <c r="N506" s="3518"/>
      <c r="O506" s="3712"/>
    </row>
    <row r="507" spans="1:19" ht="27.75" hidden="1" customHeight="1">
      <c r="A507" s="3717" t="s">
        <v>229</v>
      </c>
      <c r="B507" s="201" t="s">
        <v>193</v>
      </c>
      <c r="C507" s="752"/>
      <c r="D507" s="729"/>
      <c r="E507" s="730"/>
      <c r="F507" s="730"/>
      <c r="G507" s="730"/>
      <c r="H507" s="730"/>
      <c r="I507" s="730"/>
      <c r="J507" s="730"/>
      <c r="K507" s="730"/>
      <c r="L507" s="730"/>
      <c r="M507" s="282"/>
      <c r="N507" s="282"/>
      <c r="O507" s="3713"/>
    </row>
    <row r="508" spans="1:19" ht="14.25" hidden="1" customHeight="1">
      <c r="A508" s="3718"/>
      <c r="B508" s="21" t="s">
        <v>10</v>
      </c>
      <c r="C508" s="132"/>
      <c r="D508" s="125">
        <f>+D509+D511</f>
        <v>0</v>
      </c>
      <c r="E508" s="125">
        <f t="shared" ref="E508:N508" si="320">+E509+E511</f>
        <v>0</v>
      </c>
      <c r="F508" s="125">
        <f t="shared" si="320"/>
        <v>0</v>
      </c>
      <c r="G508" s="125">
        <f t="shared" si="320"/>
        <v>0</v>
      </c>
      <c r="H508" s="125">
        <f t="shared" si="320"/>
        <v>0</v>
      </c>
      <c r="I508" s="125">
        <f t="shared" si="320"/>
        <v>0</v>
      </c>
      <c r="J508" s="125">
        <f t="shared" si="320"/>
        <v>0</v>
      </c>
      <c r="K508" s="125">
        <f t="shared" si="320"/>
        <v>0</v>
      </c>
      <c r="L508" s="125">
        <f t="shared" si="320"/>
        <v>0</v>
      </c>
      <c r="M508" s="63">
        <f t="shared" ref="M508" si="321">+M509+M511</f>
        <v>0</v>
      </c>
      <c r="N508" s="63">
        <f t="shared" si="320"/>
        <v>0</v>
      </c>
      <c r="O508" s="3714"/>
      <c r="P508" s="2389" t="e">
        <f>+#REF!+#REF!+F508+G508</f>
        <v>#REF!</v>
      </c>
    </row>
    <row r="509" spans="1:19" ht="13.5" hidden="1" customHeight="1">
      <c r="A509" s="3718"/>
      <c r="B509" s="753" t="s">
        <v>23</v>
      </c>
      <c r="C509" s="133"/>
      <c r="D509" s="117">
        <f>+D510</f>
        <v>0</v>
      </c>
      <c r="E509" s="117">
        <f t="shared" ref="E509:N509" si="322">+E510</f>
        <v>0</v>
      </c>
      <c r="F509" s="117">
        <f t="shared" si="322"/>
        <v>0</v>
      </c>
      <c r="G509" s="117">
        <f t="shared" si="322"/>
        <v>0</v>
      </c>
      <c r="H509" s="117">
        <f t="shared" si="322"/>
        <v>0</v>
      </c>
      <c r="I509" s="117">
        <f t="shared" si="322"/>
        <v>0</v>
      </c>
      <c r="J509" s="117">
        <f t="shared" si="322"/>
        <v>0</v>
      </c>
      <c r="K509" s="117">
        <f t="shared" si="322"/>
        <v>0</v>
      </c>
      <c r="L509" s="117">
        <f t="shared" si="322"/>
        <v>0</v>
      </c>
      <c r="M509" s="65">
        <f t="shared" si="322"/>
        <v>0</v>
      </c>
      <c r="N509" s="65">
        <f t="shared" si="322"/>
        <v>0</v>
      </c>
      <c r="O509" s="3714"/>
    </row>
    <row r="510" spans="1:19" hidden="1">
      <c r="A510" s="3718"/>
      <c r="B510" s="249" t="s">
        <v>12</v>
      </c>
      <c r="C510" s="134"/>
      <c r="D510" s="33">
        <f>+D519</f>
        <v>0</v>
      </c>
      <c r="E510" s="33">
        <f>+E519</f>
        <v>0</v>
      </c>
      <c r="F510" s="33">
        <f t="shared" ref="F510:I510" si="323">+F519</f>
        <v>0</v>
      </c>
      <c r="G510" s="33">
        <f t="shared" si="323"/>
        <v>0</v>
      </c>
      <c r="H510" s="33">
        <f t="shared" si="323"/>
        <v>0</v>
      </c>
      <c r="I510" s="33">
        <f t="shared" si="323"/>
        <v>0</v>
      </c>
      <c r="J510" s="33">
        <f>+J519</f>
        <v>0</v>
      </c>
      <c r="K510" s="33">
        <f>+K519</f>
        <v>0</v>
      </c>
      <c r="L510" s="33">
        <f>+L519</f>
        <v>0</v>
      </c>
      <c r="M510" s="34">
        <f>SUM(E510:H510)</f>
        <v>0</v>
      </c>
      <c r="N510" s="34">
        <f>SUM(F510:I510)</f>
        <v>0</v>
      </c>
      <c r="O510" s="3714"/>
    </row>
    <row r="511" spans="1:19" ht="14.25" hidden="1" customHeight="1">
      <c r="A511" s="3718"/>
      <c r="B511" s="754" t="s">
        <v>18</v>
      </c>
      <c r="C511" s="135"/>
      <c r="D511" s="31">
        <f>+D512</f>
        <v>0</v>
      </c>
      <c r="E511" s="31">
        <f t="shared" ref="E511:N511" si="324">+E512</f>
        <v>0</v>
      </c>
      <c r="F511" s="31">
        <f t="shared" si="324"/>
        <v>0</v>
      </c>
      <c r="G511" s="31">
        <f t="shared" si="324"/>
        <v>0</v>
      </c>
      <c r="H511" s="31">
        <f t="shared" si="324"/>
        <v>0</v>
      </c>
      <c r="I511" s="31">
        <f t="shared" si="324"/>
        <v>0</v>
      </c>
      <c r="J511" s="31">
        <f t="shared" si="324"/>
        <v>0</v>
      </c>
      <c r="K511" s="31">
        <f t="shared" si="324"/>
        <v>0</v>
      </c>
      <c r="L511" s="31">
        <f t="shared" si="324"/>
        <v>0</v>
      </c>
      <c r="M511" s="65">
        <f t="shared" si="324"/>
        <v>0</v>
      </c>
      <c r="N511" s="65">
        <f t="shared" si="324"/>
        <v>0</v>
      </c>
      <c r="O511" s="3714"/>
    </row>
    <row r="512" spans="1:19" ht="11.25" hidden="1" customHeight="1">
      <c r="A512" s="3718"/>
      <c r="B512" s="250" t="s">
        <v>19</v>
      </c>
      <c r="C512" s="134"/>
      <c r="D512" s="33">
        <f>+D521</f>
        <v>0</v>
      </c>
      <c r="E512" s="33">
        <f t="shared" ref="E512:I512" si="325">+E521</f>
        <v>0</v>
      </c>
      <c r="F512" s="33">
        <f t="shared" si="325"/>
        <v>0</v>
      </c>
      <c r="G512" s="33">
        <f t="shared" si="325"/>
        <v>0</v>
      </c>
      <c r="H512" s="33">
        <f t="shared" si="325"/>
        <v>0</v>
      </c>
      <c r="I512" s="33">
        <f t="shared" si="325"/>
        <v>0</v>
      </c>
      <c r="J512" s="33">
        <f>+J521</f>
        <v>0</v>
      </c>
      <c r="K512" s="33">
        <f>+K521</f>
        <v>0</v>
      </c>
      <c r="L512" s="33">
        <f>+L521</f>
        <v>0</v>
      </c>
      <c r="M512" s="34">
        <f>SUM(E512:H512)</f>
        <v>0</v>
      </c>
      <c r="N512" s="34">
        <f>SUM(F512:I512)</f>
        <v>0</v>
      </c>
      <c r="O512" s="3714"/>
    </row>
    <row r="513" spans="1:19" ht="13.5" hidden="1" customHeight="1">
      <c r="A513" s="3718"/>
      <c r="B513" s="21" t="s">
        <v>21</v>
      </c>
      <c r="C513" s="132"/>
      <c r="D513" s="125">
        <f>+D514</f>
        <v>0</v>
      </c>
      <c r="E513" s="125">
        <f>+E514</f>
        <v>0</v>
      </c>
      <c r="F513" s="125">
        <f t="shared" ref="F513:L514" si="326">+F514</f>
        <v>0</v>
      </c>
      <c r="G513" s="125">
        <f t="shared" si="326"/>
        <v>0</v>
      </c>
      <c r="H513" s="125">
        <f t="shared" si="326"/>
        <v>0</v>
      </c>
      <c r="I513" s="125">
        <f t="shared" si="326"/>
        <v>0</v>
      </c>
      <c r="J513" s="125">
        <f t="shared" si="326"/>
        <v>0</v>
      </c>
      <c r="K513" s="125">
        <f t="shared" si="326"/>
        <v>0</v>
      </c>
      <c r="L513" s="125">
        <f t="shared" si="326"/>
        <v>0</v>
      </c>
      <c r="M513" s="3516" t="s">
        <v>22</v>
      </c>
      <c r="N513" s="3516" t="s">
        <v>22</v>
      </c>
      <c r="O513" s="3714"/>
    </row>
    <row r="514" spans="1:19" ht="12" hidden="1" customHeight="1">
      <c r="A514" s="3718"/>
      <c r="B514" s="755" t="s">
        <v>18</v>
      </c>
      <c r="C514" s="133"/>
      <c r="D514" s="117">
        <f>+D515</f>
        <v>0</v>
      </c>
      <c r="E514" s="117">
        <f>+E515</f>
        <v>0</v>
      </c>
      <c r="F514" s="117">
        <f t="shared" si="326"/>
        <v>0</v>
      </c>
      <c r="G514" s="117">
        <f t="shared" si="326"/>
        <v>0</v>
      </c>
      <c r="H514" s="117">
        <f t="shared" si="326"/>
        <v>0</v>
      </c>
      <c r="I514" s="117">
        <f t="shared" si="326"/>
        <v>0</v>
      </c>
      <c r="J514" s="117">
        <f t="shared" si="326"/>
        <v>0</v>
      </c>
      <c r="K514" s="117">
        <f t="shared" si="326"/>
        <v>0</v>
      </c>
      <c r="L514" s="117">
        <f t="shared" si="326"/>
        <v>0</v>
      </c>
      <c r="M514" s="3517"/>
      <c r="N514" s="3517"/>
      <c r="O514" s="3714"/>
    </row>
    <row r="515" spans="1:19" ht="13.5" hidden="1" customHeight="1" thickBot="1">
      <c r="A515" s="3719"/>
      <c r="B515" s="250" t="s">
        <v>19</v>
      </c>
      <c r="C515" s="134"/>
      <c r="D515" s="33">
        <f>+D524</f>
        <v>0</v>
      </c>
      <c r="E515" s="33">
        <f t="shared" ref="E515:I515" si="327">+E524</f>
        <v>0</v>
      </c>
      <c r="F515" s="33">
        <f t="shared" si="327"/>
        <v>0</v>
      </c>
      <c r="G515" s="33">
        <f t="shared" si="327"/>
        <v>0</v>
      </c>
      <c r="H515" s="239">
        <f t="shared" si="327"/>
        <v>0</v>
      </c>
      <c r="I515" s="240">
        <f t="shared" si="327"/>
        <v>0</v>
      </c>
      <c r="J515" s="240">
        <f>+J524</f>
        <v>0</v>
      </c>
      <c r="K515" s="240">
        <f>+K524</f>
        <v>0</v>
      </c>
      <c r="L515" s="240">
        <f>+L524</f>
        <v>0</v>
      </c>
      <c r="M515" s="3518"/>
      <c r="N515" s="3518"/>
      <c r="O515" s="3715"/>
    </row>
    <row r="516" spans="1:19" hidden="1">
      <c r="A516" s="3512" t="s">
        <v>243</v>
      </c>
      <c r="B516" s="264"/>
      <c r="C516" s="56" t="s">
        <v>100</v>
      </c>
      <c r="D516" s="713"/>
      <c r="E516" s="92"/>
      <c r="F516" s="93"/>
      <c r="G516" s="93"/>
      <c r="H516" s="93"/>
      <c r="I516" s="93"/>
      <c r="J516" s="93"/>
      <c r="K516" s="93"/>
      <c r="L516" s="93"/>
      <c r="M516" s="43"/>
      <c r="N516" s="43"/>
      <c r="O516" s="3540" t="s">
        <v>101</v>
      </c>
      <c r="S516" s="3380"/>
    </row>
    <row r="517" spans="1:19" ht="14.25" hidden="1" customHeight="1">
      <c r="A517" s="3513"/>
      <c r="B517" s="539" t="s">
        <v>10</v>
      </c>
      <c r="C517" s="1356"/>
      <c r="D517" s="1370">
        <f>+D518+D520</f>
        <v>0</v>
      </c>
      <c r="E517" s="1370">
        <f t="shared" ref="E517:N517" si="328">+E518+E520</f>
        <v>0</v>
      </c>
      <c r="F517" s="1652">
        <f t="shared" si="328"/>
        <v>0</v>
      </c>
      <c r="G517" s="1652">
        <f t="shared" si="328"/>
        <v>0</v>
      </c>
      <c r="H517" s="1652">
        <f t="shared" si="328"/>
        <v>0</v>
      </c>
      <c r="I517" s="1652">
        <f t="shared" si="328"/>
        <v>0</v>
      </c>
      <c r="J517" s="1652">
        <f t="shared" si="328"/>
        <v>0</v>
      </c>
      <c r="K517" s="1652">
        <f t="shared" si="328"/>
        <v>0</v>
      </c>
      <c r="L517" s="1652">
        <f t="shared" si="328"/>
        <v>0</v>
      </c>
      <c r="M517" s="1358">
        <f t="shared" ref="M517" si="329">+M518+M520</f>
        <v>0</v>
      </c>
      <c r="N517" s="1358">
        <f t="shared" si="328"/>
        <v>0</v>
      </c>
      <c r="O517" s="3618"/>
      <c r="P517" s="2389" t="e">
        <f>+#REF!+#REF!+F517+G517</f>
        <v>#REF!</v>
      </c>
      <c r="Q517" s="2389"/>
      <c r="R517" s="2389"/>
      <c r="S517" s="2389"/>
    </row>
    <row r="518" spans="1:19" ht="14.25" hidden="1" customHeight="1">
      <c r="A518" s="3513"/>
      <c r="B518" s="515" t="s">
        <v>23</v>
      </c>
      <c r="C518" s="3522" t="s">
        <v>102</v>
      </c>
      <c r="D518" s="1371">
        <f>+D519</f>
        <v>0</v>
      </c>
      <c r="E518" s="1371">
        <f t="shared" ref="E518:N518" si="330">+E519</f>
        <v>0</v>
      </c>
      <c r="F518" s="1653">
        <f t="shared" si="330"/>
        <v>0</v>
      </c>
      <c r="G518" s="1653">
        <f t="shared" si="330"/>
        <v>0</v>
      </c>
      <c r="H518" s="1653">
        <f t="shared" si="330"/>
        <v>0</v>
      </c>
      <c r="I518" s="1653">
        <f t="shared" si="330"/>
        <v>0</v>
      </c>
      <c r="J518" s="1653">
        <f t="shared" si="330"/>
        <v>0</v>
      </c>
      <c r="K518" s="1653">
        <f t="shared" si="330"/>
        <v>0</v>
      </c>
      <c r="L518" s="1653">
        <f t="shared" si="330"/>
        <v>0</v>
      </c>
      <c r="M518" s="1361">
        <f t="shared" si="330"/>
        <v>0</v>
      </c>
      <c r="N518" s="1361">
        <f t="shared" si="330"/>
        <v>0</v>
      </c>
      <c r="O518" s="3618"/>
      <c r="P518" s="2389"/>
    </row>
    <row r="519" spans="1:19" ht="14.25" hidden="1" customHeight="1">
      <c r="A519" s="3513"/>
      <c r="B519" s="814" t="s">
        <v>12</v>
      </c>
      <c r="C519" s="3595"/>
      <c r="D519" s="1288">
        <f t="shared" ref="D519" si="331">E519+F519+G519+H519+I519+J519+K519+L519</f>
        <v>0</v>
      </c>
      <c r="E519" s="1334"/>
      <c r="F519" s="1399">
        <v>0</v>
      </c>
      <c r="G519" s="1399">
        <v>0</v>
      </c>
      <c r="H519" s="1399">
        <v>0</v>
      </c>
      <c r="I519" s="1399">
        <v>0</v>
      </c>
      <c r="J519" s="1399">
        <v>0</v>
      </c>
      <c r="K519" s="1399">
        <v>0</v>
      </c>
      <c r="L519" s="1399">
        <v>0</v>
      </c>
      <c r="M519" s="1374">
        <f>SUM(E519:H519)</f>
        <v>0</v>
      </c>
      <c r="N519" s="1374">
        <f>SUM(F519:I519)</f>
        <v>0</v>
      </c>
      <c r="O519" s="3618"/>
    </row>
    <row r="520" spans="1:19" ht="14.25" hidden="1" customHeight="1">
      <c r="A520" s="3513"/>
      <c r="B520" s="810" t="s">
        <v>18</v>
      </c>
      <c r="C520" s="3595"/>
      <c r="D520" s="1360">
        <f t="shared" ref="D520:N520" si="332">+D521</f>
        <v>0</v>
      </c>
      <c r="E520" s="1360">
        <f t="shared" si="332"/>
        <v>0</v>
      </c>
      <c r="F520" s="1654">
        <f t="shared" si="332"/>
        <v>0</v>
      </c>
      <c r="G520" s="1654">
        <f t="shared" si="332"/>
        <v>0</v>
      </c>
      <c r="H520" s="1654">
        <f t="shared" si="332"/>
        <v>0</v>
      </c>
      <c r="I520" s="1654">
        <f t="shared" si="332"/>
        <v>0</v>
      </c>
      <c r="J520" s="1654">
        <f t="shared" si="332"/>
        <v>0</v>
      </c>
      <c r="K520" s="1654">
        <f t="shared" si="332"/>
        <v>0</v>
      </c>
      <c r="L520" s="1654">
        <f t="shared" si="332"/>
        <v>0</v>
      </c>
      <c r="M520" s="1361">
        <f t="shared" si="332"/>
        <v>0</v>
      </c>
      <c r="N520" s="1361">
        <f t="shared" si="332"/>
        <v>0</v>
      </c>
      <c r="O520" s="3618"/>
    </row>
    <row r="521" spans="1:19" ht="14.25" hidden="1" customHeight="1">
      <c r="A521" s="3513"/>
      <c r="B521" s="1655" t="s">
        <v>19</v>
      </c>
      <c r="C521" s="3595"/>
      <c r="D521" s="1288">
        <f t="shared" ref="D521" si="333">E521+F521+G521+H521+I521+J521+K521+L521</f>
        <v>0</v>
      </c>
      <c r="E521" s="1334">
        <v>0</v>
      </c>
      <c r="F521" s="1399">
        <v>0</v>
      </c>
      <c r="G521" s="1399">
        <v>0</v>
      </c>
      <c r="H521" s="1399">
        <v>0</v>
      </c>
      <c r="I521" s="1399">
        <v>0</v>
      </c>
      <c r="J521" s="1399">
        <v>0</v>
      </c>
      <c r="K521" s="1399">
        <v>0</v>
      </c>
      <c r="L521" s="1399">
        <v>0</v>
      </c>
      <c r="M521" s="1374">
        <f>SUM(E521:H521)</f>
        <v>0</v>
      </c>
      <c r="N521" s="1374">
        <f>SUM(F521:I521)</f>
        <v>0</v>
      </c>
      <c r="O521" s="3618"/>
    </row>
    <row r="522" spans="1:19" ht="14.25" hidden="1" customHeight="1">
      <c r="A522" s="3514"/>
      <c r="B522" s="539" t="s">
        <v>21</v>
      </c>
      <c r="C522" s="1356"/>
      <c r="D522" s="1357">
        <f>+D523</f>
        <v>0</v>
      </c>
      <c r="E522" s="1357">
        <f t="shared" ref="E522:L523" si="334">+E523</f>
        <v>0</v>
      </c>
      <c r="F522" s="1656">
        <f t="shared" si="334"/>
        <v>0</v>
      </c>
      <c r="G522" s="1656">
        <f t="shared" si="334"/>
        <v>0</v>
      </c>
      <c r="H522" s="1656">
        <f t="shared" si="334"/>
        <v>0</v>
      </c>
      <c r="I522" s="1656">
        <f t="shared" si="334"/>
        <v>0</v>
      </c>
      <c r="J522" s="1656">
        <f t="shared" si="334"/>
        <v>0</v>
      </c>
      <c r="K522" s="1656">
        <f t="shared" si="334"/>
        <v>0</v>
      </c>
      <c r="L522" s="1656">
        <f t="shared" si="334"/>
        <v>0</v>
      </c>
      <c r="M522" s="3519" t="s">
        <v>22</v>
      </c>
      <c r="N522" s="3519" t="s">
        <v>22</v>
      </c>
      <c r="O522" s="3711"/>
    </row>
    <row r="523" spans="1:19" s="3379" customFormat="1" ht="14.25" hidden="1" customHeight="1">
      <c r="A523" s="3514"/>
      <c r="B523" s="810" t="s">
        <v>18</v>
      </c>
      <c r="C523" s="3522" t="s">
        <v>103</v>
      </c>
      <c r="D523" s="1378">
        <f>+D524</f>
        <v>0</v>
      </c>
      <c r="E523" s="1385">
        <f t="shared" si="334"/>
        <v>0</v>
      </c>
      <c r="F523" s="1657">
        <f t="shared" si="334"/>
        <v>0</v>
      </c>
      <c r="G523" s="1657">
        <f t="shared" si="334"/>
        <v>0</v>
      </c>
      <c r="H523" s="1657">
        <f t="shared" si="334"/>
        <v>0</v>
      </c>
      <c r="I523" s="1657">
        <f t="shared" si="334"/>
        <v>0</v>
      </c>
      <c r="J523" s="1657">
        <f t="shared" si="334"/>
        <v>0</v>
      </c>
      <c r="K523" s="1657">
        <f t="shared" si="334"/>
        <v>0</v>
      </c>
      <c r="L523" s="1657">
        <f t="shared" si="334"/>
        <v>0</v>
      </c>
      <c r="M523" s="3517"/>
      <c r="N523" s="3517"/>
      <c r="O523" s="3711"/>
    </row>
    <row r="524" spans="1:19" s="3379" customFormat="1" ht="14.25" hidden="1" customHeight="1" thickBot="1">
      <c r="A524" s="3515"/>
      <c r="B524" s="674" t="s">
        <v>19</v>
      </c>
      <c r="C524" s="3523"/>
      <c r="D524" s="1455">
        <f t="shared" ref="D524" si="335">E524+F524+G524+H524+I524+J524+K524+L524</f>
        <v>0</v>
      </c>
      <c r="E524" s="1643">
        <v>0</v>
      </c>
      <c r="F524" s="756">
        <v>0</v>
      </c>
      <c r="G524" s="756">
        <v>0</v>
      </c>
      <c r="H524" s="756">
        <v>0</v>
      </c>
      <c r="I524" s="756">
        <v>0</v>
      </c>
      <c r="J524" s="756">
        <v>0</v>
      </c>
      <c r="K524" s="756">
        <v>0</v>
      </c>
      <c r="L524" s="756">
        <v>0</v>
      </c>
      <c r="M524" s="3518"/>
      <c r="N524" s="3518"/>
      <c r="O524" s="3712"/>
      <c r="P524" s="3382">
        <f>D524-D521</f>
        <v>0</v>
      </c>
    </row>
    <row r="525" spans="1:19" ht="21" customHeight="1" thickBot="1">
      <c r="A525" s="136" t="s">
        <v>104</v>
      </c>
      <c r="B525" s="137"/>
      <c r="C525" s="138"/>
      <c r="D525" s="139"/>
      <c r="E525" s="139"/>
      <c r="F525" s="138"/>
      <c r="G525" s="138"/>
      <c r="H525" s="138"/>
      <c r="I525" s="138"/>
      <c r="J525" s="138"/>
      <c r="K525" s="138"/>
      <c r="L525" s="138"/>
      <c r="M525" s="138"/>
      <c r="N525" s="138"/>
      <c r="O525" s="140"/>
    </row>
    <row r="526" spans="1:19" s="759" customFormat="1" ht="15.75" customHeight="1">
      <c r="A526" s="3720"/>
      <c r="B526" s="211" t="s">
        <v>68</v>
      </c>
      <c r="C526" s="203"/>
      <c r="D526" s="212">
        <f>+D527+D528</f>
        <v>1153757146</v>
      </c>
      <c r="E526" s="212">
        <f t="shared" ref="E526" si="336">+E527+E528</f>
        <v>367194414</v>
      </c>
      <c r="F526" s="212">
        <f t="shared" ref="F526" si="337">+F527+F528</f>
        <v>166997344</v>
      </c>
      <c r="G526" s="212">
        <f t="shared" ref="G526:L526" si="338">+G527+G528</f>
        <v>197003192</v>
      </c>
      <c r="H526" s="212">
        <f t="shared" si="338"/>
        <v>201020429</v>
      </c>
      <c r="I526" s="212">
        <f t="shared" si="338"/>
        <v>178597825</v>
      </c>
      <c r="J526" s="212">
        <f t="shared" si="338"/>
        <v>25145000</v>
      </c>
      <c r="K526" s="212">
        <f t="shared" si="338"/>
        <v>17798942</v>
      </c>
      <c r="L526" s="212">
        <f t="shared" si="338"/>
        <v>0</v>
      </c>
      <c r="M526" s="16">
        <f>+M527+M528</f>
        <v>786562732</v>
      </c>
      <c r="N526" s="16">
        <f>+N527+N528</f>
        <v>619565388</v>
      </c>
      <c r="O526" s="757"/>
      <c r="P526" s="758"/>
    </row>
    <row r="527" spans="1:19" s="759" customFormat="1" ht="11.25" customHeight="1">
      <c r="A527" s="3510"/>
      <c r="B527" s="205" t="s">
        <v>69</v>
      </c>
      <c r="C527" s="383"/>
      <c r="D527" s="207">
        <f t="shared" ref="D527:N527" si="339">D542+D601+D605+D618+D626+D638+D642+D650</f>
        <v>937778675</v>
      </c>
      <c r="E527" s="207">
        <f t="shared" ref="E527" si="340">E542+E601+E605+E618+E626+E638+E642+E650</f>
        <v>328478944</v>
      </c>
      <c r="F527" s="207">
        <f t="shared" si="339"/>
        <v>125586332</v>
      </c>
      <c r="G527" s="207">
        <f t="shared" si="339"/>
        <v>141831422</v>
      </c>
      <c r="H527" s="207">
        <f t="shared" si="339"/>
        <v>155377937</v>
      </c>
      <c r="I527" s="207">
        <f t="shared" si="339"/>
        <v>143560098</v>
      </c>
      <c r="J527" s="207">
        <f t="shared" si="339"/>
        <v>25145000</v>
      </c>
      <c r="K527" s="207">
        <f t="shared" si="339"/>
        <v>17798942</v>
      </c>
      <c r="L527" s="207">
        <f t="shared" si="339"/>
        <v>0</v>
      </c>
      <c r="M527" s="18">
        <f t="shared" ref="M527" si="341">M542+M601+M605+M618+M626+M638+M642+M650</f>
        <v>609299731</v>
      </c>
      <c r="N527" s="18">
        <f t="shared" si="339"/>
        <v>483713399</v>
      </c>
      <c r="O527" s="757"/>
    </row>
    <row r="528" spans="1:19" s="759" customFormat="1" ht="13.5" customHeight="1">
      <c r="A528" s="3510"/>
      <c r="B528" s="675" t="s">
        <v>9</v>
      </c>
      <c r="C528" s="760"/>
      <c r="D528" s="761">
        <f t="shared" ref="D528:N528" si="342">D555+D563+D567+D579+D594+D634+D646+D658+D666+D673</f>
        <v>215978471</v>
      </c>
      <c r="E528" s="761">
        <f t="shared" si="342"/>
        <v>38715470</v>
      </c>
      <c r="F528" s="761">
        <f t="shared" si="342"/>
        <v>41411012</v>
      </c>
      <c r="G528" s="761">
        <f t="shared" si="342"/>
        <v>55171770</v>
      </c>
      <c r="H528" s="761">
        <f t="shared" si="342"/>
        <v>45642492</v>
      </c>
      <c r="I528" s="761">
        <f t="shared" si="342"/>
        <v>35037727</v>
      </c>
      <c r="J528" s="761">
        <f t="shared" si="342"/>
        <v>0</v>
      </c>
      <c r="K528" s="761">
        <f t="shared" si="342"/>
        <v>0</v>
      </c>
      <c r="L528" s="761">
        <f t="shared" si="342"/>
        <v>0</v>
      </c>
      <c r="M528" s="18">
        <f t="shared" si="342"/>
        <v>177263001</v>
      </c>
      <c r="N528" s="18">
        <f t="shared" si="342"/>
        <v>135851989</v>
      </c>
      <c r="O528" s="757"/>
      <c r="P528" s="758"/>
    </row>
    <row r="529" spans="1:17" s="759" customFormat="1" ht="14.25" customHeight="1">
      <c r="A529" s="3510"/>
      <c r="B529" s="28" t="s">
        <v>10</v>
      </c>
      <c r="C529" s="22"/>
      <c r="D529" s="29">
        <f>+D530</f>
        <v>1153757146</v>
      </c>
      <c r="E529" s="29">
        <f t="shared" ref="E529:L530" si="343">+E530</f>
        <v>367194414</v>
      </c>
      <c r="F529" s="29">
        <f t="shared" si="343"/>
        <v>166997344</v>
      </c>
      <c r="G529" s="29">
        <f t="shared" si="343"/>
        <v>197003192</v>
      </c>
      <c r="H529" s="29">
        <f t="shared" si="343"/>
        <v>201020429</v>
      </c>
      <c r="I529" s="29">
        <f t="shared" si="343"/>
        <v>178597825</v>
      </c>
      <c r="J529" s="29">
        <f t="shared" si="343"/>
        <v>25145000</v>
      </c>
      <c r="K529" s="29">
        <f t="shared" si="343"/>
        <v>17798942</v>
      </c>
      <c r="L529" s="29">
        <f t="shared" si="343"/>
        <v>0</v>
      </c>
      <c r="M529" s="30">
        <f>+M530</f>
        <v>786562732</v>
      </c>
      <c r="N529" s="30">
        <f>+N530</f>
        <v>619565388</v>
      </c>
      <c r="O529" s="762"/>
      <c r="P529" s="758">
        <f>N529-N526</f>
        <v>0</v>
      </c>
    </row>
    <row r="530" spans="1:17" s="766" customFormat="1" ht="12">
      <c r="A530" s="3510"/>
      <c r="B530" s="763" t="s">
        <v>23</v>
      </c>
      <c r="C530" s="764"/>
      <c r="D530" s="384">
        <f>SUM(D531:D534)</f>
        <v>1153757146</v>
      </c>
      <c r="E530" s="384">
        <f t="shared" ref="E530" si="344">SUM(E531:E534)</f>
        <v>367194414</v>
      </c>
      <c r="F530" s="384">
        <f t="shared" ref="F530:I530" si="345">SUM(F531:F534)</f>
        <v>166997344</v>
      </c>
      <c r="G530" s="384">
        <f t="shared" si="345"/>
        <v>197003192</v>
      </c>
      <c r="H530" s="384">
        <f t="shared" si="345"/>
        <v>201020429</v>
      </c>
      <c r="I530" s="384">
        <f t="shared" si="345"/>
        <v>178597825</v>
      </c>
      <c r="J530" s="384">
        <f t="shared" si="343"/>
        <v>25145000</v>
      </c>
      <c r="K530" s="384">
        <f t="shared" si="343"/>
        <v>17798942</v>
      </c>
      <c r="L530" s="384">
        <f t="shared" si="343"/>
        <v>0</v>
      </c>
      <c r="M530" s="77">
        <f>SUM(M531:M534)</f>
        <v>786562732</v>
      </c>
      <c r="N530" s="77">
        <f>SUM(N531:N534)</f>
        <v>619565388</v>
      </c>
      <c r="O530" s="2305"/>
      <c r="P530" s="765"/>
    </row>
    <row r="531" spans="1:17" s="759" customFormat="1" thickBot="1">
      <c r="A531" s="3510"/>
      <c r="B531" s="692" t="s">
        <v>12</v>
      </c>
      <c r="C531" s="693"/>
      <c r="D531" s="385">
        <f t="shared" ref="D531:L531" si="346">+D544+D553+D557+D565+D569+D675+D573+D581+D588+D603+D607+D616+D620+D628+D636+D644+D596+D640+D648+D652+D660+D668</f>
        <v>1028633027</v>
      </c>
      <c r="E531" s="385">
        <f t="shared" si="346"/>
        <v>362500650</v>
      </c>
      <c r="F531" s="385">
        <f t="shared" si="346"/>
        <v>129567608</v>
      </c>
      <c r="G531" s="385">
        <f t="shared" si="346"/>
        <v>149960949</v>
      </c>
      <c r="H531" s="385">
        <f t="shared" si="346"/>
        <v>174761943</v>
      </c>
      <c r="I531" s="385">
        <f t="shared" si="346"/>
        <v>168897935</v>
      </c>
      <c r="J531" s="385">
        <f t="shared" si="346"/>
        <v>25145000</v>
      </c>
      <c r="K531" s="385">
        <f t="shared" si="346"/>
        <v>17798942</v>
      </c>
      <c r="L531" s="385">
        <f t="shared" si="346"/>
        <v>0</v>
      </c>
      <c r="M531" s="808">
        <f t="shared" ref="M531:N534" si="347">SUM(F531:K531)</f>
        <v>666132377</v>
      </c>
      <c r="N531" s="808">
        <f t="shared" si="347"/>
        <v>536564769</v>
      </c>
      <c r="O531" s="3725"/>
      <c r="P531" s="758"/>
    </row>
    <row r="532" spans="1:17" s="759" customFormat="1" thickBot="1">
      <c r="A532" s="3510"/>
      <c r="B532" s="692" t="s">
        <v>70</v>
      </c>
      <c r="C532" s="693"/>
      <c r="D532" s="385">
        <f>D621+D629+D653</f>
        <v>49043728</v>
      </c>
      <c r="E532" s="385">
        <f t="shared" ref="E532" si="348">E621+E629+E653</f>
        <v>0</v>
      </c>
      <c r="F532" s="385">
        <f t="shared" ref="F532:L532" si="349">F621+F629+F653</f>
        <v>23425991</v>
      </c>
      <c r="G532" s="385">
        <f t="shared" si="349"/>
        <v>25617737</v>
      </c>
      <c r="H532" s="385">
        <f t="shared" si="349"/>
        <v>0</v>
      </c>
      <c r="I532" s="385">
        <f t="shared" si="349"/>
        <v>0</v>
      </c>
      <c r="J532" s="385">
        <f t="shared" si="349"/>
        <v>0</v>
      </c>
      <c r="K532" s="385">
        <f t="shared" si="349"/>
        <v>0</v>
      </c>
      <c r="L532" s="385">
        <f t="shared" si="349"/>
        <v>0</v>
      </c>
      <c r="M532" s="808">
        <f t="shared" si="347"/>
        <v>49043728</v>
      </c>
      <c r="N532" s="808">
        <f t="shared" si="347"/>
        <v>25617737</v>
      </c>
      <c r="O532" s="3726"/>
      <c r="P532" s="758"/>
    </row>
    <row r="533" spans="1:17" s="759" customFormat="1" thickBot="1">
      <c r="A533" s="3510"/>
      <c r="B533" s="692" t="s">
        <v>15</v>
      </c>
      <c r="C533" s="693"/>
      <c r="D533" s="385">
        <f t="shared" ref="D533:L533" si="350">+D558+D574+D589+D608+D661</f>
        <v>13631190</v>
      </c>
      <c r="E533" s="385">
        <f t="shared" ref="E533" si="351">+E558+E574+E589+E608+E661</f>
        <v>4693764</v>
      </c>
      <c r="F533" s="385">
        <f t="shared" si="350"/>
        <v>4000167</v>
      </c>
      <c r="G533" s="385">
        <f t="shared" si="350"/>
        <v>4937259</v>
      </c>
      <c r="H533" s="385">
        <f t="shared" si="350"/>
        <v>0</v>
      </c>
      <c r="I533" s="385">
        <f t="shared" si="350"/>
        <v>0</v>
      </c>
      <c r="J533" s="385">
        <f t="shared" si="350"/>
        <v>0</v>
      </c>
      <c r="K533" s="385">
        <f t="shared" si="350"/>
        <v>0</v>
      </c>
      <c r="L533" s="385">
        <f t="shared" si="350"/>
        <v>0</v>
      </c>
      <c r="M533" s="808">
        <f t="shared" si="347"/>
        <v>8937426</v>
      </c>
      <c r="N533" s="808">
        <f t="shared" si="347"/>
        <v>4937259</v>
      </c>
      <c r="O533" s="3726"/>
      <c r="P533" s="758">
        <f>D533-D539</f>
        <v>0</v>
      </c>
    </row>
    <row r="534" spans="1:17" s="759" customFormat="1" ht="13.5" customHeight="1" thickBot="1">
      <c r="A534" s="3510"/>
      <c r="B534" s="692" t="s">
        <v>97</v>
      </c>
      <c r="C534" s="693"/>
      <c r="D534" s="385">
        <f>D545</f>
        <v>62449201</v>
      </c>
      <c r="E534" s="385">
        <f t="shared" ref="E534" si="352">E545</f>
        <v>0</v>
      </c>
      <c r="F534" s="385">
        <f t="shared" ref="F534:L534" si="353">F545</f>
        <v>10003578</v>
      </c>
      <c r="G534" s="385">
        <f t="shared" si="353"/>
        <v>16487247</v>
      </c>
      <c r="H534" s="385">
        <f t="shared" si="353"/>
        <v>26258486</v>
      </c>
      <c r="I534" s="385">
        <f t="shared" si="353"/>
        <v>9699890</v>
      </c>
      <c r="J534" s="385">
        <f t="shared" si="353"/>
        <v>0</v>
      </c>
      <c r="K534" s="385">
        <f t="shared" si="353"/>
        <v>0</v>
      </c>
      <c r="L534" s="385">
        <f t="shared" si="353"/>
        <v>0</v>
      </c>
      <c r="M534" s="808">
        <f t="shared" si="347"/>
        <v>62449201</v>
      </c>
      <c r="N534" s="808">
        <f t="shared" si="347"/>
        <v>52445623</v>
      </c>
      <c r="O534" s="3726"/>
      <c r="P534" s="758"/>
    </row>
    <row r="535" spans="1:17" s="759" customFormat="1" ht="13.5" customHeight="1" thickBot="1">
      <c r="A535" s="3510"/>
      <c r="B535" s="80" t="s">
        <v>21</v>
      </c>
      <c r="C535" s="22"/>
      <c r="D535" s="29">
        <f>+D536</f>
        <v>228592156</v>
      </c>
      <c r="E535" s="29">
        <f t="shared" ref="E535:L535" si="354">+E536</f>
        <v>56644776</v>
      </c>
      <c r="F535" s="29">
        <f t="shared" si="354"/>
        <v>49455283</v>
      </c>
      <c r="G535" s="29">
        <f t="shared" si="354"/>
        <v>61010927</v>
      </c>
      <c r="H535" s="29">
        <f t="shared" si="354"/>
        <v>31425585</v>
      </c>
      <c r="I535" s="29">
        <f t="shared" si="354"/>
        <v>30055585</v>
      </c>
      <c r="J535" s="29">
        <f t="shared" si="354"/>
        <v>0</v>
      </c>
      <c r="K535" s="29">
        <f t="shared" si="354"/>
        <v>0</v>
      </c>
      <c r="L535" s="29">
        <f t="shared" si="354"/>
        <v>0</v>
      </c>
      <c r="M535" s="3516" t="s">
        <v>22</v>
      </c>
      <c r="N535" s="3716" t="s">
        <v>22</v>
      </c>
      <c r="O535" s="3726"/>
    </row>
    <row r="536" spans="1:17" s="759" customFormat="1" ht="12" customHeight="1" thickBot="1">
      <c r="A536" s="3510"/>
      <c r="B536" s="763" t="s">
        <v>23</v>
      </c>
      <c r="C536" s="698"/>
      <c r="D536" s="222">
        <f>+D537+D539+D538+D540</f>
        <v>228592156</v>
      </c>
      <c r="E536" s="222">
        <f t="shared" ref="E536" si="355">+E537+E539+E538+E540</f>
        <v>56644776</v>
      </c>
      <c r="F536" s="222">
        <f t="shared" ref="F536:L536" si="356">+F537+F539+F538+F540</f>
        <v>49455283</v>
      </c>
      <c r="G536" s="222">
        <f t="shared" si="356"/>
        <v>61010927</v>
      </c>
      <c r="H536" s="222">
        <f t="shared" si="356"/>
        <v>31425585</v>
      </c>
      <c r="I536" s="222">
        <f t="shared" si="356"/>
        <v>30055585</v>
      </c>
      <c r="J536" s="222">
        <f t="shared" si="356"/>
        <v>0</v>
      </c>
      <c r="K536" s="222">
        <f t="shared" si="356"/>
        <v>0</v>
      </c>
      <c r="L536" s="222">
        <f t="shared" si="356"/>
        <v>0</v>
      </c>
      <c r="M536" s="3517"/>
      <c r="N536" s="3605"/>
      <c r="O536" s="3726"/>
    </row>
    <row r="537" spans="1:17" s="759" customFormat="1" ht="12" customHeight="1" thickBot="1">
      <c r="A537" s="3510"/>
      <c r="B537" s="692" t="s">
        <v>177</v>
      </c>
      <c r="C537" s="386"/>
      <c r="D537" s="141">
        <f>+D611+D599+D584+D671+D549</f>
        <v>103468037</v>
      </c>
      <c r="E537" s="141">
        <f t="shared" ref="E537:L537" si="357">+E611+E599+E584+E671+E549</f>
        <v>23178951</v>
      </c>
      <c r="F537" s="141">
        <f t="shared" si="357"/>
        <v>13609840</v>
      </c>
      <c r="G537" s="141">
        <f>+G611+G599+G584+G671+G549</f>
        <v>22036646</v>
      </c>
      <c r="H537" s="141">
        <f t="shared" si="357"/>
        <v>23006300</v>
      </c>
      <c r="I537" s="141">
        <f t="shared" si="357"/>
        <v>21636300</v>
      </c>
      <c r="J537" s="141">
        <f t="shared" si="357"/>
        <v>0</v>
      </c>
      <c r="K537" s="141">
        <f t="shared" si="357"/>
        <v>0</v>
      </c>
      <c r="L537" s="141">
        <f t="shared" si="357"/>
        <v>0</v>
      </c>
      <c r="M537" s="3517"/>
      <c r="N537" s="3605"/>
      <c r="O537" s="3726"/>
      <c r="Q537" s="758">
        <v>28500000</v>
      </c>
    </row>
    <row r="538" spans="1:17" s="759" customFormat="1" ht="12" customHeight="1" thickBot="1">
      <c r="A538" s="3130"/>
      <c r="B538" s="692" t="s">
        <v>70</v>
      </c>
      <c r="C538" s="386"/>
      <c r="D538" s="385">
        <f>D624+D632+D656</f>
        <v>49043728</v>
      </c>
      <c r="E538" s="385">
        <f t="shared" ref="E538" si="358">E624+E632+E656</f>
        <v>0</v>
      </c>
      <c r="F538" s="385">
        <f t="shared" ref="F538:L538" si="359">F624+F632+F656</f>
        <v>23425991</v>
      </c>
      <c r="G538" s="385">
        <f t="shared" si="359"/>
        <v>25617737</v>
      </c>
      <c r="H538" s="385">
        <f t="shared" si="359"/>
        <v>0</v>
      </c>
      <c r="I538" s="385">
        <f t="shared" si="359"/>
        <v>0</v>
      </c>
      <c r="J538" s="385">
        <f t="shared" si="359"/>
        <v>0</v>
      </c>
      <c r="K538" s="385">
        <f t="shared" si="359"/>
        <v>0</v>
      </c>
      <c r="L538" s="385">
        <f t="shared" si="359"/>
        <v>0</v>
      </c>
      <c r="M538" s="3517"/>
      <c r="N538" s="3605"/>
      <c r="O538" s="3726"/>
      <c r="P538" s="758">
        <f>D538-D532</f>
        <v>0</v>
      </c>
      <c r="Q538" s="758">
        <v>4072498</v>
      </c>
    </row>
    <row r="539" spans="1:17" s="759" customFormat="1" ht="12" customHeight="1" thickBot="1">
      <c r="A539" s="3130"/>
      <c r="B539" s="692" t="s">
        <v>15</v>
      </c>
      <c r="C539" s="386"/>
      <c r="D539" s="141">
        <f t="shared" ref="D539:L539" si="360">+D561+D577+D592+D612+D664</f>
        <v>13631190</v>
      </c>
      <c r="E539" s="141">
        <f t="shared" ref="E539" si="361">+E561+E577+E592+E612+E664</f>
        <v>4693764</v>
      </c>
      <c r="F539" s="141">
        <f t="shared" si="360"/>
        <v>4000167</v>
      </c>
      <c r="G539" s="141">
        <f t="shared" si="360"/>
        <v>4937259</v>
      </c>
      <c r="H539" s="141">
        <f t="shared" si="360"/>
        <v>0</v>
      </c>
      <c r="I539" s="141">
        <f t="shared" si="360"/>
        <v>0</v>
      </c>
      <c r="J539" s="141">
        <f t="shared" si="360"/>
        <v>0</v>
      </c>
      <c r="K539" s="141">
        <f t="shared" si="360"/>
        <v>0</v>
      </c>
      <c r="L539" s="141">
        <f t="shared" si="360"/>
        <v>0</v>
      </c>
      <c r="M539" s="3517"/>
      <c r="N539" s="3605"/>
      <c r="O539" s="3726"/>
      <c r="Q539" s="758">
        <v>1570791</v>
      </c>
    </row>
    <row r="540" spans="1:17" s="759" customFormat="1" ht="12" customHeight="1" thickBot="1">
      <c r="A540" s="3131"/>
      <c r="B540" s="2469" t="s">
        <v>97</v>
      </c>
      <c r="C540" s="2396"/>
      <c r="D540" s="2470">
        <f>D548</f>
        <v>62449201</v>
      </c>
      <c r="E540" s="2470">
        <f t="shared" ref="E540" si="362">E548</f>
        <v>28772061</v>
      </c>
      <c r="F540" s="2470">
        <f t="shared" ref="F540:L540" si="363">F548</f>
        <v>8419285</v>
      </c>
      <c r="G540" s="2470">
        <f t="shared" si="363"/>
        <v>8419285</v>
      </c>
      <c r="H540" s="2470">
        <f t="shared" si="363"/>
        <v>8419285</v>
      </c>
      <c r="I540" s="2470">
        <f t="shared" si="363"/>
        <v>8419285</v>
      </c>
      <c r="J540" s="2470">
        <f t="shared" si="363"/>
        <v>0</v>
      </c>
      <c r="K540" s="2470">
        <f t="shared" si="363"/>
        <v>0</v>
      </c>
      <c r="L540" s="2470">
        <f t="shared" si="363"/>
        <v>0</v>
      </c>
      <c r="M540" s="3518"/>
      <c r="N540" s="3605"/>
      <c r="O540" s="3726"/>
    </row>
    <row r="541" spans="1:17" s="759" customFormat="1" ht="13.5" customHeight="1">
      <c r="A541" s="3720" t="s">
        <v>55</v>
      </c>
      <c r="B541" s="372" t="s">
        <v>538</v>
      </c>
      <c r="C541" s="56" t="s">
        <v>100</v>
      </c>
      <c r="D541" s="2754"/>
      <c r="E541" s="2755"/>
      <c r="F541" s="2755"/>
      <c r="G541" s="2755"/>
      <c r="H541" s="2755"/>
      <c r="I541" s="2755"/>
      <c r="J541" s="2755"/>
      <c r="K541" s="2755"/>
      <c r="L541" s="2756"/>
      <c r="M541" s="1143"/>
      <c r="N541" s="1143"/>
      <c r="O541" s="3723" t="s">
        <v>93</v>
      </c>
    </row>
    <row r="542" spans="1:17" s="759" customFormat="1" ht="13.5" customHeight="1">
      <c r="A542" s="3510"/>
      <c r="B542" s="2131" t="s">
        <v>10</v>
      </c>
      <c r="C542" s="2603"/>
      <c r="D542" s="1664">
        <f>+D543</f>
        <v>125100071</v>
      </c>
      <c r="E542" s="1664">
        <f t="shared" ref="E542:K542" si="364">+E543</f>
        <v>2184218</v>
      </c>
      <c r="F542" s="1664">
        <f t="shared" si="364"/>
        <v>12304401</v>
      </c>
      <c r="G542" s="1664">
        <f t="shared" si="364"/>
        <v>20559573</v>
      </c>
      <c r="H542" s="1664">
        <f t="shared" si="364"/>
        <v>32297937</v>
      </c>
      <c r="I542" s="1664">
        <f t="shared" si="364"/>
        <v>22700000</v>
      </c>
      <c r="J542" s="1664">
        <f t="shared" si="364"/>
        <v>21200000</v>
      </c>
      <c r="K542" s="1664">
        <f t="shared" si="364"/>
        <v>13853942</v>
      </c>
      <c r="L542" s="1386">
        <v>0</v>
      </c>
      <c r="M542" s="1413">
        <f>+M543</f>
        <v>122915853</v>
      </c>
      <c r="N542" s="1413">
        <f>+N543</f>
        <v>110611452</v>
      </c>
      <c r="O542" s="3724"/>
      <c r="P542" s="758"/>
    </row>
    <row r="543" spans="1:17" s="759" customFormat="1" ht="13.5" customHeight="1">
      <c r="A543" s="3510"/>
      <c r="B543" s="2846" t="s">
        <v>23</v>
      </c>
      <c r="C543" s="3522" t="s">
        <v>90</v>
      </c>
      <c r="D543" s="1665">
        <f>D544+D545</f>
        <v>125100071</v>
      </c>
      <c r="E543" s="1665">
        <f t="shared" ref="E543:G543" si="365">E544+E545</f>
        <v>2184218</v>
      </c>
      <c r="F543" s="1665">
        <f>F544+F545</f>
        <v>12304401</v>
      </c>
      <c r="G543" s="1665">
        <f t="shared" si="365"/>
        <v>20559573</v>
      </c>
      <c r="H543" s="1665">
        <f t="shared" ref="H543" si="366">H544+H545</f>
        <v>32297937</v>
      </c>
      <c r="I543" s="1665">
        <f t="shared" ref="I543:K543" si="367">I544+I545</f>
        <v>22700000</v>
      </c>
      <c r="J543" s="1665">
        <f t="shared" si="367"/>
        <v>21200000</v>
      </c>
      <c r="K543" s="1665">
        <f t="shared" si="367"/>
        <v>13853942</v>
      </c>
      <c r="L543" s="1384">
        <v>0</v>
      </c>
      <c r="M543" s="1398">
        <f>+M544+M545</f>
        <v>122915853</v>
      </c>
      <c r="N543" s="1398">
        <f>+N544+N545</f>
        <v>110611452</v>
      </c>
      <c r="O543" s="3724"/>
    </row>
    <row r="544" spans="1:17" s="759" customFormat="1" ht="13.5" customHeight="1">
      <c r="A544" s="3510"/>
      <c r="B544" s="2847" t="s">
        <v>12</v>
      </c>
      <c r="C544" s="3566"/>
      <c r="D544" s="3398">
        <f>E544+F544+G544+H544+I544+J544+K544+L544</f>
        <v>62650870</v>
      </c>
      <c r="E544" s="1334">
        <v>2184218</v>
      </c>
      <c r="F544" s="1666">
        <f>23370000-5870000+3500000-18079000-620177</f>
        <v>2300823</v>
      </c>
      <c r="G544" s="1666">
        <f>5009055-1164582+227853</f>
        <v>4072326</v>
      </c>
      <c r="H544" s="1666">
        <f>3791381+2248070</f>
        <v>6039451</v>
      </c>
      <c r="I544" s="1666">
        <f>7563540+5436570</f>
        <v>13000110</v>
      </c>
      <c r="J544" s="1666">
        <v>21200000</v>
      </c>
      <c r="K544" s="1666">
        <v>13853942</v>
      </c>
      <c r="L544" s="1317">
        <v>0</v>
      </c>
      <c r="M544" s="1374">
        <f>SUM(F544:K544)</f>
        <v>60466652</v>
      </c>
      <c r="N544" s="1374">
        <f>SUM(G544:L544)</f>
        <v>58165829</v>
      </c>
      <c r="O544" s="3724"/>
      <c r="P544" s="758"/>
    </row>
    <row r="545" spans="1:16" s="759" customFormat="1" ht="13.5" customHeight="1">
      <c r="A545" s="3510"/>
      <c r="B545" s="3399" t="s">
        <v>97</v>
      </c>
      <c r="C545" s="3658"/>
      <c r="D545" s="3329">
        <f>E545+F545+G545+H545+I545+J545+K545+L545</f>
        <v>62449201</v>
      </c>
      <c r="E545" s="1334">
        <v>0</v>
      </c>
      <c r="F545" s="107">
        <f>12700000-2696422</f>
        <v>10003578</v>
      </c>
      <c r="G545" s="107">
        <f>21778500-5291253</f>
        <v>16487247</v>
      </c>
      <c r="H545" s="107">
        <f>16484263+9774223</f>
        <v>26258486</v>
      </c>
      <c r="I545" s="107">
        <f>14182860-4482970</f>
        <v>9699890</v>
      </c>
      <c r="J545" s="1127">
        <v>0</v>
      </c>
      <c r="K545" s="1127">
        <v>0</v>
      </c>
      <c r="L545" s="1127">
        <v>0</v>
      </c>
      <c r="M545" s="1374">
        <f>SUM(F545:K545)</f>
        <v>62449201</v>
      </c>
      <c r="N545" s="1374">
        <f>SUM(G545:L545)</f>
        <v>52445623</v>
      </c>
      <c r="O545" s="3724"/>
      <c r="P545" s="758"/>
    </row>
    <row r="546" spans="1:16" s="759" customFormat="1" ht="13.5" customHeight="1">
      <c r="A546" s="3510"/>
      <c r="B546" s="182" t="s">
        <v>21</v>
      </c>
      <c r="C546" s="88"/>
      <c r="D546" s="1144">
        <f>D547</f>
        <v>62677054</v>
      </c>
      <c r="E546" s="1144">
        <f t="shared" ref="E546:L547" si="368">E547</f>
        <v>28772061</v>
      </c>
      <c r="F546" s="1144">
        <f t="shared" si="368"/>
        <v>8419285</v>
      </c>
      <c r="G546" s="1144">
        <f t="shared" si="368"/>
        <v>8647138</v>
      </c>
      <c r="H546" s="1144">
        <f t="shared" si="368"/>
        <v>8419285</v>
      </c>
      <c r="I546" s="1144">
        <f t="shared" si="368"/>
        <v>8419285</v>
      </c>
      <c r="J546" s="1145">
        <f t="shared" si="368"/>
        <v>0</v>
      </c>
      <c r="K546" s="1145">
        <f t="shared" si="368"/>
        <v>0</v>
      </c>
      <c r="L546" s="1145">
        <f t="shared" si="368"/>
        <v>0</v>
      </c>
      <c r="M546" s="3520" t="s">
        <v>22</v>
      </c>
      <c r="N546" s="3721" t="s">
        <v>22</v>
      </c>
      <c r="O546" s="3724"/>
      <c r="P546" s="758"/>
    </row>
    <row r="547" spans="1:16" s="759" customFormat="1" ht="14.25" customHeight="1">
      <c r="A547" s="3510"/>
      <c r="B547" s="3400" t="s">
        <v>23</v>
      </c>
      <c r="C547" s="3522" t="s">
        <v>90</v>
      </c>
      <c r="D547" s="3401">
        <f>D548+D549</f>
        <v>62677054</v>
      </c>
      <c r="E547" s="3083">
        <f t="shared" ref="E547:I547" si="369">E548+E549</f>
        <v>28772061</v>
      </c>
      <c r="F547" s="3083">
        <f t="shared" si="369"/>
        <v>8419285</v>
      </c>
      <c r="G547" s="3401">
        <f t="shared" si="369"/>
        <v>8647138</v>
      </c>
      <c r="H547" s="3083">
        <f t="shared" si="369"/>
        <v>8419285</v>
      </c>
      <c r="I547" s="3083">
        <f t="shared" si="369"/>
        <v>8419285</v>
      </c>
      <c r="J547" s="1667">
        <f t="shared" si="368"/>
        <v>0</v>
      </c>
      <c r="K547" s="1667">
        <f t="shared" si="368"/>
        <v>0</v>
      </c>
      <c r="L547" s="1667">
        <f t="shared" si="368"/>
        <v>0</v>
      </c>
      <c r="M547" s="3520"/>
      <c r="N547" s="3722"/>
      <c r="O547" s="3724"/>
      <c r="P547" s="758"/>
    </row>
    <row r="548" spans="1:16" s="759" customFormat="1" ht="13.5" customHeight="1">
      <c r="A548" s="3510"/>
      <c r="B548" s="3399" t="s">
        <v>97</v>
      </c>
      <c r="C548" s="3566"/>
      <c r="D548" s="3329">
        <f>E548+F548+G548+H548+I548+J548+K548+L548</f>
        <v>62449201</v>
      </c>
      <c r="E548" s="1339">
        <v>28772061</v>
      </c>
      <c r="F548" s="1339">
        <v>8419285</v>
      </c>
      <c r="G548" s="3329">
        <v>8419285</v>
      </c>
      <c r="H548" s="1339">
        <v>8419285</v>
      </c>
      <c r="I548" s="1339">
        <v>8419285</v>
      </c>
      <c r="J548" s="1667">
        <v>0</v>
      </c>
      <c r="K548" s="1667">
        <v>0</v>
      </c>
      <c r="L548" s="1667">
        <v>0</v>
      </c>
      <c r="M548" s="3521"/>
      <c r="N548" s="3722"/>
      <c r="O548" s="3724"/>
      <c r="P548" s="758"/>
    </row>
    <row r="549" spans="1:16" s="759" customFormat="1" ht="15" customHeight="1" thickBot="1">
      <c r="A549" s="3510"/>
      <c r="B549" s="2847" t="s">
        <v>12</v>
      </c>
      <c r="C549" s="3566"/>
      <c r="D549" s="3329">
        <f>E549+F549+G549+H549+I549+J549+K549+L549</f>
        <v>227853</v>
      </c>
      <c r="E549" s="3082">
        <v>0</v>
      </c>
      <c r="F549" s="3082">
        <v>0</v>
      </c>
      <c r="G549" s="3402">
        <v>227853</v>
      </c>
      <c r="H549" s="3082">
        <v>0</v>
      </c>
      <c r="I549" s="3082">
        <v>0</v>
      </c>
      <c r="J549" s="3082">
        <v>0</v>
      </c>
      <c r="K549" s="3082">
        <v>0</v>
      </c>
      <c r="L549" s="3082">
        <v>0</v>
      </c>
      <c r="M549" s="3132"/>
      <c r="N549" s="3722"/>
      <c r="O549" s="3724"/>
      <c r="P549" s="758"/>
    </row>
    <row r="550" spans="1:16" s="759" customFormat="1" ht="14.25" hidden="1" customHeight="1">
      <c r="A550" s="3510"/>
      <c r="B550" s="387"/>
      <c r="C550" s="767"/>
      <c r="D550" s="82"/>
      <c r="E550" s="242"/>
      <c r="F550" s="242"/>
      <c r="G550" s="242"/>
      <c r="H550" s="242"/>
      <c r="I550" s="242"/>
      <c r="J550" s="242"/>
      <c r="K550" s="242"/>
      <c r="L550" s="242"/>
      <c r="M550" s="243"/>
      <c r="N550" s="243"/>
      <c r="O550" s="3619"/>
    </row>
    <row r="551" spans="1:16" s="759" customFormat="1" ht="13.5" hidden="1" customHeight="1">
      <c r="A551" s="3510"/>
      <c r="B551" s="28"/>
      <c r="C551" s="88"/>
      <c r="D551" s="200"/>
      <c r="E551" s="200"/>
      <c r="F551" s="200"/>
      <c r="G551" s="200"/>
      <c r="H551" s="234"/>
      <c r="I551" s="234"/>
      <c r="J551" s="234"/>
      <c r="K551" s="234"/>
      <c r="L551" s="234"/>
      <c r="M551" s="229"/>
      <c r="N551" s="229"/>
      <c r="O551" s="3737"/>
    </row>
    <row r="552" spans="1:16" s="759" customFormat="1" ht="13.5" hidden="1" customHeight="1">
      <c r="A552" s="3510"/>
      <c r="B552" s="518"/>
      <c r="C552" s="3543"/>
      <c r="D552" s="76"/>
      <c r="E552" s="76"/>
      <c r="F552" s="76"/>
      <c r="G552" s="76"/>
      <c r="H552" s="232"/>
      <c r="I552" s="232"/>
      <c r="J552" s="232"/>
      <c r="K552" s="232"/>
      <c r="L552" s="232"/>
      <c r="M552" s="230"/>
      <c r="N552" s="230"/>
      <c r="O552" s="3737"/>
    </row>
    <row r="553" spans="1:16" s="759" customFormat="1" ht="13.5" hidden="1" customHeight="1" thickBot="1">
      <c r="A553" s="3511"/>
      <c r="B553" s="69"/>
      <c r="C553" s="3523"/>
      <c r="D553" s="85"/>
      <c r="E553" s="71"/>
      <c r="F553" s="49"/>
      <c r="G553" s="49"/>
      <c r="H553" s="235"/>
      <c r="I553" s="235"/>
      <c r="J553" s="235"/>
      <c r="K553" s="235"/>
      <c r="L553" s="235"/>
      <c r="M553" s="231"/>
      <c r="N553" s="231"/>
      <c r="O553" s="3738"/>
      <c r="P553" s="758"/>
    </row>
    <row r="554" spans="1:16" s="759" customFormat="1" ht="12" hidden="1">
      <c r="A554" s="3536"/>
      <c r="B554" s="72"/>
      <c r="C554" s="56" t="s">
        <v>73</v>
      </c>
      <c r="D554" s="713"/>
      <c r="E554" s="93"/>
      <c r="F554" s="93"/>
      <c r="G554" s="93"/>
      <c r="H554" s="93"/>
      <c r="I554" s="93"/>
      <c r="J554" s="93"/>
      <c r="K554" s="93"/>
      <c r="L554" s="93"/>
      <c r="M554" s="43"/>
      <c r="N554" s="43"/>
      <c r="O554" s="3540" t="s">
        <v>93</v>
      </c>
    </row>
    <row r="555" spans="1:16" s="759" customFormat="1" ht="15" hidden="1" customHeight="1">
      <c r="A555" s="3537"/>
      <c r="B555" s="417" t="s">
        <v>10</v>
      </c>
      <c r="C555" s="1380"/>
      <c r="D555" s="1293">
        <f>+D556</f>
        <v>0</v>
      </c>
      <c r="E555" s="1370">
        <f t="shared" ref="E555:N555" si="370">+E556</f>
        <v>0</v>
      </c>
      <c r="F555" s="1370">
        <f t="shared" si="370"/>
        <v>0</v>
      </c>
      <c r="G555" s="1386">
        <v>0</v>
      </c>
      <c r="H555" s="1386">
        <v>0</v>
      </c>
      <c r="I555" s="1386">
        <v>0</v>
      </c>
      <c r="J555" s="1386">
        <v>0</v>
      </c>
      <c r="K555" s="1386">
        <v>0</v>
      </c>
      <c r="L555" s="1386">
        <v>0</v>
      </c>
      <c r="M555" s="1294">
        <f t="shared" si="370"/>
        <v>0</v>
      </c>
      <c r="N555" s="1294">
        <f t="shared" si="370"/>
        <v>0</v>
      </c>
      <c r="O555" s="3541"/>
      <c r="P555" s="758"/>
    </row>
    <row r="556" spans="1:16" s="759" customFormat="1" ht="13.5" hidden="1" customHeight="1">
      <c r="A556" s="3537"/>
      <c r="B556" s="545" t="s">
        <v>23</v>
      </c>
      <c r="C556" s="3522"/>
      <c r="D556" s="1296">
        <f>+D557+D558</f>
        <v>0</v>
      </c>
      <c r="E556" s="1371">
        <f t="shared" ref="E556" si="371">+E557+E558</f>
        <v>0</v>
      </c>
      <c r="F556" s="1371">
        <f>+F557+F558</f>
        <v>0</v>
      </c>
      <c r="G556" s="1384">
        <v>0</v>
      </c>
      <c r="H556" s="1384">
        <v>0</v>
      </c>
      <c r="I556" s="1384">
        <v>0</v>
      </c>
      <c r="J556" s="1384">
        <v>0</v>
      </c>
      <c r="K556" s="1384">
        <v>0</v>
      </c>
      <c r="L556" s="1384">
        <v>0</v>
      </c>
      <c r="M556" s="1361">
        <f>+M557+M558</f>
        <v>0</v>
      </c>
      <c r="N556" s="1361">
        <f>+N557+N558</f>
        <v>0</v>
      </c>
      <c r="O556" s="3541"/>
    </row>
    <row r="557" spans="1:16" s="759" customFormat="1" ht="13.5" hidden="1" customHeight="1">
      <c r="A557" s="3537"/>
      <c r="B557" s="1387" t="s">
        <v>12</v>
      </c>
      <c r="C557" s="3595"/>
      <c r="D557" s="1288">
        <f>E557+F557+G557+H557+I557+J557+K557+L557</f>
        <v>0</v>
      </c>
      <c r="E557" s="1334"/>
      <c r="F557" s="1300"/>
      <c r="G557" s="1383">
        <v>0</v>
      </c>
      <c r="H557" s="1383">
        <v>0</v>
      </c>
      <c r="I557" s="1383">
        <v>0</v>
      </c>
      <c r="J557" s="1383">
        <v>0</v>
      </c>
      <c r="K557" s="1383">
        <v>0</v>
      </c>
      <c r="L557" s="1383">
        <v>0</v>
      </c>
      <c r="M557" s="808">
        <f>SUM(F557:K557)</f>
        <v>0</v>
      </c>
      <c r="N557" s="808">
        <f>SUM(G557:L557)</f>
        <v>0</v>
      </c>
      <c r="O557" s="3541"/>
    </row>
    <row r="558" spans="1:16" s="759" customFormat="1" ht="13.5" hidden="1" customHeight="1">
      <c r="A558" s="3537"/>
      <c r="B558" s="600" t="s">
        <v>105</v>
      </c>
      <c r="C558" s="3596"/>
      <c r="D558" s="1288">
        <f>E558+F558+G558+H558+I558+J558+K558+L558</f>
        <v>0</v>
      </c>
      <c r="E558" s="1334"/>
      <c r="F558" s="1383">
        <v>0</v>
      </c>
      <c r="G558" s="1383">
        <v>0</v>
      </c>
      <c r="H558" s="1383">
        <v>0</v>
      </c>
      <c r="I558" s="1383">
        <v>0</v>
      </c>
      <c r="J558" s="1383">
        <v>0</v>
      </c>
      <c r="K558" s="1383">
        <v>0</v>
      </c>
      <c r="L558" s="1383">
        <v>0</v>
      </c>
      <c r="M558" s="808">
        <f>SUM(F558:K558)</f>
        <v>0</v>
      </c>
      <c r="N558" s="808">
        <f>SUM(G558:L558)</f>
        <v>0</v>
      </c>
      <c r="O558" s="3541"/>
    </row>
    <row r="559" spans="1:16" s="759" customFormat="1" ht="12.75" hidden="1" customHeight="1">
      <c r="A559" s="3538"/>
      <c r="B559" s="539" t="s">
        <v>21</v>
      </c>
      <c r="C559" s="1380"/>
      <c r="D559" s="1293">
        <f>+D560</f>
        <v>0</v>
      </c>
      <c r="E559" s="1293">
        <f t="shared" ref="E559:E560" si="372">+E560</f>
        <v>0</v>
      </c>
      <c r="F559" s="1386">
        <v>0</v>
      </c>
      <c r="G559" s="1386">
        <v>0</v>
      </c>
      <c r="H559" s="1386">
        <v>0</v>
      </c>
      <c r="I559" s="1386">
        <v>0</v>
      </c>
      <c r="J559" s="1386">
        <v>0</v>
      </c>
      <c r="K559" s="1386">
        <v>0</v>
      </c>
      <c r="L559" s="1386">
        <v>0</v>
      </c>
      <c r="M559" s="3590" t="s">
        <v>22</v>
      </c>
      <c r="N559" s="3590" t="s">
        <v>22</v>
      </c>
      <c r="O559" s="3541"/>
    </row>
    <row r="560" spans="1:16" s="759" customFormat="1" ht="13.5" hidden="1" customHeight="1">
      <c r="A560" s="3538"/>
      <c r="B560" s="515" t="s">
        <v>23</v>
      </c>
      <c r="C560" s="3522"/>
      <c r="D560" s="1371">
        <f>+D561</f>
        <v>0</v>
      </c>
      <c r="E560" s="1371">
        <f t="shared" si="372"/>
        <v>0</v>
      </c>
      <c r="F560" s="1384">
        <v>0</v>
      </c>
      <c r="G560" s="1384">
        <v>0</v>
      </c>
      <c r="H560" s="1384">
        <v>0</v>
      </c>
      <c r="I560" s="1384">
        <v>0</v>
      </c>
      <c r="J560" s="1384">
        <v>0</v>
      </c>
      <c r="K560" s="1384">
        <v>0</v>
      </c>
      <c r="L560" s="1384">
        <v>0</v>
      </c>
      <c r="M560" s="3530"/>
      <c r="N560" s="3530"/>
      <c r="O560" s="3541"/>
    </row>
    <row r="561" spans="1:131" s="759" customFormat="1" ht="13.5" hidden="1" customHeight="1" thickBot="1">
      <c r="A561" s="3539"/>
      <c r="B561" s="327" t="s">
        <v>105</v>
      </c>
      <c r="C561" s="3523"/>
      <c r="D561" s="1288">
        <f>E561+F561+G561+H561+I561+J561+K561+L561</f>
        <v>0</v>
      </c>
      <c r="E561" s="1334"/>
      <c r="F561" s="819">
        <v>0</v>
      </c>
      <c r="G561" s="819">
        <v>0</v>
      </c>
      <c r="H561" s="819">
        <v>0</v>
      </c>
      <c r="I561" s="819">
        <v>0</v>
      </c>
      <c r="J561" s="819">
        <v>0</v>
      </c>
      <c r="K561" s="819">
        <v>0</v>
      </c>
      <c r="L561" s="819">
        <v>0</v>
      </c>
      <c r="M561" s="3531"/>
      <c r="N561" s="3531"/>
      <c r="O561" s="3542"/>
    </row>
    <row r="562" spans="1:131" s="769" customFormat="1" ht="12" customHeight="1">
      <c r="A562" s="3524" t="s">
        <v>56</v>
      </c>
      <c r="B562" s="72" t="s">
        <v>288</v>
      </c>
      <c r="C562" s="56" t="s">
        <v>73</v>
      </c>
      <c r="D562" s="3403"/>
      <c r="E562" s="2757"/>
      <c r="F562" s="2757"/>
      <c r="G562" s="2757"/>
      <c r="H562" s="2757"/>
      <c r="I562" s="2757"/>
      <c r="J562" s="2757"/>
      <c r="K562" s="2757"/>
      <c r="L562" s="58"/>
      <c r="M562" s="43"/>
      <c r="N562" s="43"/>
      <c r="O562" s="3507" t="s">
        <v>78</v>
      </c>
      <c r="P562" s="768"/>
      <c r="Q562" s="768"/>
      <c r="R562" s="768"/>
      <c r="S562" s="768"/>
      <c r="T562" s="768"/>
      <c r="U562" s="768"/>
      <c r="V562" s="768"/>
      <c r="W562" s="768"/>
      <c r="X562" s="768"/>
      <c r="Y562" s="768"/>
      <c r="Z562" s="768"/>
      <c r="AA562" s="768"/>
      <c r="AB562" s="768"/>
      <c r="AC562" s="768"/>
      <c r="AD562" s="768"/>
      <c r="AE562" s="768"/>
      <c r="AF562" s="768"/>
      <c r="AG562" s="768"/>
      <c r="AH562" s="768"/>
      <c r="AI562" s="768"/>
      <c r="AJ562" s="768"/>
      <c r="AK562" s="768"/>
      <c r="AL562" s="768"/>
      <c r="AM562" s="768"/>
      <c r="AN562" s="768"/>
      <c r="AO562" s="768"/>
      <c r="AP562" s="768"/>
      <c r="AQ562" s="768"/>
      <c r="AR562" s="768"/>
      <c r="AS562" s="768"/>
      <c r="AT562" s="768"/>
      <c r="AU562" s="768"/>
      <c r="AV562" s="768"/>
      <c r="AW562" s="768"/>
      <c r="AX562" s="768"/>
      <c r="AY562" s="768"/>
      <c r="AZ562" s="768"/>
      <c r="BA562" s="768"/>
      <c r="BB562" s="768"/>
      <c r="BC562" s="768"/>
      <c r="BD562" s="768"/>
      <c r="BE562" s="768"/>
      <c r="BF562" s="768"/>
      <c r="BG562" s="768"/>
      <c r="BH562" s="768"/>
      <c r="BI562" s="768"/>
      <c r="BJ562" s="768"/>
      <c r="BK562" s="768"/>
      <c r="BL562" s="768"/>
      <c r="BM562" s="768"/>
      <c r="BN562" s="768"/>
      <c r="BO562" s="768"/>
      <c r="BP562" s="768"/>
      <c r="BQ562" s="768"/>
      <c r="BR562" s="768"/>
      <c r="BS562" s="768"/>
      <c r="BT562" s="768"/>
      <c r="BU562" s="768"/>
      <c r="BV562" s="768"/>
      <c r="BW562" s="768"/>
      <c r="BX562" s="768"/>
      <c r="BY562" s="768"/>
      <c r="BZ562" s="768"/>
      <c r="CA562" s="768"/>
      <c r="CB562" s="768"/>
      <c r="CC562" s="768"/>
      <c r="CD562" s="768"/>
      <c r="CE562" s="768"/>
      <c r="CF562" s="768"/>
      <c r="CG562" s="768"/>
      <c r="CH562" s="768"/>
      <c r="CI562" s="768"/>
      <c r="CJ562" s="768"/>
      <c r="CK562" s="768"/>
      <c r="CL562" s="768"/>
      <c r="CM562" s="768"/>
      <c r="CN562" s="768"/>
      <c r="CO562" s="768"/>
      <c r="CP562" s="768"/>
      <c r="CQ562" s="768"/>
      <c r="CR562" s="768"/>
      <c r="CS562" s="768"/>
      <c r="CT562" s="768"/>
      <c r="CU562" s="768"/>
      <c r="CV562" s="768"/>
      <c r="CW562" s="768"/>
      <c r="CX562" s="768"/>
      <c r="CY562" s="768"/>
      <c r="CZ562" s="768"/>
      <c r="DA562" s="768"/>
      <c r="DB562" s="768"/>
      <c r="DC562" s="768"/>
      <c r="DD562" s="768"/>
      <c r="DE562" s="768"/>
      <c r="DF562" s="768"/>
      <c r="DG562" s="768"/>
      <c r="DH562" s="768"/>
      <c r="DI562" s="768"/>
      <c r="DJ562" s="768"/>
      <c r="DK562" s="768"/>
      <c r="DL562" s="768"/>
      <c r="DM562" s="768"/>
      <c r="DN562" s="768"/>
      <c r="DO562" s="768"/>
      <c r="DP562" s="768"/>
      <c r="DQ562" s="768"/>
      <c r="DR562" s="768"/>
      <c r="DS562" s="768"/>
      <c r="DT562" s="768"/>
      <c r="DU562" s="768"/>
      <c r="DV562" s="768"/>
      <c r="DW562" s="768"/>
      <c r="DX562" s="768"/>
      <c r="DY562" s="768"/>
      <c r="DZ562" s="768"/>
      <c r="EA562" s="768"/>
    </row>
    <row r="563" spans="1:131" s="768" customFormat="1" ht="12">
      <c r="A563" s="3525"/>
      <c r="B563" s="417" t="s">
        <v>10</v>
      </c>
      <c r="C563" s="1380"/>
      <c r="D563" s="3404">
        <f>+D564</f>
        <v>8500760</v>
      </c>
      <c r="E563" s="1381">
        <f t="shared" ref="E563:I564" si="373">+E564</f>
        <v>3000367</v>
      </c>
      <c r="F563" s="1381">
        <f t="shared" si="373"/>
        <v>97933</v>
      </c>
      <c r="G563" s="1381">
        <f t="shared" si="373"/>
        <v>752241</v>
      </c>
      <c r="H563" s="1381">
        <f t="shared" si="373"/>
        <v>2392492</v>
      </c>
      <c r="I563" s="1381">
        <f t="shared" si="373"/>
        <v>2257727</v>
      </c>
      <c r="J563" s="1386">
        <v>0</v>
      </c>
      <c r="K563" s="1386">
        <v>0</v>
      </c>
      <c r="L563" s="1386">
        <v>0</v>
      </c>
      <c r="M563" s="1294">
        <f>+M564</f>
        <v>5500393</v>
      </c>
      <c r="N563" s="1294">
        <f>+N564</f>
        <v>5402460</v>
      </c>
      <c r="O563" s="3508"/>
      <c r="P563" s="758"/>
    </row>
    <row r="564" spans="1:131" s="768" customFormat="1" ht="14.25" customHeight="1">
      <c r="A564" s="3525"/>
      <c r="B564" s="545" t="s">
        <v>23</v>
      </c>
      <c r="C564" s="3522" t="s">
        <v>76</v>
      </c>
      <c r="D564" s="106">
        <f>+D565</f>
        <v>8500760</v>
      </c>
      <c r="E564" s="1382">
        <f t="shared" si="373"/>
        <v>3000367</v>
      </c>
      <c r="F564" s="1382">
        <f t="shared" si="373"/>
        <v>97933</v>
      </c>
      <c r="G564" s="1382">
        <f t="shared" si="373"/>
        <v>752241</v>
      </c>
      <c r="H564" s="1382">
        <f t="shared" si="373"/>
        <v>2392492</v>
      </c>
      <c r="I564" s="1382">
        <f t="shared" si="373"/>
        <v>2257727</v>
      </c>
      <c r="J564" s="1384">
        <v>0</v>
      </c>
      <c r="K564" s="1384">
        <v>0</v>
      </c>
      <c r="L564" s="1384">
        <v>0</v>
      </c>
      <c r="M564" s="1361">
        <f>+M565</f>
        <v>5500393</v>
      </c>
      <c r="N564" s="1361">
        <f>+N565</f>
        <v>5402460</v>
      </c>
      <c r="O564" s="3508"/>
    </row>
    <row r="565" spans="1:131" s="768" customFormat="1" thickBot="1">
      <c r="A565" s="3526"/>
      <c r="B565" s="813" t="s">
        <v>12</v>
      </c>
      <c r="C565" s="3523"/>
      <c r="D565" s="779">
        <f>E565+F565+G565+H565+I565+J565+K565+L565</f>
        <v>8500760</v>
      </c>
      <c r="E565" s="779">
        <f>3130167-129800</f>
        <v>3000367</v>
      </c>
      <c r="F565" s="415">
        <f>1925000+100000-1300000+50351+160000+51342-67533-683227-138000</f>
        <v>97933</v>
      </c>
      <c r="G565" s="415">
        <f>1971200-850000-500000+67533+121235-57727</f>
        <v>752241</v>
      </c>
      <c r="H565" s="415">
        <f>2020500+371992</f>
        <v>2392492</v>
      </c>
      <c r="I565" s="415">
        <f>2070000+130000+57727</f>
        <v>2257727</v>
      </c>
      <c r="J565" s="819">
        <v>0</v>
      </c>
      <c r="K565" s="819">
        <v>0</v>
      </c>
      <c r="L565" s="819">
        <v>0</v>
      </c>
      <c r="M565" s="808">
        <f>SUM(F565:K565)</f>
        <v>5500393</v>
      </c>
      <c r="N565" s="808">
        <f>SUM(G565:L565)</f>
        <v>5402460</v>
      </c>
      <c r="O565" s="3509"/>
      <c r="P565" s="770"/>
    </row>
    <row r="566" spans="1:131" s="759" customFormat="1" ht="23.25" customHeight="1">
      <c r="A566" s="3731" t="s">
        <v>57</v>
      </c>
      <c r="B566" s="1098" t="s">
        <v>175</v>
      </c>
      <c r="C566" s="56" t="s">
        <v>73</v>
      </c>
      <c r="D566" s="2754"/>
      <c r="E566" s="2755"/>
      <c r="F566" s="2755"/>
      <c r="G566" s="2755"/>
      <c r="H566" s="2755"/>
      <c r="I566" s="2755"/>
      <c r="J566" s="2755"/>
      <c r="K566" s="2755"/>
      <c r="L566" s="2756"/>
      <c r="M566" s="43"/>
      <c r="N566" s="43"/>
      <c r="O566" s="3734" t="s">
        <v>185</v>
      </c>
    </row>
    <row r="567" spans="1:131" s="759" customFormat="1" ht="12">
      <c r="A567" s="3732"/>
      <c r="B567" s="78" t="s">
        <v>10</v>
      </c>
      <c r="C567" s="22"/>
      <c r="D567" s="125">
        <f>+D568</f>
        <v>45601289</v>
      </c>
      <c r="E567" s="101">
        <f t="shared" ref="E567:N568" si="374">+E568</f>
        <v>31401289</v>
      </c>
      <c r="F567" s="101">
        <f t="shared" si="374"/>
        <v>5000000</v>
      </c>
      <c r="G567" s="101">
        <f t="shared" si="374"/>
        <v>5000000</v>
      </c>
      <c r="H567" s="101">
        <f t="shared" si="374"/>
        <v>2700000</v>
      </c>
      <c r="I567" s="101">
        <f t="shared" si="374"/>
        <v>1500000</v>
      </c>
      <c r="J567" s="101"/>
      <c r="K567" s="101"/>
      <c r="L567" s="101"/>
      <c r="M567" s="30">
        <f t="shared" si="374"/>
        <v>14200000</v>
      </c>
      <c r="N567" s="30">
        <f t="shared" si="374"/>
        <v>9200000</v>
      </c>
      <c r="O567" s="3735"/>
      <c r="P567" s="758"/>
    </row>
    <row r="568" spans="1:131" s="759" customFormat="1" ht="12">
      <c r="A568" s="3732"/>
      <c r="B568" s="220" t="s">
        <v>23</v>
      </c>
      <c r="C568" s="3543" t="s">
        <v>102</v>
      </c>
      <c r="D568" s="106">
        <f>+D569</f>
        <v>45601289</v>
      </c>
      <c r="E568" s="103">
        <f t="shared" si="374"/>
        <v>31401289</v>
      </c>
      <c r="F568" s="103">
        <f t="shared" si="374"/>
        <v>5000000</v>
      </c>
      <c r="G568" s="103">
        <f t="shared" si="374"/>
        <v>5000000</v>
      </c>
      <c r="H568" s="103">
        <f t="shared" si="374"/>
        <v>2700000</v>
      </c>
      <c r="I568" s="103">
        <f t="shared" si="374"/>
        <v>1500000</v>
      </c>
      <c r="J568" s="1099"/>
      <c r="K568" s="1099"/>
      <c r="L568" s="1099"/>
      <c r="M568" s="105">
        <f>+M569</f>
        <v>14200000</v>
      </c>
      <c r="N568" s="105">
        <f>+N569</f>
        <v>9200000</v>
      </c>
      <c r="O568" s="3735"/>
    </row>
    <row r="569" spans="1:131" s="759" customFormat="1" thickBot="1">
      <c r="A569" s="3733"/>
      <c r="B569" s="276" t="s">
        <v>12</v>
      </c>
      <c r="C569" s="3589"/>
      <c r="D569" s="236">
        <f>E569+F569+G569+H569+I569+J569+K569+L569</f>
        <v>45601289</v>
      </c>
      <c r="E569" s="266">
        <v>31401289</v>
      </c>
      <c r="F569" s="1100">
        <v>5000000</v>
      </c>
      <c r="G569" s="1100">
        <v>5000000</v>
      </c>
      <c r="H569" s="1100">
        <v>2700000</v>
      </c>
      <c r="I569" s="1100">
        <v>1500000</v>
      </c>
      <c r="J569" s="1101"/>
      <c r="K569" s="1101"/>
      <c r="L569" s="1101"/>
      <c r="M569" s="808">
        <f>SUM(F569:K569)</f>
        <v>14200000</v>
      </c>
      <c r="N569" s="808">
        <f>SUM(G569:L569)</f>
        <v>9200000</v>
      </c>
      <c r="O569" s="3736"/>
      <c r="P569" s="758"/>
    </row>
    <row r="570" spans="1:131" s="759" customFormat="1" ht="14.25" hidden="1" customHeight="1">
      <c r="A570" s="3524"/>
      <c r="B570" s="264"/>
      <c r="C570" s="56" t="s">
        <v>73</v>
      </c>
      <c r="D570" s="123"/>
      <c r="E570" s="42"/>
      <c r="F570" s="373"/>
      <c r="G570" s="373"/>
      <c r="H570" s="373"/>
      <c r="I570" s="373"/>
      <c r="J570" s="42"/>
      <c r="K570" s="42"/>
      <c r="L570" s="42"/>
      <c r="M570" s="43"/>
      <c r="N570" s="43"/>
      <c r="O570" s="3507" t="s">
        <v>78</v>
      </c>
    </row>
    <row r="571" spans="1:131" s="759" customFormat="1" ht="13.5" hidden="1" customHeight="1">
      <c r="A571" s="3525"/>
      <c r="B571" s="21" t="s">
        <v>10</v>
      </c>
      <c r="C571" s="22"/>
      <c r="D571" s="121">
        <f>+D572</f>
        <v>0</v>
      </c>
      <c r="E571" s="121">
        <v>0</v>
      </c>
      <c r="F571" s="269">
        <v>0</v>
      </c>
      <c r="G571" s="269">
        <v>0</v>
      </c>
      <c r="H571" s="269">
        <v>0</v>
      </c>
      <c r="I571" s="269">
        <v>0</v>
      </c>
      <c r="J571" s="269">
        <v>0</v>
      </c>
      <c r="K571" s="269">
        <v>0</v>
      </c>
      <c r="L571" s="269">
        <v>0</v>
      </c>
      <c r="M571" s="63">
        <f>+M572</f>
        <v>0</v>
      </c>
      <c r="N571" s="63">
        <f>+N572</f>
        <v>0</v>
      </c>
      <c r="O571" s="3508"/>
      <c r="P571" s="758" t="e">
        <f>+#REF!+#REF!+F571+G571</f>
        <v>#REF!</v>
      </c>
    </row>
    <row r="572" spans="1:131" s="759" customFormat="1" ht="12.75" hidden="1" customHeight="1">
      <c r="A572" s="3525"/>
      <c r="B572" s="166" t="s">
        <v>23</v>
      </c>
      <c r="C572" s="3543" t="s">
        <v>76</v>
      </c>
      <c r="D572" s="122">
        <f>+D573+D574</f>
        <v>0</v>
      </c>
      <c r="E572" s="122">
        <v>0</v>
      </c>
      <c r="F572" s="270">
        <v>0</v>
      </c>
      <c r="G572" s="270">
        <v>0</v>
      </c>
      <c r="H572" s="270">
        <v>0</v>
      </c>
      <c r="I572" s="270">
        <v>0</v>
      </c>
      <c r="J572" s="270">
        <v>0</v>
      </c>
      <c r="K572" s="270">
        <v>0</v>
      </c>
      <c r="L572" s="270">
        <v>0</v>
      </c>
      <c r="M572" s="77">
        <f>+M573+M574</f>
        <v>0</v>
      </c>
      <c r="N572" s="77">
        <f>+N573+N574</f>
        <v>0</v>
      </c>
      <c r="O572" s="3508"/>
      <c r="P572" s="759" t="s">
        <v>201</v>
      </c>
    </row>
    <row r="573" spans="1:131" s="759" customFormat="1" hidden="1" thickBot="1">
      <c r="A573" s="3525"/>
      <c r="B573" s="389" t="s">
        <v>12</v>
      </c>
      <c r="C573" s="3566"/>
      <c r="D573" s="236">
        <f>E573+F573+G573+H573+I573+J573+K573+L573</f>
        <v>0</v>
      </c>
      <c r="E573" s="84">
        <v>0</v>
      </c>
      <c r="F573" s="271">
        <v>0</v>
      </c>
      <c r="G573" s="271">
        <v>0</v>
      </c>
      <c r="H573" s="271">
        <v>0</v>
      </c>
      <c r="I573" s="271">
        <v>0</v>
      </c>
      <c r="J573" s="271">
        <v>0</v>
      </c>
      <c r="K573" s="271">
        <v>0</v>
      </c>
      <c r="L573" s="271">
        <v>0</v>
      </c>
      <c r="M573" s="34">
        <f>SUM(E573:H573)</f>
        <v>0</v>
      </c>
      <c r="N573" s="34">
        <f>SUM(F573:I573)</f>
        <v>0</v>
      </c>
      <c r="O573" s="3508"/>
    </row>
    <row r="574" spans="1:131" s="759" customFormat="1" hidden="1" thickBot="1">
      <c r="A574" s="3525"/>
      <c r="B574" s="390" t="s">
        <v>15</v>
      </c>
      <c r="C574" s="3658"/>
      <c r="D574" s="236">
        <f>E574+F574+G574+H574+I574+J574+K574+L574</f>
        <v>0</v>
      </c>
      <c r="E574" s="84">
        <v>0</v>
      </c>
      <c r="F574" s="271">
        <v>0</v>
      </c>
      <c r="G574" s="271">
        <v>0</v>
      </c>
      <c r="H574" s="271">
        <v>0</v>
      </c>
      <c r="I574" s="271">
        <v>0</v>
      </c>
      <c r="J574" s="271">
        <v>0</v>
      </c>
      <c r="K574" s="271">
        <v>0</v>
      </c>
      <c r="L574" s="271">
        <v>0</v>
      </c>
      <c r="M574" s="34">
        <f>SUM(E574:H574)</f>
        <v>0</v>
      </c>
      <c r="N574" s="34">
        <f>SUM(F574:I574)</f>
        <v>0</v>
      </c>
      <c r="O574" s="3136"/>
    </row>
    <row r="575" spans="1:131" s="759" customFormat="1" ht="10.5" hidden="1" customHeight="1">
      <c r="A575" s="3525"/>
      <c r="B575" s="21" t="s">
        <v>21</v>
      </c>
      <c r="C575" s="22"/>
      <c r="D575" s="121">
        <f>+D576</f>
        <v>0</v>
      </c>
      <c r="E575" s="121">
        <v>0</v>
      </c>
      <c r="F575" s="269">
        <v>0</v>
      </c>
      <c r="G575" s="269">
        <v>0</v>
      </c>
      <c r="H575" s="269">
        <v>0</v>
      </c>
      <c r="I575" s="269">
        <v>0</v>
      </c>
      <c r="J575" s="269">
        <v>0</v>
      </c>
      <c r="K575" s="269">
        <v>0</v>
      </c>
      <c r="L575" s="269">
        <v>0</v>
      </c>
      <c r="M575" s="3555" t="s">
        <v>22</v>
      </c>
      <c r="N575" s="3555" t="s">
        <v>22</v>
      </c>
      <c r="O575" s="3730" t="s">
        <v>93</v>
      </c>
    </row>
    <row r="576" spans="1:131" s="759" customFormat="1" ht="12.75" hidden="1" customHeight="1">
      <c r="A576" s="3525"/>
      <c r="B576" s="166" t="s">
        <v>23</v>
      </c>
      <c r="C576" s="3527" t="s">
        <v>76</v>
      </c>
      <c r="D576" s="122">
        <f>+D577</f>
        <v>0</v>
      </c>
      <c r="E576" s="122">
        <v>0</v>
      </c>
      <c r="F576" s="270">
        <v>0</v>
      </c>
      <c r="G576" s="270">
        <v>0</v>
      </c>
      <c r="H576" s="270">
        <v>0</v>
      </c>
      <c r="I576" s="270">
        <v>0</v>
      </c>
      <c r="J576" s="270">
        <v>0</v>
      </c>
      <c r="K576" s="270">
        <v>0</v>
      </c>
      <c r="L576" s="270">
        <v>0</v>
      </c>
      <c r="M576" s="3553"/>
      <c r="N576" s="3553"/>
      <c r="O576" s="3508"/>
    </row>
    <row r="577" spans="1:16" s="759" customFormat="1" ht="13.5" hidden="1" customHeight="1" thickBot="1">
      <c r="A577" s="3526"/>
      <c r="B577" s="388" t="s">
        <v>15</v>
      </c>
      <c r="C577" s="3528"/>
      <c r="D577" s="236">
        <f>E577+F577+G577+H577+I577+J577+K577+L577</f>
        <v>0</v>
      </c>
      <c r="E577" s="75">
        <v>0</v>
      </c>
      <c r="F577" s="271">
        <v>0</v>
      </c>
      <c r="G577" s="271">
        <v>0</v>
      </c>
      <c r="H577" s="271">
        <v>0</v>
      </c>
      <c r="I577" s="271">
        <v>0</v>
      </c>
      <c r="J577" s="271">
        <v>0</v>
      </c>
      <c r="K577" s="271">
        <v>0</v>
      </c>
      <c r="L577" s="271">
        <v>0</v>
      </c>
      <c r="M577" s="3554"/>
      <c r="N577" s="3554"/>
      <c r="O577" s="3509"/>
    </row>
    <row r="578" spans="1:16" s="759" customFormat="1" ht="23.25" customHeight="1">
      <c r="A578" s="3524" t="s">
        <v>58</v>
      </c>
      <c r="B578" s="264" t="s">
        <v>401</v>
      </c>
      <c r="C578" s="56" t="s">
        <v>73</v>
      </c>
      <c r="D578" s="373"/>
      <c r="E578" s="2752"/>
      <c r="F578" s="2752"/>
      <c r="G578" s="2752"/>
      <c r="H578" s="2752"/>
      <c r="I578" s="2752"/>
      <c r="J578" s="2752"/>
      <c r="K578" s="2752"/>
      <c r="L578" s="41"/>
      <c r="M578" s="43"/>
      <c r="N578" s="43"/>
      <c r="O578" s="3507" t="s">
        <v>78</v>
      </c>
    </row>
    <row r="579" spans="1:16" s="759" customFormat="1" ht="12">
      <c r="A579" s="3525"/>
      <c r="B579" s="2149" t="s">
        <v>10</v>
      </c>
      <c r="C579" s="1356"/>
      <c r="D579" s="1876">
        <f>+D580</f>
        <v>1824799</v>
      </c>
      <c r="E579" s="1876">
        <f t="shared" ref="E579:G580" si="375">+E580</f>
        <v>503620</v>
      </c>
      <c r="F579" s="1877">
        <f t="shared" si="375"/>
        <v>0</v>
      </c>
      <c r="G579" s="1876">
        <f t="shared" si="375"/>
        <v>1321179</v>
      </c>
      <c r="H579" s="1877">
        <v>0</v>
      </c>
      <c r="I579" s="1877">
        <v>0</v>
      </c>
      <c r="J579" s="1877">
        <v>0</v>
      </c>
      <c r="K579" s="1877">
        <v>0</v>
      </c>
      <c r="L579" s="1877">
        <v>0</v>
      </c>
      <c r="M579" s="1878">
        <f>+M580</f>
        <v>1321179</v>
      </c>
      <c r="N579" s="1878">
        <f>+N580</f>
        <v>1321179</v>
      </c>
      <c r="O579" s="3508"/>
      <c r="P579" s="758"/>
    </row>
    <row r="580" spans="1:16" s="759" customFormat="1" ht="12.75" customHeight="1">
      <c r="A580" s="3525"/>
      <c r="B580" s="2187" t="s">
        <v>23</v>
      </c>
      <c r="C580" s="3560" t="s">
        <v>76</v>
      </c>
      <c r="D580" s="1879">
        <f>+D581</f>
        <v>1824799</v>
      </c>
      <c r="E580" s="1879">
        <f t="shared" si="375"/>
        <v>503620</v>
      </c>
      <c r="F580" s="1880">
        <f t="shared" si="375"/>
        <v>0</v>
      </c>
      <c r="G580" s="1879">
        <f t="shared" si="375"/>
        <v>1321179</v>
      </c>
      <c r="H580" s="1880">
        <v>0</v>
      </c>
      <c r="I580" s="1880">
        <v>0</v>
      </c>
      <c r="J580" s="1880">
        <v>0</v>
      </c>
      <c r="K580" s="1880">
        <v>0</v>
      </c>
      <c r="L580" s="1880">
        <v>0</v>
      </c>
      <c r="M580" s="522">
        <f>+M581</f>
        <v>1321179</v>
      </c>
      <c r="N580" s="522">
        <f>+N581</f>
        <v>1321179</v>
      </c>
      <c r="O580" s="3508"/>
    </row>
    <row r="581" spans="1:16" s="759" customFormat="1" ht="12">
      <c r="A581" s="3525"/>
      <c r="B581" s="3022" t="s">
        <v>12</v>
      </c>
      <c r="C581" s="3561"/>
      <c r="D581" s="785">
        <f>E581+F581+G581+H581+I581+J581+K581+L581</f>
        <v>1824799</v>
      </c>
      <c r="E581" s="800">
        <f>503620</f>
        <v>503620</v>
      </c>
      <c r="F581" s="1881">
        <f>1239686+35000-1274686</f>
        <v>0</v>
      </c>
      <c r="G581" s="3023">
        <f>1274686+46493</f>
        <v>1321179</v>
      </c>
      <c r="H581" s="1416">
        <v>0</v>
      </c>
      <c r="I581" s="1416">
        <v>0</v>
      </c>
      <c r="J581" s="1416">
        <v>0</v>
      </c>
      <c r="K581" s="1416">
        <v>0</v>
      </c>
      <c r="L581" s="1416">
        <v>0</v>
      </c>
      <c r="M581" s="808">
        <f>SUM(F581:K581)</f>
        <v>1321179</v>
      </c>
      <c r="N581" s="808">
        <f>SUM(G581:L581)</f>
        <v>1321179</v>
      </c>
      <c r="O581" s="3569"/>
    </row>
    <row r="582" spans="1:16" s="759" customFormat="1" ht="12" customHeight="1">
      <c r="A582" s="3525"/>
      <c r="B582" s="80" t="s">
        <v>21</v>
      </c>
      <c r="C582" s="1356"/>
      <c r="D582" s="1876">
        <f>+D583</f>
        <v>81493</v>
      </c>
      <c r="E582" s="1877">
        <v>0</v>
      </c>
      <c r="F582" s="1876">
        <f t="shared" ref="F582:L583" si="376">+F583</f>
        <v>35000</v>
      </c>
      <c r="G582" s="1876">
        <f t="shared" si="376"/>
        <v>46493</v>
      </c>
      <c r="H582" s="1877">
        <f t="shared" si="376"/>
        <v>0</v>
      </c>
      <c r="I582" s="1877">
        <f t="shared" si="376"/>
        <v>0</v>
      </c>
      <c r="J582" s="1877">
        <f t="shared" si="376"/>
        <v>0</v>
      </c>
      <c r="K582" s="1877">
        <f t="shared" si="376"/>
        <v>0</v>
      </c>
      <c r="L582" s="1877">
        <f t="shared" si="376"/>
        <v>0</v>
      </c>
      <c r="M582" s="3556" t="s">
        <v>22</v>
      </c>
      <c r="N582" s="3556" t="s">
        <v>22</v>
      </c>
      <c r="O582" s="3128"/>
    </row>
    <row r="583" spans="1:16" s="759" customFormat="1" ht="12.75" customHeight="1">
      <c r="A583" s="3525"/>
      <c r="B583" s="2187" t="s">
        <v>23</v>
      </c>
      <c r="C583" s="3560" t="s">
        <v>76</v>
      </c>
      <c r="D583" s="1879">
        <f>+D584</f>
        <v>81493</v>
      </c>
      <c r="E583" s="1880">
        <v>0</v>
      </c>
      <c r="F583" s="1879">
        <f t="shared" si="376"/>
        <v>35000</v>
      </c>
      <c r="G583" s="1879">
        <f t="shared" si="376"/>
        <v>46493</v>
      </c>
      <c r="H583" s="1880">
        <f t="shared" si="376"/>
        <v>0</v>
      </c>
      <c r="I583" s="1880">
        <f t="shared" si="376"/>
        <v>0</v>
      </c>
      <c r="J583" s="1880">
        <f t="shared" si="376"/>
        <v>0</v>
      </c>
      <c r="K583" s="1880">
        <f t="shared" si="376"/>
        <v>0</v>
      </c>
      <c r="L583" s="1880">
        <f t="shared" si="376"/>
        <v>0</v>
      </c>
      <c r="M583" s="3557"/>
      <c r="N583" s="3557"/>
      <c r="O583" s="3128" t="s">
        <v>93</v>
      </c>
    </row>
    <row r="584" spans="1:16" s="759" customFormat="1" ht="13.5" customHeight="1" thickBot="1">
      <c r="A584" s="3526"/>
      <c r="B584" s="391" t="s">
        <v>12</v>
      </c>
      <c r="C584" s="3589"/>
      <c r="D584" s="2031">
        <f>E584+F584+G584+H584+I584+J584+K584+L584</f>
        <v>81493</v>
      </c>
      <c r="E584" s="2478">
        <v>0</v>
      </c>
      <c r="F584" s="3024">
        <f>35000</f>
        <v>35000</v>
      </c>
      <c r="G584" s="3024">
        <v>46493</v>
      </c>
      <c r="H584" s="2190">
        <v>0</v>
      </c>
      <c r="I584" s="2190">
        <v>0</v>
      </c>
      <c r="J584" s="2190">
        <v>0</v>
      </c>
      <c r="K584" s="2190">
        <v>0</v>
      </c>
      <c r="L584" s="2190">
        <v>0</v>
      </c>
      <c r="M584" s="3558"/>
      <c r="N584" s="3558"/>
      <c r="O584" s="3129"/>
    </row>
    <row r="585" spans="1:16" s="759" customFormat="1" ht="22.5" hidden="1" customHeight="1">
      <c r="A585" s="3524"/>
      <c r="B585" s="264"/>
      <c r="C585" s="56" t="s">
        <v>73</v>
      </c>
      <c r="D585" s="123"/>
      <c r="E585" s="42"/>
      <c r="F585" s="42"/>
      <c r="G585" s="42"/>
      <c r="H585" s="227"/>
      <c r="I585" s="95"/>
      <c r="J585" s="227"/>
      <c r="K585" s="227"/>
      <c r="L585" s="227"/>
      <c r="M585" s="43"/>
      <c r="N585" s="43"/>
      <c r="O585" s="3507" t="s">
        <v>78</v>
      </c>
    </row>
    <row r="586" spans="1:16" s="759" customFormat="1" ht="12.75" hidden="1" customHeight="1">
      <c r="A586" s="3525"/>
      <c r="B586" s="2149" t="s">
        <v>10</v>
      </c>
      <c r="C586" s="1356"/>
      <c r="D586" s="1876">
        <f>+D587</f>
        <v>0</v>
      </c>
      <c r="E586" s="1876">
        <v>0</v>
      </c>
      <c r="F586" s="1877">
        <v>0</v>
      </c>
      <c r="G586" s="1877">
        <v>0</v>
      </c>
      <c r="H586" s="1877">
        <v>0</v>
      </c>
      <c r="I586" s="1877">
        <v>0</v>
      </c>
      <c r="J586" s="1877">
        <v>0</v>
      </c>
      <c r="K586" s="1877">
        <v>0</v>
      </c>
      <c r="L586" s="1877">
        <v>0</v>
      </c>
      <c r="M586" s="521">
        <f>+M587</f>
        <v>0</v>
      </c>
      <c r="N586" s="521">
        <f>+N587</f>
        <v>0</v>
      </c>
      <c r="O586" s="3508"/>
      <c r="P586" s="758" t="e">
        <f>+#REF!+#REF!+F586+G586</f>
        <v>#REF!</v>
      </c>
    </row>
    <row r="587" spans="1:16" s="759" customFormat="1" ht="12.75" hidden="1" customHeight="1">
      <c r="A587" s="3525"/>
      <c r="B587" s="2187" t="s">
        <v>23</v>
      </c>
      <c r="C587" s="3560" t="s">
        <v>76</v>
      </c>
      <c r="D587" s="1879">
        <f>+D588+D589</f>
        <v>0</v>
      </c>
      <c r="E587" s="1879">
        <v>0</v>
      </c>
      <c r="F587" s="1880">
        <v>0</v>
      </c>
      <c r="G587" s="1880">
        <v>0</v>
      </c>
      <c r="H587" s="1880">
        <v>0</v>
      </c>
      <c r="I587" s="1880">
        <v>0</v>
      </c>
      <c r="J587" s="1880">
        <v>0</v>
      </c>
      <c r="K587" s="1880">
        <v>0</v>
      </c>
      <c r="L587" s="1880">
        <v>0</v>
      </c>
      <c r="M587" s="522">
        <f>+M588</f>
        <v>0</v>
      </c>
      <c r="N587" s="522">
        <f>+N588</f>
        <v>0</v>
      </c>
      <c r="O587" s="3508"/>
    </row>
    <row r="588" spans="1:16" s="759" customFormat="1" ht="12.75" hidden="1" customHeight="1">
      <c r="A588" s="3525"/>
      <c r="B588" s="2191" t="s">
        <v>12</v>
      </c>
      <c r="C588" s="3566"/>
      <c r="D588" s="785">
        <f>E588+F588+G588+H588+I588+J588+K588+L588</f>
        <v>0</v>
      </c>
      <c r="E588" s="800">
        <v>0</v>
      </c>
      <c r="F588" s="1416">
        <v>0</v>
      </c>
      <c r="G588" s="1416">
        <v>0</v>
      </c>
      <c r="H588" s="1416">
        <v>0</v>
      </c>
      <c r="I588" s="1416">
        <v>0</v>
      </c>
      <c r="J588" s="1416">
        <v>0</v>
      </c>
      <c r="K588" s="1416">
        <v>0</v>
      </c>
      <c r="L588" s="1416">
        <v>0</v>
      </c>
      <c r="M588" s="808">
        <f>SUM(E588:H588)</f>
        <v>0</v>
      </c>
      <c r="N588" s="808">
        <f>SUM(F588:I588)</f>
        <v>0</v>
      </c>
      <c r="O588" s="3508"/>
    </row>
    <row r="589" spans="1:16" s="759" customFormat="1" ht="12.75" hidden="1" customHeight="1">
      <c r="A589" s="3525"/>
      <c r="B589" s="390" t="s">
        <v>15</v>
      </c>
      <c r="C589" s="3658"/>
      <c r="D589" s="785">
        <f>E589+F589+G589+H589+I589+J589+K589+L589</f>
        <v>0</v>
      </c>
      <c r="E589" s="800">
        <v>0</v>
      </c>
      <c r="F589" s="1416">
        <v>0</v>
      </c>
      <c r="G589" s="1416">
        <v>0</v>
      </c>
      <c r="H589" s="1416">
        <v>0</v>
      </c>
      <c r="I589" s="1416">
        <v>0</v>
      </c>
      <c r="J589" s="1416">
        <v>0</v>
      </c>
      <c r="K589" s="1416">
        <v>0</v>
      </c>
      <c r="L589" s="1416">
        <v>0</v>
      </c>
      <c r="M589" s="808">
        <f>SUM(E589:H589)</f>
        <v>0</v>
      </c>
      <c r="N589" s="808">
        <f>SUM(F589:I589)</f>
        <v>0</v>
      </c>
      <c r="O589" s="3136"/>
    </row>
    <row r="590" spans="1:16" s="759" customFormat="1" ht="12.75" hidden="1" customHeight="1">
      <c r="A590" s="3525"/>
      <c r="B590" s="2149" t="s">
        <v>21</v>
      </c>
      <c r="C590" s="1356"/>
      <c r="D590" s="1876">
        <f>+D591</f>
        <v>0</v>
      </c>
      <c r="E590" s="1876">
        <v>0</v>
      </c>
      <c r="F590" s="1877">
        <v>0</v>
      </c>
      <c r="G590" s="1877">
        <v>0</v>
      </c>
      <c r="H590" s="1877">
        <v>0</v>
      </c>
      <c r="I590" s="1877">
        <v>0</v>
      </c>
      <c r="J590" s="1877">
        <v>0</v>
      </c>
      <c r="K590" s="1877">
        <v>0</v>
      </c>
      <c r="L590" s="1877">
        <v>0</v>
      </c>
      <c r="M590" s="3556" t="s">
        <v>22</v>
      </c>
      <c r="N590" s="3556" t="s">
        <v>22</v>
      </c>
      <c r="O590" s="3534" t="s">
        <v>93</v>
      </c>
    </row>
    <row r="591" spans="1:16" s="759" customFormat="1" ht="12.75" hidden="1" customHeight="1">
      <c r="A591" s="3525"/>
      <c r="B591" s="2187" t="s">
        <v>23</v>
      </c>
      <c r="C591" s="3535" t="s">
        <v>76</v>
      </c>
      <c r="D591" s="1879">
        <f>+D592</f>
        <v>0</v>
      </c>
      <c r="E591" s="1879">
        <v>0</v>
      </c>
      <c r="F591" s="1880">
        <v>0</v>
      </c>
      <c r="G591" s="1880">
        <v>0</v>
      </c>
      <c r="H591" s="1880">
        <v>0</v>
      </c>
      <c r="I591" s="1880">
        <v>0</v>
      </c>
      <c r="J591" s="1880">
        <v>0</v>
      </c>
      <c r="K591" s="1880">
        <v>0</v>
      </c>
      <c r="L591" s="1880">
        <v>0</v>
      </c>
      <c r="M591" s="3557"/>
      <c r="N591" s="3557"/>
      <c r="O591" s="3508"/>
    </row>
    <row r="592" spans="1:16" s="759" customFormat="1" ht="13.5" hidden="1" customHeight="1" thickBot="1">
      <c r="A592" s="3526"/>
      <c r="B592" s="388" t="s">
        <v>15</v>
      </c>
      <c r="C592" s="3528"/>
      <c r="D592" s="785">
        <f>E592+F592+G592+H592+I592+J592+K592+L592</f>
        <v>0</v>
      </c>
      <c r="E592" s="800"/>
      <c r="F592" s="1416">
        <v>0</v>
      </c>
      <c r="G592" s="1416">
        <v>0</v>
      </c>
      <c r="H592" s="1416">
        <v>0</v>
      </c>
      <c r="I592" s="1416">
        <v>0</v>
      </c>
      <c r="J592" s="1416">
        <v>0</v>
      </c>
      <c r="K592" s="1416">
        <v>0</v>
      </c>
      <c r="L592" s="1416">
        <v>0</v>
      </c>
      <c r="M592" s="3558"/>
      <c r="N592" s="3558"/>
      <c r="O592" s="3509"/>
    </row>
    <row r="593" spans="1:16" s="759" customFormat="1" ht="26.25" hidden="1" customHeight="1">
      <c r="A593" s="3524"/>
      <c r="B593" s="264"/>
      <c r="C593" s="56"/>
      <c r="D593" s="123"/>
      <c r="E593" s="42"/>
      <c r="F593" s="42"/>
      <c r="G593" s="42"/>
      <c r="H593" s="42"/>
      <c r="I593" s="96"/>
      <c r="J593" s="227"/>
      <c r="K593" s="227"/>
      <c r="L593" s="227"/>
      <c r="M593" s="227"/>
      <c r="N593" s="227"/>
      <c r="O593" s="3507" t="s">
        <v>78</v>
      </c>
    </row>
    <row r="594" spans="1:16" s="759" customFormat="1" ht="12" hidden="1">
      <c r="A594" s="3525"/>
      <c r="B594" s="2149" t="s">
        <v>10</v>
      </c>
      <c r="C594" s="1356"/>
      <c r="D594" s="1876"/>
      <c r="E594" s="1877"/>
      <c r="F594" s="1877"/>
      <c r="G594" s="1877"/>
      <c r="H594" s="1877"/>
      <c r="I594" s="1877"/>
      <c r="J594" s="1877"/>
      <c r="K594" s="1877"/>
      <c r="L594" s="1877"/>
      <c r="M594" s="2192">
        <f>+M595</f>
        <v>0</v>
      </c>
      <c r="N594" s="2192">
        <f>+N595</f>
        <v>0</v>
      </c>
      <c r="O594" s="3508"/>
    </row>
    <row r="595" spans="1:16" s="759" customFormat="1" ht="12" hidden="1">
      <c r="A595" s="3525"/>
      <c r="B595" s="2187" t="s">
        <v>23</v>
      </c>
      <c r="C595" s="3535" t="s">
        <v>76</v>
      </c>
      <c r="D595" s="1879"/>
      <c r="E595" s="1880"/>
      <c r="F595" s="1880"/>
      <c r="G595" s="1880"/>
      <c r="H595" s="1880"/>
      <c r="I595" s="1880"/>
      <c r="J595" s="1880"/>
      <c r="K595" s="1880"/>
      <c r="L595" s="1880"/>
      <c r="M595" s="607">
        <f>+M596</f>
        <v>0</v>
      </c>
      <c r="N595" s="607">
        <f>+N596</f>
        <v>0</v>
      </c>
      <c r="O595" s="3508"/>
    </row>
    <row r="596" spans="1:16" s="759" customFormat="1" ht="12" hidden="1">
      <c r="A596" s="3525"/>
      <c r="B596" s="2193" t="s">
        <v>12</v>
      </c>
      <c r="C596" s="3532"/>
      <c r="D596" s="1891"/>
      <c r="E596" s="1891"/>
      <c r="F596" s="1416"/>
      <c r="G596" s="1416"/>
      <c r="H596" s="1416"/>
      <c r="I596" s="1416"/>
      <c r="J596" s="1416"/>
      <c r="K596" s="1416"/>
      <c r="L596" s="1416"/>
      <c r="M596" s="808">
        <f>SUM(E596:K596)</f>
        <v>0</v>
      </c>
      <c r="N596" s="808">
        <f>SUM(F596:L596)</f>
        <v>0</v>
      </c>
      <c r="O596" s="3508"/>
    </row>
    <row r="597" spans="1:16" s="759" customFormat="1" ht="12" hidden="1">
      <c r="A597" s="3525"/>
      <c r="B597" s="2149" t="s">
        <v>21</v>
      </c>
      <c r="C597" s="1356"/>
      <c r="D597" s="1876"/>
      <c r="E597" s="1877"/>
      <c r="F597" s="1877"/>
      <c r="G597" s="1877"/>
      <c r="H597" s="1877"/>
      <c r="I597" s="1877"/>
      <c r="J597" s="1877"/>
      <c r="K597" s="1877"/>
      <c r="L597" s="1877"/>
      <c r="M597" s="3556" t="s">
        <v>22</v>
      </c>
      <c r="N597" s="3556" t="s">
        <v>22</v>
      </c>
      <c r="O597" s="3534" t="s">
        <v>93</v>
      </c>
    </row>
    <row r="598" spans="1:16" s="759" customFormat="1" ht="12" hidden="1">
      <c r="A598" s="3525"/>
      <c r="B598" s="2187" t="s">
        <v>23</v>
      </c>
      <c r="C598" s="3535">
        <v>75802</v>
      </c>
      <c r="D598" s="1879"/>
      <c r="E598" s="1880"/>
      <c r="F598" s="1880"/>
      <c r="G598" s="1880"/>
      <c r="H598" s="1880"/>
      <c r="I598" s="1880"/>
      <c r="J598" s="1880"/>
      <c r="K598" s="1880"/>
      <c r="L598" s="1880"/>
      <c r="M598" s="3557"/>
      <c r="N598" s="3557"/>
      <c r="O598" s="3508"/>
    </row>
    <row r="599" spans="1:16" s="759" customFormat="1" hidden="1" thickBot="1">
      <c r="A599" s="3526"/>
      <c r="B599" s="388" t="s">
        <v>255</v>
      </c>
      <c r="C599" s="3528"/>
      <c r="D599" s="1891"/>
      <c r="E599" s="1891"/>
      <c r="F599" s="2190"/>
      <c r="G599" s="2190"/>
      <c r="H599" s="2190"/>
      <c r="I599" s="2190"/>
      <c r="J599" s="2190"/>
      <c r="K599" s="2190"/>
      <c r="L599" s="2190"/>
      <c r="M599" s="3558"/>
      <c r="N599" s="3558"/>
      <c r="O599" s="3509"/>
    </row>
    <row r="600" spans="1:16" s="759" customFormat="1" ht="15" customHeight="1">
      <c r="A600" s="3524" t="s">
        <v>59</v>
      </c>
      <c r="B600" s="264" t="s">
        <v>539</v>
      </c>
      <c r="C600" s="56" t="s">
        <v>100</v>
      </c>
      <c r="D600" s="2753"/>
      <c r="E600" s="2752"/>
      <c r="F600" s="2752"/>
      <c r="G600" s="2752"/>
      <c r="H600" s="2752"/>
      <c r="I600" s="2752"/>
      <c r="J600" s="2752"/>
      <c r="K600" s="2752"/>
      <c r="L600" s="41"/>
      <c r="M600" s="43"/>
      <c r="N600" s="43"/>
      <c r="O600" s="3507" t="s">
        <v>93</v>
      </c>
    </row>
    <row r="601" spans="1:16" s="759" customFormat="1" ht="12">
      <c r="A601" s="3525"/>
      <c r="B601" s="2149" t="s">
        <v>10</v>
      </c>
      <c r="C601" s="1356"/>
      <c r="D601" s="1876">
        <f>+D602</f>
        <v>27401805</v>
      </c>
      <c r="E601" s="1876">
        <f t="shared" ref="E601:K602" si="377">+E602</f>
        <v>6358217</v>
      </c>
      <c r="F601" s="1876">
        <f t="shared" si="377"/>
        <v>2573695</v>
      </c>
      <c r="G601" s="1876">
        <f t="shared" si="377"/>
        <v>3269893</v>
      </c>
      <c r="H601" s="1876">
        <f t="shared" si="377"/>
        <v>3800000</v>
      </c>
      <c r="I601" s="1876">
        <f t="shared" si="377"/>
        <v>3800000</v>
      </c>
      <c r="J601" s="1876">
        <f t="shared" si="377"/>
        <v>3800000</v>
      </c>
      <c r="K601" s="1876">
        <f t="shared" si="377"/>
        <v>3800000</v>
      </c>
      <c r="L601" s="1877">
        <v>0</v>
      </c>
      <c r="M601" s="2192">
        <f>+M602</f>
        <v>21043588</v>
      </c>
      <c r="N601" s="2192">
        <f>+N602</f>
        <v>18469893</v>
      </c>
      <c r="O601" s="3508"/>
      <c r="P601" s="758"/>
    </row>
    <row r="602" spans="1:16" s="759" customFormat="1" ht="12">
      <c r="A602" s="3525"/>
      <c r="B602" s="2187" t="s">
        <v>23</v>
      </c>
      <c r="C602" s="3535" t="s">
        <v>90</v>
      </c>
      <c r="D602" s="1879">
        <f>+D603</f>
        <v>27401805</v>
      </c>
      <c r="E602" s="1879">
        <f t="shared" si="377"/>
        <v>6358217</v>
      </c>
      <c r="F602" s="1879">
        <f t="shared" si="377"/>
        <v>2573695</v>
      </c>
      <c r="G602" s="1879">
        <f t="shared" si="377"/>
        <v>3269893</v>
      </c>
      <c r="H602" s="1879">
        <f t="shared" si="377"/>
        <v>3800000</v>
      </c>
      <c r="I602" s="1879">
        <f t="shared" si="377"/>
        <v>3800000</v>
      </c>
      <c r="J602" s="1879">
        <f t="shared" si="377"/>
        <v>3800000</v>
      </c>
      <c r="K602" s="1879">
        <f t="shared" si="377"/>
        <v>3800000</v>
      </c>
      <c r="L602" s="1880">
        <v>0</v>
      </c>
      <c r="M602" s="607">
        <f>+M603</f>
        <v>21043588</v>
      </c>
      <c r="N602" s="607">
        <f>+N603</f>
        <v>18469893</v>
      </c>
      <c r="O602" s="3508"/>
    </row>
    <row r="603" spans="1:16" s="759" customFormat="1" thickBot="1">
      <c r="A603" s="3526"/>
      <c r="B603" s="391" t="s">
        <v>12</v>
      </c>
      <c r="C603" s="3528"/>
      <c r="D603" s="2031">
        <f>E603+F603+G603+H603+I603+J603+K603+L603</f>
        <v>27401805</v>
      </c>
      <c r="E603" s="2031">
        <v>6358217</v>
      </c>
      <c r="F603" s="2194">
        <f>3000000+500000-913378-12927</f>
        <v>2573695</v>
      </c>
      <c r="G603" s="2194">
        <f>3500000-230107</f>
        <v>3269893</v>
      </c>
      <c r="H603" s="2194">
        <v>3800000</v>
      </c>
      <c r="I603" s="2194">
        <v>3800000</v>
      </c>
      <c r="J603" s="2194">
        <v>3800000</v>
      </c>
      <c r="K603" s="2194">
        <v>3800000</v>
      </c>
      <c r="L603" s="2190">
        <v>0</v>
      </c>
      <c r="M603" s="2195">
        <f>SUM(F603:K603)</f>
        <v>21043588</v>
      </c>
      <c r="N603" s="2195">
        <f>SUM(G603:L603)</f>
        <v>18469893</v>
      </c>
      <c r="O603" s="3509"/>
    </row>
    <row r="604" spans="1:16" s="759" customFormat="1" ht="14.25" customHeight="1">
      <c r="A604" s="3524" t="s">
        <v>106</v>
      </c>
      <c r="B604" s="264" t="s">
        <v>174</v>
      </c>
      <c r="C604" s="56" t="s">
        <v>100</v>
      </c>
      <c r="D604" s="2753"/>
      <c r="E604" s="2752"/>
      <c r="F604" s="2752"/>
      <c r="G604" s="2752"/>
      <c r="H604" s="2752"/>
      <c r="I604" s="2752"/>
      <c r="J604" s="2751"/>
      <c r="K604" s="2751"/>
      <c r="L604" s="3405"/>
      <c r="M604" s="43"/>
      <c r="N604" s="43"/>
      <c r="O604" s="3507" t="s">
        <v>93</v>
      </c>
    </row>
    <row r="605" spans="1:16" s="759" customFormat="1" ht="12">
      <c r="A605" s="3525"/>
      <c r="B605" s="539" t="s">
        <v>10</v>
      </c>
      <c r="C605" s="1380"/>
      <c r="D605" s="1381">
        <f>+D606</f>
        <v>677137551</v>
      </c>
      <c r="E605" s="1381">
        <f t="shared" ref="E605:I605" si="378">+E606</f>
        <v>319820454</v>
      </c>
      <c r="F605" s="1381">
        <f t="shared" si="378"/>
        <v>83406189</v>
      </c>
      <c r="G605" s="1381">
        <f t="shared" si="378"/>
        <v>91040908</v>
      </c>
      <c r="H605" s="1381">
        <f t="shared" si="378"/>
        <v>92870000</v>
      </c>
      <c r="I605" s="1381">
        <f t="shared" si="378"/>
        <v>90000000</v>
      </c>
      <c r="J605" s="1386">
        <v>0</v>
      </c>
      <c r="K605" s="1386">
        <v>0</v>
      </c>
      <c r="L605" s="1386">
        <v>0</v>
      </c>
      <c r="M605" s="1419">
        <f>+M606</f>
        <v>357317097</v>
      </c>
      <c r="N605" s="1419">
        <f>+N606</f>
        <v>273910908</v>
      </c>
      <c r="O605" s="3508"/>
      <c r="P605" s="758"/>
    </row>
    <row r="606" spans="1:16" s="759" customFormat="1" ht="12">
      <c r="A606" s="3525"/>
      <c r="B606" s="515" t="s">
        <v>23</v>
      </c>
      <c r="C606" s="3535" t="s">
        <v>90</v>
      </c>
      <c r="D606" s="1382">
        <f>+D607+D608</f>
        <v>677137551</v>
      </c>
      <c r="E606" s="1382">
        <f t="shared" ref="E606" si="379">+E607+E608</f>
        <v>319820454</v>
      </c>
      <c r="F606" s="1382">
        <f t="shared" ref="F606:G606" si="380">+F607+F608</f>
        <v>83406189</v>
      </c>
      <c r="G606" s="1382">
        <f t="shared" si="380"/>
        <v>91040908</v>
      </c>
      <c r="H606" s="1382">
        <f>+H607+H608</f>
        <v>92870000</v>
      </c>
      <c r="I606" s="1382">
        <f>+I607+I608</f>
        <v>90000000</v>
      </c>
      <c r="J606" s="1384">
        <v>0</v>
      </c>
      <c r="K606" s="1384">
        <v>0</v>
      </c>
      <c r="L606" s="1384">
        <v>0</v>
      </c>
      <c r="M606" s="1361">
        <f>+M607+M608</f>
        <v>357317097</v>
      </c>
      <c r="N606" s="1361">
        <f>+N607+N608</f>
        <v>273910908</v>
      </c>
      <c r="O606" s="3508"/>
    </row>
    <row r="607" spans="1:16" s="759" customFormat="1" ht="12">
      <c r="A607" s="3525"/>
      <c r="B607" s="1191" t="s">
        <v>12</v>
      </c>
      <c r="C607" s="3533"/>
      <c r="D607" s="785">
        <f>E607+F607+G607+H607+I607+J607+K607+L607</f>
        <v>667984712</v>
      </c>
      <c r="E607" s="1334">
        <v>315126690</v>
      </c>
      <c r="F607" s="1372">
        <f>79000000+2000000+1000000-411978</f>
        <v>81588022</v>
      </c>
      <c r="G607" s="1372">
        <f>79000000+2000000+7000000+400000</f>
        <v>88400000</v>
      </c>
      <c r="H607" s="1372">
        <f>79000000+2000000+10500000+1370000</f>
        <v>92870000</v>
      </c>
      <c r="I607" s="1372">
        <f>79000000+2000000+9000000</f>
        <v>90000000</v>
      </c>
      <c r="J607" s="1317">
        <v>0</v>
      </c>
      <c r="K607" s="1317">
        <v>0</v>
      </c>
      <c r="L607" s="1317">
        <v>0</v>
      </c>
      <c r="M607" s="1374">
        <f>SUM(F607:K607)</f>
        <v>352858022</v>
      </c>
      <c r="N607" s="1374">
        <f>SUM(G607:L607)</f>
        <v>271270000</v>
      </c>
      <c r="O607" s="3508"/>
    </row>
    <row r="608" spans="1:16" s="759" customFormat="1" ht="12">
      <c r="A608" s="3525"/>
      <c r="B608" s="1190" t="s">
        <v>15</v>
      </c>
      <c r="C608" s="3133"/>
      <c r="D608" s="785">
        <f>E608+F608+G608+H608+I608+J608+K608+L608</f>
        <v>9152839</v>
      </c>
      <c r="E608" s="1334">
        <v>4693764</v>
      </c>
      <c r="F608" s="3406">
        <f>1397794+422214-1841</f>
        <v>1818167</v>
      </c>
      <c r="G608" s="3406">
        <f>1360602+1280306</f>
        <v>2640908</v>
      </c>
      <c r="H608" s="3407">
        <v>0</v>
      </c>
      <c r="I608" s="3407">
        <v>0</v>
      </c>
      <c r="J608" s="3236">
        <v>0</v>
      </c>
      <c r="K608" s="3236">
        <v>0</v>
      </c>
      <c r="L608" s="3236">
        <v>0</v>
      </c>
      <c r="M608" s="1374">
        <f>SUM(F608:K608)</f>
        <v>4459075</v>
      </c>
      <c r="N608" s="1374">
        <f>SUM(G608:L608)</f>
        <v>2640908</v>
      </c>
      <c r="O608" s="3508"/>
    </row>
    <row r="609" spans="1:16" s="759" customFormat="1" ht="12">
      <c r="A609" s="3525"/>
      <c r="B609" s="539" t="s">
        <v>21</v>
      </c>
      <c r="C609" s="1380"/>
      <c r="D609" s="1381">
        <f>+D610</f>
        <v>110564230</v>
      </c>
      <c r="E609" s="1381">
        <f t="shared" ref="E609:I609" si="381">+E610</f>
        <v>27872715</v>
      </c>
      <c r="F609" s="3408">
        <f t="shared" si="381"/>
        <v>15393007</v>
      </c>
      <c r="G609" s="3408">
        <f t="shared" si="381"/>
        <v>22655908</v>
      </c>
      <c r="H609" s="3408">
        <f t="shared" si="381"/>
        <v>23006300</v>
      </c>
      <c r="I609" s="3408">
        <f t="shared" si="381"/>
        <v>21636300</v>
      </c>
      <c r="J609" s="3409">
        <v>0</v>
      </c>
      <c r="K609" s="3409">
        <v>0</v>
      </c>
      <c r="L609" s="3409">
        <v>0</v>
      </c>
      <c r="M609" s="3552" t="s">
        <v>22</v>
      </c>
      <c r="N609" s="3552" t="s">
        <v>22</v>
      </c>
      <c r="O609" s="3508"/>
    </row>
    <row r="610" spans="1:16" s="759" customFormat="1" ht="12">
      <c r="A610" s="3525"/>
      <c r="B610" s="515" t="s">
        <v>23</v>
      </c>
      <c r="C610" s="3535" t="s">
        <v>90</v>
      </c>
      <c r="D610" s="1382">
        <f>+D611+D612</f>
        <v>110564230</v>
      </c>
      <c r="E610" s="1382">
        <f t="shared" ref="E610" si="382">+E611+E612</f>
        <v>27872715</v>
      </c>
      <c r="F610" s="1382">
        <f t="shared" ref="F610:G610" si="383">+F611+F612</f>
        <v>15393007</v>
      </c>
      <c r="G610" s="1382">
        <f t="shared" si="383"/>
        <v>22655908</v>
      </c>
      <c r="H610" s="1382">
        <f>+H611+H612</f>
        <v>23006300</v>
      </c>
      <c r="I610" s="1382">
        <f>+I611+I612</f>
        <v>21636300</v>
      </c>
      <c r="J610" s="1384">
        <v>0</v>
      </c>
      <c r="K610" s="1384">
        <v>0</v>
      </c>
      <c r="L610" s="1384">
        <v>0</v>
      </c>
      <c r="M610" s="3553"/>
      <c r="N610" s="3553"/>
      <c r="O610" s="3508"/>
    </row>
    <row r="611" spans="1:16" s="759" customFormat="1" ht="12">
      <c r="A611" s="3525"/>
      <c r="B611" s="3410" t="s">
        <v>178</v>
      </c>
      <c r="C611" s="3532"/>
      <c r="D611" s="785">
        <f>E611+F611+G611+H611+I611+J611+K611+L611</f>
        <v>101411391</v>
      </c>
      <c r="E611" s="1334">
        <v>23178951</v>
      </c>
      <c r="F611" s="1420">
        <f>10500000+1500000+1574800+40</f>
        <v>13574840</v>
      </c>
      <c r="G611" s="1420">
        <f>19858300+156700</f>
        <v>20015000</v>
      </c>
      <c r="H611" s="1420">
        <f>10500000+1500000+9636300+1370000</f>
        <v>23006300</v>
      </c>
      <c r="I611" s="1420">
        <f>10500000+1500000+9636300</f>
        <v>21636300</v>
      </c>
      <c r="J611" s="3411">
        <v>0</v>
      </c>
      <c r="K611" s="3411">
        <v>0</v>
      </c>
      <c r="L611" s="3411">
        <v>0</v>
      </c>
      <c r="M611" s="3553"/>
      <c r="N611" s="3553"/>
      <c r="O611" s="3508"/>
    </row>
    <row r="612" spans="1:16" s="759" customFormat="1" ht="12" customHeight="1" thickBot="1">
      <c r="A612" s="3526"/>
      <c r="B612" s="391" t="s">
        <v>15</v>
      </c>
      <c r="C612" s="3528"/>
      <c r="D612" s="779">
        <f>E612+F612+G612+H612+I612+J612+K612+L612</f>
        <v>9152839</v>
      </c>
      <c r="E612" s="779">
        <v>4693764</v>
      </c>
      <c r="F612" s="3412">
        <f>1397794+422214-1841</f>
        <v>1818167</v>
      </c>
      <c r="G612" s="3412">
        <f>1360602+1280306</f>
        <v>2640908</v>
      </c>
      <c r="H612" s="1421">
        <v>0</v>
      </c>
      <c r="I612" s="1421">
        <v>0</v>
      </c>
      <c r="J612" s="1421">
        <v>0</v>
      </c>
      <c r="K612" s="1421">
        <v>0</v>
      </c>
      <c r="L612" s="1421">
        <v>0</v>
      </c>
      <c r="M612" s="3554"/>
      <c r="N612" s="3554"/>
      <c r="O612" s="3509"/>
    </row>
    <row r="613" spans="1:16" s="759" customFormat="1" hidden="1" thickBot="1">
      <c r="A613" s="3524"/>
      <c r="B613" s="264"/>
      <c r="C613" s="56" t="s">
        <v>100</v>
      </c>
      <c r="D613" s="123"/>
      <c r="E613" s="42"/>
      <c r="F613" s="42"/>
      <c r="G613" s="42"/>
      <c r="H613" s="42"/>
      <c r="I613" s="42"/>
      <c r="J613" s="42"/>
      <c r="K613" s="42"/>
      <c r="L613" s="42"/>
      <c r="M613" s="43"/>
      <c r="N613" s="43"/>
      <c r="O613" s="3507" t="s">
        <v>93</v>
      </c>
    </row>
    <row r="614" spans="1:16" s="759" customFormat="1" hidden="1" thickBot="1">
      <c r="A614" s="3525"/>
      <c r="B614" s="21" t="s">
        <v>10</v>
      </c>
      <c r="C614" s="22"/>
      <c r="D614" s="121">
        <f>+D615</f>
        <v>0</v>
      </c>
      <c r="E614" s="121">
        <v>0</v>
      </c>
      <c r="F614" s="121"/>
      <c r="G614" s="121"/>
      <c r="H614" s="121"/>
      <c r="I614" s="121"/>
      <c r="J614" s="279"/>
      <c r="K614" s="279"/>
      <c r="L614" s="279"/>
      <c r="M614" s="89"/>
      <c r="N614" s="89"/>
      <c r="O614" s="3508"/>
      <c r="P614" s="758"/>
    </row>
    <row r="615" spans="1:16" s="759" customFormat="1" hidden="1" thickBot="1">
      <c r="A615" s="3525"/>
      <c r="B615" s="166" t="s">
        <v>23</v>
      </c>
      <c r="C615" s="393" t="s">
        <v>90</v>
      </c>
      <c r="D615" s="122">
        <f>+D616</f>
        <v>0</v>
      </c>
      <c r="E615" s="122">
        <v>0</v>
      </c>
      <c r="F615" s="122"/>
      <c r="G615" s="122"/>
      <c r="H615" s="122"/>
      <c r="I615" s="122"/>
      <c r="J615" s="278"/>
      <c r="K615" s="278"/>
      <c r="L615" s="278"/>
      <c r="M615" s="66"/>
      <c r="N615" s="66"/>
      <c r="O615" s="3508"/>
    </row>
    <row r="616" spans="1:16" s="759" customFormat="1" hidden="1" thickBot="1">
      <c r="A616" s="3525"/>
      <c r="B616" s="389" t="s">
        <v>12</v>
      </c>
      <c r="C616" s="394"/>
      <c r="D616" s="51">
        <f>SUM(E616:I616)</f>
        <v>0</v>
      </c>
      <c r="E616" s="196">
        <v>0</v>
      </c>
      <c r="F616" s="84"/>
      <c r="G616" s="84"/>
      <c r="H616" s="84"/>
      <c r="I616" s="84"/>
      <c r="J616" s="233"/>
      <c r="K616" s="233"/>
      <c r="L616" s="233"/>
      <c r="M616" s="67"/>
      <c r="N616" s="67"/>
      <c r="O616" s="3508"/>
    </row>
    <row r="617" spans="1:16" s="759" customFormat="1" ht="14.25" hidden="1" customHeight="1">
      <c r="A617" s="3524" t="s">
        <v>80</v>
      </c>
      <c r="B617" s="264"/>
      <c r="C617" s="56" t="s">
        <v>100</v>
      </c>
      <c r="D617" s="40"/>
      <c r="E617" s="42"/>
      <c r="F617" s="42"/>
      <c r="G617" s="42"/>
      <c r="H617" s="42"/>
      <c r="I617" s="42"/>
      <c r="J617" s="42"/>
      <c r="K617" s="42"/>
      <c r="L617" s="42"/>
      <c r="M617" s="43"/>
      <c r="N617" s="43"/>
      <c r="O617" s="3507" t="s">
        <v>78</v>
      </c>
    </row>
    <row r="618" spans="1:16" s="759" customFormat="1" hidden="1" thickBot="1">
      <c r="A618" s="3525"/>
      <c r="B618" s="21" t="s">
        <v>10</v>
      </c>
      <c r="C618" s="22"/>
      <c r="D618" s="121"/>
      <c r="E618" s="121"/>
      <c r="F618" s="121"/>
      <c r="G618" s="121"/>
      <c r="H618" s="121"/>
      <c r="I618" s="269"/>
      <c r="J618" s="269"/>
      <c r="K618" s="269"/>
      <c r="L618" s="269"/>
      <c r="M618" s="63">
        <f>+M619</f>
        <v>0</v>
      </c>
      <c r="N618" s="63">
        <f>+N619</f>
        <v>0</v>
      </c>
      <c r="O618" s="3508"/>
      <c r="P618" s="758"/>
    </row>
    <row r="619" spans="1:16" s="759" customFormat="1" hidden="1" thickBot="1">
      <c r="A619" s="3525"/>
      <c r="B619" s="166" t="s">
        <v>23</v>
      </c>
      <c r="C619" s="3527" t="s">
        <v>76</v>
      </c>
      <c r="D619" s="122"/>
      <c r="E619" s="122"/>
      <c r="F619" s="122"/>
      <c r="G619" s="122"/>
      <c r="H619" s="122"/>
      <c r="I619" s="270"/>
      <c r="J619" s="270"/>
      <c r="K619" s="270"/>
      <c r="L619" s="270"/>
      <c r="M619" s="77">
        <f>+M620+M621</f>
        <v>0</v>
      </c>
      <c r="N619" s="77">
        <f>+N620+N621</f>
        <v>0</v>
      </c>
      <c r="O619" s="3508"/>
    </row>
    <row r="620" spans="1:16" s="759" customFormat="1" hidden="1" thickBot="1">
      <c r="A620" s="3525"/>
      <c r="B620" s="392" t="s">
        <v>12</v>
      </c>
      <c r="C620" s="3532"/>
      <c r="D620" s="776"/>
      <c r="E620" s="776"/>
      <c r="F620" s="68"/>
      <c r="G620" s="68"/>
      <c r="H620" s="68"/>
      <c r="I620" s="271"/>
      <c r="J620" s="271"/>
      <c r="K620" s="271"/>
      <c r="L620" s="271"/>
      <c r="M620" s="34">
        <f>SUM(E620:K620)</f>
        <v>0</v>
      </c>
      <c r="N620" s="34">
        <f>SUM(F620:L620)</f>
        <v>0</v>
      </c>
      <c r="O620" s="3508"/>
    </row>
    <row r="621" spans="1:16" s="759" customFormat="1" hidden="1" thickBot="1">
      <c r="A621" s="3525"/>
      <c r="B621" s="129" t="s">
        <v>98</v>
      </c>
      <c r="C621" s="3533"/>
      <c r="D621" s="776"/>
      <c r="E621" s="776"/>
      <c r="F621" s="272"/>
      <c r="G621" s="272"/>
      <c r="H621" s="272"/>
      <c r="I621" s="272"/>
      <c r="J621" s="265"/>
      <c r="K621" s="265"/>
      <c r="L621" s="265"/>
      <c r="M621" s="34">
        <f>SUM(E621:K621)</f>
        <v>0</v>
      </c>
      <c r="N621" s="34">
        <f>SUM(F621:L621)</f>
        <v>0</v>
      </c>
      <c r="O621" s="3508"/>
    </row>
    <row r="622" spans="1:16" s="759" customFormat="1" hidden="1" thickBot="1">
      <c r="A622" s="3525"/>
      <c r="B622" s="78" t="s">
        <v>21</v>
      </c>
      <c r="C622" s="22"/>
      <c r="D622" s="121"/>
      <c r="E622" s="121"/>
      <c r="F622" s="269"/>
      <c r="G622" s="269"/>
      <c r="H622" s="269"/>
      <c r="I622" s="269"/>
      <c r="J622" s="269"/>
      <c r="K622" s="269"/>
      <c r="L622" s="269"/>
      <c r="M622" s="3529" t="s">
        <v>22</v>
      </c>
      <c r="N622" s="3529" t="s">
        <v>22</v>
      </c>
      <c r="O622" s="3508"/>
    </row>
    <row r="623" spans="1:16" s="759" customFormat="1" hidden="1" thickBot="1">
      <c r="A623" s="3525"/>
      <c r="B623" s="166" t="s">
        <v>23</v>
      </c>
      <c r="C623" s="3527" t="s">
        <v>76</v>
      </c>
      <c r="D623" s="48"/>
      <c r="E623" s="48"/>
      <c r="F623" s="267"/>
      <c r="G623" s="267"/>
      <c r="H623" s="273"/>
      <c r="I623" s="267"/>
      <c r="J623" s="267"/>
      <c r="K623" s="267"/>
      <c r="L623" s="267"/>
      <c r="M623" s="3530"/>
      <c r="N623" s="3530"/>
      <c r="O623" s="3508"/>
    </row>
    <row r="624" spans="1:16" s="759" customFormat="1" hidden="1" thickBot="1">
      <c r="A624" s="3526"/>
      <c r="B624" s="276" t="s">
        <v>13</v>
      </c>
      <c r="C624" s="3528"/>
      <c r="D624" s="776"/>
      <c r="E624" s="776"/>
      <c r="F624" s="274"/>
      <c r="G624" s="274"/>
      <c r="H624" s="275"/>
      <c r="I624" s="274"/>
      <c r="J624" s="274"/>
      <c r="K624" s="274"/>
      <c r="L624" s="274"/>
      <c r="M624" s="3531"/>
      <c r="N624" s="3531"/>
      <c r="O624" s="3509"/>
    </row>
    <row r="625" spans="1:16" s="759" customFormat="1" ht="24.75" hidden="1" customHeight="1">
      <c r="A625" s="3524" t="s">
        <v>83</v>
      </c>
      <c r="B625" s="264"/>
      <c r="C625" s="56"/>
      <c r="D625" s="40"/>
      <c r="E625" s="40"/>
      <c r="F625" s="40"/>
      <c r="G625" s="40"/>
      <c r="H625" s="42"/>
      <c r="I625" s="42"/>
      <c r="J625" s="42"/>
      <c r="K625" s="42"/>
      <c r="L625" s="42"/>
      <c r="M625" s="43"/>
      <c r="N625" s="43"/>
      <c r="O625" s="3507" t="s">
        <v>78</v>
      </c>
    </row>
    <row r="626" spans="1:16" s="759" customFormat="1" hidden="1" thickBot="1">
      <c r="A626" s="3525"/>
      <c r="B626" s="21" t="s">
        <v>10</v>
      </c>
      <c r="C626" s="22"/>
      <c r="D626" s="121"/>
      <c r="E626" s="121"/>
      <c r="F626" s="121"/>
      <c r="G626" s="121"/>
      <c r="H626" s="121"/>
      <c r="I626" s="269"/>
      <c r="J626" s="269"/>
      <c r="K626" s="269"/>
      <c r="L626" s="269"/>
      <c r="M626" s="63">
        <f>+M627</f>
        <v>0</v>
      </c>
      <c r="N626" s="63">
        <f>+N627</f>
        <v>0</v>
      </c>
      <c r="O626" s="3508"/>
      <c r="P626" s="758"/>
    </row>
    <row r="627" spans="1:16" s="759" customFormat="1" hidden="1" thickBot="1">
      <c r="A627" s="3525"/>
      <c r="B627" s="166" t="s">
        <v>23</v>
      </c>
      <c r="C627" s="3527" t="s">
        <v>76</v>
      </c>
      <c r="D627" s="122"/>
      <c r="E627" s="122"/>
      <c r="F627" s="122"/>
      <c r="G627" s="122"/>
      <c r="H627" s="122"/>
      <c r="I627" s="272"/>
      <c r="J627" s="265"/>
      <c r="K627" s="265"/>
      <c r="L627" s="265"/>
      <c r="M627" s="77">
        <f>+M628+M629</f>
        <v>0</v>
      </c>
      <c r="N627" s="77">
        <f>+N628+N629</f>
        <v>0</v>
      </c>
      <c r="O627" s="3508"/>
    </row>
    <row r="628" spans="1:16" s="759" customFormat="1" hidden="1" thickBot="1">
      <c r="A628" s="3525"/>
      <c r="B628" s="392" t="s">
        <v>12</v>
      </c>
      <c r="C628" s="3532"/>
      <c r="D628" s="776"/>
      <c r="E628" s="776"/>
      <c r="F628" s="73"/>
      <c r="G628" s="73"/>
      <c r="H628" s="73"/>
      <c r="I628" s="272"/>
      <c r="J628" s="265"/>
      <c r="K628" s="265"/>
      <c r="L628" s="265"/>
      <c r="M628" s="34">
        <f>SUM(E628:K628)</f>
        <v>0</v>
      </c>
      <c r="N628" s="34">
        <f>SUM(F628:L628)</f>
        <v>0</v>
      </c>
      <c r="O628" s="3508"/>
    </row>
    <row r="629" spans="1:16" s="759" customFormat="1" hidden="1" thickBot="1">
      <c r="A629" s="3525"/>
      <c r="B629" s="129" t="s">
        <v>70</v>
      </c>
      <c r="C629" s="3533"/>
      <c r="D629" s="776"/>
      <c r="E629" s="776"/>
      <c r="F629" s="73"/>
      <c r="G629" s="73"/>
      <c r="H629" s="272"/>
      <c r="I629" s="272"/>
      <c r="J629" s="265"/>
      <c r="K629" s="265"/>
      <c r="L629" s="265"/>
      <c r="M629" s="34">
        <f>SUM(E629:K629)</f>
        <v>0</v>
      </c>
      <c r="N629" s="34">
        <f>SUM(F629:L629)</f>
        <v>0</v>
      </c>
      <c r="O629" s="3508"/>
    </row>
    <row r="630" spans="1:16" s="759" customFormat="1" hidden="1" thickBot="1">
      <c r="A630" s="3525"/>
      <c r="B630" s="78" t="s">
        <v>21</v>
      </c>
      <c r="C630" s="22"/>
      <c r="D630" s="121"/>
      <c r="E630" s="121"/>
      <c r="F630" s="269"/>
      <c r="G630" s="269"/>
      <c r="H630" s="269"/>
      <c r="I630" s="269"/>
      <c r="J630" s="269"/>
      <c r="K630" s="269"/>
      <c r="L630" s="269"/>
      <c r="M630" s="3529" t="s">
        <v>22</v>
      </c>
      <c r="N630" s="3529" t="s">
        <v>22</v>
      </c>
      <c r="O630" s="3508"/>
    </row>
    <row r="631" spans="1:16" s="759" customFormat="1" hidden="1" thickBot="1">
      <c r="A631" s="3525"/>
      <c r="B631" s="166" t="s">
        <v>23</v>
      </c>
      <c r="C631" s="3527" t="s">
        <v>76</v>
      </c>
      <c r="D631" s="374"/>
      <c r="E631" s="374"/>
      <c r="F631" s="273"/>
      <c r="G631" s="273"/>
      <c r="H631" s="273"/>
      <c r="I631" s="267"/>
      <c r="J631" s="267"/>
      <c r="K631" s="267"/>
      <c r="L631" s="267"/>
      <c r="M631" s="3530"/>
      <c r="N631" s="3530"/>
      <c r="O631" s="3508"/>
    </row>
    <row r="632" spans="1:16" s="759" customFormat="1" hidden="1" thickBot="1">
      <c r="A632" s="3526"/>
      <c r="B632" s="129" t="s">
        <v>13</v>
      </c>
      <c r="C632" s="3528"/>
      <c r="D632" s="776"/>
      <c r="E632" s="776"/>
      <c r="F632" s="275"/>
      <c r="G632" s="275"/>
      <c r="H632" s="275"/>
      <c r="I632" s="274"/>
      <c r="J632" s="274"/>
      <c r="K632" s="274"/>
      <c r="L632" s="274"/>
      <c r="M632" s="3531"/>
      <c r="N632" s="3531"/>
      <c r="O632" s="3509"/>
    </row>
    <row r="633" spans="1:16" s="759" customFormat="1" ht="14.25" hidden="1" customHeight="1">
      <c r="A633" s="3524" t="s">
        <v>84</v>
      </c>
      <c r="B633" s="264"/>
      <c r="C633" s="56"/>
      <c r="D633" s="123"/>
      <c r="E633" s="42"/>
      <c r="F633" s="42"/>
      <c r="G633" s="42"/>
      <c r="H633" s="42"/>
      <c r="I633" s="42"/>
      <c r="J633" s="42"/>
      <c r="K633" s="42"/>
      <c r="L633" s="42"/>
      <c r="M633" s="43"/>
      <c r="N633" s="43"/>
      <c r="O633" s="3507" t="s">
        <v>78</v>
      </c>
    </row>
    <row r="634" spans="1:16" s="759" customFormat="1" hidden="1" thickBot="1">
      <c r="A634" s="3525"/>
      <c r="B634" s="21" t="s">
        <v>10</v>
      </c>
      <c r="C634" s="22"/>
      <c r="D634" s="121"/>
      <c r="E634" s="121"/>
      <c r="F634" s="121"/>
      <c r="G634" s="121"/>
      <c r="H634" s="269"/>
      <c r="I634" s="269"/>
      <c r="J634" s="269"/>
      <c r="K634" s="269"/>
      <c r="L634" s="269"/>
      <c r="M634" s="63">
        <f>+M635</f>
        <v>0</v>
      </c>
      <c r="N634" s="63">
        <f>+N635</f>
        <v>0</v>
      </c>
      <c r="O634" s="3508"/>
      <c r="P634" s="758"/>
    </row>
    <row r="635" spans="1:16" s="759" customFormat="1" hidden="1" thickBot="1">
      <c r="A635" s="3525"/>
      <c r="B635" s="166" t="s">
        <v>23</v>
      </c>
      <c r="C635" s="3527" t="s">
        <v>76</v>
      </c>
      <c r="D635" s="122"/>
      <c r="E635" s="122"/>
      <c r="F635" s="122"/>
      <c r="G635" s="122"/>
      <c r="H635" s="270"/>
      <c r="I635" s="270"/>
      <c r="J635" s="270"/>
      <c r="K635" s="270"/>
      <c r="L635" s="270"/>
      <c r="M635" s="77">
        <f>+M636</f>
        <v>0</v>
      </c>
      <c r="N635" s="77">
        <f>+N636</f>
        <v>0</v>
      </c>
      <c r="O635" s="3508"/>
    </row>
    <row r="636" spans="1:16" s="759" customFormat="1" hidden="1" thickBot="1">
      <c r="A636" s="3526"/>
      <c r="B636" s="391" t="s">
        <v>12</v>
      </c>
      <c r="C636" s="3528"/>
      <c r="D636" s="776"/>
      <c r="E636" s="776"/>
      <c r="F636" s="228"/>
      <c r="G636" s="228"/>
      <c r="H636" s="283"/>
      <c r="I636" s="283"/>
      <c r="J636" s="271"/>
      <c r="K636" s="271"/>
      <c r="L636" s="271"/>
      <c r="M636" s="34">
        <f>SUM(E636:K636)</f>
        <v>0</v>
      </c>
      <c r="N636" s="34">
        <f>SUM(F636:L636)</f>
        <v>0</v>
      </c>
      <c r="O636" s="3509"/>
    </row>
    <row r="637" spans="1:16" s="759" customFormat="1" ht="14.25" hidden="1" customHeight="1">
      <c r="A637" s="3524" t="s">
        <v>85</v>
      </c>
      <c r="B637" s="264"/>
      <c r="C637" s="56"/>
      <c r="D637" s="123"/>
      <c r="E637" s="42"/>
      <c r="F637" s="42"/>
      <c r="G637" s="42"/>
      <c r="H637" s="42"/>
      <c r="I637" s="42"/>
      <c r="J637" s="42"/>
      <c r="K637" s="42"/>
      <c r="L637" s="42"/>
      <c r="M637" s="43"/>
      <c r="N637" s="43"/>
      <c r="O637" s="3507" t="s">
        <v>78</v>
      </c>
    </row>
    <row r="638" spans="1:16" s="759" customFormat="1" hidden="1" thickBot="1">
      <c r="A638" s="3525"/>
      <c r="B638" s="21" t="s">
        <v>10</v>
      </c>
      <c r="C638" s="22"/>
      <c r="D638" s="121"/>
      <c r="E638" s="269"/>
      <c r="F638" s="121"/>
      <c r="G638" s="121"/>
      <c r="H638" s="121"/>
      <c r="I638" s="269"/>
      <c r="J638" s="269"/>
      <c r="K638" s="269"/>
      <c r="L638" s="269"/>
      <c r="M638" s="63">
        <f>+M639</f>
        <v>0</v>
      </c>
      <c r="N638" s="63">
        <f>+N639</f>
        <v>0</v>
      </c>
      <c r="O638" s="3508"/>
      <c r="P638" s="758"/>
    </row>
    <row r="639" spans="1:16" s="759" customFormat="1" hidden="1" thickBot="1">
      <c r="A639" s="3525"/>
      <c r="B639" s="166" t="s">
        <v>23</v>
      </c>
      <c r="C639" s="3527" t="s">
        <v>76</v>
      </c>
      <c r="D639" s="122"/>
      <c r="E639" s="270"/>
      <c r="F639" s="122"/>
      <c r="G639" s="122"/>
      <c r="H639" s="122"/>
      <c r="I639" s="270"/>
      <c r="J639" s="270"/>
      <c r="K639" s="270"/>
      <c r="L639" s="270"/>
      <c r="M639" s="77">
        <f>+M640</f>
        <v>0</v>
      </c>
      <c r="N639" s="77">
        <f>+N640</f>
        <v>0</v>
      </c>
      <c r="O639" s="3508"/>
    </row>
    <row r="640" spans="1:16" s="759" customFormat="1" hidden="1" thickBot="1">
      <c r="A640" s="3526"/>
      <c r="B640" s="391" t="s">
        <v>12</v>
      </c>
      <c r="C640" s="3528"/>
      <c r="D640" s="776"/>
      <c r="E640" s="550"/>
      <c r="F640" s="228"/>
      <c r="G640" s="228"/>
      <c r="H640" s="228"/>
      <c r="I640" s="283"/>
      <c r="J640" s="271"/>
      <c r="K640" s="271"/>
      <c r="L640" s="271"/>
      <c r="M640" s="34">
        <f>SUM(E640:K640)</f>
        <v>0</v>
      </c>
      <c r="N640" s="34">
        <f>SUM(F640:L640)</f>
        <v>0</v>
      </c>
      <c r="O640" s="3509"/>
    </row>
    <row r="641" spans="1:16" s="759" customFormat="1" ht="24.75" customHeight="1">
      <c r="A641" s="3524" t="s">
        <v>79</v>
      </c>
      <c r="B641" s="264" t="s">
        <v>540</v>
      </c>
      <c r="C641" s="1411" t="s">
        <v>100</v>
      </c>
      <c r="D641" s="2753"/>
      <c r="E641" s="2752"/>
      <c r="F641" s="2752"/>
      <c r="G641" s="2752"/>
      <c r="H641" s="2752"/>
      <c r="I641" s="2752"/>
      <c r="J641" s="2752"/>
      <c r="K641" s="2752"/>
      <c r="L641" s="41"/>
      <c r="M641" s="43"/>
      <c r="N641" s="43"/>
      <c r="O641" s="3507" t="s">
        <v>93</v>
      </c>
    </row>
    <row r="642" spans="1:16" s="759" customFormat="1" ht="12.75" customHeight="1">
      <c r="A642" s="3525"/>
      <c r="B642" s="21" t="s">
        <v>10</v>
      </c>
      <c r="C642" s="22"/>
      <c r="D642" s="121">
        <f>+D643</f>
        <v>881879</v>
      </c>
      <c r="E642" s="121">
        <f t="shared" ref="E642:K643" si="384">+E643</f>
        <v>116055</v>
      </c>
      <c r="F642" s="121">
        <f t="shared" si="384"/>
        <v>81377</v>
      </c>
      <c r="G642" s="121">
        <f t="shared" si="384"/>
        <v>104447</v>
      </c>
      <c r="H642" s="121">
        <f t="shared" si="384"/>
        <v>145000</v>
      </c>
      <c r="I642" s="121">
        <f t="shared" si="384"/>
        <v>145000</v>
      </c>
      <c r="J642" s="121">
        <f t="shared" si="384"/>
        <v>145000</v>
      </c>
      <c r="K642" s="121">
        <f t="shared" si="384"/>
        <v>145000</v>
      </c>
      <c r="L642" s="269">
        <v>0</v>
      </c>
      <c r="M642" s="63">
        <f>+M643</f>
        <v>765824</v>
      </c>
      <c r="N642" s="63">
        <f>+N643</f>
        <v>684447</v>
      </c>
      <c r="O642" s="3508"/>
      <c r="P642" s="758"/>
    </row>
    <row r="643" spans="1:16" s="759" customFormat="1" ht="12.75" customHeight="1">
      <c r="A643" s="3525"/>
      <c r="B643" s="166" t="s">
        <v>23</v>
      </c>
      <c r="C643" s="3527" t="s">
        <v>90</v>
      </c>
      <c r="D643" s="122">
        <f>+D644</f>
        <v>881879</v>
      </c>
      <c r="E643" s="122">
        <f t="shared" si="384"/>
        <v>116055</v>
      </c>
      <c r="F643" s="122">
        <f t="shared" si="384"/>
        <v>81377</v>
      </c>
      <c r="G643" s="122">
        <f t="shared" si="384"/>
        <v>104447</v>
      </c>
      <c r="H643" s="122">
        <f t="shared" si="384"/>
        <v>145000</v>
      </c>
      <c r="I643" s="122">
        <f t="shared" si="384"/>
        <v>145000</v>
      </c>
      <c r="J643" s="122">
        <f>145000</f>
        <v>145000</v>
      </c>
      <c r="K643" s="122">
        <f>145000</f>
        <v>145000</v>
      </c>
      <c r="L643" s="270">
        <v>0</v>
      </c>
      <c r="M643" s="77">
        <f>+M644</f>
        <v>765824</v>
      </c>
      <c r="N643" s="77">
        <f>+N644</f>
        <v>684447</v>
      </c>
      <c r="O643" s="3508"/>
    </row>
    <row r="644" spans="1:16" s="759" customFormat="1" ht="12.75" customHeight="1" thickBot="1">
      <c r="A644" s="3526"/>
      <c r="B644" s="391" t="s">
        <v>12</v>
      </c>
      <c r="C644" s="3528"/>
      <c r="D644" s="236">
        <f>E644+F644+G644+H644+I644+J644+K644+L644</f>
        <v>881879</v>
      </c>
      <c r="E644" s="266">
        <v>116055</v>
      </c>
      <c r="F644" s="228">
        <f>135000-44000-9623</f>
        <v>81377</v>
      </c>
      <c r="G644" s="228">
        <f>135000-30553</f>
        <v>104447</v>
      </c>
      <c r="H644" s="228">
        <f>135000+10000</f>
        <v>145000</v>
      </c>
      <c r="I644" s="228">
        <f>135000+10000</f>
        <v>145000</v>
      </c>
      <c r="J644" s="228">
        <f>145000</f>
        <v>145000</v>
      </c>
      <c r="K644" s="228">
        <f>145000</f>
        <v>145000</v>
      </c>
      <c r="L644" s="283">
        <v>0</v>
      </c>
      <c r="M644" s="808">
        <f>SUM(F644:K644)</f>
        <v>765824</v>
      </c>
      <c r="N644" s="808">
        <f>SUM(G644:L644)</f>
        <v>684447</v>
      </c>
      <c r="O644" s="3509"/>
    </row>
    <row r="645" spans="1:16" s="759" customFormat="1" ht="27" customHeight="1">
      <c r="A645" s="3524" t="s">
        <v>80</v>
      </c>
      <c r="B645" s="264" t="s">
        <v>371</v>
      </c>
      <c r="C645" s="56" t="s">
        <v>73</v>
      </c>
      <c r="D645" s="2753"/>
      <c r="E645" s="2752"/>
      <c r="F645" s="2752"/>
      <c r="G645" s="2752"/>
      <c r="H645" s="2752"/>
      <c r="I645" s="2752"/>
      <c r="J645" s="2752"/>
      <c r="K645" s="2752"/>
      <c r="L645" s="41"/>
      <c r="M645" s="43"/>
      <c r="N645" s="43"/>
      <c r="O645" s="3507" t="s">
        <v>78</v>
      </c>
    </row>
    <row r="646" spans="1:16" s="759" customFormat="1" ht="12">
      <c r="A646" s="3525"/>
      <c r="B646" s="539" t="s">
        <v>10</v>
      </c>
      <c r="C646" s="1356"/>
      <c r="D646" s="1381">
        <f>+D647</f>
        <v>6310603</v>
      </c>
      <c r="E646" s="1381">
        <v>3810194</v>
      </c>
      <c r="F646" s="1381">
        <f t="shared" ref="F646:G647" si="385">+F647</f>
        <v>2021758</v>
      </c>
      <c r="G646" s="1381">
        <f t="shared" si="385"/>
        <v>478651</v>
      </c>
      <c r="H646" s="1386">
        <v>0</v>
      </c>
      <c r="I646" s="1386">
        <v>0</v>
      </c>
      <c r="J646" s="1386">
        <v>0</v>
      </c>
      <c r="K646" s="1386">
        <v>0</v>
      </c>
      <c r="L646" s="1386">
        <v>0</v>
      </c>
      <c r="M646" s="1358">
        <f>+M647</f>
        <v>2500409</v>
      </c>
      <c r="N646" s="1358">
        <f>+N647</f>
        <v>478651</v>
      </c>
      <c r="O646" s="3508"/>
      <c r="P646" s="758"/>
    </row>
    <row r="647" spans="1:16" s="759" customFormat="1" ht="12">
      <c r="A647" s="3525"/>
      <c r="B647" s="515" t="s">
        <v>23</v>
      </c>
      <c r="C647" s="3592" t="s">
        <v>76</v>
      </c>
      <c r="D647" s="1382">
        <f>+D648</f>
        <v>6310603</v>
      </c>
      <c r="E647" s="1382">
        <v>3810194</v>
      </c>
      <c r="F647" s="1382">
        <f t="shared" si="385"/>
        <v>2021758</v>
      </c>
      <c r="G647" s="1382">
        <f t="shared" si="385"/>
        <v>478651</v>
      </c>
      <c r="H647" s="1384">
        <v>0</v>
      </c>
      <c r="I647" s="1384">
        <v>0</v>
      </c>
      <c r="J647" s="1384">
        <v>0</v>
      </c>
      <c r="K647" s="1384">
        <v>0</v>
      </c>
      <c r="L647" s="1384">
        <v>0</v>
      </c>
      <c r="M647" s="1361">
        <f>+M648</f>
        <v>2500409</v>
      </c>
      <c r="N647" s="1361">
        <f>+N648</f>
        <v>478651</v>
      </c>
      <c r="O647" s="3508"/>
    </row>
    <row r="648" spans="1:16" s="759" customFormat="1" thickBot="1">
      <c r="A648" s="3526"/>
      <c r="B648" s="391" t="s">
        <v>12</v>
      </c>
      <c r="C648" s="3528"/>
      <c r="D648" s="1455">
        <f>E648+F648+G648+H648+I648+J648+K648+L648</f>
        <v>6310603</v>
      </c>
      <c r="E648" s="1455">
        <v>3810194</v>
      </c>
      <c r="F648" s="1669">
        <f>1965000+93736+486070-523048</f>
        <v>2021758</v>
      </c>
      <c r="G648" s="1669">
        <f>523048+60000-104397</f>
        <v>478651</v>
      </c>
      <c r="H648" s="3413">
        <v>0</v>
      </c>
      <c r="I648" s="3413">
        <v>0</v>
      </c>
      <c r="J648" s="3413">
        <v>0</v>
      </c>
      <c r="K648" s="3413">
        <v>0</v>
      </c>
      <c r="L648" s="3413">
        <v>0</v>
      </c>
      <c r="M648" s="1670">
        <f>SUM(F648:K648)</f>
        <v>2500409</v>
      </c>
      <c r="N648" s="1670">
        <f>SUM(G648:L648)</f>
        <v>478651</v>
      </c>
      <c r="O648" s="3509"/>
    </row>
    <row r="649" spans="1:16" s="759" customFormat="1" ht="16.5" customHeight="1">
      <c r="A649" s="3524" t="s">
        <v>81</v>
      </c>
      <c r="B649" s="264" t="s">
        <v>279</v>
      </c>
      <c r="C649" s="56" t="s">
        <v>100</v>
      </c>
      <c r="D649" s="2753"/>
      <c r="E649" s="2751"/>
      <c r="F649" s="2752"/>
      <c r="G649" s="2752"/>
      <c r="H649" s="2752"/>
      <c r="I649" s="2752"/>
      <c r="J649" s="2752"/>
      <c r="K649" s="2752"/>
      <c r="L649" s="41"/>
      <c r="M649" s="43"/>
      <c r="N649" s="43"/>
      <c r="O649" s="3507" t="s">
        <v>78</v>
      </c>
    </row>
    <row r="650" spans="1:16" s="759" customFormat="1" ht="12.75" customHeight="1">
      <c r="A650" s="3525"/>
      <c r="B650" s="21" t="s">
        <v>10</v>
      </c>
      <c r="C650" s="22"/>
      <c r="D650" s="3025">
        <f>+D651</f>
        <v>107257369</v>
      </c>
      <c r="E650" s="3025">
        <f t="shared" ref="E650:I650" si="386">+E651</f>
        <v>0</v>
      </c>
      <c r="F650" s="3025">
        <f t="shared" si="386"/>
        <v>27220670</v>
      </c>
      <c r="G650" s="3025">
        <f t="shared" si="386"/>
        <v>26856601</v>
      </c>
      <c r="H650" s="3025">
        <f t="shared" si="386"/>
        <v>26265000</v>
      </c>
      <c r="I650" s="3025">
        <f t="shared" si="386"/>
        <v>26915098</v>
      </c>
      <c r="J650" s="3026">
        <v>0</v>
      </c>
      <c r="K650" s="3026">
        <v>0</v>
      </c>
      <c r="L650" s="3026">
        <v>0</v>
      </c>
      <c r="M650" s="3027">
        <f>+M651</f>
        <v>107257369</v>
      </c>
      <c r="N650" s="3027">
        <f>+N651</f>
        <v>80036699</v>
      </c>
      <c r="O650" s="3508"/>
      <c r="P650" s="758"/>
    </row>
    <row r="651" spans="1:16" s="759" customFormat="1" ht="12.75" customHeight="1">
      <c r="A651" s="3525"/>
      <c r="B651" s="515" t="s">
        <v>23</v>
      </c>
      <c r="C651" s="3591" t="s">
        <v>355</v>
      </c>
      <c r="D651" s="1879">
        <f>+D652+D653</f>
        <v>107257369</v>
      </c>
      <c r="E651" s="1879">
        <f t="shared" ref="E651" si="387">+E652+E653</f>
        <v>0</v>
      </c>
      <c r="F651" s="1879">
        <f t="shared" ref="F651:L651" si="388">+F652+F653</f>
        <v>27220670</v>
      </c>
      <c r="G651" s="1879">
        <f t="shared" si="388"/>
        <v>26856601</v>
      </c>
      <c r="H651" s="1879">
        <f t="shared" si="388"/>
        <v>26265000</v>
      </c>
      <c r="I651" s="1879">
        <f t="shared" si="388"/>
        <v>26915098</v>
      </c>
      <c r="J651" s="1880">
        <f t="shared" si="388"/>
        <v>0</v>
      </c>
      <c r="K651" s="1880">
        <f t="shared" si="388"/>
        <v>0</v>
      </c>
      <c r="L651" s="1880">
        <f t="shared" si="388"/>
        <v>0</v>
      </c>
      <c r="M651" s="522">
        <f>+M652+M653</f>
        <v>107257369</v>
      </c>
      <c r="N651" s="522">
        <f>+N652+N653</f>
        <v>80036699</v>
      </c>
      <c r="O651" s="3508"/>
    </row>
    <row r="652" spans="1:16" s="759" customFormat="1" ht="14.25" customHeight="1">
      <c r="A652" s="3525"/>
      <c r="B652" s="1191" t="s">
        <v>12</v>
      </c>
      <c r="C652" s="3532"/>
      <c r="D652" s="236">
        <f>E652+F652+G652+H652+I652+J652+K652+L652</f>
        <v>58213641</v>
      </c>
      <c r="E652" s="266">
        <v>0</v>
      </c>
      <c r="F652" s="1894">
        <f>24142831+86188+3000000-23425991-8349</f>
        <v>3794679</v>
      </c>
      <c r="G652" s="1894">
        <f>26856601-25617737</f>
        <v>1238864</v>
      </c>
      <c r="H652" s="1894">
        <v>26265000</v>
      </c>
      <c r="I652" s="1894">
        <v>26915098</v>
      </c>
      <c r="J652" s="1881">
        <v>0</v>
      </c>
      <c r="K652" s="1881">
        <v>0</v>
      </c>
      <c r="L652" s="1881">
        <v>0</v>
      </c>
      <c r="M652" s="808">
        <f>SUM(F652:K652)</f>
        <v>58213641</v>
      </c>
      <c r="N652" s="808">
        <f>SUM(G652:L652)</f>
        <v>54418962</v>
      </c>
      <c r="O652" s="3508"/>
    </row>
    <row r="653" spans="1:16" s="759" customFormat="1" ht="14.25" customHeight="1">
      <c r="A653" s="3525"/>
      <c r="B653" s="1191" t="s">
        <v>70</v>
      </c>
      <c r="C653" s="3533"/>
      <c r="D653" s="1339">
        <f>E653+F653+G653+H653+I653+J653+K653+L653</f>
        <v>49043728</v>
      </c>
      <c r="E653" s="266">
        <v>0</v>
      </c>
      <c r="F653" s="1894">
        <f>23425991</f>
        <v>23425991</v>
      </c>
      <c r="G653" s="1894">
        <v>25617737</v>
      </c>
      <c r="H653" s="1881">
        <v>0</v>
      </c>
      <c r="I653" s="1881">
        <v>0</v>
      </c>
      <c r="J653" s="1881">
        <v>0</v>
      </c>
      <c r="K653" s="1881">
        <v>0</v>
      </c>
      <c r="L653" s="1881"/>
      <c r="M653" s="808">
        <f>SUM(F653:K653)</f>
        <v>49043728</v>
      </c>
      <c r="N653" s="808">
        <f>SUM(G653:L653)</f>
        <v>25617737</v>
      </c>
      <c r="O653" s="3569"/>
    </row>
    <row r="654" spans="1:16" s="759" customFormat="1" ht="14.25" customHeight="1">
      <c r="A654" s="3525"/>
      <c r="B654" s="80" t="s">
        <v>21</v>
      </c>
      <c r="C654" s="88"/>
      <c r="D654" s="3028">
        <f>+D655</f>
        <v>49043728</v>
      </c>
      <c r="E654" s="3028">
        <f t="shared" ref="E654:E655" si="389">+E655</f>
        <v>0</v>
      </c>
      <c r="F654" s="3028">
        <f t="shared" ref="F654:F655" si="390">+F655</f>
        <v>23425991</v>
      </c>
      <c r="G654" s="3028">
        <f t="shared" ref="G654:G655" si="391">+G655</f>
        <v>25617737</v>
      </c>
      <c r="H654" s="2758">
        <f t="shared" ref="H654:H655" si="392">+H655</f>
        <v>0</v>
      </c>
      <c r="I654" s="2758">
        <f t="shared" ref="I654:I655" si="393">+I655</f>
        <v>0</v>
      </c>
      <c r="J654" s="2758">
        <f t="shared" ref="J654:J655" si="394">+J655</f>
        <v>0</v>
      </c>
      <c r="K654" s="2758">
        <f t="shared" ref="K654:K655" si="395">+K655</f>
        <v>0</v>
      </c>
      <c r="L654" s="2758">
        <f t="shared" ref="L654:L655" si="396">+L655</f>
        <v>0</v>
      </c>
      <c r="M654" s="3551" t="s">
        <v>22</v>
      </c>
      <c r="N654" s="3551" t="s">
        <v>22</v>
      </c>
      <c r="O654" s="3534" t="s">
        <v>93</v>
      </c>
    </row>
    <row r="655" spans="1:16" s="759" customFormat="1" ht="14.25" customHeight="1">
      <c r="A655" s="3525"/>
      <c r="B655" s="166" t="s">
        <v>23</v>
      </c>
      <c r="C655" s="3543" t="s">
        <v>76</v>
      </c>
      <c r="D655" s="122">
        <f>+D656</f>
        <v>49043728</v>
      </c>
      <c r="E655" s="122">
        <f t="shared" si="389"/>
        <v>0</v>
      </c>
      <c r="F655" s="122">
        <f t="shared" si="390"/>
        <v>23425991</v>
      </c>
      <c r="G655" s="122">
        <f t="shared" si="391"/>
        <v>25617737</v>
      </c>
      <c r="H655" s="270">
        <f t="shared" si="392"/>
        <v>0</v>
      </c>
      <c r="I655" s="270">
        <f t="shared" si="393"/>
        <v>0</v>
      </c>
      <c r="J655" s="270">
        <f t="shared" si="394"/>
        <v>0</v>
      </c>
      <c r="K655" s="270">
        <f t="shared" si="395"/>
        <v>0</v>
      </c>
      <c r="L655" s="270">
        <f t="shared" si="396"/>
        <v>0</v>
      </c>
      <c r="M655" s="3530"/>
      <c r="N655" s="3530"/>
      <c r="O655" s="3508"/>
    </row>
    <row r="656" spans="1:16" s="759" customFormat="1" ht="14.25" customHeight="1" thickBot="1">
      <c r="A656" s="3526"/>
      <c r="B656" s="391" t="s">
        <v>70</v>
      </c>
      <c r="C656" s="3561"/>
      <c r="D656" s="236">
        <f>E656+F656+G656+H656+I656+J656+K656+L656</f>
        <v>49043728</v>
      </c>
      <c r="E656" s="266">
        <v>0</v>
      </c>
      <c r="F656" s="1100">
        <f>23425991</f>
        <v>23425991</v>
      </c>
      <c r="G656" s="1100">
        <v>25617737</v>
      </c>
      <c r="H656" s="283">
        <v>0</v>
      </c>
      <c r="I656" s="283">
        <v>0</v>
      </c>
      <c r="J656" s="283">
        <v>0</v>
      </c>
      <c r="K656" s="283">
        <v>0</v>
      </c>
      <c r="L656" s="283">
        <v>0</v>
      </c>
      <c r="M656" s="3531"/>
      <c r="N656" s="3531"/>
      <c r="O656" s="3509"/>
    </row>
    <row r="657" spans="1:16" s="759" customFormat="1" ht="15.75" customHeight="1">
      <c r="A657" s="3524" t="s">
        <v>82</v>
      </c>
      <c r="B657" s="264" t="s">
        <v>280</v>
      </c>
      <c r="C657" s="56" t="s">
        <v>73</v>
      </c>
      <c r="D657" s="2753"/>
      <c r="E657" s="2751"/>
      <c r="F657" s="2752"/>
      <c r="G657" s="2752"/>
      <c r="H657" s="2752"/>
      <c r="I657" s="2752"/>
      <c r="J657" s="2752"/>
      <c r="K657" s="2752"/>
      <c r="L657" s="41"/>
      <c r="M657" s="43"/>
      <c r="N657" s="43"/>
      <c r="O657" s="3507" t="s">
        <v>78</v>
      </c>
    </row>
    <row r="658" spans="1:16" s="759" customFormat="1" ht="12.75" customHeight="1">
      <c r="A658" s="3525"/>
      <c r="B658" s="539" t="s">
        <v>10</v>
      </c>
      <c r="C658" s="1380"/>
      <c r="D658" s="1381">
        <f>+D659</f>
        <v>120741025</v>
      </c>
      <c r="E658" s="1381">
        <f t="shared" ref="E658:I658" si="397">+E659</f>
        <v>0</v>
      </c>
      <c r="F658" s="1381">
        <f t="shared" si="397"/>
        <v>24291326</v>
      </c>
      <c r="G658" s="1381">
        <f t="shared" si="397"/>
        <v>34619699</v>
      </c>
      <c r="H658" s="1381">
        <f t="shared" si="397"/>
        <v>30550000</v>
      </c>
      <c r="I658" s="1381">
        <f t="shared" si="397"/>
        <v>31280000</v>
      </c>
      <c r="J658" s="1386">
        <v>0</v>
      </c>
      <c r="K658" s="1386">
        <v>0</v>
      </c>
      <c r="L658" s="1386">
        <v>0</v>
      </c>
      <c r="M658" s="1294">
        <f>+M659</f>
        <v>120741025</v>
      </c>
      <c r="N658" s="1294">
        <f>+N659</f>
        <v>96449699</v>
      </c>
      <c r="O658" s="3508"/>
      <c r="P658" s="758"/>
    </row>
    <row r="659" spans="1:16" s="759" customFormat="1" ht="12.75" customHeight="1">
      <c r="A659" s="3525"/>
      <c r="B659" s="515" t="s">
        <v>23</v>
      </c>
      <c r="C659" s="3592" t="s">
        <v>76</v>
      </c>
      <c r="D659" s="1382">
        <f>+D660+D661</f>
        <v>120741025</v>
      </c>
      <c r="E659" s="1382">
        <f t="shared" ref="E659" si="398">+E660+E661</f>
        <v>0</v>
      </c>
      <c r="F659" s="1382">
        <f t="shared" ref="F659:L659" si="399">+F660+F661</f>
        <v>24291326</v>
      </c>
      <c r="G659" s="1382">
        <f t="shared" si="399"/>
        <v>34619699</v>
      </c>
      <c r="H659" s="1382">
        <f t="shared" si="399"/>
        <v>30550000</v>
      </c>
      <c r="I659" s="1382">
        <f t="shared" si="399"/>
        <v>31280000</v>
      </c>
      <c r="J659" s="1384">
        <f t="shared" si="399"/>
        <v>0</v>
      </c>
      <c r="K659" s="1384">
        <f t="shared" si="399"/>
        <v>0</v>
      </c>
      <c r="L659" s="1384">
        <f t="shared" si="399"/>
        <v>0</v>
      </c>
      <c r="M659" s="1361">
        <f>+M660+M661</f>
        <v>120741025</v>
      </c>
      <c r="N659" s="1361">
        <f>+N660+N661</f>
        <v>96449699</v>
      </c>
      <c r="O659" s="3508"/>
    </row>
    <row r="660" spans="1:16" s="759" customFormat="1" ht="12">
      <c r="A660" s="3525"/>
      <c r="B660" s="1191" t="s">
        <v>12</v>
      </c>
      <c r="C660" s="3532"/>
      <c r="D660" s="1288">
        <f>E660+F660+G660+H660+I660+J660+K660+L660</f>
        <v>116262674</v>
      </c>
      <c r="E660" s="1334">
        <v>0</v>
      </c>
      <c r="F660" s="1372">
        <f>22110000-674</f>
        <v>22109326</v>
      </c>
      <c r="G660" s="1372">
        <f>29200000+3123348</f>
        <v>32323348</v>
      </c>
      <c r="H660" s="1372">
        <v>30550000</v>
      </c>
      <c r="I660" s="1372">
        <v>31280000</v>
      </c>
      <c r="J660" s="1317">
        <v>0</v>
      </c>
      <c r="K660" s="1317">
        <v>0</v>
      </c>
      <c r="L660" s="1317">
        <v>0</v>
      </c>
      <c r="M660" s="808">
        <f>SUM(F660:K660)</f>
        <v>116262674</v>
      </c>
      <c r="N660" s="808">
        <f>SUM(G660:L660)</f>
        <v>94153348</v>
      </c>
      <c r="O660" s="3508"/>
    </row>
    <row r="661" spans="1:16" s="759" customFormat="1" ht="13.5" customHeight="1">
      <c r="A661" s="3525"/>
      <c r="B661" s="1924" t="s">
        <v>105</v>
      </c>
      <c r="C661" s="3533"/>
      <c r="D661" s="1288">
        <f>E661+F661+G661+H661+I661+J661+K661+L661</f>
        <v>4478351</v>
      </c>
      <c r="E661" s="1334">
        <v>0</v>
      </c>
      <c r="F661" s="1372">
        <f>5000+1565000+235000+335000+53000+30000+200000-241000</f>
        <v>2182000</v>
      </c>
      <c r="G661" s="1372">
        <f>550000+325000+906351+515000</f>
        <v>2296351</v>
      </c>
      <c r="H661" s="3236">
        <v>0</v>
      </c>
      <c r="I661" s="3236">
        <v>0</v>
      </c>
      <c r="J661" s="3236">
        <v>0</v>
      </c>
      <c r="K661" s="3236">
        <v>0</v>
      </c>
      <c r="L661" s="3236">
        <v>0</v>
      </c>
      <c r="M661" s="808">
        <f>SUM(F661:K661)</f>
        <v>4478351</v>
      </c>
      <c r="N661" s="808">
        <f>SUM(G661:L661)</f>
        <v>2296351</v>
      </c>
      <c r="O661" s="3508"/>
    </row>
    <row r="662" spans="1:16" s="759" customFormat="1" ht="12.75" customHeight="1">
      <c r="A662" s="3525"/>
      <c r="B662" s="539" t="s">
        <v>21</v>
      </c>
      <c r="C662" s="1380"/>
      <c r="D662" s="1293">
        <f>+D663</f>
        <v>4478351</v>
      </c>
      <c r="E662" s="3414">
        <f t="shared" ref="E662" si="400">+E663</f>
        <v>0</v>
      </c>
      <c r="F662" s="1381">
        <f>+F663</f>
        <v>2182000</v>
      </c>
      <c r="G662" s="1381">
        <f>+G663</f>
        <v>2296351</v>
      </c>
      <c r="H662" s="1386">
        <v>0</v>
      </c>
      <c r="I662" s="1386">
        <v>0</v>
      </c>
      <c r="J662" s="1386">
        <v>0</v>
      </c>
      <c r="K662" s="1386">
        <v>0</v>
      </c>
      <c r="L662" s="1386">
        <v>0</v>
      </c>
      <c r="M662" s="3590" t="s">
        <v>22</v>
      </c>
      <c r="N662" s="3590" t="s">
        <v>22</v>
      </c>
      <c r="O662" s="3508"/>
    </row>
    <row r="663" spans="1:16" s="759" customFormat="1" ht="13.5" customHeight="1">
      <c r="A663" s="3525"/>
      <c r="B663" s="515" t="s">
        <v>23</v>
      </c>
      <c r="C663" s="3522" t="s">
        <v>76</v>
      </c>
      <c r="D663" s="1371">
        <f>+D664</f>
        <v>4478351</v>
      </c>
      <c r="E663" s="1382">
        <f>+E664</f>
        <v>0</v>
      </c>
      <c r="F663" s="1382">
        <f>+F664</f>
        <v>2182000</v>
      </c>
      <c r="G663" s="1382">
        <f>+G664</f>
        <v>2296351</v>
      </c>
      <c r="H663" s="1384">
        <v>0</v>
      </c>
      <c r="I663" s="1384">
        <v>0</v>
      </c>
      <c r="J663" s="1384">
        <v>0</v>
      </c>
      <c r="K663" s="1384">
        <v>0</v>
      </c>
      <c r="L663" s="1384">
        <v>0</v>
      </c>
      <c r="M663" s="3530"/>
      <c r="N663" s="3530"/>
      <c r="O663" s="3508"/>
    </row>
    <row r="664" spans="1:16" s="759" customFormat="1" ht="13.5" customHeight="1" thickBot="1">
      <c r="A664" s="3526"/>
      <c r="B664" s="327" t="s">
        <v>105</v>
      </c>
      <c r="C664" s="3523"/>
      <c r="D664" s="779">
        <f>E664+F664+G664+H664+I664+J664+K664+L664</f>
        <v>4478351</v>
      </c>
      <c r="E664" s="779">
        <v>0</v>
      </c>
      <c r="F664" s="3415">
        <f>5000+1565000+235000+335000+53000+30000+200000-241000</f>
        <v>2182000</v>
      </c>
      <c r="G664" s="1372">
        <f>550000+325000+906351+515000</f>
        <v>2296351</v>
      </c>
      <c r="H664" s="819">
        <v>0</v>
      </c>
      <c r="I664" s="819">
        <v>0</v>
      </c>
      <c r="J664" s="819">
        <v>0</v>
      </c>
      <c r="K664" s="819">
        <v>0</v>
      </c>
      <c r="L664" s="819">
        <v>0</v>
      </c>
      <c r="M664" s="3531"/>
      <c r="N664" s="3531"/>
      <c r="O664" s="3509"/>
    </row>
    <row r="665" spans="1:16" s="759" customFormat="1" ht="12.75" customHeight="1">
      <c r="A665" s="3524" t="s">
        <v>83</v>
      </c>
      <c r="B665" s="264" t="s">
        <v>325</v>
      </c>
      <c r="C665" s="1411" t="s">
        <v>73</v>
      </c>
      <c r="D665" s="2753"/>
      <c r="E665" s="2751"/>
      <c r="F665" s="2752"/>
      <c r="G665" s="2752"/>
      <c r="H665" s="2752"/>
      <c r="I665" s="2752"/>
      <c r="J665" s="2752"/>
      <c r="K665" s="2752"/>
      <c r="L665" s="41"/>
      <c r="M665" s="3029"/>
      <c r="N665" s="3029"/>
      <c r="O665" s="3507" t="s">
        <v>78</v>
      </c>
    </row>
    <row r="666" spans="1:16" s="759" customFormat="1" ht="12.75" customHeight="1">
      <c r="A666" s="3525"/>
      <c r="B666" s="2149" t="s">
        <v>10</v>
      </c>
      <c r="C666" s="612"/>
      <c r="D666" s="121">
        <f>+D667</f>
        <v>3000000</v>
      </c>
      <c r="E666" s="121">
        <f t="shared" ref="E666:I667" si="401">+E667</f>
        <v>0</v>
      </c>
      <c r="F666" s="121">
        <f t="shared" si="401"/>
        <v>0</v>
      </c>
      <c r="G666" s="121">
        <f t="shared" si="401"/>
        <v>3000000</v>
      </c>
      <c r="H666" s="121">
        <f t="shared" si="401"/>
        <v>0</v>
      </c>
      <c r="I666" s="121">
        <f t="shared" si="401"/>
        <v>0</v>
      </c>
      <c r="J666" s="269">
        <v>0</v>
      </c>
      <c r="K666" s="269">
        <v>0</v>
      </c>
      <c r="L666" s="269">
        <v>0</v>
      </c>
      <c r="M666" s="1938">
        <f>+M667</f>
        <v>3000000</v>
      </c>
      <c r="N666" s="1938">
        <f>+N667</f>
        <v>3000000</v>
      </c>
      <c r="O666" s="3508"/>
      <c r="P666" s="758"/>
    </row>
    <row r="667" spans="1:16" s="759" customFormat="1" ht="12.75" customHeight="1">
      <c r="A667" s="3525"/>
      <c r="B667" s="2187" t="s">
        <v>23</v>
      </c>
      <c r="C667" s="3709" t="s">
        <v>76</v>
      </c>
      <c r="D667" s="122">
        <f>+D668</f>
        <v>3000000</v>
      </c>
      <c r="E667" s="122">
        <f t="shared" si="401"/>
        <v>0</v>
      </c>
      <c r="F667" s="122">
        <f t="shared" si="401"/>
        <v>0</v>
      </c>
      <c r="G667" s="122">
        <f t="shared" si="401"/>
        <v>3000000</v>
      </c>
      <c r="H667" s="122">
        <f t="shared" si="401"/>
        <v>0</v>
      </c>
      <c r="I667" s="122">
        <f t="shared" si="401"/>
        <v>0</v>
      </c>
      <c r="J667" s="270">
        <v>0</v>
      </c>
      <c r="K667" s="270">
        <v>0</v>
      </c>
      <c r="L667" s="270">
        <v>0</v>
      </c>
      <c r="M667" s="77">
        <f>+M668</f>
        <v>3000000</v>
      </c>
      <c r="N667" s="77">
        <f>+N668</f>
        <v>3000000</v>
      </c>
      <c r="O667" s="3508"/>
    </row>
    <row r="668" spans="1:16" s="759" customFormat="1" ht="13.5" customHeight="1">
      <c r="A668" s="3525"/>
      <c r="B668" s="3022" t="s">
        <v>12</v>
      </c>
      <c r="C668" s="3709"/>
      <c r="D668" s="266">
        <f>E668+F668+G668+H668+I668+J668+K668+L668</f>
        <v>3000000</v>
      </c>
      <c r="E668" s="266">
        <v>0</v>
      </c>
      <c r="F668" s="84">
        <v>0</v>
      </c>
      <c r="G668" s="84">
        <v>3000000</v>
      </c>
      <c r="H668" s="84"/>
      <c r="I668" s="84"/>
      <c r="J668" s="265">
        <v>0</v>
      </c>
      <c r="K668" s="265">
        <v>0</v>
      </c>
      <c r="L668" s="265">
        <v>0</v>
      </c>
      <c r="M668" s="34">
        <f>SUM(F668:K668)</f>
        <v>3000000</v>
      </c>
      <c r="N668" s="34">
        <f>SUM(G668:L668)</f>
        <v>3000000</v>
      </c>
      <c r="O668" s="3508"/>
    </row>
    <row r="669" spans="1:16" s="759" customFormat="1" ht="12.75" customHeight="1">
      <c r="A669" s="3525"/>
      <c r="B669" s="2149" t="s">
        <v>21</v>
      </c>
      <c r="C669" s="612"/>
      <c r="D669" s="1937">
        <f>+E669+F669+G669</f>
        <v>1747300</v>
      </c>
      <c r="E669" s="1140"/>
      <c r="F669" s="121"/>
      <c r="G669" s="121">
        <f>+G670</f>
        <v>1747300</v>
      </c>
      <c r="H669" s="269"/>
      <c r="I669" s="269"/>
      <c r="J669" s="269"/>
      <c r="K669" s="269"/>
      <c r="L669" s="269"/>
      <c r="M669" s="3544"/>
      <c r="N669" s="3544"/>
      <c r="O669" s="3508"/>
    </row>
    <row r="670" spans="1:16" s="759" customFormat="1" ht="12.75" customHeight="1">
      <c r="A670" s="3525"/>
      <c r="B670" s="2187" t="s">
        <v>23</v>
      </c>
      <c r="C670" s="3546"/>
      <c r="D670" s="64">
        <f>+E670+F670+G670</f>
        <v>1747300</v>
      </c>
      <c r="E670" s="122"/>
      <c r="F670" s="122"/>
      <c r="G670" s="122">
        <f>+G671</f>
        <v>1747300</v>
      </c>
      <c r="H670" s="270"/>
      <c r="I670" s="270"/>
      <c r="J670" s="270"/>
      <c r="K670" s="270"/>
      <c r="L670" s="270"/>
      <c r="M670" s="3544"/>
      <c r="N670" s="3544"/>
      <c r="O670" s="3508"/>
    </row>
    <row r="671" spans="1:16" s="759" customFormat="1" ht="13.5" customHeight="1" thickBot="1">
      <c r="A671" s="3525"/>
      <c r="B671" s="388" t="s">
        <v>255</v>
      </c>
      <c r="C671" s="3547"/>
      <c r="D671" s="2031">
        <f>+E671+F671+G671</f>
        <v>1747300</v>
      </c>
      <c r="E671" s="2031"/>
      <c r="F671" s="2194"/>
      <c r="G671" s="2194">
        <v>1747300</v>
      </c>
      <c r="H671" s="2190"/>
      <c r="I671" s="2190"/>
      <c r="J671" s="2190"/>
      <c r="K671" s="2190"/>
      <c r="L671" s="2190"/>
      <c r="M671" s="3545"/>
      <c r="N671" s="3545"/>
      <c r="O671" s="3509"/>
    </row>
    <row r="672" spans="1:16" s="759" customFormat="1" ht="17.25" customHeight="1">
      <c r="A672" s="3524" t="s">
        <v>84</v>
      </c>
      <c r="B672" s="264" t="s">
        <v>350</v>
      </c>
      <c r="C672" s="56" t="s">
        <v>73</v>
      </c>
      <c r="D672" s="2753"/>
      <c r="E672" s="2752"/>
      <c r="F672" s="2752"/>
      <c r="G672" s="2752"/>
      <c r="H672" s="2752"/>
      <c r="I672" s="2752"/>
      <c r="J672" s="2752"/>
      <c r="K672" s="2752"/>
      <c r="L672" s="41"/>
      <c r="M672" s="43"/>
      <c r="N672" s="43"/>
      <c r="O672" s="3507" t="s">
        <v>78</v>
      </c>
    </row>
    <row r="673" spans="1:15" s="759" customFormat="1" ht="12">
      <c r="A673" s="3525"/>
      <c r="B673" s="539" t="s">
        <v>10</v>
      </c>
      <c r="C673" s="1356"/>
      <c r="D673" s="1381">
        <f>+D674</f>
        <v>29999995</v>
      </c>
      <c r="E673" s="1381">
        <f t="shared" ref="E673:L674" si="402">+E674</f>
        <v>0</v>
      </c>
      <c r="F673" s="1381">
        <f t="shared" si="402"/>
        <v>9999995</v>
      </c>
      <c r="G673" s="1381">
        <f t="shared" si="402"/>
        <v>10000000</v>
      </c>
      <c r="H673" s="1381">
        <f t="shared" si="402"/>
        <v>10000000</v>
      </c>
      <c r="I673" s="1381">
        <f t="shared" si="402"/>
        <v>0</v>
      </c>
      <c r="J673" s="1381">
        <f t="shared" si="402"/>
        <v>0</v>
      </c>
      <c r="K673" s="1381">
        <f t="shared" si="402"/>
        <v>0</v>
      </c>
      <c r="L673" s="1381">
        <f t="shared" si="402"/>
        <v>0</v>
      </c>
      <c r="M673" s="1358">
        <f>+M674</f>
        <v>29999995</v>
      </c>
      <c r="N673" s="1358">
        <f>+N674</f>
        <v>20000000</v>
      </c>
      <c r="O673" s="3508"/>
    </row>
    <row r="674" spans="1:15" s="759" customFormat="1" ht="12">
      <c r="A674" s="3525"/>
      <c r="B674" s="515" t="s">
        <v>23</v>
      </c>
      <c r="C674" s="3522" t="s">
        <v>76</v>
      </c>
      <c r="D674" s="1382">
        <f>+D675</f>
        <v>29999995</v>
      </c>
      <c r="E674" s="1382">
        <f t="shared" si="402"/>
        <v>0</v>
      </c>
      <c r="F674" s="1382">
        <f t="shared" si="402"/>
        <v>9999995</v>
      </c>
      <c r="G674" s="1382">
        <f t="shared" si="402"/>
        <v>10000000</v>
      </c>
      <c r="H674" s="1382">
        <f t="shared" si="402"/>
        <v>10000000</v>
      </c>
      <c r="I674" s="1382">
        <f t="shared" si="402"/>
        <v>0</v>
      </c>
      <c r="J674" s="1382">
        <f t="shared" si="402"/>
        <v>0</v>
      </c>
      <c r="K674" s="1382">
        <f t="shared" si="402"/>
        <v>0</v>
      </c>
      <c r="L674" s="1382">
        <f t="shared" si="402"/>
        <v>0</v>
      </c>
      <c r="M674" s="1361">
        <f>+M675</f>
        <v>29999995</v>
      </c>
      <c r="N674" s="1361">
        <f>+N675</f>
        <v>20000000</v>
      </c>
      <c r="O674" s="3508"/>
    </row>
    <row r="675" spans="1:15" s="759" customFormat="1" thickBot="1">
      <c r="A675" s="3526"/>
      <c r="B675" s="388" t="s">
        <v>12</v>
      </c>
      <c r="C675" s="3589"/>
      <c r="D675" s="1643">
        <f>E675+F675+G675+H675+I675+J675+K675+L675</f>
        <v>29999995</v>
      </c>
      <c r="E675" s="1643">
        <v>0</v>
      </c>
      <c r="F675" s="1669">
        <f>10000000-5</f>
        <v>9999995</v>
      </c>
      <c r="G675" s="1669">
        <v>10000000</v>
      </c>
      <c r="H675" s="1669">
        <v>10000000</v>
      </c>
      <c r="I675" s="1669"/>
      <c r="J675" s="1925"/>
      <c r="K675" s="1705"/>
      <c r="L675" s="1669"/>
      <c r="M675" s="1670">
        <f>SUM(F675:K675)</f>
        <v>29999995</v>
      </c>
      <c r="N675" s="1670">
        <f>SUM(G675:L675)</f>
        <v>20000000</v>
      </c>
      <c r="O675" s="3509"/>
    </row>
    <row r="676" spans="1:15" hidden="1"/>
    <row r="677" spans="1:15" hidden="1">
      <c r="B677" s="2385" t="s">
        <v>338</v>
      </c>
    </row>
    <row r="678" spans="1:15" hidden="1">
      <c r="B678" s="2385" t="s">
        <v>339</v>
      </c>
      <c r="D678" s="2389">
        <f>D446+D461</f>
        <v>799122</v>
      </c>
      <c r="E678" s="2389">
        <f t="shared" ref="E678:M678" si="403">E446+E461</f>
        <v>0</v>
      </c>
      <c r="F678" s="2389">
        <f t="shared" si="403"/>
        <v>45734</v>
      </c>
      <c r="G678" s="2389">
        <f t="shared" si="403"/>
        <v>224074</v>
      </c>
      <c r="H678" s="2389">
        <f t="shared" si="403"/>
        <v>376810</v>
      </c>
      <c r="I678" s="2389">
        <f t="shared" si="403"/>
        <v>152504</v>
      </c>
      <c r="J678" s="2389">
        <f t="shared" si="403"/>
        <v>0</v>
      </c>
      <c r="K678" s="2389">
        <f t="shared" si="403"/>
        <v>0</v>
      </c>
      <c r="L678" s="2389">
        <f t="shared" si="403"/>
        <v>0</v>
      </c>
      <c r="M678" s="2389" t="e">
        <f t="shared" si="403"/>
        <v>#VALUE!</v>
      </c>
    </row>
    <row r="679" spans="1:15" hidden="1">
      <c r="B679" s="2385" t="s">
        <v>340</v>
      </c>
      <c r="D679" s="2389">
        <f t="shared" ref="D679:M679" si="404">D22-D446-D461</f>
        <v>829603396</v>
      </c>
      <c r="E679" s="2389">
        <f t="shared" si="404"/>
        <v>34852146</v>
      </c>
      <c r="F679" s="2389">
        <f t="shared" si="404"/>
        <v>178866458</v>
      </c>
      <c r="G679" s="2389">
        <f t="shared" si="404"/>
        <v>274155817</v>
      </c>
      <c r="H679" s="2389">
        <f t="shared" si="404"/>
        <v>155792195</v>
      </c>
      <c r="I679" s="2389">
        <f t="shared" si="404"/>
        <v>124569412</v>
      </c>
      <c r="J679" s="2389">
        <f t="shared" si="404"/>
        <v>61367368</v>
      </c>
      <c r="K679" s="2389">
        <f t="shared" si="404"/>
        <v>0</v>
      </c>
      <c r="L679" s="2389">
        <f t="shared" si="404"/>
        <v>0</v>
      </c>
      <c r="M679" s="2389" t="e">
        <f t="shared" si="404"/>
        <v>#VALUE!</v>
      </c>
    </row>
    <row r="680" spans="1:15" hidden="1">
      <c r="B680" s="2385" t="s">
        <v>341</v>
      </c>
      <c r="D680" s="823">
        <f>D678+D679</f>
        <v>830402518</v>
      </c>
      <c r="E680" s="823">
        <f t="shared" ref="E680:L680" si="405">E678+E679</f>
        <v>34852146</v>
      </c>
      <c r="F680" s="823">
        <f t="shared" si="405"/>
        <v>178912192</v>
      </c>
      <c r="G680" s="823">
        <f t="shared" si="405"/>
        <v>274379891</v>
      </c>
      <c r="H680" s="823">
        <f t="shared" si="405"/>
        <v>156169005</v>
      </c>
      <c r="I680" s="823">
        <f t="shared" si="405"/>
        <v>124721916</v>
      </c>
      <c r="J680" s="823">
        <f t="shared" si="405"/>
        <v>61367368</v>
      </c>
      <c r="K680" s="823">
        <f t="shared" si="405"/>
        <v>0</v>
      </c>
      <c r="L680" s="823">
        <f t="shared" si="405"/>
        <v>0</v>
      </c>
    </row>
    <row r="681" spans="1:15" s="690" customFormat="1" hidden="1">
      <c r="B681" s="690" t="s">
        <v>41</v>
      </c>
      <c r="D681" s="687">
        <f t="shared" ref="D681:L681" si="406">D22-D680</f>
        <v>0</v>
      </c>
      <c r="E681" s="687">
        <f t="shared" si="406"/>
        <v>0</v>
      </c>
      <c r="F681" s="687">
        <f t="shared" si="406"/>
        <v>0</v>
      </c>
      <c r="G681" s="687">
        <f t="shared" si="406"/>
        <v>0</v>
      </c>
      <c r="H681" s="687">
        <f t="shared" si="406"/>
        <v>0</v>
      </c>
      <c r="I681" s="687">
        <f t="shared" si="406"/>
        <v>0</v>
      </c>
      <c r="J681" s="687">
        <f t="shared" si="406"/>
        <v>0</v>
      </c>
      <c r="K681" s="687">
        <f t="shared" si="406"/>
        <v>0</v>
      </c>
      <c r="L681" s="687">
        <f t="shared" si="406"/>
        <v>0</v>
      </c>
    </row>
    <row r="682" spans="1:15" hidden="1"/>
    <row r="683" spans="1:15" hidden="1"/>
    <row r="684" spans="1:15" hidden="1">
      <c r="B684" s="2385" t="s">
        <v>403</v>
      </c>
    </row>
    <row r="685" spans="1:15" hidden="1">
      <c r="B685" s="2385" t="s">
        <v>339</v>
      </c>
      <c r="D685" s="2389">
        <f>D546+D609+D582+D654</f>
        <v>222366505</v>
      </c>
      <c r="E685" s="2389">
        <f t="shared" ref="E685:L685" si="407">E546+E609+E582+E654</f>
        <v>56644776</v>
      </c>
      <c r="F685" s="2389">
        <f t="shared" si="407"/>
        <v>47273283</v>
      </c>
      <c r="G685" s="2389">
        <f t="shared" si="407"/>
        <v>56967276</v>
      </c>
      <c r="H685" s="2389">
        <f t="shared" si="407"/>
        <v>31425585</v>
      </c>
      <c r="I685" s="2389">
        <f t="shared" si="407"/>
        <v>30055585</v>
      </c>
      <c r="J685" s="2389">
        <f t="shared" si="407"/>
        <v>0</v>
      </c>
      <c r="K685" s="2389">
        <f t="shared" si="407"/>
        <v>0</v>
      </c>
      <c r="L685" s="2389">
        <f t="shared" si="407"/>
        <v>0</v>
      </c>
    </row>
    <row r="686" spans="1:15" hidden="1">
      <c r="B686" s="2385" t="s">
        <v>340</v>
      </c>
      <c r="D686" s="2389">
        <f>D559+D662+D669</f>
        <v>6225651</v>
      </c>
      <c r="E686" s="2389">
        <f t="shared" ref="E686:L686" si="408">E559+E662+E669</f>
        <v>0</v>
      </c>
      <c r="F686" s="2389">
        <f t="shared" si="408"/>
        <v>2182000</v>
      </c>
      <c r="G686" s="2389">
        <f t="shared" si="408"/>
        <v>4043651</v>
      </c>
      <c r="H686" s="2389">
        <f>H559+H662+H669</f>
        <v>0</v>
      </c>
      <c r="I686" s="2389">
        <f t="shared" si="408"/>
        <v>0</v>
      </c>
      <c r="J686" s="2389">
        <f t="shared" si="408"/>
        <v>0</v>
      </c>
      <c r="K686" s="2389">
        <f t="shared" si="408"/>
        <v>0</v>
      </c>
      <c r="L686" s="2389">
        <f t="shared" si="408"/>
        <v>0</v>
      </c>
    </row>
    <row r="687" spans="1:15" hidden="1">
      <c r="B687" s="2385" t="s">
        <v>341</v>
      </c>
      <c r="D687" s="823">
        <f>D685+D686</f>
        <v>228592156</v>
      </c>
      <c r="E687" s="823">
        <f t="shared" ref="E687:L687" si="409">E685+E686</f>
        <v>56644776</v>
      </c>
      <c r="F687" s="823">
        <f t="shared" si="409"/>
        <v>49455283</v>
      </c>
      <c r="G687" s="823">
        <f t="shared" si="409"/>
        <v>61010927</v>
      </c>
      <c r="H687" s="823">
        <f t="shared" si="409"/>
        <v>31425585</v>
      </c>
      <c r="I687" s="823">
        <f t="shared" si="409"/>
        <v>30055585</v>
      </c>
      <c r="J687" s="823">
        <f t="shared" si="409"/>
        <v>0</v>
      </c>
      <c r="K687" s="823">
        <f t="shared" si="409"/>
        <v>0</v>
      </c>
      <c r="L687" s="823">
        <f t="shared" si="409"/>
        <v>0</v>
      </c>
    </row>
    <row r="688" spans="1:15" s="690" customFormat="1" hidden="1">
      <c r="B688" s="690" t="s">
        <v>41</v>
      </c>
      <c r="D688" s="687">
        <f t="shared" ref="D688:L688" si="410">D535-D687</f>
        <v>0</v>
      </c>
      <c r="E688" s="687">
        <f t="shared" si="410"/>
        <v>0</v>
      </c>
      <c r="F688" s="687">
        <f t="shared" si="410"/>
        <v>0</v>
      </c>
      <c r="G688" s="687">
        <f t="shared" si="410"/>
        <v>0</v>
      </c>
      <c r="H688" s="687">
        <f t="shared" si="410"/>
        <v>0</v>
      </c>
      <c r="I688" s="687">
        <f t="shared" si="410"/>
        <v>0</v>
      </c>
      <c r="J688" s="687">
        <f t="shared" si="410"/>
        <v>0</v>
      </c>
      <c r="K688" s="687">
        <f t="shared" si="410"/>
        <v>0</v>
      </c>
      <c r="L688" s="687">
        <f t="shared" si="410"/>
        <v>0</v>
      </c>
    </row>
    <row r="689" hidden="1"/>
    <row r="690" hidden="1"/>
    <row r="691" hidden="1"/>
    <row r="692" hidden="1"/>
    <row r="693" hidden="1"/>
    <row r="694" hidden="1"/>
    <row r="695" hidden="1"/>
    <row r="696" hidden="1"/>
    <row r="697" hidden="1"/>
    <row r="698" hidden="1"/>
    <row r="699" hidden="1"/>
    <row r="700" hidden="1"/>
    <row r="701" hidden="1"/>
    <row r="702" hidden="1"/>
    <row r="703" hidden="1"/>
    <row r="704" hidden="1"/>
    <row r="705" hidden="1"/>
    <row r="706" hidden="1"/>
    <row r="707" hidden="1"/>
    <row r="708" hidden="1"/>
    <row r="709" hidden="1"/>
    <row r="710" hidden="1"/>
    <row r="711" hidden="1"/>
    <row r="712" hidden="1"/>
    <row r="713" hidden="1"/>
    <row r="714" hidden="1"/>
    <row r="715" hidden="1"/>
    <row r="716" hidden="1"/>
    <row r="717" hidden="1"/>
    <row r="718" hidden="1"/>
    <row r="719" hidden="1"/>
    <row r="720" hidden="1"/>
    <row r="721" hidden="1"/>
    <row r="722" hidden="1"/>
    <row r="723" hidden="1"/>
    <row r="724" hidden="1"/>
    <row r="725" hidden="1"/>
    <row r="726" hidden="1"/>
    <row r="727" hidden="1"/>
    <row r="728" hidden="1"/>
    <row r="729" hidden="1"/>
    <row r="730" hidden="1"/>
    <row r="731" hidden="1"/>
    <row r="732" hidden="1"/>
    <row r="733" hidden="1"/>
    <row r="734" hidden="1"/>
    <row r="735" hidden="1"/>
    <row r="736" hidden="1"/>
    <row r="737" hidden="1"/>
    <row r="738" hidden="1"/>
    <row r="739" hidden="1"/>
    <row r="740" hidden="1"/>
    <row r="741" hidden="1"/>
    <row r="742" hidden="1"/>
    <row r="743" hidden="1"/>
    <row r="744" hidden="1"/>
    <row r="745" hidden="1"/>
    <row r="746" hidden="1"/>
    <row r="747" hidden="1"/>
    <row r="748" hidden="1"/>
    <row r="749" hidden="1"/>
    <row r="750" hidden="1"/>
    <row r="751" hidden="1"/>
    <row r="752" hidden="1"/>
    <row r="753" hidden="1"/>
    <row r="754" hidden="1"/>
    <row r="755" hidden="1"/>
    <row r="756" hidden="1"/>
    <row r="757" hidden="1"/>
    <row r="758" hidden="1"/>
    <row r="759" hidden="1"/>
    <row r="760" hidden="1"/>
    <row r="761" hidden="1"/>
    <row r="762" hidden="1"/>
    <row r="763" hidden="1"/>
    <row r="764" hidden="1"/>
    <row r="765" hidden="1"/>
    <row r="766" hidden="1"/>
    <row r="767" hidden="1"/>
    <row r="768" hidden="1"/>
    <row r="769" hidden="1"/>
    <row r="770" hidden="1"/>
    <row r="771" hidden="1"/>
    <row r="772" hidden="1"/>
    <row r="773" hidden="1"/>
    <row r="774" hidden="1"/>
    <row r="775" hidden="1"/>
    <row r="776" hidden="1"/>
    <row r="777" hidden="1"/>
    <row r="778" hidden="1"/>
    <row r="779" hidden="1"/>
    <row r="780" hidden="1"/>
    <row r="781" hidden="1"/>
    <row r="782" hidden="1"/>
    <row r="783" hidden="1"/>
    <row r="784" hidden="1"/>
    <row r="785" hidden="1"/>
    <row r="786" hidden="1"/>
    <row r="787" hidden="1"/>
    <row r="788" hidden="1"/>
    <row r="789" hidden="1"/>
    <row r="790" hidden="1"/>
    <row r="791" hidden="1"/>
    <row r="792" hidden="1"/>
    <row r="793" hidden="1"/>
    <row r="794" hidden="1"/>
    <row r="795" hidden="1"/>
    <row r="796" hidden="1"/>
    <row r="797" hidden="1"/>
    <row r="798" hidden="1"/>
    <row r="799" hidden="1"/>
    <row r="800" hidden="1"/>
    <row r="801" hidden="1"/>
    <row r="802" hidden="1"/>
    <row r="803" hidden="1"/>
  </sheetData>
  <mergeCells count="380">
    <mergeCell ref="O295:O299"/>
    <mergeCell ref="C296:C299"/>
    <mergeCell ref="A300:A311"/>
    <mergeCell ref="O300:O306"/>
    <mergeCell ref="C302:C306"/>
    <mergeCell ref="M307:M311"/>
    <mergeCell ref="N307:N311"/>
    <mergeCell ref="O307:O311"/>
    <mergeCell ref="C308:C311"/>
    <mergeCell ref="A593:A599"/>
    <mergeCell ref="A464:A479"/>
    <mergeCell ref="A570:A577"/>
    <mergeCell ref="O575:O577"/>
    <mergeCell ref="C576:C577"/>
    <mergeCell ref="O578:O581"/>
    <mergeCell ref="A585:A592"/>
    <mergeCell ref="C591:C592"/>
    <mergeCell ref="N575:N577"/>
    <mergeCell ref="N582:N584"/>
    <mergeCell ref="N590:N592"/>
    <mergeCell ref="C583:C584"/>
    <mergeCell ref="A578:A584"/>
    <mergeCell ref="O570:O573"/>
    <mergeCell ref="C572:C574"/>
    <mergeCell ref="O516:O524"/>
    <mergeCell ref="C518:C521"/>
    <mergeCell ref="C564:C565"/>
    <mergeCell ref="A566:A569"/>
    <mergeCell ref="O566:O569"/>
    <mergeCell ref="C568:C569"/>
    <mergeCell ref="O550:O553"/>
    <mergeCell ref="N559:N561"/>
    <mergeCell ref="A562:A565"/>
    <mergeCell ref="O562:O565"/>
    <mergeCell ref="M559:M561"/>
    <mergeCell ref="N513:N515"/>
    <mergeCell ref="N522:N524"/>
    <mergeCell ref="N535:N540"/>
    <mergeCell ref="A507:A515"/>
    <mergeCell ref="A541:A549"/>
    <mergeCell ref="C547:C549"/>
    <mergeCell ref="N546:N549"/>
    <mergeCell ref="O541:O549"/>
    <mergeCell ref="C543:C545"/>
    <mergeCell ref="A526:A537"/>
    <mergeCell ref="O531:O540"/>
    <mergeCell ref="C667:C668"/>
    <mergeCell ref="O204:O210"/>
    <mergeCell ref="A216:A227"/>
    <mergeCell ref="O216:O222"/>
    <mergeCell ref="C218:C222"/>
    <mergeCell ref="N223:N227"/>
    <mergeCell ref="O223:O227"/>
    <mergeCell ref="C224:C227"/>
    <mergeCell ref="O498:O506"/>
    <mergeCell ref="C500:C503"/>
    <mergeCell ref="A425:A433"/>
    <mergeCell ref="O585:O588"/>
    <mergeCell ref="C587:C589"/>
    <mergeCell ref="A498:A506"/>
    <mergeCell ref="A480:A497"/>
    <mergeCell ref="C663:C664"/>
    <mergeCell ref="A657:A664"/>
    <mergeCell ref="C659:C661"/>
    <mergeCell ref="O657:O664"/>
    <mergeCell ref="A416:A424"/>
    <mergeCell ref="C552:C553"/>
    <mergeCell ref="O507:O515"/>
    <mergeCell ref="C556:C558"/>
    <mergeCell ref="C560:C561"/>
    <mergeCell ref="O386:O392"/>
    <mergeCell ref="O393:O397"/>
    <mergeCell ref="C320:C323"/>
    <mergeCell ref="C326:C330"/>
    <mergeCell ref="N331:N335"/>
    <mergeCell ref="N271:N275"/>
    <mergeCell ref="O336:O349"/>
    <mergeCell ref="P114:P120"/>
    <mergeCell ref="P158:P162"/>
    <mergeCell ref="P170:P174"/>
    <mergeCell ref="O169:O174"/>
    <mergeCell ref="C170:C174"/>
    <mergeCell ref="O175:O179"/>
    <mergeCell ref="M235:M239"/>
    <mergeCell ref="M247:M251"/>
    <mergeCell ref="O157:O162"/>
    <mergeCell ref="C158:C162"/>
    <mergeCell ref="N163:N167"/>
    <mergeCell ref="O163:O167"/>
    <mergeCell ref="C164:C167"/>
    <mergeCell ref="O211:O215"/>
    <mergeCell ref="C212:C215"/>
    <mergeCell ref="C242:C246"/>
    <mergeCell ref="O247:O251"/>
    <mergeCell ref="O350:O356"/>
    <mergeCell ref="O357:O361"/>
    <mergeCell ref="N370:N375"/>
    <mergeCell ref="C314:C318"/>
    <mergeCell ref="C236:C239"/>
    <mergeCell ref="C284:C287"/>
    <mergeCell ref="O276:O282"/>
    <mergeCell ref="O264:O270"/>
    <mergeCell ref="C266:C270"/>
    <mergeCell ref="M271:M275"/>
    <mergeCell ref="C272:C275"/>
    <mergeCell ref="N357:N361"/>
    <mergeCell ref="C358:C361"/>
    <mergeCell ref="M370:M374"/>
    <mergeCell ref="C248:C251"/>
    <mergeCell ref="O259:O263"/>
    <mergeCell ref="O319:O323"/>
    <mergeCell ref="M331:M335"/>
    <mergeCell ref="O240:O246"/>
    <mergeCell ref="M259:M263"/>
    <mergeCell ref="N259:N263"/>
    <mergeCell ref="C260:C263"/>
    <mergeCell ref="O362:O368"/>
    <mergeCell ref="O288:O294"/>
    <mergeCell ref="C55:C60"/>
    <mergeCell ref="A67:A78"/>
    <mergeCell ref="O61:O66"/>
    <mergeCell ref="C62:C66"/>
    <mergeCell ref="O68:O73"/>
    <mergeCell ref="O74:O78"/>
    <mergeCell ref="N74:N78"/>
    <mergeCell ref="A53:A66"/>
    <mergeCell ref="N61:N66"/>
    <mergeCell ref="M61:M66"/>
    <mergeCell ref="O54:O60"/>
    <mergeCell ref="C75:C78"/>
    <mergeCell ref="C69:C72"/>
    <mergeCell ref="M74:M78"/>
    <mergeCell ref="M86:M90"/>
    <mergeCell ref="M98:M102"/>
    <mergeCell ref="M109:M111"/>
    <mergeCell ref="O121:O127"/>
    <mergeCell ref="C122:C127"/>
    <mergeCell ref="N109:N111"/>
    <mergeCell ref="A144:A155"/>
    <mergeCell ref="C146:C150"/>
    <mergeCell ref="C152:C155"/>
    <mergeCell ref="O129:O136"/>
    <mergeCell ref="C130:C136"/>
    <mergeCell ref="O151:O155"/>
    <mergeCell ref="M151:M155"/>
    <mergeCell ref="O145:O150"/>
    <mergeCell ref="O137:O143"/>
    <mergeCell ref="M121:M127"/>
    <mergeCell ref="O114:O120"/>
    <mergeCell ref="C115:C120"/>
    <mergeCell ref="M137:M143"/>
    <mergeCell ref="N151:N155"/>
    <mergeCell ref="C138:C143"/>
    <mergeCell ref="A128:A143"/>
    <mergeCell ref="N137:N143"/>
    <mergeCell ref="A113:A127"/>
    <mergeCell ref="N121:N127"/>
    <mergeCell ref="A168:A179"/>
    <mergeCell ref="M187:M191"/>
    <mergeCell ref="M163:M167"/>
    <mergeCell ref="A79:A90"/>
    <mergeCell ref="O80:O85"/>
    <mergeCell ref="C81:C85"/>
    <mergeCell ref="O86:O90"/>
    <mergeCell ref="C87:C90"/>
    <mergeCell ref="C93:C97"/>
    <mergeCell ref="A103:A111"/>
    <mergeCell ref="O104:O108"/>
    <mergeCell ref="C105:C108"/>
    <mergeCell ref="O109:O111"/>
    <mergeCell ref="C110:C111"/>
    <mergeCell ref="A91:A102"/>
    <mergeCell ref="O92:O97"/>
    <mergeCell ref="O98:O102"/>
    <mergeCell ref="C99:C102"/>
    <mergeCell ref="N98:N102"/>
    <mergeCell ref="N86:N90"/>
    <mergeCell ref="C188:C191"/>
    <mergeCell ref="N175:N179"/>
    <mergeCell ref="A156:A167"/>
    <mergeCell ref="A3:O3"/>
    <mergeCell ref="C5:C6"/>
    <mergeCell ref="D5:D6"/>
    <mergeCell ref="O5:O6"/>
    <mergeCell ref="A8:A33"/>
    <mergeCell ref="N5:N6"/>
    <mergeCell ref="N22:N33"/>
    <mergeCell ref="N43:N51"/>
    <mergeCell ref="G5:L5"/>
    <mergeCell ref="F5:F6"/>
    <mergeCell ref="M5:M6"/>
    <mergeCell ref="M22:M33"/>
    <mergeCell ref="M43:M51"/>
    <mergeCell ref="A5:A6"/>
    <mergeCell ref="B5:B6"/>
    <mergeCell ref="O199:O203"/>
    <mergeCell ref="O187:O191"/>
    <mergeCell ref="M211:M215"/>
    <mergeCell ref="O181:O186"/>
    <mergeCell ref="C182:C186"/>
    <mergeCell ref="N187:N191"/>
    <mergeCell ref="N235:N239"/>
    <mergeCell ref="N211:N215"/>
    <mergeCell ref="C200:C203"/>
    <mergeCell ref="M199:M203"/>
    <mergeCell ref="M223:M227"/>
    <mergeCell ref="O235:O239"/>
    <mergeCell ref="O228:O234"/>
    <mergeCell ref="C230:C234"/>
    <mergeCell ref="C206:C210"/>
    <mergeCell ref="O193:O198"/>
    <mergeCell ref="C194:C198"/>
    <mergeCell ref="O425:O430"/>
    <mergeCell ref="A377:A385"/>
    <mergeCell ref="C384:C385"/>
    <mergeCell ref="A386:A397"/>
    <mergeCell ref="A276:A287"/>
    <mergeCell ref="A240:A251"/>
    <mergeCell ref="A336:A349"/>
    <mergeCell ref="N247:N251"/>
    <mergeCell ref="O422:O424"/>
    <mergeCell ref="C423:C424"/>
    <mergeCell ref="N319:N323"/>
    <mergeCell ref="N393:N397"/>
    <mergeCell ref="M319:M323"/>
    <mergeCell ref="M357:M361"/>
    <mergeCell ref="O383:O385"/>
    <mergeCell ref="O377:O382"/>
    <mergeCell ref="C379:C382"/>
    <mergeCell ref="O312:O318"/>
    <mergeCell ref="C332:C335"/>
    <mergeCell ref="O271:O275"/>
    <mergeCell ref="O324:O335"/>
    <mergeCell ref="A312:A323"/>
    <mergeCell ref="O252:O258"/>
    <mergeCell ref="A407:A415"/>
    <mergeCell ref="A180:A191"/>
    <mergeCell ref="M413:M415"/>
    <mergeCell ref="C338:C343"/>
    <mergeCell ref="C345:C349"/>
    <mergeCell ref="C394:C397"/>
    <mergeCell ref="N199:N203"/>
    <mergeCell ref="A228:A239"/>
    <mergeCell ref="M175:M179"/>
    <mergeCell ref="C176:C179"/>
    <mergeCell ref="M383:M385"/>
    <mergeCell ref="M393:M397"/>
    <mergeCell ref="C409:C412"/>
    <mergeCell ref="N404:N406"/>
    <mergeCell ref="C405:C406"/>
    <mergeCell ref="A324:A335"/>
    <mergeCell ref="C388:C392"/>
    <mergeCell ref="A350:A361"/>
    <mergeCell ref="C352:C356"/>
    <mergeCell ref="A204:A215"/>
    <mergeCell ref="A192:A203"/>
    <mergeCell ref="A288:A299"/>
    <mergeCell ref="C290:C294"/>
    <mergeCell ref="M295:M299"/>
    <mergeCell ref="N295:N299"/>
    <mergeCell ref="A672:A675"/>
    <mergeCell ref="O672:O675"/>
    <mergeCell ref="C674:C675"/>
    <mergeCell ref="C627:C629"/>
    <mergeCell ref="A617:A624"/>
    <mergeCell ref="C606:C607"/>
    <mergeCell ref="N662:N664"/>
    <mergeCell ref="A641:A644"/>
    <mergeCell ref="M662:M664"/>
    <mergeCell ref="C655:C656"/>
    <mergeCell ref="A649:A656"/>
    <mergeCell ref="C651:C653"/>
    <mergeCell ref="O649:O653"/>
    <mergeCell ref="M654:M656"/>
    <mergeCell ref="A645:A648"/>
    <mergeCell ref="O645:O648"/>
    <mergeCell ref="C639:C640"/>
    <mergeCell ref="C647:C648"/>
    <mergeCell ref="O633:O636"/>
    <mergeCell ref="C635:C636"/>
    <mergeCell ref="A604:A612"/>
    <mergeCell ref="O641:O644"/>
    <mergeCell ref="C643:C644"/>
    <mergeCell ref="A637:A640"/>
    <mergeCell ref="O637:O640"/>
    <mergeCell ref="M597:M599"/>
    <mergeCell ref="N597:N599"/>
    <mergeCell ref="O593:O596"/>
    <mergeCell ref="C595:C596"/>
    <mergeCell ref="O625:O632"/>
    <mergeCell ref="O617:O624"/>
    <mergeCell ref="A252:A263"/>
    <mergeCell ref="C254:C258"/>
    <mergeCell ref="M489:M497"/>
    <mergeCell ref="C451:C457"/>
    <mergeCell ref="C462:C463"/>
    <mergeCell ref="N383:N385"/>
    <mergeCell ref="C278:C282"/>
    <mergeCell ref="M283:M287"/>
    <mergeCell ref="N283:N287"/>
    <mergeCell ref="O283:O287"/>
    <mergeCell ref="A264:A275"/>
    <mergeCell ref="N422:N424"/>
    <mergeCell ref="O398:O403"/>
    <mergeCell ref="O431:O433"/>
    <mergeCell ref="A362:A375"/>
    <mergeCell ref="A398:A406"/>
    <mergeCell ref="C482:C485"/>
    <mergeCell ref="N473:N479"/>
    <mergeCell ref="C490:C497"/>
    <mergeCell ref="O480:O496"/>
    <mergeCell ref="N413:N415"/>
    <mergeCell ref="C400:C403"/>
    <mergeCell ref="M461:M463"/>
    <mergeCell ref="M473:M479"/>
    <mergeCell ref="O407:O412"/>
    <mergeCell ref="O413:O415"/>
    <mergeCell ref="C447:C448"/>
    <mergeCell ref="C414:C415"/>
    <mergeCell ref="C436:C442"/>
    <mergeCell ref="N446:N448"/>
    <mergeCell ref="M422:M424"/>
    <mergeCell ref="M431:M433"/>
    <mergeCell ref="N431:N433"/>
    <mergeCell ref="C418:C421"/>
    <mergeCell ref="M446:M448"/>
    <mergeCell ref="O434:O442"/>
    <mergeCell ref="O416:O421"/>
    <mergeCell ref="C427:C430"/>
    <mergeCell ref="O404:O406"/>
    <mergeCell ref="N489:N497"/>
    <mergeCell ref="O464:O478"/>
    <mergeCell ref="C505:C506"/>
    <mergeCell ref="M504:M506"/>
    <mergeCell ref="M669:M671"/>
    <mergeCell ref="N669:N671"/>
    <mergeCell ref="C670:C671"/>
    <mergeCell ref="A665:A671"/>
    <mergeCell ref="M404:M406"/>
    <mergeCell ref="N504:N506"/>
    <mergeCell ref="C432:C433"/>
    <mergeCell ref="C610:C612"/>
    <mergeCell ref="N654:N656"/>
    <mergeCell ref="N609:N612"/>
    <mergeCell ref="N622:N624"/>
    <mergeCell ref="M575:M577"/>
    <mergeCell ref="M582:M584"/>
    <mergeCell ref="C602:C603"/>
    <mergeCell ref="M609:M612"/>
    <mergeCell ref="M622:M624"/>
    <mergeCell ref="M630:M632"/>
    <mergeCell ref="M590:M592"/>
    <mergeCell ref="C623:C624"/>
    <mergeCell ref="N461:N463"/>
    <mergeCell ref="C580:C581"/>
    <mergeCell ref="A434:A448"/>
    <mergeCell ref="O665:O671"/>
    <mergeCell ref="A550:A553"/>
    <mergeCell ref="A516:A524"/>
    <mergeCell ref="M513:M515"/>
    <mergeCell ref="M522:M524"/>
    <mergeCell ref="M535:M540"/>
    <mergeCell ref="M546:M548"/>
    <mergeCell ref="C523:C524"/>
    <mergeCell ref="A625:A632"/>
    <mergeCell ref="C631:C632"/>
    <mergeCell ref="A613:A616"/>
    <mergeCell ref="N630:N632"/>
    <mergeCell ref="O613:O616"/>
    <mergeCell ref="C619:C621"/>
    <mergeCell ref="A600:A603"/>
    <mergeCell ref="O597:O599"/>
    <mergeCell ref="C598:C599"/>
    <mergeCell ref="A554:A561"/>
    <mergeCell ref="O554:O561"/>
    <mergeCell ref="A633:A636"/>
    <mergeCell ref="O654:O656"/>
    <mergeCell ref="O604:O612"/>
    <mergeCell ref="O600:O603"/>
    <mergeCell ref="O590:O592"/>
  </mergeCells>
  <printOptions horizontalCentered="1"/>
  <pageMargins left="3.937007874015748E-2" right="7.874015748031496E-2" top="0.51181102362204722" bottom="0.51181102362204722" header="0.11811023622047245" footer="0.15748031496062992"/>
  <pageSetup paperSize="9" scale="70" firstPageNumber="29" orientation="landscape" useFirstPageNumber="1" r:id="rId1"/>
  <headerFooter alignWithMargins="0">
    <oddHeader>&amp;C&amp;"Arial,Kursywa"Wieloletnia prognoza finansowa  Województwa Zachodniopomorskiego&amp;"Arial,Normalny"
_______________________________________________________________________________________________________________________________</oddHeader>
    <oddFooter>&amp;C&amp;8&amp;P</oddFooter>
  </headerFooter>
  <rowBreaks count="7" manualBreakCount="7">
    <brk id="51" max="14" man="1"/>
    <brk id="179" max="14" man="1"/>
    <brk id="227" max="14" man="1"/>
    <brk id="275" max="14" man="1"/>
    <brk id="349" max="14" man="1"/>
    <brk id="524" max="14" man="1"/>
    <brk id="603" max="14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00B050"/>
  </sheetPr>
  <dimension ref="A1:W533"/>
  <sheetViews>
    <sheetView showGridLines="0" view="pageBreakPreview" zoomScale="110" zoomScaleSheetLayoutView="110" workbookViewId="0">
      <pane xSplit="3" ySplit="6" topLeftCell="D7" activePane="bottomRight" state="frozen"/>
      <selection activeCell="A4" sqref="A1:XFD1048576"/>
      <selection pane="topRight" activeCell="A4" sqref="A1:XFD1048576"/>
      <selection pane="bottomLeft" activeCell="A4" sqref="A1:XFD1048576"/>
      <selection pane="bottomRight" activeCell="D7" sqref="D7"/>
    </sheetView>
  </sheetViews>
  <sheetFormatPr defaultColWidth="9.140625" defaultRowHeight="12.75"/>
  <cols>
    <col min="1" max="1" width="4" style="3352" customWidth="1"/>
    <col min="2" max="2" width="53.42578125" style="3351" customWidth="1"/>
    <col min="3" max="3" width="10.42578125" style="3351" customWidth="1"/>
    <col min="4" max="4" width="14.5703125" style="3351" customWidth="1"/>
    <col min="5" max="5" width="12.85546875" style="3351" customWidth="1"/>
    <col min="6" max="6" width="10.42578125" style="3351" customWidth="1"/>
    <col min="7" max="7" width="10.7109375" style="3351" customWidth="1"/>
    <col min="8" max="8" width="11.140625" style="3351" customWidth="1"/>
    <col min="9" max="9" width="11.5703125" style="3351" customWidth="1"/>
    <col min="10" max="10" width="10" style="3351" customWidth="1"/>
    <col min="11" max="11" width="10.85546875" style="3351" customWidth="1"/>
    <col min="12" max="12" width="9.42578125" style="3351" bestFit="1" customWidth="1"/>
    <col min="13" max="13" width="12.7109375" style="3351" hidden="1" customWidth="1"/>
    <col min="14" max="14" width="12.7109375" style="3351" customWidth="1"/>
    <col min="15" max="15" width="14.5703125" style="3351" customWidth="1"/>
    <col min="16" max="16" width="14" style="3351" hidden="1" customWidth="1"/>
    <col min="17" max="17" width="12.140625" style="3351" hidden="1" customWidth="1"/>
    <col min="18" max="18" width="9.5703125" style="3351" hidden="1" customWidth="1"/>
    <col min="19" max="19" width="14.28515625" style="3351" hidden="1" customWidth="1"/>
    <col min="20" max="20" width="12" style="3351" hidden="1" customWidth="1"/>
    <col min="21" max="22" width="0" style="3351" hidden="1" customWidth="1"/>
    <col min="23" max="23" width="12.5703125" style="3351" hidden="1" customWidth="1"/>
    <col min="24" max="16384" width="9.140625" style="3351"/>
  </cols>
  <sheetData>
    <row r="1" spans="1:17" s="2541" customFormat="1" ht="15" customHeight="1">
      <c r="A1" s="2562"/>
      <c r="B1" s="2562"/>
      <c r="C1" s="2562"/>
      <c r="D1" s="2562"/>
      <c r="E1" s="2562"/>
      <c r="F1" s="2562"/>
      <c r="G1" s="2562"/>
      <c r="H1" s="2562"/>
      <c r="I1" s="290" t="s">
        <v>559</v>
      </c>
      <c r="J1" s="290"/>
      <c r="K1" s="290"/>
      <c r="L1" s="290"/>
      <c r="M1" s="6"/>
      <c r="N1" s="6"/>
      <c r="O1" s="7"/>
      <c r="P1" s="370"/>
    </row>
    <row r="2" spans="1:17" ht="18.75">
      <c r="A2" s="2562"/>
      <c r="B2" s="2562"/>
      <c r="C2" s="2562"/>
      <c r="D2" s="2563"/>
      <c r="E2" s="2563"/>
      <c r="F2" s="2563"/>
      <c r="G2" s="2563"/>
      <c r="H2" s="2563"/>
      <c r="I2" s="2563"/>
      <c r="J2" s="2563"/>
      <c r="K2" s="2563"/>
      <c r="L2" s="2563"/>
      <c r="M2" s="2563"/>
      <c r="N2" s="2563"/>
      <c r="O2" s="2563"/>
      <c r="P2" s="371"/>
    </row>
    <row r="3" spans="1:17" ht="34.5" customHeight="1" thickBot="1">
      <c r="A3" s="3800" t="s">
        <v>107</v>
      </c>
      <c r="B3" s="3801"/>
      <c r="C3" s="3801"/>
      <c r="D3" s="3801"/>
      <c r="E3" s="3801"/>
      <c r="F3" s="3801"/>
      <c r="G3" s="3801"/>
      <c r="H3" s="3801"/>
      <c r="I3" s="3801"/>
      <c r="J3" s="3801"/>
      <c r="K3" s="3801"/>
      <c r="L3" s="3801"/>
      <c r="M3" s="3801"/>
      <c r="N3" s="3801"/>
      <c r="O3" s="3802"/>
      <c r="P3" s="3352"/>
    </row>
    <row r="4" spans="1:17" ht="52.5" customHeight="1">
      <c r="A4" s="3651" t="s">
        <v>66</v>
      </c>
      <c r="B4" s="3653" t="s">
        <v>67</v>
      </c>
      <c r="C4" s="3803" t="s">
        <v>63</v>
      </c>
      <c r="D4" s="3803" t="s">
        <v>108</v>
      </c>
      <c r="E4" s="3155" t="s">
        <v>221</v>
      </c>
      <c r="F4" s="3649" t="s">
        <v>420</v>
      </c>
      <c r="G4" s="3646" t="s">
        <v>376</v>
      </c>
      <c r="H4" s="3647"/>
      <c r="I4" s="3647"/>
      <c r="J4" s="3647"/>
      <c r="K4" s="3647"/>
      <c r="L4" s="3648"/>
      <c r="M4" s="3808" t="s">
        <v>390</v>
      </c>
      <c r="N4" s="3808" t="s">
        <v>377</v>
      </c>
      <c r="O4" s="3806" t="s">
        <v>65</v>
      </c>
      <c r="P4" s="3353"/>
    </row>
    <row r="5" spans="1:17" ht="20.25" customHeight="1">
      <c r="A5" s="3652"/>
      <c r="B5" s="3654"/>
      <c r="C5" s="3804"/>
      <c r="D5" s="3805"/>
      <c r="E5" s="1272" t="s">
        <v>463</v>
      </c>
      <c r="F5" s="3824"/>
      <c r="G5" s="3152" t="s">
        <v>6</v>
      </c>
      <c r="H5" s="3152" t="s">
        <v>170</v>
      </c>
      <c r="I5" s="3152" t="s">
        <v>172</v>
      </c>
      <c r="J5" s="3152" t="s">
        <v>212</v>
      </c>
      <c r="K5" s="3152" t="s">
        <v>213</v>
      </c>
      <c r="L5" s="3152" t="s">
        <v>211</v>
      </c>
      <c r="M5" s="3809"/>
      <c r="N5" s="3809"/>
      <c r="O5" s="3807"/>
      <c r="P5" s="3353"/>
    </row>
    <row r="6" spans="1:17" ht="13.5" customHeight="1">
      <c r="A6" s="856">
        <v>1</v>
      </c>
      <c r="B6" s="857">
        <v>2</v>
      </c>
      <c r="C6" s="858" t="s">
        <v>109</v>
      </c>
      <c r="D6" s="858" t="s">
        <v>110</v>
      </c>
      <c r="E6" s="1287">
        <v>5</v>
      </c>
      <c r="F6" s="1287">
        <v>6</v>
      </c>
      <c r="G6" s="1287">
        <v>7</v>
      </c>
      <c r="H6" s="1287">
        <v>8</v>
      </c>
      <c r="I6" s="1287">
        <v>9</v>
      </c>
      <c r="J6" s="1287">
        <v>10</v>
      </c>
      <c r="K6" s="1287">
        <v>11</v>
      </c>
      <c r="L6" s="1287">
        <v>12</v>
      </c>
      <c r="M6" s="859">
        <v>13</v>
      </c>
      <c r="N6" s="859">
        <v>13</v>
      </c>
      <c r="O6" s="860">
        <v>14</v>
      </c>
      <c r="P6" s="3353"/>
    </row>
    <row r="7" spans="1:17" ht="14.25" customHeight="1">
      <c r="A7" s="2321"/>
      <c r="B7" s="2322" t="s">
        <v>68</v>
      </c>
      <c r="C7" s="2322"/>
      <c r="D7" s="2323">
        <f>+D8+D9</f>
        <v>138408529</v>
      </c>
      <c r="E7" s="2323">
        <f t="shared" ref="E7:L7" si="0">+E8+E9</f>
        <v>10494544</v>
      </c>
      <c r="F7" s="2323">
        <f t="shared" si="0"/>
        <v>11954047</v>
      </c>
      <c r="G7" s="2323">
        <f t="shared" si="0"/>
        <v>24445506</v>
      </c>
      <c r="H7" s="2323">
        <f t="shared" si="0"/>
        <v>36058250</v>
      </c>
      <c r="I7" s="2323">
        <f t="shared" si="0"/>
        <v>22802075</v>
      </c>
      <c r="J7" s="2323">
        <f t="shared" si="0"/>
        <v>13854760</v>
      </c>
      <c r="K7" s="2323">
        <f t="shared" si="0"/>
        <v>10200659</v>
      </c>
      <c r="L7" s="2323">
        <f t="shared" si="0"/>
        <v>8598688</v>
      </c>
      <c r="M7" s="2324" t="e">
        <f t="shared" ref="M7" si="1">+M8+M9</f>
        <v>#REF!</v>
      </c>
      <c r="N7" s="2324">
        <f t="shared" ref="N7" si="2">+N8+N9</f>
        <v>101490903</v>
      </c>
      <c r="O7" s="2325"/>
      <c r="P7" s="3354">
        <f>+N7-N10</f>
        <v>-14469035</v>
      </c>
      <c r="Q7" s="3355"/>
    </row>
    <row r="8" spans="1:17" ht="11.25" customHeight="1">
      <c r="A8" s="2326"/>
      <c r="B8" s="2322" t="s">
        <v>69</v>
      </c>
      <c r="C8" s="2322"/>
      <c r="D8" s="2323">
        <f t="shared" ref="D8:L8" si="3">+D25+D45+D86+D62+D123+D136+D158+D188+D206+D221+D239+D265+D110-D114</f>
        <v>137672492</v>
      </c>
      <c r="E8" s="2323">
        <f t="shared" si="3"/>
        <v>10468589</v>
      </c>
      <c r="F8" s="2323">
        <f t="shared" si="3"/>
        <v>11874288</v>
      </c>
      <c r="G8" s="2323">
        <f t="shared" si="3"/>
        <v>23815183</v>
      </c>
      <c r="H8" s="2323">
        <f t="shared" si="3"/>
        <v>36058250</v>
      </c>
      <c r="I8" s="2323">
        <f t="shared" si="3"/>
        <v>22802075</v>
      </c>
      <c r="J8" s="2323">
        <f t="shared" si="3"/>
        <v>13854760</v>
      </c>
      <c r="K8" s="2323">
        <f t="shared" si="3"/>
        <v>10200659</v>
      </c>
      <c r="L8" s="2323">
        <f t="shared" si="3"/>
        <v>8598688</v>
      </c>
      <c r="M8" s="2323" t="e">
        <f>+M25+M45+M86+M62+M123+M136+M158+M188+M206+M221+M239</f>
        <v>#REF!</v>
      </c>
      <c r="N8" s="2324">
        <f>+N25+N45+N86+N62+N123+N136+N158+N188+N206+N221+N239</f>
        <v>100860580</v>
      </c>
      <c r="O8" s="2325"/>
      <c r="P8" s="3354"/>
      <c r="Q8" s="3355"/>
    </row>
    <row r="9" spans="1:17" ht="11.25" customHeight="1">
      <c r="A9" s="2326"/>
      <c r="B9" s="2327" t="s">
        <v>9</v>
      </c>
      <c r="C9" s="2328"/>
      <c r="D9" s="2329">
        <f t="shared" ref="D9:N9" si="4">+D74+D98+D148+D176+D254</f>
        <v>736037</v>
      </c>
      <c r="E9" s="2329">
        <f t="shared" si="4"/>
        <v>25955</v>
      </c>
      <c r="F9" s="2329">
        <f t="shared" si="4"/>
        <v>79759</v>
      </c>
      <c r="G9" s="2329">
        <f t="shared" si="4"/>
        <v>630323</v>
      </c>
      <c r="H9" s="2329">
        <f t="shared" si="4"/>
        <v>0</v>
      </c>
      <c r="I9" s="2329">
        <f t="shared" si="4"/>
        <v>0</v>
      </c>
      <c r="J9" s="2329">
        <f t="shared" si="4"/>
        <v>0</v>
      </c>
      <c r="K9" s="2329">
        <f t="shared" si="4"/>
        <v>0</v>
      </c>
      <c r="L9" s="2329">
        <f t="shared" si="4"/>
        <v>0</v>
      </c>
      <c r="M9" s="2329" t="e">
        <f t="shared" si="4"/>
        <v>#REF!</v>
      </c>
      <c r="N9" s="2324">
        <f t="shared" si="4"/>
        <v>630323</v>
      </c>
      <c r="O9" s="2325"/>
      <c r="P9" s="3353"/>
    </row>
    <row r="10" spans="1:17" ht="12.75" customHeight="1">
      <c r="A10" s="2326"/>
      <c r="B10" s="792" t="s">
        <v>10</v>
      </c>
      <c r="C10" s="792"/>
      <c r="D10" s="861">
        <f>+D11+D15</f>
        <v>139044529</v>
      </c>
      <c r="E10" s="861">
        <f t="shared" ref="E10:L10" si="5">+E11+E15</f>
        <v>10494544</v>
      </c>
      <c r="F10" s="861">
        <f t="shared" si="5"/>
        <v>11954047</v>
      </c>
      <c r="G10" s="861">
        <f t="shared" si="5"/>
        <v>24512492</v>
      </c>
      <c r="H10" s="861">
        <f t="shared" si="5"/>
        <v>36369255</v>
      </c>
      <c r="I10" s="861">
        <f t="shared" si="5"/>
        <v>23060084</v>
      </c>
      <c r="J10" s="861">
        <f t="shared" si="5"/>
        <v>13854760</v>
      </c>
      <c r="K10" s="861">
        <f t="shared" si="5"/>
        <v>10200659</v>
      </c>
      <c r="L10" s="861">
        <f t="shared" si="5"/>
        <v>8598688</v>
      </c>
      <c r="M10" s="790">
        <f>M11+M15</f>
        <v>126271445</v>
      </c>
      <c r="N10" s="790">
        <f>N11+N15</f>
        <v>115959938</v>
      </c>
      <c r="O10" s="2330"/>
      <c r="P10" s="3354"/>
      <c r="Q10" s="3355"/>
    </row>
    <row r="11" spans="1:17" s="359" customFormat="1" ht="12.75" customHeight="1">
      <c r="A11" s="2326"/>
      <c r="B11" s="2331" t="s">
        <v>23</v>
      </c>
      <c r="C11" s="2331"/>
      <c r="D11" s="2332">
        <f>D12+D13+D14</f>
        <v>18576496</v>
      </c>
      <c r="E11" s="2332">
        <f t="shared" ref="E11:L11" si="6">E12+E13+E14</f>
        <v>1587046</v>
      </c>
      <c r="F11" s="2332">
        <f t="shared" si="6"/>
        <v>1762110</v>
      </c>
      <c r="G11" s="2332">
        <f t="shared" si="6"/>
        <v>2968115</v>
      </c>
      <c r="H11" s="2332">
        <f t="shared" si="6"/>
        <v>4045295</v>
      </c>
      <c r="I11" s="2332">
        <f t="shared" si="6"/>
        <v>3269251</v>
      </c>
      <c r="J11" s="2332">
        <f t="shared" si="6"/>
        <v>2108867</v>
      </c>
      <c r="K11" s="2332">
        <f t="shared" si="6"/>
        <v>1539628</v>
      </c>
      <c r="L11" s="2332">
        <f t="shared" si="6"/>
        <v>1296184</v>
      </c>
      <c r="M11" s="2333">
        <f>M12+M13</f>
        <v>14710910</v>
      </c>
      <c r="N11" s="2333">
        <f>N12+N13</f>
        <v>14591340</v>
      </c>
      <c r="O11" s="2325"/>
      <c r="P11" s="423"/>
    </row>
    <row r="12" spans="1:17" ht="13.5" customHeight="1">
      <c r="A12" s="2326"/>
      <c r="B12" s="2334" t="s">
        <v>12</v>
      </c>
      <c r="C12" s="2334"/>
      <c r="D12" s="2335">
        <f t="shared" ref="D12:L12" si="7">D47+D88+D64+D76+D27+D100+D112+D125+D160+D178+D190+D223</f>
        <v>14105741</v>
      </c>
      <c r="E12" s="2335">
        <f t="shared" si="7"/>
        <v>1587046</v>
      </c>
      <c r="F12" s="2335">
        <f t="shared" si="7"/>
        <v>1762110</v>
      </c>
      <c r="G12" s="2335">
        <f t="shared" si="7"/>
        <v>2351334</v>
      </c>
      <c r="H12" s="2335">
        <f t="shared" si="7"/>
        <v>2091870</v>
      </c>
      <c r="I12" s="2335">
        <f t="shared" si="7"/>
        <v>1814995</v>
      </c>
      <c r="J12" s="2335">
        <f t="shared" si="7"/>
        <v>1731310</v>
      </c>
      <c r="K12" s="2335">
        <f t="shared" si="7"/>
        <v>1470892</v>
      </c>
      <c r="L12" s="2335">
        <f t="shared" si="7"/>
        <v>1296184</v>
      </c>
      <c r="M12" s="862">
        <f>SUM(F12:L12)</f>
        <v>12518695</v>
      </c>
      <c r="N12" s="862">
        <f>SUM(G12:L12)</f>
        <v>10756585</v>
      </c>
      <c r="O12" s="2325"/>
      <c r="P12" s="3354"/>
    </row>
    <row r="13" spans="1:17" ht="13.5" customHeight="1">
      <c r="A13" s="2326"/>
      <c r="B13" s="2336" t="s">
        <v>13</v>
      </c>
      <c r="C13" s="2334"/>
      <c r="D13" s="596">
        <f t="shared" ref="D13:L13" si="8">D50+D31+D77+D113+D163+D179+D193+D208+D226+D241+D256+D270</f>
        <v>3834755</v>
      </c>
      <c r="E13" s="596">
        <f t="shared" si="8"/>
        <v>0</v>
      </c>
      <c r="F13" s="596">
        <f t="shared" si="8"/>
        <v>0</v>
      </c>
      <c r="G13" s="596">
        <f t="shared" si="8"/>
        <v>549795</v>
      </c>
      <c r="H13" s="596">
        <f t="shared" si="8"/>
        <v>1642420</v>
      </c>
      <c r="I13" s="596">
        <f t="shared" si="8"/>
        <v>1196247</v>
      </c>
      <c r="J13" s="596">
        <f t="shared" si="8"/>
        <v>377557</v>
      </c>
      <c r="K13" s="596">
        <f t="shared" si="8"/>
        <v>68736</v>
      </c>
      <c r="L13" s="596">
        <f t="shared" si="8"/>
        <v>0</v>
      </c>
      <c r="M13" s="2337">
        <f>SUM(F13:H13)</f>
        <v>2192215</v>
      </c>
      <c r="N13" s="2337">
        <f>SUM(G13:L13)</f>
        <v>3834755</v>
      </c>
      <c r="O13" s="2325"/>
      <c r="P13" s="3354">
        <f>D13-D20</f>
        <v>0</v>
      </c>
    </row>
    <row r="14" spans="1:17" s="2887" customFormat="1" ht="13.5" customHeight="1">
      <c r="A14" s="2326"/>
      <c r="B14" s="2338" t="s">
        <v>461</v>
      </c>
      <c r="C14" s="2339"/>
      <c r="D14" s="1441">
        <f>D114</f>
        <v>636000</v>
      </c>
      <c r="E14" s="1441">
        <f t="shared" ref="E14:L14" si="9">E114</f>
        <v>0</v>
      </c>
      <c r="F14" s="1441">
        <f t="shared" si="9"/>
        <v>0</v>
      </c>
      <c r="G14" s="1441">
        <f t="shared" si="9"/>
        <v>66986</v>
      </c>
      <c r="H14" s="1441">
        <f t="shared" si="9"/>
        <v>311005</v>
      </c>
      <c r="I14" s="1441">
        <f t="shared" si="9"/>
        <v>258009</v>
      </c>
      <c r="J14" s="1441">
        <f t="shared" si="9"/>
        <v>0</v>
      </c>
      <c r="K14" s="1441">
        <f t="shared" si="9"/>
        <v>0</v>
      </c>
      <c r="L14" s="1441">
        <f t="shared" si="9"/>
        <v>0</v>
      </c>
      <c r="M14" s="2340"/>
      <c r="N14" s="2340"/>
      <c r="O14" s="2341"/>
      <c r="P14" s="3356"/>
    </row>
    <row r="15" spans="1:17" s="359" customFormat="1" ht="13.5" customHeight="1">
      <c r="A15" s="2326"/>
      <c r="B15" s="2342" t="s">
        <v>18</v>
      </c>
      <c r="C15" s="2342"/>
      <c r="D15" s="2332">
        <f>D17+D16</f>
        <v>120468033</v>
      </c>
      <c r="E15" s="2332">
        <f t="shared" ref="E15:L15" si="10">E17+E16</f>
        <v>8907498</v>
      </c>
      <c r="F15" s="2332">
        <f t="shared" si="10"/>
        <v>10191937</v>
      </c>
      <c r="G15" s="2332">
        <f t="shared" si="10"/>
        <v>21544377</v>
      </c>
      <c r="H15" s="2332">
        <f t="shared" si="10"/>
        <v>32323960</v>
      </c>
      <c r="I15" s="2332">
        <f t="shared" si="10"/>
        <v>19790833</v>
      </c>
      <c r="J15" s="2332">
        <f t="shared" si="10"/>
        <v>11745893</v>
      </c>
      <c r="K15" s="2332">
        <f t="shared" si="10"/>
        <v>8661031</v>
      </c>
      <c r="L15" s="2332">
        <f t="shared" si="10"/>
        <v>7302504</v>
      </c>
      <c r="M15" s="2333">
        <f t="shared" ref="M15" si="11">M17+M16</f>
        <v>111560535</v>
      </c>
      <c r="N15" s="2333">
        <f t="shared" ref="N15" si="12">N17+N16</f>
        <v>101368598</v>
      </c>
      <c r="O15" s="2325"/>
      <c r="P15" s="423"/>
    </row>
    <row r="16" spans="1:17" s="400" customFormat="1" ht="13.5" customHeight="1">
      <c r="A16" s="2326"/>
      <c r="B16" s="2343" t="s">
        <v>19</v>
      </c>
      <c r="C16" s="2342"/>
      <c r="D16" s="2344">
        <f>+D33</f>
        <v>410798</v>
      </c>
      <c r="E16" s="2344">
        <f t="shared" ref="E16:L16" si="13">+E33</f>
        <v>45222</v>
      </c>
      <c r="F16" s="2344">
        <f t="shared" si="13"/>
        <v>172687</v>
      </c>
      <c r="G16" s="2344">
        <f t="shared" si="13"/>
        <v>154321</v>
      </c>
      <c r="H16" s="2344">
        <f t="shared" si="13"/>
        <v>25351</v>
      </c>
      <c r="I16" s="2344">
        <f t="shared" si="13"/>
        <v>13217</v>
      </c>
      <c r="J16" s="2344">
        <f t="shared" si="13"/>
        <v>0</v>
      </c>
      <c r="K16" s="2344">
        <f t="shared" si="13"/>
        <v>0</v>
      </c>
      <c r="L16" s="2344">
        <f t="shared" si="13"/>
        <v>0</v>
      </c>
      <c r="M16" s="862">
        <f>SUM(F16:L16)</f>
        <v>365576</v>
      </c>
      <c r="N16" s="862">
        <f>SUM(G16:L16)</f>
        <v>192889</v>
      </c>
      <c r="O16" s="2325"/>
      <c r="P16" s="423"/>
    </row>
    <row r="17" spans="1:17" ht="13.5" customHeight="1">
      <c r="A17" s="2326"/>
      <c r="B17" s="2345" t="s">
        <v>20</v>
      </c>
      <c r="C17" s="2334"/>
      <c r="D17" s="2346">
        <f t="shared" ref="D17:L17" si="14">+D52+D37+D91+D67+D79+D103+D116+D129+D138+D150+D167+D181+D197+D212+D230+D245+D258+D274</f>
        <v>120057235</v>
      </c>
      <c r="E17" s="2346">
        <f t="shared" si="14"/>
        <v>8862276</v>
      </c>
      <c r="F17" s="2346">
        <f t="shared" si="14"/>
        <v>10019250</v>
      </c>
      <c r="G17" s="2346">
        <f t="shared" si="14"/>
        <v>21390056</v>
      </c>
      <c r="H17" s="2346">
        <f t="shared" si="14"/>
        <v>32298609</v>
      </c>
      <c r="I17" s="2346">
        <f t="shared" si="14"/>
        <v>19777616</v>
      </c>
      <c r="J17" s="2346">
        <f t="shared" si="14"/>
        <v>11745893</v>
      </c>
      <c r="K17" s="2346">
        <f t="shared" si="14"/>
        <v>8661031</v>
      </c>
      <c r="L17" s="2346">
        <f t="shared" si="14"/>
        <v>7302504</v>
      </c>
      <c r="M17" s="862">
        <f>SUM(F17:L17)</f>
        <v>111194959</v>
      </c>
      <c r="N17" s="862">
        <f>SUM(G17:L17)</f>
        <v>101175709</v>
      </c>
      <c r="O17" s="2330"/>
      <c r="P17" s="3354"/>
    </row>
    <row r="18" spans="1:17" ht="13.5" customHeight="1">
      <c r="A18" s="2326"/>
      <c r="B18" s="2347" t="s">
        <v>21</v>
      </c>
      <c r="C18" s="792"/>
      <c r="D18" s="861">
        <f>D19+D21</f>
        <v>124302788</v>
      </c>
      <c r="E18" s="861">
        <f>E19+E21</f>
        <v>8862276</v>
      </c>
      <c r="F18" s="861">
        <f t="shared" ref="F18:L18" si="15">F19+F21</f>
        <v>9934498</v>
      </c>
      <c r="G18" s="861">
        <f t="shared" si="15"/>
        <v>23712141</v>
      </c>
      <c r="H18" s="861">
        <f t="shared" si="15"/>
        <v>33349433</v>
      </c>
      <c r="I18" s="861">
        <f t="shared" si="15"/>
        <v>20288719</v>
      </c>
      <c r="J18" s="861">
        <f t="shared" si="15"/>
        <v>12123450</v>
      </c>
      <c r="K18" s="861">
        <f t="shared" si="15"/>
        <v>8729767</v>
      </c>
      <c r="L18" s="861">
        <f t="shared" si="15"/>
        <v>7302504</v>
      </c>
      <c r="M18" s="3821" t="s">
        <v>53</v>
      </c>
      <c r="N18" s="3821" t="s">
        <v>53</v>
      </c>
      <c r="O18" s="2325"/>
      <c r="P18" s="3357">
        <f>+D7-D10</f>
        <v>-636000</v>
      </c>
    </row>
    <row r="19" spans="1:17" ht="13.5" customHeight="1">
      <c r="A19" s="2326"/>
      <c r="B19" s="2348" t="s">
        <v>23</v>
      </c>
      <c r="C19" s="2349"/>
      <c r="D19" s="2350">
        <f>D20</f>
        <v>3834755</v>
      </c>
      <c r="E19" s="2350">
        <f t="shared" ref="E19:L19" si="16">E20</f>
        <v>0</v>
      </c>
      <c r="F19" s="2350">
        <f t="shared" si="16"/>
        <v>0</v>
      </c>
      <c r="G19" s="2350">
        <f t="shared" si="16"/>
        <v>549795</v>
      </c>
      <c r="H19" s="2350">
        <f t="shared" si="16"/>
        <v>1642420</v>
      </c>
      <c r="I19" s="2350">
        <f t="shared" si="16"/>
        <v>1196247</v>
      </c>
      <c r="J19" s="2350">
        <f t="shared" si="16"/>
        <v>377557</v>
      </c>
      <c r="K19" s="2350">
        <f t="shared" si="16"/>
        <v>68736</v>
      </c>
      <c r="L19" s="2350">
        <f t="shared" si="16"/>
        <v>0</v>
      </c>
      <c r="M19" s="3821"/>
      <c r="N19" s="3821"/>
      <c r="O19" s="2325"/>
      <c r="P19" s="3353"/>
    </row>
    <row r="20" spans="1:17" ht="13.5" customHeight="1">
      <c r="A20" s="2326"/>
      <c r="B20" s="2351" t="s">
        <v>13</v>
      </c>
      <c r="C20" s="2352"/>
      <c r="D20" s="2346">
        <f t="shared" ref="D20:L20" si="17">+D57+D40+D82+D119+D172+D184+D202+D217+D235+D250+D261+D279</f>
        <v>3834755</v>
      </c>
      <c r="E20" s="2346">
        <f t="shared" si="17"/>
        <v>0</v>
      </c>
      <c r="F20" s="2346">
        <f t="shared" si="17"/>
        <v>0</v>
      </c>
      <c r="G20" s="2346">
        <f t="shared" si="17"/>
        <v>549795</v>
      </c>
      <c r="H20" s="2346">
        <f t="shared" si="17"/>
        <v>1642420</v>
      </c>
      <c r="I20" s="2346">
        <f t="shared" si="17"/>
        <v>1196247</v>
      </c>
      <c r="J20" s="2346">
        <f t="shared" si="17"/>
        <v>377557</v>
      </c>
      <c r="K20" s="2346">
        <f t="shared" si="17"/>
        <v>68736</v>
      </c>
      <c r="L20" s="2346">
        <f t="shared" si="17"/>
        <v>0</v>
      </c>
      <c r="M20" s="3821"/>
      <c r="N20" s="3821"/>
      <c r="O20" s="2325"/>
      <c r="P20" s="3353"/>
    </row>
    <row r="21" spans="1:17" s="3359" customFormat="1" ht="13.5" customHeight="1">
      <c r="A21" s="2353"/>
      <c r="B21" s="2354" t="s">
        <v>18</v>
      </c>
      <c r="C21" s="2355"/>
      <c r="D21" s="2350">
        <f>D23+D22</f>
        <v>120468033</v>
      </c>
      <c r="E21" s="2350">
        <f t="shared" ref="E21:L21" si="18">E23+E22</f>
        <v>8862276</v>
      </c>
      <c r="F21" s="2350">
        <f t="shared" si="18"/>
        <v>9934498</v>
      </c>
      <c r="G21" s="2350">
        <f t="shared" si="18"/>
        <v>23162346</v>
      </c>
      <c r="H21" s="2350">
        <f t="shared" si="18"/>
        <v>31707013</v>
      </c>
      <c r="I21" s="2350">
        <f t="shared" si="18"/>
        <v>19092472</v>
      </c>
      <c r="J21" s="2350">
        <f t="shared" si="18"/>
        <v>11745893</v>
      </c>
      <c r="K21" s="2350">
        <f t="shared" si="18"/>
        <v>8661031</v>
      </c>
      <c r="L21" s="2350">
        <f t="shared" si="18"/>
        <v>7302504</v>
      </c>
      <c r="M21" s="3821"/>
      <c r="N21" s="3821"/>
      <c r="O21" s="2356"/>
      <c r="P21" s="3358"/>
    </row>
    <row r="22" spans="1:17" s="3360" customFormat="1" ht="13.5" customHeight="1">
      <c r="A22" s="2353"/>
      <c r="B22" s="2343" t="s">
        <v>19</v>
      </c>
      <c r="C22" s="2355"/>
      <c r="D22" s="2357">
        <f>+D42</f>
        <v>410798</v>
      </c>
      <c r="E22" s="2357">
        <f t="shared" ref="E22:L22" si="19">+E42</f>
        <v>0</v>
      </c>
      <c r="F22" s="2357">
        <f t="shared" si="19"/>
        <v>84212</v>
      </c>
      <c r="G22" s="2357">
        <f t="shared" si="19"/>
        <v>176983</v>
      </c>
      <c r="H22" s="2357">
        <f t="shared" si="19"/>
        <v>114384</v>
      </c>
      <c r="I22" s="2357">
        <f t="shared" si="19"/>
        <v>35219</v>
      </c>
      <c r="J22" s="2357">
        <f t="shared" si="19"/>
        <v>0</v>
      </c>
      <c r="K22" s="2357">
        <f t="shared" si="19"/>
        <v>0</v>
      </c>
      <c r="L22" s="2357">
        <f t="shared" si="19"/>
        <v>0</v>
      </c>
      <c r="M22" s="3822"/>
      <c r="N22" s="3822"/>
      <c r="O22" s="2358"/>
      <c r="P22" s="3358"/>
    </row>
    <row r="23" spans="1:17" ht="13.5" customHeight="1" thickBot="1">
      <c r="A23" s="2359"/>
      <c r="B23" s="2360" t="s">
        <v>20</v>
      </c>
      <c r="C23" s="2360"/>
      <c r="D23" s="2361">
        <f t="shared" ref="D23:L23" si="20">+D59+D43+D60+D96+D72+D84+D108+D121+D134+D146+D156+D174+D186+D204+D219+D237+D252+D263+D281</f>
        <v>120057235</v>
      </c>
      <c r="E23" s="2361">
        <f t="shared" si="20"/>
        <v>8862276</v>
      </c>
      <c r="F23" s="2361">
        <f t="shared" si="20"/>
        <v>9850286</v>
      </c>
      <c r="G23" s="2361">
        <f t="shared" si="20"/>
        <v>22985363</v>
      </c>
      <c r="H23" s="2361">
        <f t="shared" si="20"/>
        <v>31592629</v>
      </c>
      <c r="I23" s="2361">
        <f t="shared" si="20"/>
        <v>19057253</v>
      </c>
      <c r="J23" s="2361">
        <f t="shared" si="20"/>
        <v>11745893</v>
      </c>
      <c r="K23" s="2361">
        <f t="shared" si="20"/>
        <v>8661031</v>
      </c>
      <c r="L23" s="2361">
        <f t="shared" si="20"/>
        <v>7302504</v>
      </c>
      <c r="M23" s="3823"/>
      <c r="N23" s="3823"/>
      <c r="O23" s="2362"/>
      <c r="P23" s="3354">
        <f>D23-D17</f>
        <v>0</v>
      </c>
    </row>
    <row r="24" spans="1:17" ht="38.25" customHeight="1">
      <c r="A24" s="3810" t="s">
        <v>55</v>
      </c>
      <c r="B24" s="2833" t="s">
        <v>260</v>
      </c>
      <c r="C24" s="2834" t="s">
        <v>100</v>
      </c>
      <c r="D24" s="1081"/>
      <c r="E24" s="2752"/>
      <c r="F24" s="2752"/>
      <c r="G24" s="2752"/>
      <c r="H24" s="2752"/>
      <c r="I24" s="2752"/>
      <c r="J24" s="2752"/>
      <c r="K24" s="2752"/>
      <c r="L24" s="41"/>
      <c r="M24" s="790"/>
      <c r="N24" s="790"/>
      <c r="O24" s="3740" t="s">
        <v>269</v>
      </c>
      <c r="P24" s="3353"/>
    </row>
    <row r="25" spans="1:17" s="3359" customFormat="1">
      <c r="A25" s="3811"/>
      <c r="B25" s="791" t="s">
        <v>10</v>
      </c>
      <c r="C25" s="792"/>
      <c r="D25" s="571">
        <f t="shared" ref="D25:J25" si="21">+D26+D32</f>
        <v>487290</v>
      </c>
      <c r="E25" s="571">
        <f t="shared" ref="E25" si="22">+E26+E32</f>
        <v>53431</v>
      </c>
      <c r="F25" s="571">
        <f t="shared" si="21"/>
        <v>203738</v>
      </c>
      <c r="G25" s="571">
        <f t="shared" si="21"/>
        <v>183147</v>
      </c>
      <c r="H25" s="571">
        <f t="shared" si="21"/>
        <v>30624</v>
      </c>
      <c r="I25" s="571">
        <f t="shared" si="21"/>
        <v>16350</v>
      </c>
      <c r="J25" s="1740">
        <f t="shared" si="21"/>
        <v>0</v>
      </c>
      <c r="K25" s="1740">
        <v>0</v>
      </c>
      <c r="L25" s="1740">
        <v>0</v>
      </c>
      <c r="M25" s="793">
        <f>+M26+M32</f>
        <v>433859</v>
      </c>
      <c r="N25" s="793">
        <f>+N26+N32</f>
        <v>230121</v>
      </c>
      <c r="O25" s="3741"/>
      <c r="P25" s="3361"/>
      <c r="Q25" s="3362"/>
    </row>
    <row r="26" spans="1:17" s="3359" customFormat="1" ht="13.5" customHeight="1">
      <c r="A26" s="3811"/>
      <c r="B26" s="1738" t="s">
        <v>23</v>
      </c>
      <c r="C26" s="3814" t="s">
        <v>297</v>
      </c>
      <c r="D26" s="601">
        <f t="shared" ref="D26" si="23">+D27+D31</f>
        <v>76492</v>
      </c>
      <c r="E26" s="601">
        <f t="shared" ref="E26" si="24">+E27+E31</f>
        <v>8209</v>
      </c>
      <c r="F26" s="601">
        <f>+F27+F31</f>
        <v>31051</v>
      </c>
      <c r="G26" s="601">
        <f>+G27+G31</f>
        <v>28826</v>
      </c>
      <c r="H26" s="601">
        <f>+H27+H31</f>
        <v>5273</v>
      </c>
      <c r="I26" s="601">
        <f>+I27</f>
        <v>3133</v>
      </c>
      <c r="J26" s="1741">
        <f>+J27</f>
        <v>0</v>
      </c>
      <c r="K26" s="1741">
        <v>0</v>
      </c>
      <c r="L26" s="1741">
        <v>0</v>
      </c>
      <c r="M26" s="863">
        <f>+M27+M31</f>
        <v>68283</v>
      </c>
      <c r="N26" s="863">
        <f>+N27+N31</f>
        <v>37232</v>
      </c>
      <c r="O26" s="3741"/>
      <c r="P26" s="3358"/>
    </row>
    <row r="27" spans="1:17" s="3359" customFormat="1" ht="11.25" customHeight="1">
      <c r="A27" s="3811"/>
      <c r="B27" s="821" t="s">
        <v>12</v>
      </c>
      <c r="C27" s="3815"/>
      <c r="D27" s="236">
        <f>E27+F27+G27+H27+I27+J27+K27+L27</f>
        <v>76492</v>
      </c>
      <c r="E27" s="266">
        <f>+E29+E30</f>
        <v>8209</v>
      </c>
      <c r="F27" s="590">
        <f t="shared" ref="F27:I27" si="25">+F29+F30</f>
        <v>31051</v>
      </c>
      <c r="G27" s="590">
        <f t="shared" si="25"/>
        <v>28826</v>
      </c>
      <c r="H27" s="590">
        <f t="shared" si="25"/>
        <v>5273</v>
      </c>
      <c r="I27" s="590">
        <f t="shared" si="25"/>
        <v>3133</v>
      </c>
      <c r="J27" s="595">
        <v>0</v>
      </c>
      <c r="K27" s="595">
        <v>0</v>
      </c>
      <c r="L27" s="595">
        <v>0</v>
      </c>
      <c r="M27" s="862">
        <f>SUM(F27:K27)</f>
        <v>68283</v>
      </c>
      <c r="N27" s="862">
        <f>SUM(G27:L27)</f>
        <v>37232</v>
      </c>
      <c r="O27" s="3741"/>
      <c r="P27" s="3358"/>
    </row>
    <row r="28" spans="1:17" s="3363" customFormat="1" ht="13.5" hidden="1" customHeight="1">
      <c r="A28" s="3812"/>
      <c r="B28" s="2835" t="s">
        <v>140</v>
      </c>
      <c r="C28" s="3816"/>
      <c r="D28" s="797"/>
      <c r="E28" s="2836"/>
      <c r="F28" s="2837"/>
      <c r="G28" s="2837"/>
      <c r="H28" s="2837"/>
      <c r="I28" s="2837"/>
      <c r="J28" s="2836"/>
      <c r="K28" s="2836"/>
      <c r="L28" s="595"/>
      <c r="M28" s="796"/>
      <c r="N28" s="796"/>
      <c r="O28" s="3741"/>
      <c r="P28" s="3358"/>
    </row>
    <row r="29" spans="1:17" s="3363" customFormat="1" ht="13.5" hidden="1" customHeight="1">
      <c r="A29" s="3812"/>
      <c r="B29" s="2835" t="s">
        <v>101</v>
      </c>
      <c r="C29" s="3816"/>
      <c r="D29" s="797">
        <f>+E29+F29+G29+H29+I29</f>
        <v>52982</v>
      </c>
      <c r="E29" s="2837">
        <v>3119</v>
      </c>
      <c r="F29" s="2837">
        <f>31679-1297-6985</f>
        <v>23397</v>
      </c>
      <c r="G29" s="2837">
        <f>12591-1089+6985+605</f>
        <v>19092</v>
      </c>
      <c r="H29" s="2837">
        <f>10929-2878-103-3462</f>
        <v>4486</v>
      </c>
      <c r="I29" s="2837">
        <f>2920-32</f>
        <v>2888</v>
      </c>
      <c r="J29" s="2836"/>
      <c r="K29" s="2836"/>
      <c r="L29" s="595"/>
      <c r="M29" s="1739">
        <f t="shared" ref="M29:N31" si="26">SUM(E29:H29)</f>
        <v>50094</v>
      </c>
      <c r="N29" s="1739">
        <f>SUM(G29:I29)</f>
        <v>26466</v>
      </c>
      <c r="O29" s="3741"/>
      <c r="P29" s="3358"/>
    </row>
    <row r="30" spans="1:17" s="3363" customFormat="1" ht="13.5" hidden="1" customHeight="1">
      <c r="A30" s="3812"/>
      <c r="B30" s="2835" t="s">
        <v>250</v>
      </c>
      <c r="C30" s="3816"/>
      <c r="D30" s="797">
        <f>+E30+F30+G30+H30+I30</f>
        <v>23510</v>
      </c>
      <c r="E30" s="2837">
        <f>4426+664</f>
        <v>5090</v>
      </c>
      <c r="F30" s="2837">
        <f>7322+633-301</f>
        <v>7654</v>
      </c>
      <c r="G30" s="2837">
        <f>6473+784+1089+301+1087</f>
        <v>9734</v>
      </c>
      <c r="H30" s="2837">
        <f>599+85+103</f>
        <v>787</v>
      </c>
      <c r="I30" s="2837">
        <f>186+27+32</f>
        <v>245</v>
      </c>
      <c r="J30" s="2836"/>
      <c r="K30" s="2836"/>
      <c r="L30" s="595"/>
      <c r="M30" s="1739">
        <f t="shared" si="26"/>
        <v>23265</v>
      </c>
      <c r="N30" s="1739">
        <f>SUM(G30:I30)</f>
        <v>10766</v>
      </c>
      <c r="O30" s="3741"/>
      <c r="P30" s="3358"/>
    </row>
    <row r="31" spans="1:17" s="3359" customFormat="1" ht="14.25" hidden="1" customHeight="1">
      <c r="A31" s="3811"/>
      <c r="B31" s="821" t="s">
        <v>13</v>
      </c>
      <c r="C31" s="3815"/>
      <c r="D31" s="236">
        <f>E31+F31+G31+H31+I31+J31+K31+L31</f>
        <v>0</v>
      </c>
      <c r="E31" s="595">
        <v>0</v>
      </c>
      <c r="F31" s="590"/>
      <c r="G31" s="590"/>
      <c r="H31" s="590"/>
      <c r="I31" s="590"/>
      <c r="J31" s="595"/>
      <c r="K31" s="595"/>
      <c r="L31" s="595"/>
      <c r="M31" s="796">
        <f t="shared" si="26"/>
        <v>0</v>
      </c>
      <c r="N31" s="796">
        <f t="shared" si="26"/>
        <v>0</v>
      </c>
      <c r="O31" s="3741"/>
      <c r="P31" s="3358"/>
    </row>
    <row r="32" spans="1:17" s="3359" customFormat="1">
      <c r="A32" s="3811"/>
      <c r="B32" s="2838" t="s">
        <v>18</v>
      </c>
      <c r="C32" s="3815"/>
      <c r="D32" s="798">
        <f>+D37+D33</f>
        <v>410798</v>
      </c>
      <c r="E32" s="798">
        <f t="shared" ref="E32" si="27">+E37+E33</f>
        <v>45222</v>
      </c>
      <c r="F32" s="798">
        <f>+F37+F33</f>
        <v>172687</v>
      </c>
      <c r="G32" s="798">
        <f>+G37+G33</f>
        <v>154321</v>
      </c>
      <c r="H32" s="798">
        <f>+H37+H33</f>
        <v>25351</v>
      </c>
      <c r="I32" s="798">
        <f>+I33</f>
        <v>13217</v>
      </c>
      <c r="J32" s="816">
        <v>0</v>
      </c>
      <c r="K32" s="816">
        <v>0</v>
      </c>
      <c r="L32" s="816">
        <v>0</v>
      </c>
      <c r="M32" s="864">
        <f>+M37+M33</f>
        <v>365576</v>
      </c>
      <c r="N32" s="864">
        <f>+N37+N33</f>
        <v>192889</v>
      </c>
      <c r="O32" s="3741"/>
      <c r="P32" s="3358"/>
    </row>
    <row r="33" spans="1:16" s="3360" customFormat="1" ht="12" customHeight="1">
      <c r="A33" s="3811"/>
      <c r="B33" s="821" t="s">
        <v>19</v>
      </c>
      <c r="C33" s="3815"/>
      <c r="D33" s="236">
        <f>E33+F33+G33+H33+I33+J33+K33+L33</f>
        <v>410798</v>
      </c>
      <c r="E33" s="266">
        <f>+E35+E36</f>
        <v>45222</v>
      </c>
      <c r="F33" s="590">
        <f t="shared" ref="F33:I33" si="28">+F35+F36</f>
        <v>172687</v>
      </c>
      <c r="G33" s="590">
        <f t="shared" si="28"/>
        <v>154321</v>
      </c>
      <c r="H33" s="590">
        <f t="shared" si="28"/>
        <v>25351</v>
      </c>
      <c r="I33" s="590">
        <f t="shared" si="28"/>
        <v>13217</v>
      </c>
      <c r="J33" s="595">
        <v>0</v>
      </c>
      <c r="K33" s="595">
        <v>0</v>
      </c>
      <c r="L33" s="595">
        <v>0</v>
      </c>
      <c r="M33" s="862">
        <f>SUM(F33:K33)</f>
        <v>365576</v>
      </c>
      <c r="N33" s="862">
        <f>SUM(G33:L33)</f>
        <v>192889</v>
      </c>
      <c r="O33" s="3741"/>
      <c r="P33" s="3361">
        <f>D33-D42</f>
        <v>0</v>
      </c>
    </row>
    <row r="34" spans="1:16" s="3363" customFormat="1" ht="13.5" hidden="1" customHeight="1">
      <c r="A34" s="3811"/>
      <c r="B34" s="2835" t="s">
        <v>140</v>
      </c>
      <c r="C34" s="3815"/>
      <c r="D34" s="797"/>
      <c r="E34" s="595"/>
      <c r="F34" s="2837"/>
      <c r="G34" s="2837"/>
      <c r="H34" s="2837"/>
      <c r="I34" s="2837"/>
      <c r="J34" s="2836"/>
      <c r="K34" s="2836"/>
      <c r="L34" s="2836"/>
      <c r="M34" s="1739"/>
      <c r="N34" s="1739"/>
      <c r="O34" s="3741"/>
      <c r="P34" s="3358"/>
    </row>
    <row r="35" spans="1:16" s="3363" customFormat="1" ht="13.5" hidden="1" customHeight="1">
      <c r="A35" s="3811"/>
      <c r="B35" s="2835" t="s">
        <v>101</v>
      </c>
      <c r="C35" s="3815"/>
      <c r="D35" s="797">
        <f>+E35+F35+G35+H35+I35</f>
        <v>277590</v>
      </c>
      <c r="E35" s="2837">
        <v>16375</v>
      </c>
      <c r="F35" s="2837">
        <f>1482+28167+1112+84605+3706+47478+5188-7334-35092</f>
        <v>129312</v>
      </c>
      <c r="G35" s="2837">
        <f>1482+13343+1112+47172+3706-6169+35092+3440</f>
        <v>99178</v>
      </c>
      <c r="H35" s="2837">
        <f>1482+15195+1853+32381+6486-16307-582-19617</f>
        <v>20891</v>
      </c>
      <c r="I35" s="2837">
        <f>3706+371+6085+1853-181</f>
        <v>11834</v>
      </c>
      <c r="J35" s="2836"/>
      <c r="K35" s="2836"/>
      <c r="L35" s="2836"/>
      <c r="M35" s="1739">
        <f t="shared" ref="M35:N37" si="29">SUM(E35:H35)</f>
        <v>265756</v>
      </c>
      <c r="N35" s="1739">
        <f>SUM(G35:I35)</f>
        <v>131903</v>
      </c>
      <c r="O35" s="3741"/>
      <c r="P35" s="3358"/>
    </row>
    <row r="36" spans="1:16" s="3363" customFormat="1" ht="13.5" hidden="1" customHeight="1">
      <c r="A36" s="3811"/>
      <c r="B36" s="2835" t="s">
        <v>250</v>
      </c>
      <c r="C36" s="3815"/>
      <c r="D36" s="797">
        <f>+E36+F36+G36+H36+I36</f>
        <v>133208</v>
      </c>
      <c r="E36" s="2837">
        <f>25085+3762</f>
        <v>28847</v>
      </c>
      <c r="F36" s="2837">
        <f>28369+1756+4789+710+1512+4359+3572-1692</f>
        <v>43375</v>
      </c>
      <c r="G36" s="2837">
        <f>28654+2364+4931+731+4444+6169+1692+6158</f>
        <v>55143</v>
      </c>
      <c r="H36" s="2837">
        <f>2663+220+445+67+483+582</f>
        <v>4460</v>
      </c>
      <c r="I36" s="2837">
        <f>672+222+138+21+149+181</f>
        <v>1383</v>
      </c>
      <c r="J36" s="2836"/>
      <c r="K36" s="2836"/>
      <c r="L36" s="2836"/>
      <c r="M36" s="1739">
        <f t="shared" si="29"/>
        <v>131825</v>
      </c>
      <c r="N36" s="1739">
        <f>SUM(G36:I36)</f>
        <v>60986</v>
      </c>
      <c r="O36" s="3741"/>
      <c r="P36" s="3358"/>
    </row>
    <row r="37" spans="1:16" s="3359" customFormat="1" ht="13.5" hidden="1" customHeight="1" collapsed="1">
      <c r="A37" s="3811"/>
      <c r="B37" s="821" t="s">
        <v>20</v>
      </c>
      <c r="C37" s="3815"/>
      <c r="D37" s="236">
        <f>E37+F37+G37+H37+I37+J37+K37+L37</f>
        <v>0</v>
      </c>
      <c r="E37" s="595">
        <v>0</v>
      </c>
      <c r="F37" s="590"/>
      <c r="G37" s="590"/>
      <c r="H37" s="590"/>
      <c r="I37" s="590"/>
      <c r="J37" s="595"/>
      <c r="K37" s="595"/>
      <c r="L37" s="595"/>
      <c r="M37" s="796">
        <f t="shared" si="29"/>
        <v>0</v>
      </c>
      <c r="N37" s="796">
        <f t="shared" si="29"/>
        <v>0</v>
      </c>
      <c r="O37" s="3756"/>
      <c r="P37" s="3361"/>
    </row>
    <row r="38" spans="1:16" s="3359" customFormat="1">
      <c r="A38" s="3813"/>
      <c r="B38" s="791" t="s">
        <v>21</v>
      </c>
      <c r="C38" s="792"/>
      <c r="D38" s="585">
        <f>+D39+D41</f>
        <v>410798</v>
      </c>
      <c r="E38" s="594">
        <v>0</v>
      </c>
      <c r="F38" s="585">
        <f>+F39+F41</f>
        <v>84212</v>
      </c>
      <c r="G38" s="585">
        <f t="shared" ref="G38:J38" si="30">+G39+G41</f>
        <v>176983</v>
      </c>
      <c r="H38" s="585">
        <f t="shared" si="30"/>
        <v>114384</v>
      </c>
      <c r="I38" s="585">
        <f t="shared" si="30"/>
        <v>35219</v>
      </c>
      <c r="J38" s="594">
        <f t="shared" si="30"/>
        <v>0</v>
      </c>
      <c r="K38" s="594">
        <v>0</v>
      </c>
      <c r="L38" s="594">
        <v>0</v>
      </c>
      <c r="M38" s="3820" t="s">
        <v>53</v>
      </c>
      <c r="N38" s="3820" t="s">
        <v>53</v>
      </c>
      <c r="O38" s="2839"/>
      <c r="P38" s="3361">
        <f>G38-'[1]Tab. 6B Polit społ i rozwój prz'!$G$37</f>
        <v>-60809</v>
      </c>
    </row>
    <row r="39" spans="1:16" s="3359" customFormat="1" ht="13.5" hidden="1" customHeight="1">
      <c r="A39" s="3813"/>
      <c r="B39" s="1738" t="s">
        <v>23</v>
      </c>
      <c r="C39" s="3817" t="s">
        <v>261</v>
      </c>
      <c r="D39" s="798">
        <f>+D40</f>
        <v>0</v>
      </c>
      <c r="E39" s="816">
        <v>0</v>
      </c>
      <c r="F39" s="798"/>
      <c r="G39" s="798"/>
      <c r="H39" s="798"/>
      <c r="I39" s="798"/>
      <c r="J39" s="816"/>
      <c r="K39" s="816"/>
      <c r="L39" s="816"/>
      <c r="M39" s="3820"/>
      <c r="N39" s="3820"/>
      <c r="O39" s="2839"/>
      <c r="P39" s="3358"/>
    </row>
    <row r="40" spans="1:16" s="3359" customFormat="1" ht="13.5" hidden="1" customHeight="1">
      <c r="A40" s="3813"/>
      <c r="B40" s="821" t="s">
        <v>13</v>
      </c>
      <c r="C40" s="3815"/>
      <c r="D40" s="236">
        <f>E40+F40+G40+H40+I40+J40+K40+L40</f>
        <v>0</v>
      </c>
      <c r="E40" s="1642"/>
      <c r="F40" s="797"/>
      <c r="G40" s="797"/>
      <c r="H40" s="797"/>
      <c r="I40" s="797"/>
      <c r="J40" s="1642"/>
      <c r="K40" s="1642"/>
      <c r="L40" s="1642"/>
      <c r="M40" s="3820"/>
      <c r="N40" s="3820"/>
      <c r="O40" s="2839"/>
      <c r="P40" s="3358"/>
    </row>
    <row r="41" spans="1:16" s="3359" customFormat="1">
      <c r="A41" s="3813"/>
      <c r="B41" s="2838" t="s">
        <v>18</v>
      </c>
      <c r="C41" s="3818"/>
      <c r="D41" s="798">
        <f>+D43+D42</f>
        <v>410798</v>
      </c>
      <c r="E41" s="816">
        <v>0</v>
      </c>
      <c r="F41" s="798">
        <f t="shared" ref="F41:J41" si="31">+F43+F42</f>
        <v>84212</v>
      </c>
      <c r="G41" s="798">
        <f t="shared" si="31"/>
        <v>176983</v>
      </c>
      <c r="H41" s="798">
        <f>+H43+H42</f>
        <v>114384</v>
      </c>
      <c r="I41" s="798">
        <f t="shared" si="31"/>
        <v>35219</v>
      </c>
      <c r="J41" s="816">
        <f t="shared" si="31"/>
        <v>0</v>
      </c>
      <c r="K41" s="816">
        <v>0</v>
      </c>
      <c r="L41" s="816">
        <v>0</v>
      </c>
      <c r="M41" s="3820"/>
      <c r="N41" s="3820"/>
      <c r="O41" s="3146" t="s">
        <v>101</v>
      </c>
      <c r="P41" s="3358"/>
    </row>
    <row r="42" spans="1:16" s="3360" customFormat="1" ht="15.75" customHeight="1" thickBot="1">
      <c r="A42" s="3813"/>
      <c r="B42" s="821" t="s">
        <v>19</v>
      </c>
      <c r="C42" s="3818"/>
      <c r="D42" s="236">
        <f>E42+F42+G42+H42+I42+J42+K42+L42</f>
        <v>410798</v>
      </c>
      <c r="E42" s="2840">
        <v>0</v>
      </c>
      <c r="F42" s="590">
        <f>88766-60286+55732</f>
        <v>84212</v>
      </c>
      <c r="G42" s="590">
        <f>154696+9365+11231+62500-69130+8321</f>
        <v>176983</v>
      </c>
      <c r="H42" s="590">
        <f>103495-26700+4444-33621+72166-5400</f>
        <v>114384</v>
      </c>
      <c r="I42" s="590">
        <f>60792+32027-15824-25800-3036-12940</f>
        <v>35219</v>
      </c>
      <c r="J42" s="595">
        <f>13068+45594+149-58811</f>
        <v>0</v>
      </c>
      <c r="K42" s="595">
        <v>0</v>
      </c>
      <c r="L42" s="595">
        <v>0</v>
      </c>
      <c r="M42" s="3820"/>
      <c r="N42" s="3820"/>
      <c r="O42" s="2839"/>
      <c r="P42" s="3358"/>
    </row>
    <row r="43" spans="1:16" ht="13.5" hidden="1" customHeight="1" thickBot="1">
      <c r="A43" s="3764"/>
      <c r="B43" s="2841" t="s">
        <v>20</v>
      </c>
      <c r="C43" s="3819"/>
      <c r="D43" s="236">
        <f>E43+F43+G43+H43+I43+J43+K43+L43</f>
        <v>0</v>
      </c>
      <c r="E43" s="817">
        <v>0</v>
      </c>
      <c r="F43" s="415"/>
      <c r="G43" s="415"/>
      <c r="H43" s="415"/>
      <c r="I43" s="415"/>
      <c r="J43" s="415"/>
      <c r="K43" s="415"/>
      <c r="L43" s="415"/>
      <c r="M43" s="3752"/>
      <c r="N43" s="3752"/>
      <c r="O43" s="2842"/>
      <c r="P43" s="3353"/>
    </row>
    <row r="44" spans="1:16" ht="24" customHeight="1">
      <c r="A44" s="3759" t="s">
        <v>264</v>
      </c>
      <c r="B44" s="1146" t="s">
        <v>410</v>
      </c>
      <c r="C44" s="1147" t="s">
        <v>100</v>
      </c>
      <c r="D44" s="1081"/>
      <c r="E44" s="1081"/>
      <c r="F44" s="1081"/>
      <c r="G44" s="1081"/>
      <c r="H44" s="1081"/>
      <c r="I44" s="1081"/>
      <c r="J44" s="1081"/>
      <c r="K44" s="1081"/>
      <c r="L44" s="1081"/>
      <c r="M44" s="1081">
        <f t="shared" ref="M44" si="32">+M48+M53</f>
        <v>0</v>
      </c>
      <c r="N44" s="1081"/>
      <c r="O44" s="3740" t="s">
        <v>270</v>
      </c>
      <c r="P44" s="3353"/>
    </row>
    <row r="45" spans="1:16">
      <c r="A45" s="3811"/>
      <c r="B45" s="791" t="s">
        <v>10</v>
      </c>
      <c r="C45" s="1148"/>
      <c r="D45" s="861">
        <f t="shared" ref="D45" si="33">+D46+D51</f>
        <v>1324368</v>
      </c>
      <c r="E45" s="1740">
        <f t="shared" ref="E45" si="34">+E46+E51</f>
        <v>0</v>
      </c>
      <c r="F45" s="1740">
        <f t="shared" ref="F45:H45" si="35">+F46+F51</f>
        <v>0</v>
      </c>
      <c r="G45" s="571">
        <f t="shared" si="35"/>
        <v>689604</v>
      </c>
      <c r="H45" s="571">
        <f t="shared" si="35"/>
        <v>634764</v>
      </c>
      <c r="I45" s="1740">
        <f t="shared" ref="I45:L45" si="36">+I46+I51</f>
        <v>0</v>
      </c>
      <c r="J45" s="1740">
        <f t="shared" si="36"/>
        <v>0</v>
      </c>
      <c r="K45" s="1740">
        <f t="shared" si="36"/>
        <v>0</v>
      </c>
      <c r="L45" s="1740">
        <f t="shared" si="36"/>
        <v>0</v>
      </c>
      <c r="M45" s="793">
        <f>+M46+M51</f>
        <v>1324368</v>
      </c>
      <c r="N45" s="793">
        <f>+N46+N51</f>
        <v>1324368</v>
      </c>
      <c r="O45" s="3741"/>
      <c r="P45" s="3354"/>
    </row>
    <row r="46" spans="1:16" ht="12.75" customHeight="1">
      <c r="A46" s="3811"/>
      <c r="B46" s="794" t="s">
        <v>23</v>
      </c>
      <c r="C46" s="3825" t="s">
        <v>267</v>
      </c>
      <c r="D46" s="601">
        <f t="shared" ref="D46:N46" si="37">+D47+D50</f>
        <v>198655</v>
      </c>
      <c r="E46" s="1741">
        <f t="shared" ref="E46" si="38">+E47+E50</f>
        <v>0</v>
      </c>
      <c r="F46" s="1741">
        <f t="shared" si="37"/>
        <v>0</v>
      </c>
      <c r="G46" s="601">
        <f t="shared" si="37"/>
        <v>103441</v>
      </c>
      <c r="H46" s="601">
        <f t="shared" si="37"/>
        <v>95214</v>
      </c>
      <c r="I46" s="1741">
        <f t="shared" ref="I46:L46" si="39">+I47+I50</f>
        <v>0</v>
      </c>
      <c r="J46" s="1741">
        <f t="shared" si="39"/>
        <v>0</v>
      </c>
      <c r="K46" s="1741">
        <f t="shared" si="39"/>
        <v>0</v>
      </c>
      <c r="L46" s="1741">
        <f t="shared" si="39"/>
        <v>0</v>
      </c>
      <c r="M46" s="863">
        <f t="shared" ref="M46" si="40">+M47+M50</f>
        <v>198655</v>
      </c>
      <c r="N46" s="863">
        <f t="shared" si="37"/>
        <v>198655</v>
      </c>
      <c r="O46" s="3741"/>
      <c r="P46" s="3353"/>
    </row>
    <row r="47" spans="1:16" ht="12" customHeight="1">
      <c r="A47" s="3811"/>
      <c r="B47" s="795" t="s">
        <v>12</v>
      </c>
      <c r="C47" s="3826"/>
      <c r="D47" s="236">
        <f>E47+F47+G47+H47+I47+J47+K47+L47</f>
        <v>198655</v>
      </c>
      <c r="E47" s="1743">
        <f t="shared" ref="E47:H47" si="41">+E48+E49</f>
        <v>0</v>
      </c>
      <c r="F47" s="1743">
        <f t="shared" si="41"/>
        <v>0</v>
      </c>
      <c r="G47" s="590">
        <f t="shared" si="41"/>
        <v>103441</v>
      </c>
      <c r="H47" s="590">
        <f t="shared" si="41"/>
        <v>95214</v>
      </c>
      <c r="I47" s="1743">
        <f t="shared" ref="I47:L47" si="42">+I48+I49</f>
        <v>0</v>
      </c>
      <c r="J47" s="1743">
        <f t="shared" si="42"/>
        <v>0</v>
      </c>
      <c r="K47" s="1743">
        <f t="shared" si="42"/>
        <v>0</v>
      </c>
      <c r="L47" s="1743">
        <f t="shared" si="42"/>
        <v>0</v>
      </c>
      <c r="M47" s="862">
        <f>SUM(F47:K47)</f>
        <v>198655</v>
      </c>
      <c r="N47" s="843">
        <f>SUM(G47:L47)</f>
        <v>198655</v>
      </c>
      <c r="O47" s="3741"/>
      <c r="P47" s="3353"/>
    </row>
    <row r="48" spans="1:16" s="3364" customFormat="1" ht="13.5" hidden="1" customHeight="1">
      <c r="A48" s="3811"/>
      <c r="B48" s="1744" t="s">
        <v>250</v>
      </c>
      <c r="C48" s="3826"/>
      <c r="D48" s="1745">
        <f>SUM(E48:L48)</f>
        <v>101173</v>
      </c>
      <c r="E48" s="1746">
        <v>0</v>
      </c>
      <c r="F48" s="1747">
        <v>0</v>
      </c>
      <c r="G48" s="1748">
        <v>51272</v>
      </c>
      <c r="H48" s="1748">
        <v>49901</v>
      </c>
      <c r="I48" s="1747">
        <v>0</v>
      </c>
      <c r="J48" s="1747">
        <v>0</v>
      </c>
      <c r="K48" s="1747">
        <v>0</v>
      </c>
      <c r="L48" s="1747">
        <v>0</v>
      </c>
      <c r="M48" s="796"/>
      <c r="N48" s="862">
        <f t="shared" ref="N48:N49" si="43">SUM(G48:L48)</f>
        <v>101173</v>
      </c>
      <c r="O48" s="3741"/>
      <c r="P48" s="3353"/>
    </row>
    <row r="49" spans="1:16" s="3364" customFormat="1" ht="13.5" hidden="1" customHeight="1">
      <c r="A49" s="3811"/>
      <c r="B49" s="1749" t="s">
        <v>265</v>
      </c>
      <c r="C49" s="3826"/>
      <c r="D49" s="1750">
        <f>SUM(E49:L49)</f>
        <v>97482</v>
      </c>
      <c r="E49" s="1751">
        <v>0</v>
      </c>
      <c r="F49" s="1752">
        <v>0</v>
      </c>
      <c r="G49" s="1753">
        <v>52169</v>
      </c>
      <c r="H49" s="1753">
        <v>45313</v>
      </c>
      <c r="I49" s="1752">
        <v>0</v>
      </c>
      <c r="J49" s="1752">
        <v>0</v>
      </c>
      <c r="K49" s="1752">
        <v>0</v>
      </c>
      <c r="L49" s="1752">
        <v>0</v>
      </c>
      <c r="M49" s="796"/>
      <c r="N49" s="862">
        <f t="shared" si="43"/>
        <v>97482</v>
      </c>
      <c r="O49" s="3741"/>
      <c r="P49" s="3353"/>
    </row>
    <row r="50" spans="1:16" ht="12.75" hidden="1" customHeight="1">
      <c r="A50" s="3811"/>
      <c r="B50" s="795" t="s">
        <v>13</v>
      </c>
      <c r="C50" s="3826"/>
      <c r="D50" s="797">
        <f>SUM(E50:G50)</f>
        <v>0</v>
      </c>
      <c r="E50" s="595">
        <v>0</v>
      </c>
      <c r="F50" s="595"/>
      <c r="G50" s="590"/>
      <c r="H50" s="590"/>
      <c r="I50" s="595"/>
      <c r="J50" s="595"/>
      <c r="K50" s="595"/>
      <c r="L50" s="595"/>
      <c r="M50" s="796">
        <f>SUM(E50:K50)</f>
        <v>0</v>
      </c>
      <c r="N50" s="1739">
        <f>SUM(F50:L50)</f>
        <v>0</v>
      </c>
      <c r="O50" s="3741"/>
      <c r="P50" s="3353"/>
    </row>
    <row r="51" spans="1:16" ht="12" customHeight="1">
      <c r="A51" s="3811"/>
      <c r="B51" s="794" t="s">
        <v>18</v>
      </c>
      <c r="C51" s="3826"/>
      <c r="D51" s="798">
        <f>+D52</f>
        <v>1125713</v>
      </c>
      <c r="E51" s="816">
        <f t="shared" ref="E51:L51" si="44">+E52</f>
        <v>0</v>
      </c>
      <c r="F51" s="816">
        <f t="shared" si="44"/>
        <v>0</v>
      </c>
      <c r="G51" s="798">
        <f t="shared" si="44"/>
        <v>586163</v>
      </c>
      <c r="H51" s="798">
        <f t="shared" si="44"/>
        <v>539550</v>
      </c>
      <c r="I51" s="816">
        <f t="shared" si="44"/>
        <v>0</v>
      </c>
      <c r="J51" s="816">
        <f t="shared" si="44"/>
        <v>0</v>
      </c>
      <c r="K51" s="816">
        <f t="shared" si="44"/>
        <v>0</v>
      </c>
      <c r="L51" s="816">
        <f t="shared" si="44"/>
        <v>0</v>
      </c>
      <c r="M51" s="864">
        <f>+M52</f>
        <v>1125713</v>
      </c>
      <c r="N51" s="864">
        <f>+N52</f>
        <v>1125713</v>
      </c>
      <c r="O51" s="3741"/>
      <c r="P51" s="3353"/>
    </row>
    <row r="52" spans="1:16" ht="12" customHeight="1" collapsed="1">
      <c r="A52" s="3811"/>
      <c r="B52" s="795" t="s">
        <v>20</v>
      </c>
      <c r="C52" s="3826"/>
      <c r="D52" s="236">
        <f>E52+F52+G52+H52+I52+J52+K52+L52</f>
        <v>1125713</v>
      </c>
      <c r="E52" s="595">
        <f t="shared" ref="E52:H52" si="45">+E53+E54</f>
        <v>0</v>
      </c>
      <c r="F52" s="595">
        <f t="shared" si="45"/>
        <v>0</v>
      </c>
      <c r="G52" s="590">
        <f t="shared" si="45"/>
        <v>586163</v>
      </c>
      <c r="H52" s="590">
        <f t="shared" si="45"/>
        <v>539550</v>
      </c>
      <c r="I52" s="595">
        <f t="shared" ref="I52:L52" si="46">+I53+I54</f>
        <v>0</v>
      </c>
      <c r="J52" s="595">
        <f t="shared" si="46"/>
        <v>0</v>
      </c>
      <c r="K52" s="595">
        <f t="shared" si="46"/>
        <v>0</v>
      </c>
      <c r="L52" s="595">
        <f t="shared" si="46"/>
        <v>0</v>
      </c>
      <c r="M52" s="862">
        <f>SUM(F52:K52)</f>
        <v>1125713</v>
      </c>
      <c r="N52" s="862">
        <f>SUM(G52:L52)</f>
        <v>1125713</v>
      </c>
      <c r="O52" s="3756"/>
      <c r="P52" s="3353"/>
    </row>
    <row r="53" spans="1:16" s="3364" customFormat="1" ht="13.5" hidden="1" customHeight="1">
      <c r="A53" s="3811"/>
      <c r="B53" s="1754" t="s">
        <v>250</v>
      </c>
      <c r="C53" s="822"/>
      <c r="D53" s="1755">
        <f>SUM(E53:L53)</f>
        <v>573315</v>
      </c>
      <c r="E53" s="1756">
        <v>0</v>
      </c>
      <c r="F53" s="1757">
        <v>0</v>
      </c>
      <c r="G53" s="1758">
        <v>290542</v>
      </c>
      <c r="H53" s="1758">
        <v>282773</v>
      </c>
      <c r="I53" s="1757">
        <v>0</v>
      </c>
      <c r="J53" s="1757">
        <v>0</v>
      </c>
      <c r="K53" s="1757">
        <v>0</v>
      </c>
      <c r="L53" s="1757">
        <v>0</v>
      </c>
      <c r="M53" s="796"/>
      <c r="N53" s="862">
        <f t="shared" ref="N53:N54" si="47">SUM(G53:L53)</f>
        <v>573315</v>
      </c>
      <c r="O53" s="1875"/>
      <c r="P53" s="3353"/>
    </row>
    <row r="54" spans="1:16" s="3364" customFormat="1" ht="12.75" hidden="1" customHeight="1">
      <c r="A54" s="3811"/>
      <c r="B54" s="1759" t="s">
        <v>265</v>
      </c>
      <c r="C54" s="1760"/>
      <c r="D54" s="1761">
        <f>SUM(E54:L54)</f>
        <v>552398</v>
      </c>
      <c r="E54" s="1762">
        <v>0</v>
      </c>
      <c r="F54" s="1763">
        <v>0</v>
      </c>
      <c r="G54" s="1764">
        <v>295621</v>
      </c>
      <c r="H54" s="1764">
        <v>256777</v>
      </c>
      <c r="I54" s="1763">
        <v>0</v>
      </c>
      <c r="J54" s="1763">
        <v>0</v>
      </c>
      <c r="K54" s="1763">
        <v>0</v>
      </c>
      <c r="L54" s="1763">
        <v>0</v>
      </c>
      <c r="M54" s="796"/>
      <c r="N54" s="862">
        <f t="shared" si="47"/>
        <v>552398</v>
      </c>
      <c r="O54" s="1875"/>
      <c r="P54" s="3353"/>
    </row>
    <row r="55" spans="1:16">
      <c r="A55" s="3813"/>
      <c r="B55" s="791" t="s">
        <v>21</v>
      </c>
      <c r="C55" s="792"/>
      <c r="D55" s="799">
        <f t="shared" ref="D55:H55" si="48">+D56+D58</f>
        <v>1125713</v>
      </c>
      <c r="E55" s="1765">
        <f t="shared" ref="E55" si="49">+E56+E58</f>
        <v>0</v>
      </c>
      <c r="F55" s="1765">
        <f t="shared" si="48"/>
        <v>0</v>
      </c>
      <c r="G55" s="799">
        <f t="shared" si="48"/>
        <v>586163</v>
      </c>
      <c r="H55" s="799">
        <f t="shared" si="48"/>
        <v>539550</v>
      </c>
      <c r="I55" s="1765">
        <f t="shared" ref="I55:L55" si="50">+I56+I58</f>
        <v>0</v>
      </c>
      <c r="J55" s="1765">
        <f t="shared" si="50"/>
        <v>0</v>
      </c>
      <c r="K55" s="1765">
        <f t="shared" si="50"/>
        <v>0</v>
      </c>
      <c r="L55" s="1765">
        <f t="shared" si="50"/>
        <v>0</v>
      </c>
      <c r="M55" s="3820" t="s">
        <v>53</v>
      </c>
      <c r="N55" s="3820" t="s">
        <v>53</v>
      </c>
      <c r="O55" s="3743" t="s">
        <v>265</v>
      </c>
      <c r="P55" s="3354">
        <f>G55-'[1]Tab. 6B Polit społ i rozwój prz'!$G$54</f>
        <v>0</v>
      </c>
    </row>
    <row r="56" spans="1:16" ht="13.5" hidden="1" customHeight="1">
      <c r="A56" s="3813"/>
      <c r="B56" s="794" t="s">
        <v>23</v>
      </c>
      <c r="C56" s="3827" t="s">
        <v>266</v>
      </c>
      <c r="D56" s="798">
        <f>+D57</f>
        <v>0</v>
      </c>
      <c r="E56" s="816">
        <f t="shared" ref="E56:L56" si="51">+E57</f>
        <v>0</v>
      </c>
      <c r="F56" s="816">
        <f t="shared" si="51"/>
        <v>0</v>
      </c>
      <c r="G56" s="798">
        <f t="shared" si="51"/>
        <v>0</v>
      </c>
      <c r="H56" s="798">
        <f t="shared" si="51"/>
        <v>0</v>
      </c>
      <c r="I56" s="816">
        <f t="shared" si="51"/>
        <v>0</v>
      </c>
      <c r="J56" s="816">
        <f t="shared" si="51"/>
        <v>0</v>
      </c>
      <c r="K56" s="816">
        <f t="shared" si="51"/>
        <v>0</v>
      </c>
      <c r="L56" s="816">
        <f t="shared" si="51"/>
        <v>0</v>
      </c>
      <c r="M56" s="3820"/>
      <c r="N56" s="3820"/>
      <c r="O56" s="3743"/>
      <c r="P56" s="3353"/>
    </row>
    <row r="57" spans="1:16" ht="13.5" hidden="1" customHeight="1">
      <c r="A57" s="3813"/>
      <c r="B57" s="795" t="s">
        <v>13</v>
      </c>
      <c r="C57" s="3828"/>
      <c r="D57" s="797">
        <f>SUM(E57:G57)</f>
        <v>0</v>
      </c>
      <c r="E57" s="1642"/>
      <c r="F57" s="1642"/>
      <c r="G57" s="797"/>
      <c r="H57" s="797"/>
      <c r="I57" s="1642"/>
      <c r="J57" s="1642"/>
      <c r="K57" s="1642"/>
      <c r="L57" s="1642"/>
      <c r="M57" s="3820"/>
      <c r="N57" s="3820"/>
      <c r="O57" s="3743"/>
      <c r="P57" s="3353"/>
    </row>
    <row r="58" spans="1:16" ht="12.75" customHeight="1">
      <c r="A58" s="3813"/>
      <c r="B58" s="794" t="s">
        <v>18</v>
      </c>
      <c r="C58" s="3828"/>
      <c r="D58" s="798">
        <f t="shared" ref="D58:L58" si="52">+D59</f>
        <v>1125713</v>
      </c>
      <c r="E58" s="816">
        <f t="shared" si="52"/>
        <v>0</v>
      </c>
      <c r="F58" s="816">
        <f t="shared" si="52"/>
        <v>0</v>
      </c>
      <c r="G58" s="798">
        <f t="shared" si="52"/>
        <v>586163</v>
      </c>
      <c r="H58" s="798">
        <f t="shared" si="52"/>
        <v>539550</v>
      </c>
      <c r="I58" s="816">
        <f t="shared" si="52"/>
        <v>0</v>
      </c>
      <c r="J58" s="816">
        <f t="shared" si="52"/>
        <v>0</v>
      </c>
      <c r="K58" s="816">
        <f t="shared" si="52"/>
        <v>0</v>
      </c>
      <c r="L58" s="816">
        <f t="shared" si="52"/>
        <v>0</v>
      </c>
      <c r="M58" s="3820"/>
      <c r="N58" s="3820"/>
      <c r="O58" s="3743"/>
      <c r="P58" s="3353"/>
    </row>
    <row r="59" spans="1:16" ht="11.25" customHeight="1" thickBot="1">
      <c r="A59" s="3764"/>
      <c r="B59" s="534" t="s">
        <v>20</v>
      </c>
      <c r="C59" s="3829"/>
      <c r="D59" s="778">
        <f>E59+F59+G59+H59+I59+J59+K59+L59</f>
        <v>1125713</v>
      </c>
      <c r="E59" s="517">
        <v>0</v>
      </c>
      <c r="F59" s="817">
        <v>0</v>
      </c>
      <c r="G59" s="415">
        <v>586163</v>
      </c>
      <c r="H59" s="415">
        <v>539550</v>
      </c>
      <c r="I59" s="817">
        <v>0</v>
      </c>
      <c r="J59" s="817">
        <v>0</v>
      </c>
      <c r="K59" s="817">
        <v>0</v>
      </c>
      <c r="L59" s="817">
        <v>0</v>
      </c>
      <c r="M59" s="3752"/>
      <c r="N59" s="3752"/>
      <c r="O59" s="3744"/>
      <c r="P59" s="3353"/>
    </row>
    <row r="60" spans="1:16" ht="0.6" customHeight="1">
      <c r="A60" s="3149"/>
      <c r="B60" s="821" t="s">
        <v>20</v>
      </c>
      <c r="C60" s="3150"/>
      <c r="D60" s="2762">
        <f>SUM(E60:G60)</f>
        <v>0</v>
      </c>
      <c r="E60" s="1392">
        <v>0</v>
      </c>
      <c r="F60" s="1392"/>
      <c r="G60" s="1392"/>
      <c r="H60" s="1392"/>
      <c r="I60" s="1392"/>
      <c r="J60" s="1392"/>
      <c r="K60" s="1392"/>
      <c r="L60" s="1392"/>
      <c r="M60" s="3151"/>
      <c r="N60" s="3151"/>
      <c r="O60" s="1893"/>
      <c r="P60" s="3353"/>
    </row>
    <row r="61" spans="1:16" ht="27" customHeight="1">
      <c r="A61" s="3791" t="s">
        <v>57</v>
      </c>
      <c r="B61" s="1926" t="s">
        <v>429</v>
      </c>
      <c r="C61" s="1927" t="s">
        <v>100</v>
      </c>
      <c r="D61" s="1081"/>
      <c r="E61" s="2752"/>
      <c r="F61" s="2752"/>
      <c r="G61" s="2752"/>
      <c r="H61" s="2752"/>
      <c r="I61" s="2752"/>
      <c r="J61" s="2752"/>
      <c r="K61" s="2752"/>
      <c r="L61" s="41"/>
      <c r="M61" s="1413"/>
      <c r="N61" s="1413"/>
      <c r="O61" s="3830" t="s">
        <v>383</v>
      </c>
      <c r="P61" s="3353"/>
    </row>
    <row r="62" spans="1:16" ht="12" customHeight="1">
      <c r="A62" s="3791"/>
      <c r="B62" s="1928" t="s">
        <v>10</v>
      </c>
      <c r="C62" s="1449"/>
      <c r="D62" s="1412">
        <f t="shared" ref="D62:L62" si="53">+D63+D66</f>
        <v>12441351</v>
      </c>
      <c r="E62" s="1412">
        <f t="shared" ref="E62" si="54">+E63+E66</f>
        <v>1741141</v>
      </c>
      <c r="F62" s="1412">
        <f t="shared" si="53"/>
        <v>1271441</v>
      </c>
      <c r="G62" s="1412">
        <f t="shared" si="53"/>
        <v>2030017</v>
      </c>
      <c r="H62" s="1412">
        <f t="shared" si="53"/>
        <v>1885382</v>
      </c>
      <c r="I62" s="1412">
        <f t="shared" si="53"/>
        <v>1885382</v>
      </c>
      <c r="J62" s="1412">
        <f t="shared" si="53"/>
        <v>1855719</v>
      </c>
      <c r="K62" s="1412">
        <f t="shared" si="53"/>
        <v>886134</v>
      </c>
      <c r="L62" s="1412">
        <f t="shared" si="53"/>
        <v>886135</v>
      </c>
      <c r="M62" s="1358">
        <f>+M63+M66</f>
        <v>9814075</v>
      </c>
      <c r="N62" s="1358">
        <f>+N63+N66</f>
        <v>9428769</v>
      </c>
      <c r="O62" s="3741"/>
      <c r="P62" s="3353"/>
    </row>
    <row r="63" spans="1:16" ht="12" customHeight="1">
      <c r="A63" s="3791"/>
      <c r="B63" s="1929" t="s">
        <v>23</v>
      </c>
      <c r="C63" s="3776" t="s">
        <v>111</v>
      </c>
      <c r="D63" s="1651">
        <f t="shared" ref="D63:L63" si="55">+D64+D65</f>
        <v>1955780</v>
      </c>
      <c r="E63" s="1651">
        <f t="shared" ref="E63" si="56">+E64+E65</f>
        <v>273708</v>
      </c>
      <c r="F63" s="1651">
        <f t="shared" si="55"/>
        <v>199870</v>
      </c>
      <c r="G63" s="1651">
        <f t="shared" si="55"/>
        <v>319119</v>
      </c>
      <c r="H63" s="1651">
        <f t="shared" si="55"/>
        <v>296382</v>
      </c>
      <c r="I63" s="1651">
        <f t="shared" si="55"/>
        <v>296382</v>
      </c>
      <c r="J63" s="1651">
        <f t="shared" si="55"/>
        <v>291719</v>
      </c>
      <c r="K63" s="1651">
        <f t="shared" si="55"/>
        <v>139300</v>
      </c>
      <c r="L63" s="1651">
        <f t="shared" si="55"/>
        <v>139300</v>
      </c>
      <c r="M63" s="1661">
        <f>+M64+M65</f>
        <v>1542772</v>
      </c>
      <c r="N63" s="1661">
        <f>+N64+N65</f>
        <v>1482202</v>
      </c>
      <c r="O63" s="3741"/>
      <c r="P63" s="3353"/>
    </row>
    <row r="64" spans="1:16" ht="12" customHeight="1">
      <c r="A64" s="3791"/>
      <c r="B64" s="1930" t="s">
        <v>12</v>
      </c>
      <c r="C64" s="3786"/>
      <c r="D64" s="1288">
        <f>E64+F64+G64+H64+I64+J64+K64+L64</f>
        <v>1955780</v>
      </c>
      <c r="E64" s="1334">
        <v>273708</v>
      </c>
      <c r="F64" s="1369">
        <f>219137+39195+186-30030-28618</f>
        <v>199870</v>
      </c>
      <c r="G64" s="1369">
        <f>219137+40716-186+30030+29422</f>
        <v>319119</v>
      </c>
      <c r="H64" s="1369">
        <f>354390-58008</f>
        <v>296382</v>
      </c>
      <c r="I64" s="1369">
        <f>354390-58008</f>
        <v>296382</v>
      </c>
      <c r="J64" s="1369">
        <v>291719</v>
      </c>
      <c r="K64" s="1369">
        <v>139300</v>
      </c>
      <c r="L64" s="1369">
        <v>139300</v>
      </c>
      <c r="M64" s="1671">
        <f>SUM(F64:K64)</f>
        <v>1542772</v>
      </c>
      <c r="N64" s="1671">
        <f>SUM(G64:L64)</f>
        <v>1482202</v>
      </c>
      <c r="O64" s="3741"/>
      <c r="P64" s="3353"/>
    </row>
    <row r="65" spans="1:16" ht="12" hidden="1" customHeight="1">
      <c r="A65" s="3791"/>
      <c r="B65" s="1930" t="s">
        <v>13</v>
      </c>
      <c r="C65" s="3786"/>
      <c r="D65" s="1377"/>
      <c r="E65" s="1369"/>
      <c r="F65" s="1369"/>
      <c r="G65" s="1369"/>
      <c r="H65" s="1369"/>
      <c r="I65" s="1369"/>
      <c r="J65" s="1369"/>
      <c r="K65" s="1369"/>
      <c r="L65" s="1369"/>
      <c r="M65" s="1671">
        <f>SUM(F65:K65)</f>
        <v>0</v>
      </c>
      <c r="N65" s="1671">
        <f>SUM(G65:L65)</f>
        <v>0</v>
      </c>
      <c r="O65" s="3741"/>
      <c r="P65" s="3353"/>
    </row>
    <row r="66" spans="1:16" ht="12" customHeight="1">
      <c r="A66" s="3791"/>
      <c r="B66" s="1931" t="s">
        <v>18</v>
      </c>
      <c r="C66" s="3786"/>
      <c r="D66" s="1366">
        <f>+D67</f>
        <v>10485571</v>
      </c>
      <c r="E66" s="1366">
        <f t="shared" ref="E66:L66" si="57">+E67</f>
        <v>1467433</v>
      </c>
      <c r="F66" s="1366">
        <f t="shared" si="57"/>
        <v>1071571</v>
      </c>
      <c r="G66" s="1366">
        <f t="shared" si="57"/>
        <v>1710898</v>
      </c>
      <c r="H66" s="1366">
        <f t="shared" si="57"/>
        <v>1589000</v>
      </c>
      <c r="I66" s="1366">
        <f t="shared" si="57"/>
        <v>1589000</v>
      </c>
      <c r="J66" s="1366">
        <f t="shared" si="57"/>
        <v>1564000</v>
      </c>
      <c r="K66" s="1366">
        <f t="shared" si="57"/>
        <v>746834</v>
      </c>
      <c r="L66" s="1366">
        <f t="shared" si="57"/>
        <v>746835</v>
      </c>
      <c r="M66" s="1446">
        <f>+M67</f>
        <v>8271303</v>
      </c>
      <c r="N66" s="1446">
        <f>+N67</f>
        <v>7946567</v>
      </c>
      <c r="O66" s="3741"/>
      <c r="P66" s="3353"/>
    </row>
    <row r="67" spans="1:16" ht="11.25" customHeight="1">
      <c r="A67" s="3791"/>
      <c r="B67" s="1930" t="s">
        <v>20</v>
      </c>
      <c r="C67" s="3786"/>
      <c r="D67" s="1288">
        <f>E67+F67+G67+H67+I67+J67+K67+L67</f>
        <v>10485571</v>
      </c>
      <c r="E67" s="1334">
        <v>1467433</v>
      </c>
      <c r="F67" s="1369">
        <f>1174863+210137+1000-161000-153429</f>
        <v>1071571</v>
      </c>
      <c r="G67" s="1369">
        <f>1174863+218294-1000+161000+157741</f>
        <v>1710898</v>
      </c>
      <c r="H67" s="1369">
        <f>1900000-311000</f>
        <v>1589000</v>
      </c>
      <c r="I67" s="1369">
        <f>1900000-311000</f>
        <v>1589000</v>
      </c>
      <c r="J67" s="1369">
        <v>1564000</v>
      </c>
      <c r="K67" s="1369">
        <v>746834</v>
      </c>
      <c r="L67" s="1369">
        <v>746835</v>
      </c>
      <c r="M67" s="1671">
        <f>SUM(F67:K67)</f>
        <v>8271303</v>
      </c>
      <c r="N67" s="1671">
        <f>SUM(G67:L67)</f>
        <v>7946567</v>
      </c>
      <c r="O67" s="3756"/>
      <c r="P67" s="3353"/>
    </row>
    <row r="68" spans="1:16">
      <c r="A68" s="3791"/>
      <c r="B68" s="1928" t="s">
        <v>21</v>
      </c>
      <c r="C68" s="1449"/>
      <c r="D68" s="1672">
        <f t="shared" ref="D68" si="58">+D69+D71</f>
        <v>10485571</v>
      </c>
      <c r="E68" s="1672">
        <f t="shared" ref="E68" si="59">+E69+E71</f>
        <v>1467433</v>
      </c>
      <c r="F68" s="1672">
        <f>+F69+F71</f>
        <v>1071571</v>
      </c>
      <c r="G68" s="1672">
        <f>+G69+G71</f>
        <v>1710898</v>
      </c>
      <c r="H68" s="1672">
        <f t="shared" ref="H68:L68" si="60">+H69+H71</f>
        <v>1589000</v>
      </c>
      <c r="I68" s="1672">
        <f t="shared" si="60"/>
        <v>1589000</v>
      </c>
      <c r="J68" s="1672">
        <f t="shared" si="60"/>
        <v>1564000</v>
      </c>
      <c r="K68" s="1672">
        <f t="shared" si="60"/>
        <v>746834</v>
      </c>
      <c r="L68" s="1672">
        <f t="shared" si="60"/>
        <v>746835</v>
      </c>
      <c r="M68" s="3751" t="s">
        <v>53</v>
      </c>
      <c r="N68" s="3751" t="s">
        <v>53</v>
      </c>
      <c r="O68" s="2225"/>
      <c r="P68" s="3365">
        <f>'[2]Tab. 6B Polit społ i rozwój prz'!$M$162+'[2]Tab. 6B Polit społ i rozwój prz'!$P$162-E68</f>
        <v>0</v>
      </c>
    </row>
    <row r="69" spans="1:16" ht="12" hidden="1" customHeight="1">
      <c r="A69" s="3791"/>
      <c r="B69" s="1929" t="s">
        <v>23</v>
      </c>
      <c r="C69" s="3787" t="s">
        <v>111</v>
      </c>
      <c r="D69" s="1366">
        <f t="shared" ref="D69:L69" si="61">+D70</f>
        <v>0</v>
      </c>
      <c r="E69" s="1366">
        <f t="shared" si="61"/>
        <v>0</v>
      </c>
      <c r="F69" s="1366">
        <f t="shared" si="61"/>
        <v>0</v>
      </c>
      <c r="G69" s="1366">
        <f t="shared" si="61"/>
        <v>0</v>
      </c>
      <c r="H69" s="1366">
        <f t="shared" si="61"/>
        <v>0</v>
      </c>
      <c r="I69" s="1366">
        <f t="shared" si="61"/>
        <v>0</v>
      </c>
      <c r="J69" s="1366">
        <f t="shared" si="61"/>
        <v>0</v>
      </c>
      <c r="K69" s="1366">
        <f t="shared" si="61"/>
        <v>0</v>
      </c>
      <c r="L69" s="1366">
        <f t="shared" si="61"/>
        <v>0</v>
      </c>
      <c r="M69" s="3751"/>
      <c r="N69" s="3751"/>
      <c r="O69" s="2225"/>
      <c r="P69" s="3353"/>
    </row>
    <row r="70" spans="1:16" ht="12" hidden="1" customHeight="1">
      <c r="A70" s="3791"/>
      <c r="B70" s="1930" t="s">
        <v>13</v>
      </c>
      <c r="C70" s="3786"/>
      <c r="D70" s="1377"/>
      <c r="E70" s="1377">
        <v>0</v>
      </c>
      <c r="F70" s="1377"/>
      <c r="G70" s="1377"/>
      <c r="H70" s="1377"/>
      <c r="I70" s="1377"/>
      <c r="J70" s="1377"/>
      <c r="K70" s="1377"/>
      <c r="L70" s="1377"/>
      <c r="M70" s="3751"/>
      <c r="N70" s="3751"/>
      <c r="O70" s="2225"/>
      <c r="P70" s="3353"/>
    </row>
    <row r="71" spans="1:16" ht="12" customHeight="1">
      <c r="A71" s="3791"/>
      <c r="B71" s="1931" t="s">
        <v>18</v>
      </c>
      <c r="C71" s="3788"/>
      <c r="D71" s="1366">
        <f t="shared" ref="D71:L71" si="62">+D72</f>
        <v>10485571</v>
      </c>
      <c r="E71" s="1366">
        <f t="shared" si="62"/>
        <v>1467433</v>
      </c>
      <c r="F71" s="1366">
        <f t="shared" si="62"/>
        <v>1071571</v>
      </c>
      <c r="G71" s="1366">
        <f t="shared" si="62"/>
        <v>1710898</v>
      </c>
      <c r="H71" s="1366">
        <f t="shared" si="62"/>
        <v>1589000</v>
      </c>
      <c r="I71" s="1366">
        <f t="shared" si="62"/>
        <v>1589000</v>
      </c>
      <c r="J71" s="1366">
        <f t="shared" si="62"/>
        <v>1564000</v>
      </c>
      <c r="K71" s="1366">
        <f t="shared" si="62"/>
        <v>746834</v>
      </c>
      <c r="L71" s="1366">
        <f t="shared" si="62"/>
        <v>746835</v>
      </c>
      <c r="M71" s="3751"/>
      <c r="N71" s="3751"/>
      <c r="O71" s="3153" t="s">
        <v>453</v>
      </c>
      <c r="P71" s="3354">
        <f>G68-'[1]Tab. 6B Polit społ i rozwój prz'!$G$67</f>
        <v>157741</v>
      </c>
    </row>
    <row r="72" spans="1:16" ht="12" customHeight="1" thickBot="1">
      <c r="A72" s="3768"/>
      <c r="B72" s="1932" t="s">
        <v>20</v>
      </c>
      <c r="C72" s="3789"/>
      <c r="D72" s="1455">
        <f>E72+F72+G72+H72+I72+J72+K72+L72</f>
        <v>10485571</v>
      </c>
      <c r="E72" s="1455">
        <v>1467433</v>
      </c>
      <c r="F72" s="1662">
        <f>1174863+210137+1000-161000-153429</f>
        <v>1071571</v>
      </c>
      <c r="G72" s="1662">
        <f>1174863+218294-1000+161000+157741</f>
        <v>1710898</v>
      </c>
      <c r="H72" s="1662">
        <f>1900000-311000</f>
        <v>1589000</v>
      </c>
      <c r="I72" s="1662">
        <f>1900000-311000</f>
        <v>1589000</v>
      </c>
      <c r="J72" s="1662">
        <v>1564000</v>
      </c>
      <c r="K72" s="1662">
        <v>746834</v>
      </c>
      <c r="L72" s="1662">
        <v>746835</v>
      </c>
      <c r="M72" s="3716"/>
      <c r="N72" s="3716"/>
      <c r="O72" s="2226"/>
      <c r="P72" s="3353"/>
    </row>
    <row r="73" spans="1:16" ht="25.5" customHeight="1">
      <c r="A73" s="3766" t="s">
        <v>58</v>
      </c>
      <c r="B73" s="3116" t="s">
        <v>449</v>
      </c>
      <c r="C73" s="1147" t="s">
        <v>73</v>
      </c>
      <c r="D73" s="1081"/>
      <c r="E73" s="2752"/>
      <c r="F73" s="2752"/>
      <c r="G73" s="2752"/>
      <c r="H73" s="2752"/>
      <c r="I73" s="2752"/>
      <c r="J73" s="2752"/>
      <c r="K73" s="2752"/>
      <c r="L73" s="41"/>
      <c r="M73" s="533"/>
      <c r="N73" s="533"/>
      <c r="O73" s="3740" t="s">
        <v>384</v>
      </c>
      <c r="P73" s="3353"/>
    </row>
    <row r="74" spans="1:16" ht="14.25" customHeight="1">
      <c r="A74" s="3767"/>
      <c r="B74" s="1928" t="s">
        <v>10</v>
      </c>
      <c r="C74" s="1449"/>
      <c r="D74" s="1412">
        <f t="shared" ref="D74:F74" si="63">+D75+D78</f>
        <v>31387</v>
      </c>
      <c r="E74" s="1412">
        <f t="shared" ref="E74" si="64">+E75+E78</f>
        <v>18705</v>
      </c>
      <c r="F74" s="1412">
        <f t="shared" si="63"/>
        <v>12682</v>
      </c>
      <c r="G74" s="1412"/>
      <c r="H74" s="1412"/>
      <c r="I74" s="1412"/>
      <c r="J74" s="1412"/>
      <c r="K74" s="1412"/>
      <c r="L74" s="1412"/>
      <c r="M74" s="1358">
        <f>+M75+M78</f>
        <v>12682</v>
      </c>
      <c r="N74" s="1358">
        <f>+N75+N78</f>
        <v>0</v>
      </c>
      <c r="O74" s="3741"/>
      <c r="P74" s="3353"/>
    </row>
    <row r="75" spans="1:16" ht="12" customHeight="1">
      <c r="A75" s="3767"/>
      <c r="B75" s="1929" t="s">
        <v>23</v>
      </c>
      <c r="C75" s="3776" t="s">
        <v>111</v>
      </c>
      <c r="D75" s="1651">
        <f t="shared" ref="D75:F75" si="65">+D76+D77</f>
        <v>4934</v>
      </c>
      <c r="E75" s="1651">
        <f t="shared" ref="E75" si="66">+E76+E77</f>
        <v>2940</v>
      </c>
      <c r="F75" s="1651">
        <f t="shared" si="65"/>
        <v>1994</v>
      </c>
      <c r="G75" s="1651"/>
      <c r="H75" s="1651"/>
      <c r="I75" s="1651"/>
      <c r="J75" s="1651"/>
      <c r="K75" s="1651"/>
      <c r="L75" s="1651"/>
      <c r="M75" s="1661">
        <f>+M76+M77</f>
        <v>1994</v>
      </c>
      <c r="N75" s="1661">
        <f>+N76+N77</f>
        <v>0</v>
      </c>
      <c r="O75" s="3741"/>
      <c r="P75" s="3353"/>
    </row>
    <row r="76" spans="1:16" ht="12" customHeight="1">
      <c r="A76" s="3767"/>
      <c r="B76" s="1930" t="s">
        <v>12</v>
      </c>
      <c r="C76" s="3786"/>
      <c r="D76" s="1288">
        <f>E76+F76+G76+H76+I76+J76+K76+L76</f>
        <v>4934</v>
      </c>
      <c r="E76" s="1334">
        <v>2940</v>
      </c>
      <c r="F76" s="1369">
        <f>2798-804</f>
        <v>1994</v>
      </c>
      <c r="G76" s="1369"/>
      <c r="H76" s="1369"/>
      <c r="I76" s="1369"/>
      <c r="J76" s="1369"/>
      <c r="K76" s="1369"/>
      <c r="L76" s="1369"/>
      <c r="M76" s="1671">
        <f>SUM(F76:K76)</f>
        <v>1994</v>
      </c>
      <c r="N76" s="1671">
        <f>SUM(G76:L76)</f>
        <v>0</v>
      </c>
      <c r="O76" s="3741"/>
      <c r="P76" s="3353"/>
    </row>
    <row r="77" spans="1:16" ht="12" hidden="1" customHeight="1">
      <c r="A77" s="3767"/>
      <c r="B77" s="1930" t="s">
        <v>13</v>
      </c>
      <c r="C77" s="3786"/>
      <c r="D77" s="1377"/>
      <c r="E77" s="1369"/>
      <c r="F77" s="1369"/>
      <c r="G77" s="1369"/>
      <c r="H77" s="1369"/>
      <c r="I77" s="1369"/>
      <c r="J77" s="1369"/>
      <c r="K77" s="1369"/>
      <c r="L77" s="1369"/>
      <c r="M77" s="1671">
        <f>SUM(F77:K77)</f>
        <v>0</v>
      </c>
      <c r="N77" s="1671">
        <f>SUM(G77:L77)</f>
        <v>0</v>
      </c>
      <c r="O77" s="3741"/>
      <c r="P77" s="3353"/>
    </row>
    <row r="78" spans="1:16" ht="12" customHeight="1">
      <c r="A78" s="3767"/>
      <c r="B78" s="1931" t="s">
        <v>18</v>
      </c>
      <c r="C78" s="3786"/>
      <c r="D78" s="1366">
        <f>+D79</f>
        <v>26453</v>
      </c>
      <c r="E78" s="1366">
        <f t="shared" ref="E78:F78" si="67">+E79</f>
        <v>15765</v>
      </c>
      <c r="F78" s="1366">
        <f t="shared" si="67"/>
        <v>10688</v>
      </c>
      <c r="G78" s="1366"/>
      <c r="H78" s="1366"/>
      <c r="I78" s="1366"/>
      <c r="J78" s="1366"/>
      <c r="K78" s="1366"/>
      <c r="L78" s="1366"/>
      <c r="M78" s="1446">
        <f>+M79</f>
        <v>10688</v>
      </c>
      <c r="N78" s="1446">
        <f>+N79</f>
        <v>0</v>
      </c>
      <c r="O78" s="3741"/>
      <c r="P78" s="3353"/>
    </row>
    <row r="79" spans="1:16" ht="12" customHeight="1">
      <c r="A79" s="3767"/>
      <c r="B79" s="1930" t="s">
        <v>20</v>
      </c>
      <c r="C79" s="3786"/>
      <c r="D79" s="1288">
        <f>E79+F79+G79+H79+I79+J79+K79+L79</f>
        <v>26453</v>
      </c>
      <c r="E79" s="1334">
        <v>15765</v>
      </c>
      <c r="F79" s="1369">
        <f>15000-4312</f>
        <v>10688</v>
      </c>
      <c r="G79" s="1369"/>
      <c r="H79" s="1369"/>
      <c r="I79" s="1369"/>
      <c r="J79" s="1369"/>
      <c r="K79" s="1369"/>
      <c r="L79" s="1369"/>
      <c r="M79" s="1671">
        <f>SUM(F79:K79)</f>
        <v>10688</v>
      </c>
      <c r="N79" s="1671">
        <f>SUM(G79:L79)</f>
        <v>0</v>
      </c>
      <c r="O79" s="3756"/>
      <c r="P79" s="3353"/>
    </row>
    <row r="80" spans="1:16">
      <c r="A80" s="3767"/>
      <c r="B80" s="1928" t="s">
        <v>21</v>
      </c>
      <c r="C80" s="1449"/>
      <c r="D80" s="1672">
        <f t="shared" ref="D80" si="68">+D81+D83</f>
        <v>26453</v>
      </c>
      <c r="E80" s="1672">
        <f t="shared" ref="E80" si="69">+E81+E83</f>
        <v>15765</v>
      </c>
      <c r="F80" s="1672">
        <f>+F81+F83</f>
        <v>10688</v>
      </c>
      <c r="G80" s="1672"/>
      <c r="H80" s="1672"/>
      <c r="I80" s="1672"/>
      <c r="J80" s="1672"/>
      <c r="K80" s="1672"/>
      <c r="L80" s="1672"/>
      <c r="M80" s="3751" t="s">
        <v>53</v>
      </c>
      <c r="N80" s="3751" t="s">
        <v>53</v>
      </c>
      <c r="O80" s="3834" t="s">
        <v>453</v>
      </c>
      <c r="P80" s="3353"/>
    </row>
    <row r="81" spans="1:19" ht="12" hidden="1" customHeight="1">
      <c r="A81" s="3767"/>
      <c r="B81" s="1929" t="s">
        <v>23</v>
      </c>
      <c r="C81" s="3787" t="s">
        <v>111</v>
      </c>
      <c r="D81" s="1366">
        <f t="shared" ref="D81:E81" si="70">+D82</f>
        <v>0</v>
      </c>
      <c r="E81" s="1366">
        <f t="shared" si="70"/>
        <v>0</v>
      </c>
      <c r="F81" s="1366"/>
      <c r="G81" s="1366"/>
      <c r="H81" s="1366"/>
      <c r="I81" s="1366"/>
      <c r="J81" s="1366"/>
      <c r="K81" s="1366"/>
      <c r="L81" s="1366"/>
      <c r="M81" s="3751"/>
      <c r="N81" s="3751"/>
      <c r="O81" s="3835"/>
      <c r="P81" s="3353"/>
    </row>
    <row r="82" spans="1:19" ht="12" hidden="1" customHeight="1">
      <c r="A82" s="3767"/>
      <c r="B82" s="1930" t="s">
        <v>13</v>
      </c>
      <c r="C82" s="3786"/>
      <c r="D82" s="1377"/>
      <c r="E82" s="1377">
        <v>0</v>
      </c>
      <c r="F82" s="1377"/>
      <c r="G82" s="1377"/>
      <c r="H82" s="1377"/>
      <c r="I82" s="1377"/>
      <c r="J82" s="1377"/>
      <c r="K82" s="1377"/>
      <c r="L82" s="1377"/>
      <c r="M82" s="3751"/>
      <c r="N82" s="3751"/>
      <c r="O82" s="3835"/>
      <c r="P82" s="3353"/>
    </row>
    <row r="83" spans="1:19" ht="12" customHeight="1">
      <c r="A83" s="3767"/>
      <c r="B83" s="1931" t="s">
        <v>18</v>
      </c>
      <c r="C83" s="3788"/>
      <c r="D83" s="1366">
        <f t="shared" ref="D83:F83" si="71">+D84</f>
        <v>26453</v>
      </c>
      <c r="E83" s="1366">
        <f t="shared" si="71"/>
        <v>15765</v>
      </c>
      <c r="F83" s="1366">
        <f t="shared" si="71"/>
        <v>10688</v>
      </c>
      <c r="G83" s="1366"/>
      <c r="H83" s="1366"/>
      <c r="I83" s="1366"/>
      <c r="J83" s="1366"/>
      <c r="K83" s="1366"/>
      <c r="L83" s="1366"/>
      <c r="M83" s="3751"/>
      <c r="N83" s="3782"/>
      <c r="O83" s="3835"/>
      <c r="P83" s="3353"/>
    </row>
    <row r="84" spans="1:19" ht="12" customHeight="1" thickBot="1">
      <c r="A84" s="3768"/>
      <c r="B84" s="1454" t="s">
        <v>20</v>
      </c>
      <c r="C84" s="3789"/>
      <c r="D84" s="1643">
        <f>E84+F84+G84+H84+I84+J84+K84+L84</f>
        <v>26453</v>
      </c>
      <c r="E84" s="1643">
        <v>15765</v>
      </c>
      <c r="F84" s="1662">
        <f>15000-4312</f>
        <v>10688</v>
      </c>
      <c r="G84" s="1662"/>
      <c r="H84" s="1662"/>
      <c r="I84" s="1662"/>
      <c r="J84" s="1662"/>
      <c r="K84" s="1662"/>
      <c r="L84" s="1662"/>
      <c r="M84" s="3716"/>
      <c r="N84" s="3783"/>
      <c r="O84" s="3836"/>
      <c r="P84" s="3353"/>
    </row>
    <row r="85" spans="1:19" ht="18" customHeight="1">
      <c r="A85" s="3766" t="s">
        <v>59</v>
      </c>
      <c r="B85" s="3116" t="s">
        <v>256</v>
      </c>
      <c r="C85" s="1147" t="s">
        <v>100</v>
      </c>
      <c r="D85" s="1081"/>
      <c r="E85" s="2752"/>
      <c r="F85" s="2752"/>
      <c r="G85" s="2752"/>
      <c r="H85" s="2752"/>
      <c r="I85" s="2752"/>
      <c r="J85" s="2752"/>
      <c r="K85" s="2752"/>
      <c r="L85" s="41"/>
      <c r="M85" s="533"/>
      <c r="N85" s="3469"/>
      <c r="O85" s="3740" t="s">
        <v>452</v>
      </c>
      <c r="P85" s="3353"/>
      <c r="S85" s="3366"/>
    </row>
    <row r="86" spans="1:19" ht="12" customHeight="1">
      <c r="A86" s="3767"/>
      <c r="B86" s="1928" t="s">
        <v>10</v>
      </c>
      <c r="C86" s="1449"/>
      <c r="D86" s="1412">
        <f>+D87+D90</f>
        <v>75113491</v>
      </c>
      <c r="E86" s="1412">
        <f t="shared" ref="E86" si="72">+E87+E90</f>
        <v>8674017</v>
      </c>
      <c r="F86" s="1412">
        <f t="shared" ref="F86:N86" si="73">+F87+F90</f>
        <v>9468946</v>
      </c>
      <c r="G86" s="1412">
        <f t="shared" si="73"/>
        <v>10487875</v>
      </c>
      <c r="H86" s="1412">
        <f t="shared" si="73"/>
        <v>10594275</v>
      </c>
      <c r="I86" s="1412">
        <f t="shared" si="73"/>
        <v>9701275</v>
      </c>
      <c r="J86" s="1412">
        <f t="shared" si="73"/>
        <v>9597275</v>
      </c>
      <c r="K86" s="1412">
        <f t="shared" si="73"/>
        <v>8877275</v>
      </c>
      <c r="L86" s="1412">
        <f t="shared" si="73"/>
        <v>7712553</v>
      </c>
      <c r="M86" s="1358">
        <f t="shared" ref="M86" si="74">+M87+M90</f>
        <v>66439474</v>
      </c>
      <c r="N86" s="2648">
        <f t="shared" si="73"/>
        <v>56970528</v>
      </c>
      <c r="O86" s="3741"/>
      <c r="P86" s="3354"/>
      <c r="Q86" s="3355"/>
      <c r="R86" s="3355"/>
      <c r="S86" s="3355"/>
    </row>
    <row r="87" spans="1:19" ht="14.25" customHeight="1">
      <c r="A87" s="3767"/>
      <c r="B87" s="1929" t="s">
        <v>23</v>
      </c>
      <c r="C87" s="3776" t="s">
        <v>111</v>
      </c>
      <c r="D87" s="1651">
        <f t="shared" ref="D87" si="75">+D88+D89</f>
        <v>11267023</v>
      </c>
      <c r="E87" s="1651">
        <f t="shared" ref="E87" si="76">+E88+E89</f>
        <v>1301102</v>
      </c>
      <c r="F87" s="1651">
        <f t="shared" ref="F87:N87" si="77">+F88+F89</f>
        <v>1420342</v>
      </c>
      <c r="G87" s="1651">
        <f t="shared" si="77"/>
        <v>1573180</v>
      </c>
      <c r="H87" s="1651">
        <f t="shared" si="77"/>
        <v>1589141</v>
      </c>
      <c r="I87" s="1651">
        <f t="shared" si="77"/>
        <v>1455191</v>
      </c>
      <c r="J87" s="1651">
        <f t="shared" si="77"/>
        <v>1439591</v>
      </c>
      <c r="K87" s="1651">
        <f t="shared" si="77"/>
        <v>1331592</v>
      </c>
      <c r="L87" s="1651">
        <f t="shared" si="77"/>
        <v>1156884</v>
      </c>
      <c r="M87" s="1661">
        <f t="shared" ref="M87" si="78">+M88+M89</f>
        <v>9965921</v>
      </c>
      <c r="N87" s="2662">
        <f t="shared" si="77"/>
        <v>8545579</v>
      </c>
      <c r="O87" s="3741"/>
      <c r="P87" s="3353"/>
    </row>
    <row r="88" spans="1:19" ht="13.5" customHeight="1" thickBot="1">
      <c r="A88" s="3767"/>
      <c r="B88" s="1930" t="s">
        <v>12</v>
      </c>
      <c r="C88" s="3786"/>
      <c r="D88" s="1288">
        <f>E88+F88+G88+H88+I88+J88+K88+L88</f>
        <v>11267023</v>
      </c>
      <c r="E88" s="1334">
        <v>1301102</v>
      </c>
      <c r="F88" s="1321">
        <f>1467941+1868-1500+27303+9532-84702-100</f>
        <v>1420342</v>
      </c>
      <c r="G88" s="1321">
        <f>1467941+12137+74749+18353</f>
        <v>1573180</v>
      </c>
      <c r="H88" s="1321">
        <f>1452191+69000+67950</f>
        <v>1589141</v>
      </c>
      <c r="I88" s="1321">
        <v>1455191</v>
      </c>
      <c r="J88" s="1321">
        <v>1439591</v>
      </c>
      <c r="K88" s="1321">
        <v>1331592</v>
      </c>
      <c r="L88" s="1321">
        <f>1299583-74749-67950</f>
        <v>1156884</v>
      </c>
      <c r="M88" s="1671">
        <f>SUM(F88:L88)</f>
        <v>9965921</v>
      </c>
      <c r="N88" s="2663">
        <f>SUM(G88:L88)</f>
        <v>8545579</v>
      </c>
      <c r="O88" s="3741"/>
      <c r="P88" s="3354">
        <f>+N88-D88</f>
        <v>-2721444</v>
      </c>
    </row>
    <row r="89" spans="1:19" ht="13.5" hidden="1" customHeight="1" thickBot="1">
      <c r="A89" s="3790"/>
      <c r="B89" s="1930" t="s">
        <v>13</v>
      </c>
      <c r="C89" s="3786"/>
      <c r="D89" s="1288">
        <f>E89+F89+G89+H89+I89+J89+K89+L89</f>
        <v>0</v>
      </c>
      <c r="E89" s="1369">
        <v>0</v>
      </c>
      <c r="F89" s="1369"/>
      <c r="G89" s="1369"/>
      <c r="H89" s="1369"/>
      <c r="I89" s="1369"/>
      <c r="J89" s="1369"/>
      <c r="K89" s="1369"/>
      <c r="L89" s="1369"/>
      <c r="M89" s="1671">
        <f>SUM(F89:K89)</f>
        <v>0</v>
      </c>
      <c r="N89" s="2663">
        <f>SUM(G89:L89)</f>
        <v>0</v>
      </c>
      <c r="O89" s="3831"/>
      <c r="P89" s="3353"/>
    </row>
    <row r="90" spans="1:19" ht="13.5" customHeight="1" thickBot="1">
      <c r="A90" s="3774"/>
      <c r="B90" s="1931" t="s">
        <v>18</v>
      </c>
      <c r="C90" s="3786"/>
      <c r="D90" s="1366">
        <f>+D91</f>
        <v>63846468</v>
      </c>
      <c r="E90" s="1366">
        <f t="shared" ref="E90:N90" si="79">+E91</f>
        <v>7372915</v>
      </c>
      <c r="F90" s="1366">
        <f t="shared" si="79"/>
        <v>8048604</v>
      </c>
      <c r="G90" s="1366">
        <f t="shared" si="79"/>
        <v>8914695</v>
      </c>
      <c r="H90" s="1366">
        <f t="shared" si="79"/>
        <v>9005134</v>
      </c>
      <c r="I90" s="1366">
        <f t="shared" si="79"/>
        <v>8246084</v>
      </c>
      <c r="J90" s="1366">
        <f t="shared" si="79"/>
        <v>8157684</v>
      </c>
      <c r="K90" s="1366">
        <f t="shared" si="79"/>
        <v>7545683</v>
      </c>
      <c r="L90" s="1366">
        <f t="shared" si="79"/>
        <v>6555669</v>
      </c>
      <c r="M90" s="1446">
        <f t="shared" si="79"/>
        <v>56473553</v>
      </c>
      <c r="N90" s="2664">
        <f t="shared" si="79"/>
        <v>48424949</v>
      </c>
      <c r="O90" s="3832"/>
      <c r="P90" s="3354">
        <f>+N90-D90</f>
        <v>-15421519</v>
      </c>
    </row>
    <row r="91" spans="1:19" ht="13.5" customHeight="1">
      <c r="A91" s="3774"/>
      <c r="B91" s="1930" t="s">
        <v>20</v>
      </c>
      <c r="C91" s="3786"/>
      <c r="D91" s="1288">
        <f>E91+F91+G91+H91+I91+J91+K91+L91</f>
        <v>63846468</v>
      </c>
      <c r="E91" s="1334">
        <v>7372915</v>
      </c>
      <c r="F91" s="2092">
        <f>8318334+10585-8500+154719+54018-479988-564</f>
        <v>8048604</v>
      </c>
      <c r="G91" s="1950">
        <f>8318334+68767+423581+104013</f>
        <v>8914695</v>
      </c>
      <c r="H91" s="1950">
        <f>8229084+391000+385050</f>
        <v>9005134</v>
      </c>
      <c r="I91" s="1950">
        <v>8246084</v>
      </c>
      <c r="J91" s="1950">
        <v>8157684</v>
      </c>
      <c r="K91" s="1950">
        <v>7545683</v>
      </c>
      <c r="L91" s="1950">
        <f>7364300-423581-385050</f>
        <v>6555669</v>
      </c>
      <c r="M91" s="1671">
        <f>SUM(F91:L91)</f>
        <v>56473553</v>
      </c>
      <c r="N91" s="2663">
        <f>SUM(G91:L91)</f>
        <v>48424949</v>
      </c>
      <c r="O91" s="3833"/>
      <c r="P91" s="3353"/>
    </row>
    <row r="92" spans="1:19" s="3359" customFormat="1" ht="13.5" customHeight="1" thickBot="1">
      <c r="A92" s="3774"/>
      <c r="B92" s="1928" t="s">
        <v>21</v>
      </c>
      <c r="C92" s="1449"/>
      <c r="D92" s="1418">
        <f t="shared" ref="D92" si="80">+D93+D95</f>
        <v>63846468</v>
      </c>
      <c r="E92" s="1418">
        <f t="shared" ref="E92" si="81">+E93+E95</f>
        <v>7372915</v>
      </c>
      <c r="F92" s="1418">
        <f>+F93+F95</f>
        <v>8048604</v>
      </c>
      <c r="G92" s="1418">
        <f t="shared" ref="G92:L92" si="82">+G93+G95</f>
        <v>8914695</v>
      </c>
      <c r="H92" s="1418">
        <f t="shared" si="82"/>
        <v>9005134</v>
      </c>
      <c r="I92" s="1418">
        <f t="shared" si="82"/>
        <v>8246084</v>
      </c>
      <c r="J92" s="1418">
        <f t="shared" si="82"/>
        <v>8157684</v>
      </c>
      <c r="K92" s="1418">
        <f t="shared" si="82"/>
        <v>7545683</v>
      </c>
      <c r="L92" s="1418">
        <f t="shared" si="82"/>
        <v>6555669</v>
      </c>
      <c r="M92" s="3751" t="s">
        <v>53</v>
      </c>
      <c r="N92" s="3782" t="s">
        <v>53</v>
      </c>
      <c r="O92" s="3834" t="s">
        <v>272</v>
      </c>
      <c r="P92" s="3361">
        <f>G92-'[1]Tab. 6B Polit społ i rozwój prz'!$G$91</f>
        <v>104013</v>
      </c>
    </row>
    <row r="93" spans="1:19" ht="11.25" hidden="1" customHeight="1" thickBot="1">
      <c r="A93" s="3773"/>
      <c r="B93" s="1929" t="s">
        <v>23</v>
      </c>
      <c r="C93" s="3769" t="s">
        <v>203</v>
      </c>
      <c r="D93" s="1366">
        <f t="shared" ref="D93:L93" si="83">+D94</f>
        <v>0</v>
      </c>
      <c r="E93" s="1366">
        <f t="shared" si="83"/>
        <v>0</v>
      </c>
      <c r="F93" s="1366">
        <f t="shared" si="83"/>
        <v>0</v>
      </c>
      <c r="G93" s="1366">
        <f t="shared" si="83"/>
        <v>0</v>
      </c>
      <c r="H93" s="1366">
        <f t="shared" si="83"/>
        <v>0</v>
      </c>
      <c r="I93" s="1366">
        <f t="shared" si="83"/>
        <v>0</v>
      </c>
      <c r="J93" s="1366">
        <f t="shared" si="83"/>
        <v>0</v>
      </c>
      <c r="K93" s="1366">
        <f t="shared" si="83"/>
        <v>0</v>
      </c>
      <c r="L93" s="1366">
        <f t="shared" si="83"/>
        <v>0</v>
      </c>
      <c r="M93" s="3751"/>
      <c r="N93" s="3782"/>
      <c r="O93" s="3835"/>
      <c r="P93" s="3367"/>
    </row>
    <row r="94" spans="1:19" ht="11.25" hidden="1" customHeight="1" thickBot="1">
      <c r="A94" s="3771"/>
      <c r="B94" s="1930" t="s">
        <v>13</v>
      </c>
      <c r="C94" s="3769"/>
      <c r="D94" s="1288">
        <f>E94+F94+G94+H94+I94+J94+K94+L94</f>
        <v>0</v>
      </c>
      <c r="E94" s="1377"/>
      <c r="F94" s="1377"/>
      <c r="G94" s="1377"/>
      <c r="H94" s="1377"/>
      <c r="I94" s="1377"/>
      <c r="J94" s="1377"/>
      <c r="K94" s="1377"/>
      <c r="L94" s="1377"/>
      <c r="M94" s="3751"/>
      <c r="N94" s="3782"/>
      <c r="O94" s="3835"/>
      <c r="P94" s="3367"/>
    </row>
    <row r="95" spans="1:19" ht="13.5" customHeight="1" thickBot="1">
      <c r="A95" s="3771"/>
      <c r="B95" s="1931" t="s">
        <v>18</v>
      </c>
      <c r="C95" s="3769"/>
      <c r="D95" s="1366">
        <f t="shared" ref="D95:L95" si="84">+D96</f>
        <v>63846468</v>
      </c>
      <c r="E95" s="1366">
        <f t="shared" si="84"/>
        <v>7372915</v>
      </c>
      <c r="F95" s="1366">
        <f t="shared" si="84"/>
        <v>8048604</v>
      </c>
      <c r="G95" s="1366">
        <f t="shared" si="84"/>
        <v>8914695</v>
      </c>
      <c r="H95" s="1366">
        <f t="shared" si="84"/>
        <v>9005134</v>
      </c>
      <c r="I95" s="1366">
        <f t="shared" si="84"/>
        <v>8246084</v>
      </c>
      <c r="J95" s="1366">
        <f t="shared" si="84"/>
        <v>8157684</v>
      </c>
      <c r="K95" s="1366">
        <f t="shared" si="84"/>
        <v>7545683</v>
      </c>
      <c r="L95" s="1366">
        <f t="shared" si="84"/>
        <v>6555669</v>
      </c>
      <c r="M95" s="3751"/>
      <c r="N95" s="3782"/>
      <c r="O95" s="3835"/>
      <c r="P95" s="3367"/>
    </row>
    <row r="96" spans="1:19" ht="15" customHeight="1" thickBot="1">
      <c r="A96" s="3771"/>
      <c r="B96" s="2093" t="s">
        <v>20</v>
      </c>
      <c r="C96" s="3770"/>
      <c r="D96" s="1643">
        <f>E96+F96+G96+H96+I96+J96+K96+L96</f>
        <v>63846468</v>
      </c>
      <c r="E96" s="1643">
        <v>7372915</v>
      </c>
      <c r="F96" s="1605">
        <f>8318334+10585-8500+154719+54018-479988-564</f>
        <v>8048604</v>
      </c>
      <c r="G96" s="1605">
        <f>8318334+68767+423581+104013</f>
        <v>8914695</v>
      </c>
      <c r="H96" s="1605">
        <f>8229084+391000+385050</f>
        <v>9005134</v>
      </c>
      <c r="I96" s="1605">
        <v>8246084</v>
      </c>
      <c r="J96" s="1605">
        <v>8157684</v>
      </c>
      <c r="K96" s="1605">
        <v>7545683</v>
      </c>
      <c r="L96" s="1605">
        <f>7364300-423581-385050</f>
        <v>6555669</v>
      </c>
      <c r="M96" s="3716"/>
      <c r="N96" s="3783"/>
      <c r="O96" s="3836"/>
      <c r="P96" s="3367"/>
    </row>
    <row r="97" spans="1:16" ht="24" customHeight="1" thickBot="1">
      <c r="A97" s="3771" t="s">
        <v>106</v>
      </c>
      <c r="B97" s="1933" t="s">
        <v>289</v>
      </c>
      <c r="C97" s="1934" t="s">
        <v>73</v>
      </c>
      <c r="D97" s="1081"/>
      <c r="E97" s="2752"/>
      <c r="F97" s="2752"/>
      <c r="G97" s="2752"/>
      <c r="H97" s="2752"/>
      <c r="I97" s="2752"/>
      <c r="J97" s="2752"/>
      <c r="K97" s="2752"/>
      <c r="L97" s="41"/>
      <c r="M97" s="1935"/>
      <c r="N97" s="2517"/>
      <c r="O97" s="3831" t="s">
        <v>452</v>
      </c>
      <c r="P97" s="3367"/>
    </row>
    <row r="98" spans="1:16">
      <c r="A98" s="3772"/>
      <c r="B98" s="1928" t="s">
        <v>10</v>
      </c>
      <c r="C98" s="1449"/>
      <c r="D98" s="1412">
        <f t="shared" ref="D98:N98" si="85">+D99+D102</f>
        <v>65574</v>
      </c>
      <c r="E98" s="1412">
        <f t="shared" ref="E98" si="86">+E99+E102</f>
        <v>7250</v>
      </c>
      <c r="F98" s="1412">
        <f t="shared" si="85"/>
        <v>58324</v>
      </c>
      <c r="G98" s="1412">
        <f t="shared" si="85"/>
        <v>0</v>
      </c>
      <c r="H98" s="1412">
        <f t="shared" si="85"/>
        <v>0</v>
      </c>
      <c r="I98" s="1412">
        <f t="shared" si="85"/>
        <v>0</v>
      </c>
      <c r="J98" s="1412">
        <f t="shared" si="85"/>
        <v>0</v>
      </c>
      <c r="K98" s="1412">
        <f t="shared" si="85"/>
        <v>0</v>
      </c>
      <c r="L98" s="1412">
        <f t="shared" si="85"/>
        <v>0</v>
      </c>
      <c r="M98" s="2648">
        <f t="shared" ref="M98" si="87">+M99+M102</f>
        <v>58324</v>
      </c>
      <c r="N98" s="2700">
        <f t="shared" si="85"/>
        <v>0</v>
      </c>
      <c r="O98" s="3740"/>
      <c r="P98" s="3367"/>
    </row>
    <row r="99" spans="1:16" ht="13.5" thickBot="1">
      <c r="A99" s="3773"/>
      <c r="B99" s="1929" t="s">
        <v>23</v>
      </c>
      <c r="C99" s="3776" t="s">
        <v>111</v>
      </c>
      <c r="D99" s="1651">
        <f t="shared" ref="D99:N99" si="88">+D100+D101</f>
        <v>9836</v>
      </c>
      <c r="E99" s="1651">
        <f t="shared" ref="E99" si="89">+E100+E101</f>
        <v>1087</v>
      </c>
      <c r="F99" s="1651">
        <f t="shared" si="88"/>
        <v>8749</v>
      </c>
      <c r="G99" s="1651">
        <f t="shared" si="88"/>
        <v>0</v>
      </c>
      <c r="H99" s="1651">
        <f t="shared" si="88"/>
        <v>0</v>
      </c>
      <c r="I99" s="1651">
        <f t="shared" si="88"/>
        <v>0</v>
      </c>
      <c r="J99" s="1651">
        <f t="shared" si="88"/>
        <v>0</v>
      </c>
      <c r="K99" s="1651">
        <f t="shared" si="88"/>
        <v>0</v>
      </c>
      <c r="L99" s="1651">
        <f t="shared" si="88"/>
        <v>0</v>
      </c>
      <c r="M99" s="1661">
        <f t="shared" ref="M99" si="90">+M100+M101</f>
        <v>8749</v>
      </c>
      <c r="N99" s="2701">
        <f t="shared" si="88"/>
        <v>0</v>
      </c>
      <c r="O99" s="3831"/>
      <c r="P99" s="3367"/>
    </row>
    <row r="100" spans="1:16" ht="13.5" thickBot="1">
      <c r="A100" s="3771"/>
      <c r="B100" s="1930" t="s">
        <v>12</v>
      </c>
      <c r="C100" s="3777"/>
      <c r="D100" s="1334">
        <f>E100+F100+G100+H100+I100+J100+K100+L100</f>
        <v>9836</v>
      </c>
      <c r="E100" s="1334">
        <v>1087</v>
      </c>
      <c r="F100" s="1321">
        <f>1500+9900-2651</f>
        <v>8749</v>
      </c>
      <c r="G100" s="1321"/>
      <c r="H100" s="1321"/>
      <c r="I100" s="1321"/>
      <c r="J100" s="1321"/>
      <c r="K100" s="1321"/>
      <c r="L100" s="1321"/>
      <c r="M100" s="1671">
        <f>SUM(F100:K100)</f>
        <v>8749</v>
      </c>
      <c r="N100" s="2702">
        <f>SUM(G100:L100)</f>
        <v>0</v>
      </c>
      <c r="O100" s="3833"/>
      <c r="P100" s="3367"/>
    </row>
    <row r="101" spans="1:16" ht="12.75" hidden="1" customHeight="1">
      <c r="A101" s="3771"/>
      <c r="B101" s="2607" t="s">
        <v>13</v>
      </c>
      <c r="C101" s="3778"/>
      <c r="D101" s="2404">
        <f>E101+F101+G101+H101+I101+J101+K101+L101</f>
        <v>0</v>
      </c>
      <c r="E101" s="54">
        <v>0</v>
      </c>
      <c r="F101" s="54"/>
      <c r="G101" s="54"/>
      <c r="H101" s="54"/>
      <c r="I101" s="54"/>
      <c r="J101" s="54"/>
      <c r="K101" s="54"/>
      <c r="L101" s="54"/>
      <c r="M101" s="2617">
        <f>SUM(F101:K101)</f>
        <v>0</v>
      </c>
      <c r="N101" s="2617">
        <f>SUM(G101:L101)</f>
        <v>0</v>
      </c>
      <c r="O101" s="3831"/>
      <c r="P101" s="3353"/>
    </row>
    <row r="102" spans="1:16">
      <c r="A102" s="3774"/>
      <c r="B102" s="1931" t="s">
        <v>18</v>
      </c>
      <c r="C102" s="3779"/>
      <c r="D102" s="1366">
        <f>+D103</f>
        <v>55738</v>
      </c>
      <c r="E102" s="1366">
        <f t="shared" ref="E102:N102" si="91">+E103</f>
        <v>6163</v>
      </c>
      <c r="F102" s="1366">
        <f t="shared" si="91"/>
        <v>49575</v>
      </c>
      <c r="G102" s="1366">
        <f t="shared" si="91"/>
        <v>0</v>
      </c>
      <c r="H102" s="1366">
        <f t="shared" si="91"/>
        <v>0</v>
      </c>
      <c r="I102" s="1366">
        <f t="shared" si="91"/>
        <v>0</v>
      </c>
      <c r="J102" s="1366">
        <f t="shared" si="91"/>
        <v>0</v>
      </c>
      <c r="K102" s="1366">
        <f t="shared" si="91"/>
        <v>0</v>
      </c>
      <c r="L102" s="1366">
        <f t="shared" si="91"/>
        <v>0</v>
      </c>
      <c r="M102" s="2551">
        <f t="shared" si="91"/>
        <v>49575</v>
      </c>
      <c r="N102" s="1446">
        <f t="shared" si="91"/>
        <v>0</v>
      </c>
      <c r="O102" s="3741"/>
      <c r="P102" s="3353"/>
    </row>
    <row r="103" spans="1:16">
      <c r="A103" s="3775"/>
      <c r="B103" s="1930" t="s">
        <v>20</v>
      </c>
      <c r="C103" s="3780"/>
      <c r="D103" s="1339">
        <f>E103+F103+G103+H103+I103+J103+K103+L103</f>
        <v>55738</v>
      </c>
      <c r="E103" s="1339">
        <v>6163</v>
      </c>
      <c r="F103" s="2092">
        <f>8500+56100-15025</f>
        <v>49575</v>
      </c>
      <c r="G103" s="1950"/>
      <c r="H103" s="1950"/>
      <c r="I103" s="1950"/>
      <c r="J103" s="1950"/>
      <c r="K103" s="1950"/>
      <c r="L103" s="1950"/>
      <c r="M103" s="2581">
        <f>SUM(F103:K103)</f>
        <v>49575</v>
      </c>
      <c r="N103" s="1671">
        <f>SUM(G103:L103)</f>
        <v>0</v>
      </c>
      <c r="O103" s="3756"/>
      <c r="P103" s="3353"/>
    </row>
    <row r="104" spans="1:16" ht="13.5" thickBot="1">
      <c r="A104" s="3775"/>
      <c r="B104" s="2582" t="s">
        <v>21</v>
      </c>
      <c r="C104" s="1449"/>
      <c r="D104" s="1418">
        <f t="shared" ref="D104" si="92">+D105+D107</f>
        <v>55738</v>
      </c>
      <c r="E104" s="1418">
        <f t="shared" ref="E104" si="93">+E105+E107</f>
        <v>6163</v>
      </c>
      <c r="F104" s="1418">
        <f>+F105+F107</f>
        <v>49575</v>
      </c>
      <c r="G104" s="1418">
        <f t="shared" ref="G104:L104" si="94">+G105+G107</f>
        <v>0</v>
      </c>
      <c r="H104" s="1418">
        <f t="shared" si="94"/>
        <v>0</v>
      </c>
      <c r="I104" s="1418">
        <f t="shared" si="94"/>
        <v>0</v>
      </c>
      <c r="J104" s="1418">
        <f t="shared" si="94"/>
        <v>0</v>
      </c>
      <c r="K104" s="1418">
        <f t="shared" si="94"/>
        <v>0</v>
      </c>
      <c r="L104" s="1418">
        <f t="shared" si="94"/>
        <v>0</v>
      </c>
      <c r="M104" s="3757" t="s">
        <v>53</v>
      </c>
      <c r="N104" s="3757" t="s">
        <v>53</v>
      </c>
      <c r="O104" s="3834" t="s">
        <v>272</v>
      </c>
      <c r="P104" s="3353"/>
    </row>
    <row r="105" spans="1:16" ht="12.75" hidden="1" customHeight="1">
      <c r="A105" s="3775"/>
      <c r="B105" s="2643" t="s">
        <v>23</v>
      </c>
      <c r="C105" s="3784" t="s">
        <v>203</v>
      </c>
      <c r="D105" s="2564">
        <f t="shared" ref="D105:L105" si="95">+D106</f>
        <v>0</v>
      </c>
      <c r="E105" s="2564">
        <f t="shared" si="95"/>
        <v>0</v>
      </c>
      <c r="F105" s="2564">
        <f t="shared" si="95"/>
        <v>0</v>
      </c>
      <c r="G105" s="2564">
        <f t="shared" si="95"/>
        <v>0</v>
      </c>
      <c r="H105" s="2564">
        <f t="shared" si="95"/>
        <v>0</v>
      </c>
      <c r="I105" s="2564">
        <f t="shared" si="95"/>
        <v>0</v>
      </c>
      <c r="J105" s="2564">
        <f t="shared" si="95"/>
        <v>0</v>
      </c>
      <c r="K105" s="2564">
        <f t="shared" si="95"/>
        <v>0</v>
      </c>
      <c r="L105" s="2564">
        <f t="shared" si="95"/>
        <v>0</v>
      </c>
      <c r="M105" s="3757"/>
      <c r="N105" s="3757"/>
      <c r="O105" s="3835"/>
      <c r="P105" s="3353"/>
    </row>
    <row r="106" spans="1:16" ht="12.75" hidden="1" customHeight="1">
      <c r="A106" s="3773"/>
      <c r="B106" s="2630" t="s">
        <v>13</v>
      </c>
      <c r="C106" s="3785"/>
      <c r="D106" s="837">
        <f>E106+F106+G106+H106+I106+J106+K106+L106</f>
        <v>0</v>
      </c>
      <c r="E106" s="2631"/>
      <c r="F106" s="2631"/>
      <c r="G106" s="2631"/>
      <c r="H106" s="2631"/>
      <c r="I106" s="2631"/>
      <c r="J106" s="2631"/>
      <c r="K106" s="2631"/>
      <c r="L106" s="2631"/>
      <c r="M106" s="3758"/>
      <c r="N106" s="3781"/>
      <c r="O106" s="3835"/>
      <c r="P106" s="3353"/>
    </row>
    <row r="107" spans="1:16" ht="13.5" thickBot="1">
      <c r="A107" s="3771"/>
      <c r="B107" s="1931" t="s">
        <v>18</v>
      </c>
      <c r="C107" s="3769"/>
      <c r="D107" s="1366">
        <f t="shared" ref="D107:L107" si="96">+D108</f>
        <v>55738</v>
      </c>
      <c r="E107" s="1366">
        <f t="shared" si="96"/>
        <v>6163</v>
      </c>
      <c r="F107" s="1366">
        <f t="shared" si="96"/>
        <v>49575</v>
      </c>
      <c r="G107" s="1366">
        <f t="shared" si="96"/>
        <v>0</v>
      </c>
      <c r="H107" s="1366">
        <f t="shared" si="96"/>
        <v>0</v>
      </c>
      <c r="I107" s="1366">
        <f t="shared" si="96"/>
        <v>0</v>
      </c>
      <c r="J107" s="1366">
        <f t="shared" si="96"/>
        <v>0</v>
      </c>
      <c r="K107" s="1366">
        <f t="shared" si="96"/>
        <v>0</v>
      </c>
      <c r="L107" s="1366">
        <f t="shared" si="96"/>
        <v>0</v>
      </c>
      <c r="M107" s="3751"/>
      <c r="N107" s="3782"/>
      <c r="O107" s="3835"/>
      <c r="P107" s="3353"/>
    </row>
    <row r="108" spans="1:16" ht="13.5" thickBot="1">
      <c r="A108" s="3771"/>
      <c r="B108" s="2093" t="s">
        <v>20</v>
      </c>
      <c r="C108" s="3770"/>
      <c r="D108" s="1643">
        <f>E108+F108+G108+H108+I108+J108+K108+L108</f>
        <v>55738</v>
      </c>
      <c r="E108" s="2031">
        <v>6163</v>
      </c>
      <c r="F108" s="1605">
        <f>8500+56100-15025</f>
        <v>49575</v>
      </c>
      <c r="G108" s="1605"/>
      <c r="H108" s="1605"/>
      <c r="I108" s="1605"/>
      <c r="J108" s="1605"/>
      <c r="K108" s="1605"/>
      <c r="L108" s="1605"/>
      <c r="M108" s="3716"/>
      <c r="N108" s="3783"/>
      <c r="O108" s="3836"/>
      <c r="P108" s="3353"/>
    </row>
    <row r="109" spans="1:16" s="2887" customFormat="1" ht="24.75" thickBot="1">
      <c r="A109" s="3771" t="s">
        <v>79</v>
      </c>
      <c r="B109" s="1933" t="s">
        <v>460</v>
      </c>
      <c r="C109" s="1934" t="s">
        <v>100</v>
      </c>
      <c r="D109" s="1081"/>
      <c r="E109" s="1081"/>
      <c r="F109" s="1081"/>
      <c r="G109" s="1081"/>
      <c r="H109" s="1081"/>
      <c r="I109" s="1081"/>
      <c r="J109" s="1081"/>
      <c r="K109" s="1081"/>
      <c r="L109" s="1081"/>
      <c r="M109" s="1081"/>
      <c r="N109" s="1081"/>
      <c r="O109" s="3832" t="s">
        <v>452</v>
      </c>
      <c r="P109" s="3367"/>
    </row>
    <row r="110" spans="1:16" s="2887" customFormat="1" ht="13.5" thickBot="1">
      <c r="A110" s="3771"/>
      <c r="B110" s="791" t="s">
        <v>10</v>
      </c>
      <c r="C110" s="792"/>
      <c r="D110" s="571">
        <f t="shared" ref="D110:N110" si="97">+D111+D115</f>
        <v>13992000</v>
      </c>
      <c r="E110" s="571">
        <f t="shared" si="97"/>
        <v>0</v>
      </c>
      <c r="F110" s="571">
        <f t="shared" si="97"/>
        <v>0</v>
      </c>
      <c r="G110" s="571">
        <f t="shared" si="97"/>
        <v>1530586</v>
      </c>
      <c r="H110" s="571">
        <f t="shared" si="97"/>
        <v>6811005</v>
      </c>
      <c r="I110" s="571">
        <f t="shared" si="97"/>
        <v>5650409</v>
      </c>
      <c r="J110" s="571">
        <f t="shared" si="97"/>
        <v>0</v>
      </c>
      <c r="K110" s="571">
        <f t="shared" si="97"/>
        <v>0</v>
      </c>
      <c r="L110" s="571">
        <f t="shared" si="97"/>
        <v>0</v>
      </c>
      <c r="M110" s="793">
        <f t="shared" si="97"/>
        <v>13356000</v>
      </c>
      <c r="N110" s="2648">
        <f t="shared" si="97"/>
        <v>13356000</v>
      </c>
      <c r="O110" s="3832"/>
      <c r="P110" s="3367" t="s">
        <v>496</v>
      </c>
    </row>
    <row r="111" spans="1:16" s="2887" customFormat="1" ht="12.75" customHeight="1" thickBot="1">
      <c r="A111" s="3771"/>
      <c r="B111" s="794" t="s">
        <v>23</v>
      </c>
      <c r="C111" s="3814" t="s">
        <v>424</v>
      </c>
      <c r="D111" s="601">
        <f>+D112+D113+D114</f>
        <v>2098800</v>
      </c>
      <c r="E111" s="601">
        <f t="shared" ref="E111:L111" si="98">+E112+E113+E114</f>
        <v>0</v>
      </c>
      <c r="F111" s="601">
        <f t="shared" si="98"/>
        <v>0</v>
      </c>
      <c r="G111" s="601">
        <f t="shared" si="98"/>
        <v>278006</v>
      </c>
      <c r="H111" s="601">
        <f t="shared" si="98"/>
        <v>995455</v>
      </c>
      <c r="I111" s="601">
        <f t="shared" si="98"/>
        <v>825339</v>
      </c>
      <c r="J111" s="601">
        <f t="shared" si="98"/>
        <v>0</v>
      </c>
      <c r="K111" s="601">
        <f t="shared" si="98"/>
        <v>0</v>
      </c>
      <c r="L111" s="601">
        <f t="shared" si="98"/>
        <v>0</v>
      </c>
      <c r="M111" s="599">
        <f t="shared" ref="M111:N111" si="99">+M112+M113</f>
        <v>1462800</v>
      </c>
      <c r="N111" s="2662">
        <f t="shared" si="99"/>
        <v>1462800</v>
      </c>
      <c r="O111" s="3832"/>
      <c r="P111" s="3367"/>
    </row>
    <row r="112" spans="1:16" s="2887" customFormat="1" ht="13.5" thickBot="1">
      <c r="A112" s="3771"/>
      <c r="B112" s="795" t="s">
        <v>12</v>
      </c>
      <c r="C112" s="3815"/>
      <c r="D112" s="236">
        <f>E112+F112+G112+H112+I112+J112+K112+L112</f>
        <v>63600</v>
      </c>
      <c r="E112" s="266"/>
      <c r="F112" s="546"/>
      <c r="G112" s="546">
        <v>63600</v>
      </c>
      <c r="H112" s="546">
        <v>0</v>
      </c>
      <c r="I112" s="546">
        <v>0</v>
      </c>
      <c r="J112" s="546"/>
      <c r="K112" s="546"/>
      <c r="L112" s="546"/>
      <c r="M112" s="862">
        <f>SUM(F112:K112)</f>
        <v>63600</v>
      </c>
      <c r="N112" s="2663">
        <f>SUM(G112:L112)</f>
        <v>63600</v>
      </c>
      <c r="O112" s="3832"/>
      <c r="P112" s="3367"/>
    </row>
    <row r="113" spans="1:16" s="2887" customFormat="1" ht="13.5" thickBot="1">
      <c r="A113" s="3771"/>
      <c r="B113" s="795" t="s">
        <v>13</v>
      </c>
      <c r="C113" s="3815"/>
      <c r="D113" s="236">
        <f>E113+F113+G113+H113+I113+J113+K113+L113</f>
        <v>1399200</v>
      </c>
      <c r="E113" s="590">
        <v>0</v>
      </c>
      <c r="F113" s="590"/>
      <c r="G113" s="590">
        <v>147420</v>
      </c>
      <c r="H113" s="590">
        <v>684450</v>
      </c>
      <c r="I113" s="590">
        <v>567330</v>
      </c>
      <c r="J113" s="590"/>
      <c r="K113" s="590"/>
      <c r="L113" s="590"/>
      <c r="M113" s="862">
        <f>SUM(F113:K113)</f>
        <v>1399200</v>
      </c>
      <c r="N113" s="2663">
        <f>SUM(G113:L113)</f>
        <v>1399200</v>
      </c>
      <c r="O113" s="3832"/>
      <c r="P113" s="3367"/>
    </row>
    <row r="114" spans="1:16" s="2887" customFormat="1">
      <c r="A114" s="3766"/>
      <c r="B114" s="1930" t="s">
        <v>461</v>
      </c>
      <c r="C114" s="3786"/>
      <c r="D114" s="236">
        <f>E114+F114+G114+H114+I114+J114+K114+L114</f>
        <v>636000</v>
      </c>
      <c r="E114" s="1369"/>
      <c r="F114" s="1369"/>
      <c r="G114" s="1369">
        <v>66986</v>
      </c>
      <c r="H114" s="1369">
        <v>311005</v>
      </c>
      <c r="I114" s="1369">
        <v>258009</v>
      </c>
      <c r="J114" s="1369"/>
      <c r="K114" s="1369"/>
      <c r="L114" s="1369"/>
      <c r="M114" s="1671"/>
      <c r="N114" s="3115">
        <v>0</v>
      </c>
      <c r="O114" s="3740"/>
      <c r="P114" s="3367"/>
    </row>
    <row r="115" spans="1:16" s="2887" customFormat="1">
      <c r="A115" s="3791"/>
      <c r="B115" s="1931" t="s">
        <v>18</v>
      </c>
      <c r="C115" s="3786"/>
      <c r="D115" s="1366">
        <f>+D116</f>
        <v>11893200</v>
      </c>
      <c r="E115" s="1366">
        <f t="shared" ref="E115:N115" si="100">+E116</f>
        <v>0</v>
      </c>
      <c r="F115" s="1366">
        <f t="shared" si="100"/>
        <v>0</v>
      </c>
      <c r="G115" s="1366">
        <f t="shared" si="100"/>
        <v>1252580</v>
      </c>
      <c r="H115" s="1366">
        <f t="shared" si="100"/>
        <v>5815550</v>
      </c>
      <c r="I115" s="1366">
        <f t="shared" si="100"/>
        <v>4825070</v>
      </c>
      <c r="J115" s="1366">
        <f t="shared" si="100"/>
        <v>0</v>
      </c>
      <c r="K115" s="1366">
        <f t="shared" si="100"/>
        <v>0</v>
      </c>
      <c r="L115" s="1366">
        <f t="shared" si="100"/>
        <v>0</v>
      </c>
      <c r="M115" s="1446">
        <f t="shared" si="100"/>
        <v>11893200</v>
      </c>
      <c r="N115" s="2664">
        <f t="shared" si="100"/>
        <v>11893200</v>
      </c>
      <c r="O115" s="3741"/>
      <c r="P115" s="3367"/>
    </row>
    <row r="116" spans="1:16" s="2887" customFormat="1">
      <c r="A116" s="3791"/>
      <c r="B116" s="1930" t="s">
        <v>20</v>
      </c>
      <c r="C116" s="3786"/>
      <c r="D116" s="785">
        <f>E116+F116+G116+H116+I116+J116+K116+L116</f>
        <v>11893200</v>
      </c>
      <c r="E116" s="1334"/>
      <c r="F116" s="2092"/>
      <c r="G116" s="1950">
        <v>1252580</v>
      </c>
      <c r="H116" s="1950">
        <v>5815550</v>
      </c>
      <c r="I116" s="1950">
        <v>4825070</v>
      </c>
      <c r="J116" s="1950"/>
      <c r="K116" s="1950"/>
      <c r="L116" s="1950"/>
      <c r="M116" s="1671">
        <f>SUM(F116:K116)</f>
        <v>11893200</v>
      </c>
      <c r="N116" s="2663">
        <f>SUM(G116:L116)</f>
        <v>11893200</v>
      </c>
      <c r="O116" s="3756"/>
      <c r="P116" s="3367"/>
    </row>
    <row r="117" spans="1:16" s="2887" customFormat="1">
      <c r="A117" s="3791"/>
      <c r="B117" s="1928" t="s">
        <v>21</v>
      </c>
      <c r="C117" s="1449"/>
      <c r="D117" s="1418">
        <f t="shared" ref="D117:E117" si="101">+D118+D120</f>
        <v>13292400</v>
      </c>
      <c r="E117" s="1418">
        <f t="shared" si="101"/>
        <v>0</v>
      </c>
      <c r="F117" s="1418">
        <f>+F118+F120</f>
        <v>0</v>
      </c>
      <c r="G117" s="1418">
        <f t="shared" ref="G117:L117" si="102">+G118+G120</f>
        <v>1400000</v>
      </c>
      <c r="H117" s="1418">
        <f t="shared" si="102"/>
        <v>6500000</v>
      </c>
      <c r="I117" s="1418">
        <f t="shared" si="102"/>
        <v>5392400</v>
      </c>
      <c r="J117" s="1418">
        <f t="shared" si="102"/>
        <v>0</v>
      </c>
      <c r="K117" s="1418">
        <f t="shared" si="102"/>
        <v>0</v>
      </c>
      <c r="L117" s="1418">
        <f t="shared" si="102"/>
        <v>0</v>
      </c>
      <c r="M117" s="3751" t="s">
        <v>53</v>
      </c>
      <c r="N117" s="3751" t="s">
        <v>53</v>
      </c>
      <c r="O117" s="2225"/>
      <c r="P117" s="3367"/>
    </row>
    <row r="118" spans="1:16" s="2887" customFormat="1">
      <c r="A118" s="3791"/>
      <c r="B118" s="1929" t="s">
        <v>23</v>
      </c>
      <c r="C118" s="3769" t="s">
        <v>203</v>
      </c>
      <c r="D118" s="1366">
        <f t="shared" ref="D118:L118" si="103">+D119</f>
        <v>1399200</v>
      </c>
      <c r="E118" s="1366">
        <f t="shared" si="103"/>
        <v>0</v>
      </c>
      <c r="F118" s="1366">
        <f t="shared" si="103"/>
        <v>0</v>
      </c>
      <c r="G118" s="1366">
        <f t="shared" si="103"/>
        <v>147420</v>
      </c>
      <c r="H118" s="1366">
        <f t="shared" si="103"/>
        <v>684450</v>
      </c>
      <c r="I118" s="1366">
        <f t="shared" si="103"/>
        <v>567330</v>
      </c>
      <c r="J118" s="1366">
        <f t="shared" si="103"/>
        <v>0</v>
      </c>
      <c r="K118" s="1366">
        <f t="shared" si="103"/>
        <v>0</v>
      </c>
      <c r="L118" s="1366">
        <f t="shared" si="103"/>
        <v>0</v>
      </c>
      <c r="M118" s="3751"/>
      <c r="N118" s="3751"/>
      <c r="O118" s="2225"/>
      <c r="P118" s="3367"/>
    </row>
    <row r="119" spans="1:16" s="2887" customFormat="1">
      <c r="A119" s="3791"/>
      <c r="B119" s="1930" t="s">
        <v>13</v>
      </c>
      <c r="C119" s="3769"/>
      <c r="D119" s="785">
        <f>E119+F119+G119+H119+I119+J119+K119+L119</f>
        <v>1399200</v>
      </c>
      <c r="E119" s="1377"/>
      <c r="F119" s="1377"/>
      <c r="G119" s="1377">
        <v>147420</v>
      </c>
      <c r="H119" s="1377">
        <v>684450</v>
      </c>
      <c r="I119" s="1377">
        <v>567330</v>
      </c>
      <c r="J119" s="1377"/>
      <c r="K119" s="1377"/>
      <c r="L119" s="1377"/>
      <c r="M119" s="3751"/>
      <c r="N119" s="3751"/>
      <c r="O119" s="2225"/>
      <c r="P119" s="3367"/>
    </row>
    <row r="120" spans="1:16" s="2887" customFormat="1">
      <c r="A120" s="3791"/>
      <c r="B120" s="1931" t="s">
        <v>18</v>
      </c>
      <c r="C120" s="3769"/>
      <c r="D120" s="1366">
        <f t="shared" ref="D120:L120" si="104">+D121</f>
        <v>11893200</v>
      </c>
      <c r="E120" s="1366">
        <f t="shared" si="104"/>
        <v>0</v>
      </c>
      <c r="F120" s="1366">
        <f t="shared" si="104"/>
        <v>0</v>
      </c>
      <c r="G120" s="1366">
        <f t="shared" si="104"/>
        <v>1252580</v>
      </c>
      <c r="H120" s="1366">
        <f t="shared" si="104"/>
        <v>5815550</v>
      </c>
      <c r="I120" s="1366">
        <f t="shared" si="104"/>
        <v>4825070</v>
      </c>
      <c r="J120" s="1366">
        <f t="shared" si="104"/>
        <v>0</v>
      </c>
      <c r="K120" s="1366">
        <f t="shared" si="104"/>
        <v>0</v>
      </c>
      <c r="L120" s="1366">
        <f t="shared" si="104"/>
        <v>0</v>
      </c>
      <c r="M120" s="3751"/>
      <c r="N120" s="3751"/>
      <c r="O120" s="3153" t="s">
        <v>272</v>
      </c>
      <c r="P120" s="3367"/>
    </row>
    <row r="121" spans="1:16" s="2887" customFormat="1" ht="12.75" customHeight="1" thickBot="1">
      <c r="A121" s="3768"/>
      <c r="B121" s="2093" t="s">
        <v>20</v>
      </c>
      <c r="C121" s="3770"/>
      <c r="D121" s="785">
        <f>E121+F121+G121+H121+I121+J121+K121+L121</f>
        <v>11893200</v>
      </c>
      <c r="E121" s="1334"/>
      <c r="F121" s="1605"/>
      <c r="G121" s="1605">
        <v>1252580</v>
      </c>
      <c r="H121" s="1605">
        <v>5815550</v>
      </c>
      <c r="I121" s="1605">
        <v>4825070</v>
      </c>
      <c r="J121" s="1605"/>
      <c r="K121" s="1605"/>
      <c r="L121" s="1605"/>
      <c r="M121" s="3716"/>
      <c r="N121" s="3716"/>
      <c r="O121" s="2226"/>
      <c r="P121" s="3367"/>
    </row>
    <row r="122" spans="1:16" ht="36" customHeight="1">
      <c r="A122" s="3759" t="s">
        <v>80</v>
      </c>
      <c r="B122" s="1146" t="s">
        <v>326</v>
      </c>
      <c r="C122" s="1147" t="s">
        <v>100</v>
      </c>
      <c r="D122" s="1081"/>
      <c r="E122" s="2752"/>
      <c r="F122" s="2752"/>
      <c r="G122" s="2752"/>
      <c r="H122" s="2752"/>
      <c r="I122" s="2752"/>
      <c r="J122" s="2752"/>
      <c r="K122" s="2752"/>
      <c r="L122" s="41"/>
      <c r="M122" s="533"/>
      <c r="N122" s="533"/>
      <c r="O122" s="3740" t="s">
        <v>270</v>
      </c>
    </row>
    <row r="123" spans="1:16">
      <c r="A123" s="3761"/>
      <c r="B123" s="1928" t="s">
        <v>10</v>
      </c>
      <c r="C123" s="1148"/>
      <c r="D123" s="1940">
        <f t="shared" ref="D123:N123" si="105">+D124+D128</f>
        <v>1698344</v>
      </c>
      <c r="E123" s="1412">
        <f t="shared" ref="E123" si="106">+E124+E128</f>
        <v>0</v>
      </c>
      <c r="F123" s="1412">
        <f t="shared" si="105"/>
        <v>667359</v>
      </c>
      <c r="G123" s="1412">
        <f t="shared" si="105"/>
        <v>1030985</v>
      </c>
      <c r="H123" s="1412">
        <f t="shared" si="105"/>
        <v>0</v>
      </c>
      <c r="I123" s="1412">
        <f t="shared" si="105"/>
        <v>0</v>
      </c>
      <c r="J123" s="1412">
        <f t="shared" si="105"/>
        <v>0</v>
      </c>
      <c r="K123" s="1412">
        <f t="shared" si="105"/>
        <v>0</v>
      </c>
      <c r="L123" s="1412">
        <f t="shared" si="105"/>
        <v>0</v>
      </c>
      <c r="M123" s="1358">
        <f t="shared" ref="M123" si="107">+M124+M128</f>
        <v>1698344</v>
      </c>
      <c r="N123" s="1358">
        <f t="shared" si="105"/>
        <v>1030985</v>
      </c>
      <c r="O123" s="3741"/>
    </row>
    <row r="124" spans="1:16">
      <c r="A124" s="3761"/>
      <c r="B124" s="1929" t="s">
        <v>23</v>
      </c>
      <c r="C124" s="3799" t="s">
        <v>267</v>
      </c>
      <c r="D124" s="1651">
        <f>+D125</f>
        <v>254752</v>
      </c>
      <c r="E124" s="1651">
        <f t="shared" ref="E124" si="108">+E125</f>
        <v>0</v>
      </c>
      <c r="F124" s="1651">
        <f t="shared" ref="F124:N124" si="109">+F125</f>
        <v>100104</v>
      </c>
      <c r="G124" s="1651">
        <f t="shared" si="109"/>
        <v>154648</v>
      </c>
      <c r="H124" s="1651">
        <f t="shared" si="109"/>
        <v>0</v>
      </c>
      <c r="I124" s="1651">
        <f t="shared" si="109"/>
        <v>0</v>
      </c>
      <c r="J124" s="1651">
        <f t="shared" si="109"/>
        <v>0</v>
      </c>
      <c r="K124" s="1651">
        <f t="shared" si="109"/>
        <v>0</v>
      </c>
      <c r="L124" s="1651">
        <f t="shared" si="109"/>
        <v>0</v>
      </c>
      <c r="M124" s="2094">
        <f t="shared" si="109"/>
        <v>254752</v>
      </c>
      <c r="N124" s="2094">
        <f t="shared" si="109"/>
        <v>154648</v>
      </c>
      <c r="O124" s="3741"/>
    </row>
    <row r="125" spans="1:16">
      <c r="A125" s="3761"/>
      <c r="B125" s="1930" t="s">
        <v>12</v>
      </c>
      <c r="C125" s="3749"/>
      <c r="D125" s="785">
        <f>E125+F125+G125+H125+I125+J125+K125+L125</f>
        <v>254752</v>
      </c>
      <c r="E125" s="1334">
        <v>0</v>
      </c>
      <c r="F125" s="1702">
        <f t="shared" ref="F125:L125" si="110">+F126+F127</f>
        <v>100104</v>
      </c>
      <c r="G125" s="1702">
        <f t="shared" si="110"/>
        <v>154648</v>
      </c>
      <c r="H125" s="1369">
        <f t="shared" si="110"/>
        <v>0</v>
      </c>
      <c r="I125" s="1369">
        <f t="shared" si="110"/>
        <v>0</v>
      </c>
      <c r="J125" s="1369">
        <f t="shared" si="110"/>
        <v>0</v>
      </c>
      <c r="K125" s="1369">
        <f t="shared" si="110"/>
        <v>0</v>
      </c>
      <c r="L125" s="1369">
        <f t="shared" si="110"/>
        <v>0</v>
      </c>
      <c r="M125" s="1671">
        <f>SUM(F125:K125)</f>
        <v>254752</v>
      </c>
      <c r="N125" s="1671">
        <f>SUM(G125:L125)</f>
        <v>154648</v>
      </c>
      <c r="O125" s="3741"/>
    </row>
    <row r="126" spans="1:16" ht="12.75" hidden="1" customHeight="1">
      <c r="A126" s="3761"/>
      <c r="B126" s="2095" t="s">
        <v>250</v>
      </c>
      <c r="C126" s="3749"/>
      <c r="D126" s="2096">
        <f>SUM(E126:L126)</f>
        <v>66119</v>
      </c>
      <c r="E126" s="2097">
        <v>0</v>
      </c>
      <c r="F126" s="2098">
        <f>31970-5265</f>
        <v>26705</v>
      </c>
      <c r="G126" s="2098">
        <f>34149+5265</f>
        <v>39414</v>
      </c>
      <c r="H126" s="2097"/>
      <c r="I126" s="2097"/>
      <c r="J126" s="2097"/>
      <c r="K126" s="2097"/>
      <c r="L126" s="2097"/>
      <c r="M126" s="2099"/>
      <c r="N126" s="2099"/>
      <c r="O126" s="3741"/>
    </row>
    <row r="127" spans="1:16" ht="12.75" hidden="1" customHeight="1">
      <c r="A127" s="3761"/>
      <c r="B127" s="2100" t="s">
        <v>265</v>
      </c>
      <c r="C127" s="3749"/>
      <c r="D127" s="2101">
        <f>SUM(E127:L127)</f>
        <v>188633</v>
      </c>
      <c r="E127" s="2102">
        <v>0</v>
      </c>
      <c r="F127" s="2103">
        <f>86239-12840</f>
        <v>73399</v>
      </c>
      <c r="G127" s="2103">
        <f>102394+12840</f>
        <v>115234</v>
      </c>
      <c r="H127" s="2102"/>
      <c r="I127" s="2102"/>
      <c r="J127" s="2102"/>
      <c r="K127" s="2102"/>
      <c r="L127" s="2102"/>
      <c r="M127" s="2099"/>
      <c r="N127" s="2099"/>
      <c r="O127" s="3741"/>
    </row>
    <row r="128" spans="1:16">
      <c r="A128" s="3761"/>
      <c r="B128" s="1929" t="s">
        <v>18</v>
      </c>
      <c r="C128" s="3749"/>
      <c r="D128" s="1366">
        <f>+D129</f>
        <v>1443592</v>
      </c>
      <c r="E128" s="1366">
        <f t="shared" ref="E128:L128" si="111">+E129</f>
        <v>0</v>
      </c>
      <c r="F128" s="1366">
        <f t="shared" si="111"/>
        <v>567255</v>
      </c>
      <c r="G128" s="1366">
        <f t="shared" si="111"/>
        <v>876337</v>
      </c>
      <c r="H128" s="1366">
        <f t="shared" si="111"/>
        <v>0</v>
      </c>
      <c r="I128" s="1366">
        <f t="shared" si="111"/>
        <v>0</v>
      </c>
      <c r="J128" s="1366">
        <f t="shared" si="111"/>
        <v>0</v>
      </c>
      <c r="K128" s="1366">
        <f t="shared" si="111"/>
        <v>0</v>
      </c>
      <c r="L128" s="1366">
        <f t="shared" si="111"/>
        <v>0</v>
      </c>
      <c r="M128" s="1673">
        <f>+M129</f>
        <v>1443592</v>
      </c>
      <c r="N128" s="1673">
        <f>+N129</f>
        <v>876337</v>
      </c>
      <c r="O128" s="3741"/>
    </row>
    <row r="129" spans="1:16">
      <c r="A129" s="3761"/>
      <c r="B129" s="1930" t="s">
        <v>20</v>
      </c>
      <c r="C129" s="3749"/>
      <c r="D129" s="785">
        <f>E129+F129+G129+H129+I129+J129+K129+L129</f>
        <v>1443592</v>
      </c>
      <c r="E129" s="1334">
        <v>0</v>
      </c>
      <c r="F129" s="1369">
        <f t="shared" ref="F129:L129" si="112">+F130+F131</f>
        <v>567255</v>
      </c>
      <c r="G129" s="1369">
        <f t="shared" si="112"/>
        <v>876337</v>
      </c>
      <c r="H129" s="1369">
        <f t="shared" si="112"/>
        <v>0</v>
      </c>
      <c r="I129" s="1369">
        <f t="shared" si="112"/>
        <v>0</v>
      </c>
      <c r="J129" s="1369">
        <f t="shared" si="112"/>
        <v>0</v>
      </c>
      <c r="K129" s="1369">
        <f t="shared" si="112"/>
        <v>0</v>
      </c>
      <c r="L129" s="1369">
        <f t="shared" si="112"/>
        <v>0</v>
      </c>
      <c r="M129" s="1671">
        <f>SUM(F129:K129)</f>
        <v>1443592</v>
      </c>
      <c r="N129" s="1671">
        <f>SUM(G129:L129)</f>
        <v>876337</v>
      </c>
      <c r="O129" s="3756"/>
    </row>
    <row r="130" spans="1:16" ht="12.75" hidden="1" customHeight="1">
      <c r="A130" s="3761"/>
      <c r="B130" s="2095" t="s">
        <v>250</v>
      </c>
      <c r="C130" s="3148"/>
      <c r="D130" s="2096">
        <f>SUM(E130:L130)</f>
        <v>374677</v>
      </c>
      <c r="E130" s="2097">
        <v>0</v>
      </c>
      <c r="F130" s="2097">
        <f>181163-29833</f>
        <v>151330</v>
      </c>
      <c r="G130" s="2097">
        <f>193514+29833</f>
        <v>223347</v>
      </c>
      <c r="H130" s="2097"/>
      <c r="I130" s="2097"/>
      <c r="J130" s="2097"/>
      <c r="K130" s="2097"/>
      <c r="L130" s="2097"/>
      <c r="M130" s="2099"/>
      <c r="N130" s="2099"/>
      <c r="O130" s="1875"/>
    </row>
    <row r="131" spans="1:16" ht="12.75" hidden="1" customHeight="1">
      <c r="A131" s="3761"/>
      <c r="B131" s="2100" t="s">
        <v>265</v>
      </c>
      <c r="C131" s="2104"/>
      <c r="D131" s="2101">
        <f>SUM(E131:L131)</f>
        <v>1068915</v>
      </c>
      <c r="E131" s="2102">
        <v>0</v>
      </c>
      <c r="F131" s="2102">
        <f>488685-72760</f>
        <v>415925</v>
      </c>
      <c r="G131" s="2102">
        <f>580230+72760</f>
        <v>652990</v>
      </c>
      <c r="H131" s="2102"/>
      <c r="I131" s="2102"/>
      <c r="J131" s="2102"/>
      <c r="K131" s="2102"/>
      <c r="L131" s="2102"/>
      <c r="M131" s="2099"/>
      <c r="N131" s="2099"/>
      <c r="O131" s="1875"/>
    </row>
    <row r="132" spans="1:16">
      <c r="A132" s="3763"/>
      <c r="B132" s="1928" t="s">
        <v>21</v>
      </c>
      <c r="C132" s="1449"/>
      <c r="D132" s="1672">
        <f>D133</f>
        <v>1443592</v>
      </c>
      <c r="E132" s="1672">
        <f>+E133</f>
        <v>0</v>
      </c>
      <c r="F132" s="1672">
        <f>+F133</f>
        <v>669848</v>
      </c>
      <c r="G132" s="1672">
        <f>+G133</f>
        <v>773744</v>
      </c>
      <c r="H132" s="1672">
        <f>+H133</f>
        <v>0</v>
      </c>
      <c r="I132" s="1672">
        <f>I133</f>
        <v>0</v>
      </c>
      <c r="J132" s="1672">
        <f>+J133</f>
        <v>0</v>
      </c>
      <c r="K132" s="1672">
        <f>+K133</f>
        <v>0</v>
      </c>
      <c r="L132" s="1672">
        <f>L133</f>
        <v>0</v>
      </c>
      <c r="M132" s="3751" t="s">
        <v>53</v>
      </c>
      <c r="N132" s="3751" t="s">
        <v>53</v>
      </c>
      <c r="O132" s="3743" t="s">
        <v>265</v>
      </c>
    </row>
    <row r="133" spans="1:16">
      <c r="A133" s="3763"/>
      <c r="B133" s="1929" t="s">
        <v>18</v>
      </c>
      <c r="C133" s="3794" t="s">
        <v>327</v>
      </c>
      <c r="D133" s="1366">
        <f t="shared" ref="D133:L133" si="113">+D134</f>
        <v>1443592</v>
      </c>
      <c r="E133" s="1366">
        <f t="shared" si="113"/>
        <v>0</v>
      </c>
      <c r="F133" s="1366">
        <f t="shared" si="113"/>
        <v>669848</v>
      </c>
      <c r="G133" s="1366">
        <f t="shared" si="113"/>
        <v>773744</v>
      </c>
      <c r="H133" s="1366">
        <f t="shared" si="113"/>
        <v>0</v>
      </c>
      <c r="I133" s="1366">
        <f t="shared" si="113"/>
        <v>0</v>
      </c>
      <c r="J133" s="1366">
        <f t="shared" si="113"/>
        <v>0</v>
      </c>
      <c r="K133" s="1366">
        <f t="shared" si="113"/>
        <v>0</v>
      </c>
      <c r="L133" s="1366">
        <f t="shared" si="113"/>
        <v>0</v>
      </c>
      <c r="M133" s="3751"/>
      <c r="N133" s="3751"/>
      <c r="O133" s="3743"/>
    </row>
    <row r="134" spans="1:16" ht="13.5" thickBot="1">
      <c r="A134" s="3764"/>
      <c r="B134" s="2093" t="s">
        <v>20</v>
      </c>
      <c r="C134" s="3795"/>
      <c r="D134" s="2031">
        <f>E134+F134+G134+H134+I134+J134+K134+L134</f>
        <v>1443592</v>
      </c>
      <c r="E134" s="2031">
        <v>0</v>
      </c>
      <c r="F134" s="1662">
        <v>669848</v>
      </c>
      <c r="G134" s="1662">
        <v>773744</v>
      </c>
      <c r="H134" s="1662">
        <v>0</v>
      </c>
      <c r="I134" s="1662">
        <v>0</v>
      </c>
      <c r="J134" s="1662">
        <v>0</v>
      </c>
      <c r="K134" s="1662">
        <v>0</v>
      </c>
      <c r="L134" s="1662">
        <v>0</v>
      </c>
      <c r="M134" s="3716"/>
      <c r="N134" s="3716"/>
      <c r="O134" s="3744"/>
    </row>
    <row r="135" spans="1:16" ht="37.5" customHeight="1">
      <c r="A135" s="3759" t="s">
        <v>81</v>
      </c>
      <c r="B135" s="1146" t="s">
        <v>393</v>
      </c>
      <c r="C135" s="1147" t="s">
        <v>100</v>
      </c>
      <c r="D135" s="1081"/>
      <c r="E135" s="2752"/>
      <c r="F135" s="2752"/>
      <c r="G135" s="2752"/>
      <c r="H135" s="2752"/>
      <c r="I135" s="2752"/>
      <c r="J135" s="2752"/>
      <c r="K135" s="2752"/>
      <c r="L135" s="41"/>
      <c r="M135" s="533"/>
      <c r="N135" s="533"/>
      <c r="O135" s="3740" t="s">
        <v>378</v>
      </c>
    </row>
    <row r="136" spans="1:16" ht="16.149999999999999" customHeight="1">
      <c r="A136" s="3761"/>
      <c r="B136" s="1928" t="s">
        <v>10</v>
      </c>
      <c r="C136" s="1148"/>
      <c r="D136" s="1940">
        <f>+D137</f>
        <v>13580221</v>
      </c>
      <c r="E136" s="1412">
        <f t="shared" ref="E136" si="114">+E137</f>
        <v>0</v>
      </c>
      <c r="F136" s="1412">
        <f t="shared" ref="F136:H136" si="115">+F137</f>
        <v>262804</v>
      </c>
      <c r="G136" s="1412">
        <f t="shared" si="115"/>
        <v>3911618</v>
      </c>
      <c r="H136" s="1412">
        <f t="shared" si="115"/>
        <v>8685436</v>
      </c>
      <c r="I136" s="1412">
        <f t="shared" ref="I136" si="116">+I137</f>
        <v>720363</v>
      </c>
      <c r="J136" s="1412">
        <f t="shared" ref="J136" si="117">+J137</f>
        <v>0</v>
      </c>
      <c r="K136" s="1412">
        <f t="shared" ref="K136" si="118">+K137</f>
        <v>0</v>
      </c>
      <c r="L136" s="1412">
        <f t="shared" ref="L136" si="119">+L137</f>
        <v>0</v>
      </c>
      <c r="M136" s="1358">
        <f>+M137</f>
        <v>13580221</v>
      </c>
      <c r="N136" s="1358">
        <f>+N137</f>
        <v>13317417</v>
      </c>
      <c r="O136" s="3741"/>
      <c r="P136" s="3355">
        <f>G136-'[1]Tab. 6B Polit społ i rozwój prz'!$G$122</f>
        <v>-3908082</v>
      </c>
    </row>
    <row r="137" spans="1:16" ht="15" customHeight="1">
      <c r="A137" s="3761"/>
      <c r="B137" s="1941" t="s">
        <v>18</v>
      </c>
      <c r="C137" s="3765" t="s">
        <v>331</v>
      </c>
      <c r="D137" s="1366">
        <f>+D138</f>
        <v>13580221</v>
      </c>
      <c r="E137" s="1366">
        <f>+E138</f>
        <v>0</v>
      </c>
      <c r="F137" s="1366">
        <f>+F138</f>
        <v>262804</v>
      </c>
      <c r="G137" s="1366">
        <f t="shared" ref="G137:L137" si="120">+G138</f>
        <v>3911618</v>
      </c>
      <c r="H137" s="1366">
        <f t="shared" si="120"/>
        <v>8685436</v>
      </c>
      <c r="I137" s="1366">
        <f t="shared" si="120"/>
        <v>720363</v>
      </c>
      <c r="J137" s="1366">
        <f t="shared" si="120"/>
        <v>0</v>
      </c>
      <c r="K137" s="1366">
        <f t="shared" si="120"/>
        <v>0</v>
      </c>
      <c r="L137" s="1366">
        <f t="shared" si="120"/>
        <v>0</v>
      </c>
      <c r="M137" s="1673">
        <f>+M138</f>
        <v>13580221</v>
      </c>
      <c r="N137" s="1673">
        <f>+N138</f>
        <v>13317417</v>
      </c>
      <c r="O137" s="3741"/>
    </row>
    <row r="138" spans="1:16" ht="21" customHeight="1" thickBot="1">
      <c r="A138" s="3796"/>
      <c r="B138" s="2750" t="s">
        <v>20</v>
      </c>
      <c r="C138" s="3755"/>
      <c r="D138" s="1339">
        <f>E138+F138+G138+H138+I138+J138+K138+L138</f>
        <v>13580221</v>
      </c>
      <c r="E138" s="1334">
        <v>0</v>
      </c>
      <c r="F138" s="1369">
        <f>+F139+F140+F141+F142+F143</f>
        <v>262804</v>
      </c>
      <c r="G138" s="1369">
        <f t="shared" ref="G138:H138" si="121">+G139+G140+G141+G142+G143</f>
        <v>3911618</v>
      </c>
      <c r="H138" s="1369">
        <f t="shared" si="121"/>
        <v>8685436</v>
      </c>
      <c r="I138" s="1369">
        <f t="shared" ref="I138" si="122">+I139+I140+I141+I142+I143</f>
        <v>720363</v>
      </c>
      <c r="J138" s="1369">
        <f t="shared" ref="J138" si="123">+J139+J140+J141+J142+J143</f>
        <v>0</v>
      </c>
      <c r="K138" s="1369">
        <f t="shared" ref="K138" si="124">+K139+K140+K141+K142+K143</f>
        <v>0</v>
      </c>
      <c r="L138" s="1369">
        <f t="shared" ref="L138" si="125">+L139+L140+L141+L142+L143</f>
        <v>0</v>
      </c>
      <c r="M138" s="1671">
        <f>SUM(F138:K138)</f>
        <v>13580221</v>
      </c>
      <c r="N138" s="1671">
        <f>SUM(G138:L138)</f>
        <v>13317417</v>
      </c>
      <c r="O138" s="3741"/>
    </row>
    <row r="139" spans="1:16" s="359" customFormat="1" ht="12.75" hidden="1" customHeight="1">
      <c r="A139" s="3797"/>
      <c r="B139" s="2068" t="s">
        <v>329</v>
      </c>
      <c r="C139" s="3754"/>
      <c r="D139" s="2069">
        <f>SUM(E139:L139)</f>
        <v>9576521</v>
      </c>
      <c r="E139" s="2070">
        <v>0</v>
      </c>
      <c r="F139" s="2070">
        <f>2700000-2610000</f>
        <v>90000</v>
      </c>
      <c r="G139" s="2070">
        <f>3169000+2619500+1103984-4102953</f>
        <v>2789531</v>
      </c>
      <c r="H139" s="2070">
        <f>2044159+946725-929847+3957590</f>
        <v>6018627</v>
      </c>
      <c r="I139" s="2070">
        <f>0+537137-4137+145363</f>
        <v>678363</v>
      </c>
      <c r="J139" s="2070">
        <v>0</v>
      </c>
      <c r="K139" s="2070">
        <v>0</v>
      </c>
      <c r="L139" s="2070">
        <v>0</v>
      </c>
      <c r="M139" s="2071"/>
      <c r="N139" s="1671">
        <f>SUM(G139:L139)</f>
        <v>9486521</v>
      </c>
      <c r="O139" s="1875"/>
    </row>
    <row r="140" spans="1:16" s="359" customFormat="1" ht="12.75" hidden="1" customHeight="1">
      <c r="A140" s="3761"/>
      <c r="B140" s="2227" t="s">
        <v>330</v>
      </c>
      <c r="C140" s="3754"/>
      <c r="D140" s="2228">
        <f>SUM(E140:L140)</f>
        <v>1008500</v>
      </c>
      <c r="E140" s="1871">
        <v>0</v>
      </c>
      <c r="F140" s="1871">
        <f>293500-190200-8805</f>
        <v>94495</v>
      </c>
      <c r="G140" s="1871">
        <f>483000-13800+130805-259123</f>
        <v>340882</v>
      </c>
      <c r="H140" s="1871">
        <f>378000-92000+28000+259123</f>
        <v>573123</v>
      </c>
      <c r="I140" s="1871">
        <v>0</v>
      </c>
      <c r="J140" s="1871">
        <v>0</v>
      </c>
      <c r="K140" s="1871">
        <v>0</v>
      </c>
      <c r="L140" s="1871">
        <v>0</v>
      </c>
      <c r="M140" s="1784"/>
      <c r="N140" s="1671">
        <f>SUM(G140:L140)</f>
        <v>914005</v>
      </c>
      <c r="O140" s="1875"/>
    </row>
    <row r="141" spans="1:16" s="1872" customFormat="1" ht="12.75" hidden="1" customHeight="1">
      <c r="A141" s="3761"/>
      <c r="B141" s="2227" t="s">
        <v>101</v>
      </c>
      <c r="C141" s="3754"/>
      <c r="D141" s="2228">
        <f>SUM(E141:L141)</f>
        <v>603500</v>
      </c>
      <c r="E141" s="1871">
        <v>0</v>
      </c>
      <c r="F141" s="1871">
        <f>174000-30000-144000</f>
        <v>0</v>
      </c>
      <c r="G141" s="1871">
        <f>453000-110000-139686</f>
        <v>203314</v>
      </c>
      <c r="H141" s="1871">
        <f>228000+32500+139686</f>
        <v>400186</v>
      </c>
      <c r="I141" s="1871">
        <v>0</v>
      </c>
      <c r="J141" s="1871">
        <v>0</v>
      </c>
      <c r="K141" s="1871">
        <v>0</v>
      </c>
      <c r="L141" s="1871">
        <v>0</v>
      </c>
      <c r="M141" s="1784"/>
      <c r="N141" s="1671">
        <f>SUM(G141:L141)</f>
        <v>603500</v>
      </c>
      <c r="O141" s="1875"/>
    </row>
    <row r="142" spans="1:16" s="1872" customFormat="1" ht="12.75" hidden="1" customHeight="1">
      <c r="A142" s="3761"/>
      <c r="B142" s="2227" t="s">
        <v>185</v>
      </c>
      <c r="C142" s="3754"/>
      <c r="D142" s="2228">
        <f>SUM(E142:L142)</f>
        <v>1894000</v>
      </c>
      <c r="E142" s="1871">
        <v>0</v>
      </c>
      <c r="F142" s="1871">
        <f>1015500-784500-231000</f>
        <v>0</v>
      </c>
      <c r="G142" s="1871">
        <f>926500+110500+47050-701550</f>
        <v>382500</v>
      </c>
      <c r="H142" s="1871">
        <f>342000+284000+183950+701550</f>
        <v>1511500</v>
      </c>
      <c r="I142" s="1871">
        <v>0</v>
      </c>
      <c r="J142" s="1871">
        <v>0</v>
      </c>
      <c r="K142" s="1871">
        <v>0</v>
      </c>
      <c r="L142" s="1871">
        <v>0</v>
      </c>
      <c r="M142" s="1784"/>
      <c r="N142" s="1671">
        <f>SUM(G142:L142)</f>
        <v>1894000</v>
      </c>
      <c r="O142" s="1875"/>
    </row>
    <row r="143" spans="1:16" s="1872" customFormat="1" ht="12.75" hidden="1" customHeight="1">
      <c r="A143" s="3761"/>
      <c r="B143" s="2227" t="s">
        <v>250</v>
      </c>
      <c r="C143" s="3798"/>
      <c r="D143" s="2228">
        <f>SUM(E143:L143)</f>
        <v>497700</v>
      </c>
      <c r="E143" s="1871">
        <v>0</v>
      </c>
      <c r="F143" s="1871">
        <f>140000-48300-13391</f>
        <v>78309</v>
      </c>
      <c r="G143" s="1871">
        <f>260000-78000+13391</f>
        <v>195391</v>
      </c>
      <c r="H143" s="1871">
        <f>260000-78000</f>
        <v>182000</v>
      </c>
      <c r="I143" s="1871">
        <f>0+42000</f>
        <v>42000</v>
      </c>
      <c r="J143" s="1871">
        <v>0</v>
      </c>
      <c r="K143" s="1871">
        <v>0</v>
      </c>
      <c r="L143" s="1871">
        <v>0</v>
      </c>
      <c r="M143" s="1784"/>
      <c r="N143" s="1671">
        <f>SUM(G143:L143)</f>
        <v>419391</v>
      </c>
      <c r="O143" s="1875"/>
    </row>
    <row r="144" spans="1:16">
      <c r="A144" s="3763"/>
      <c r="B144" s="1928" t="s">
        <v>21</v>
      </c>
      <c r="C144" s="1449"/>
      <c r="D144" s="1672">
        <f>D145</f>
        <v>13580221</v>
      </c>
      <c r="E144" s="1672">
        <f>+E145</f>
        <v>0</v>
      </c>
      <c r="F144" s="1672">
        <f>+F145</f>
        <v>0</v>
      </c>
      <c r="G144" s="1672">
        <f>+G145</f>
        <v>5600765</v>
      </c>
      <c r="H144" s="1672">
        <f>+H145</f>
        <v>7979456</v>
      </c>
      <c r="I144" s="1672">
        <f>I145</f>
        <v>0</v>
      </c>
      <c r="J144" s="1672">
        <f>+J145</f>
        <v>0</v>
      </c>
      <c r="K144" s="1672">
        <f>+K145</f>
        <v>0</v>
      </c>
      <c r="L144" s="1672">
        <f>L145</f>
        <v>0</v>
      </c>
      <c r="M144" s="3751" t="s">
        <v>53</v>
      </c>
      <c r="N144" s="3751" t="s">
        <v>53</v>
      </c>
      <c r="O144" s="3742" t="s">
        <v>329</v>
      </c>
      <c r="P144" s="3355">
        <f>G144-'[1]Tab. 6B Polit społ i rozwój prz'!$G$130</f>
        <v>-2734935</v>
      </c>
    </row>
    <row r="145" spans="1:16" s="3359" customFormat="1" ht="13.5" customHeight="1">
      <c r="A145" s="3763"/>
      <c r="B145" s="1941" t="s">
        <v>18</v>
      </c>
      <c r="C145" s="3765" t="s">
        <v>328</v>
      </c>
      <c r="D145" s="1366">
        <f t="shared" ref="D145:L145" si="126">+D146</f>
        <v>13580221</v>
      </c>
      <c r="E145" s="1366">
        <f t="shared" si="126"/>
        <v>0</v>
      </c>
      <c r="F145" s="1366">
        <f t="shared" si="126"/>
        <v>0</v>
      </c>
      <c r="G145" s="1366">
        <f t="shared" si="126"/>
        <v>5600765</v>
      </c>
      <c r="H145" s="1366">
        <f t="shared" si="126"/>
        <v>7979456</v>
      </c>
      <c r="I145" s="1366">
        <f t="shared" si="126"/>
        <v>0</v>
      </c>
      <c r="J145" s="1366">
        <f t="shared" si="126"/>
        <v>0</v>
      </c>
      <c r="K145" s="1366">
        <f t="shared" si="126"/>
        <v>0</v>
      </c>
      <c r="L145" s="1366">
        <f t="shared" si="126"/>
        <v>0</v>
      </c>
      <c r="M145" s="3751"/>
      <c r="N145" s="3751"/>
      <c r="O145" s="3743"/>
    </row>
    <row r="146" spans="1:16" s="3359" customFormat="1" ht="15" customHeight="1" thickBot="1">
      <c r="A146" s="3764"/>
      <c r="B146" s="1942" t="s">
        <v>20</v>
      </c>
      <c r="C146" s="3755"/>
      <c r="D146" s="2031">
        <f>E146+F146+G146+H146+I146+J146+K146+L146</f>
        <v>13580221</v>
      </c>
      <c r="E146" s="1643">
        <v>0</v>
      </c>
      <c r="F146" s="1705">
        <f>4323000-30000-4293000</f>
        <v>0</v>
      </c>
      <c r="G146" s="1705">
        <f>5291500+3044200+3368437-6103372</f>
        <v>5600765</v>
      </c>
      <c r="H146" s="1662">
        <f>3252159+1093225-2469300+6103372</f>
        <v>7979456</v>
      </c>
      <c r="I146" s="1662">
        <f>0+579137-579137</f>
        <v>0</v>
      </c>
      <c r="J146" s="1662">
        <v>0</v>
      </c>
      <c r="K146" s="1662">
        <v>0</v>
      </c>
      <c r="L146" s="1662">
        <v>0</v>
      </c>
      <c r="M146" s="3716"/>
      <c r="N146" s="3716"/>
      <c r="O146" s="3744"/>
      <c r="P146" s="3362">
        <f>D146-'[3]Tab. 6B Polit społ i rozwój prz'!$D$258</f>
        <v>743562</v>
      </c>
    </row>
    <row r="147" spans="1:16" ht="39" customHeight="1">
      <c r="A147" s="3759" t="s">
        <v>82</v>
      </c>
      <c r="B147" s="1146" t="s">
        <v>394</v>
      </c>
      <c r="C147" s="1147" t="s">
        <v>73</v>
      </c>
      <c r="D147" s="1081"/>
      <c r="E147" s="2752"/>
      <c r="F147" s="2752"/>
      <c r="G147" s="2752"/>
      <c r="H147" s="2752"/>
      <c r="I147" s="2752"/>
      <c r="J147" s="2752"/>
      <c r="K147" s="2752"/>
      <c r="L147" s="41"/>
      <c r="M147" s="533"/>
      <c r="N147" s="533"/>
      <c r="O147" s="3740" t="s">
        <v>466</v>
      </c>
    </row>
    <row r="148" spans="1:16">
      <c r="A148" s="3760"/>
      <c r="B148" s="1291" t="s">
        <v>10</v>
      </c>
      <c r="C148" s="1148"/>
      <c r="D148" s="1292">
        <f>+D149</f>
        <v>35876</v>
      </c>
      <c r="E148" s="1293">
        <f t="shared" ref="E148" si="127">E149</f>
        <v>0</v>
      </c>
      <c r="F148" s="1293">
        <f t="shared" ref="F148:L148" si="128">F149</f>
        <v>8753</v>
      </c>
      <c r="G148" s="1293">
        <f t="shared" si="128"/>
        <v>27123</v>
      </c>
      <c r="H148" s="1293">
        <f t="shared" si="128"/>
        <v>0</v>
      </c>
      <c r="I148" s="1293">
        <f t="shared" si="128"/>
        <v>0</v>
      </c>
      <c r="J148" s="1293">
        <f t="shared" si="128"/>
        <v>0</v>
      </c>
      <c r="K148" s="1293">
        <f t="shared" si="128"/>
        <v>0</v>
      </c>
      <c r="L148" s="1293">
        <f t="shared" si="128"/>
        <v>0</v>
      </c>
      <c r="M148" s="1294">
        <f>M149</f>
        <v>35876</v>
      </c>
      <c r="N148" s="1294">
        <f>N149</f>
        <v>27123</v>
      </c>
      <c r="O148" s="3741"/>
    </row>
    <row r="149" spans="1:16" ht="13.15" customHeight="1">
      <c r="A149" s="3760"/>
      <c r="B149" s="1295" t="s">
        <v>18</v>
      </c>
      <c r="C149" s="3792" t="s">
        <v>332</v>
      </c>
      <c r="D149" s="1304">
        <f>+D150</f>
        <v>35876</v>
      </c>
      <c r="E149" s="1304">
        <f t="shared" ref="E149:L149" si="129">+E150</f>
        <v>0</v>
      </c>
      <c r="F149" s="1304">
        <f t="shared" si="129"/>
        <v>8753</v>
      </c>
      <c r="G149" s="1304">
        <f t="shared" si="129"/>
        <v>27123</v>
      </c>
      <c r="H149" s="1304">
        <f t="shared" si="129"/>
        <v>0</v>
      </c>
      <c r="I149" s="1304">
        <f t="shared" si="129"/>
        <v>0</v>
      </c>
      <c r="J149" s="1304">
        <f t="shared" si="129"/>
        <v>0</v>
      </c>
      <c r="K149" s="1304">
        <f t="shared" si="129"/>
        <v>0</v>
      </c>
      <c r="L149" s="1304">
        <f t="shared" si="129"/>
        <v>0</v>
      </c>
      <c r="M149" s="1305">
        <f>+M150</f>
        <v>35876</v>
      </c>
      <c r="N149" s="1305">
        <f>+N150</f>
        <v>27123</v>
      </c>
      <c r="O149" s="3741"/>
    </row>
    <row r="150" spans="1:16">
      <c r="A150" s="3760"/>
      <c r="B150" s="1298" t="s">
        <v>20</v>
      </c>
      <c r="C150" s="3793"/>
      <c r="D150" s="1288">
        <f>E150+F150+G150+H150+I150+J150+K150+L150</f>
        <v>35876</v>
      </c>
      <c r="E150" s="1299">
        <v>0</v>
      </c>
      <c r="F150" s="1301">
        <f>+F151+F152+F153</f>
        <v>8753</v>
      </c>
      <c r="G150" s="1301">
        <f t="shared" ref="G150:K150" si="130">+G151+G152+G153</f>
        <v>27123</v>
      </c>
      <c r="H150" s="1301">
        <f t="shared" si="130"/>
        <v>0</v>
      </c>
      <c r="I150" s="1301">
        <f t="shared" si="130"/>
        <v>0</v>
      </c>
      <c r="J150" s="1301">
        <f t="shared" si="130"/>
        <v>0</v>
      </c>
      <c r="K150" s="1301">
        <f t="shared" si="130"/>
        <v>0</v>
      </c>
      <c r="L150" s="1301">
        <f t="shared" ref="L150" si="131">+L151+L152</f>
        <v>0</v>
      </c>
      <c r="M150" s="862">
        <f>SUM(F150:K150)</f>
        <v>35876</v>
      </c>
      <c r="N150" s="862">
        <f>SUM(G150:L150)</f>
        <v>27123</v>
      </c>
      <c r="O150" s="3741"/>
    </row>
    <row r="151" spans="1:16" ht="12" hidden="1" customHeight="1">
      <c r="A151" s="3760"/>
      <c r="B151" s="1943" t="s">
        <v>329</v>
      </c>
      <c r="C151" s="1708"/>
      <c r="D151" s="1303">
        <f>SUM(E151:L151)</f>
        <v>0</v>
      </c>
      <c r="E151" s="1301">
        <v>0</v>
      </c>
      <c r="F151" s="1301">
        <f>30000-30000</f>
        <v>0</v>
      </c>
      <c r="G151" s="1301">
        <f>500000-398000-102000</f>
        <v>0</v>
      </c>
      <c r="H151" s="1301">
        <f>100000-49000-51000</f>
        <v>0</v>
      </c>
      <c r="I151" s="1301">
        <f>0+17000-17000</f>
        <v>0</v>
      </c>
      <c r="J151" s="1301">
        <v>0</v>
      </c>
      <c r="K151" s="1301">
        <v>0</v>
      </c>
      <c r="L151" s="1301">
        <v>0</v>
      </c>
      <c r="M151" s="1302"/>
      <c r="N151" s="1302"/>
      <c r="O151" s="1875"/>
      <c r="P151" s="3355">
        <f>D150-D156</f>
        <v>0</v>
      </c>
    </row>
    <row r="152" spans="1:16" ht="12" hidden="1" customHeight="1">
      <c r="A152" s="3760"/>
      <c r="B152" s="1943" t="s">
        <v>330</v>
      </c>
      <c r="C152" s="3147"/>
      <c r="D152" s="1303">
        <f>SUM(E152:L152)</f>
        <v>0</v>
      </c>
      <c r="E152" s="1301">
        <v>0</v>
      </c>
      <c r="F152" s="1301">
        <f>80000-80000</f>
        <v>0</v>
      </c>
      <c r="G152" s="1301">
        <f>130000-130000</f>
        <v>0</v>
      </c>
      <c r="H152" s="1301">
        <f>20000-20000</f>
        <v>0</v>
      </c>
      <c r="I152" s="1301">
        <v>0</v>
      </c>
      <c r="J152" s="1301">
        <v>0</v>
      </c>
      <c r="K152" s="1301">
        <v>0</v>
      </c>
      <c r="L152" s="1301">
        <v>0</v>
      </c>
      <c r="M152" s="1302"/>
      <c r="N152" s="1302"/>
      <c r="O152" s="1875"/>
    </row>
    <row r="153" spans="1:16" s="3368" customFormat="1" ht="12" hidden="1" customHeight="1">
      <c r="A153" s="3760"/>
      <c r="B153" s="1943" t="s">
        <v>101</v>
      </c>
      <c r="C153" s="3147"/>
      <c r="D153" s="1303">
        <f>SUM(E153:L153)</f>
        <v>35876</v>
      </c>
      <c r="E153" s="1301"/>
      <c r="F153" s="1301">
        <f>30000-21247</f>
        <v>8753</v>
      </c>
      <c r="G153" s="1301">
        <f>0+27123</f>
        <v>27123</v>
      </c>
      <c r="H153" s="1301">
        <v>0</v>
      </c>
      <c r="I153" s="1301">
        <v>0</v>
      </c>
      <c r="J153" s="1301">
        <v>0</v>
      </c>
      <c r="K153" s="1301">
        <v>0</v>
      </c>
      <c r="L153" s="1301">
        <v>0</v>
      </c>
      <c r="M153" s="1302"/>
      <c r="N153" s="1302"/>
      <c r="O153" s="1875"/>
    </row>
    <row r="154" spans="1:16">
      <c r="A154" s="3762"/>
      <c r="B154" s="1291" t="s">
        <v>21</v>
      </c>
      <c r="C154" s="1306"/>
      <c r="D154" s="1307">
        <f>D155</f>
        <v>35876</v>
      </c>
      <c r="E154" s="1307">
        <f>+E155</f>
        <v>0</v>
      </c>
      <c r="F154" s="1307">
        <f>+F155</f>
        <v>0</v>
      </c>
      <c r="G154" s="1307">
        <f>+G155</f>
        <v>35876</v>
      </c>
      <c r="H154" s="1307">
        <f>+H155</f>
        <v>0</v>
      </c>
      <c r="I154" s="1307">
        <f>I155</f>
        <v>0</v>
      </c>
      <c r="J154" s="1307">
        <f>+J155</f>
        <v>0</v>
      </c>
      <c r="K154" s="1307">
        <f>+K155</f>
        <v>0</v>
      </c>
      <c r="L154" s="1307">
        <f>L155</f>
        <v>0</v>
      </c>
      <c r="M154" s="3750" t="s">
        <v>53</v>
      </c>
      <c r="N154" s="3750" t="s">
        <v>53</v>
      </c>
      <c r="O154" s="3742" t="s">
        <v>329</v>
      </c>
    </row>
    <row r="155" spans="1:16">
      <c r="A155" s="3762"/>
      <c r="B155" s="1295" t="s">
        <v>18</v>
      </c>
      <c r="C155" s="3794" t="s">
        <v>328</v>
      </c>
      <c r="D155" s="1304">
        <f t="shared" ref="D155:L155" si="132">+D156</f>
        <v>35876</v>
      </c>
      <c r="E155" s="1304">
        <f t="shared" si="132"/>
        <v>0</v>
      </c>
      <c r="F155" s="1304">
        <f t="shared" si="132"/>
        <v>0</v>
      </c>
      <c r="G155" s="1304">
        <f t="shared" si="132"/>
        <v>35876</v>
      </c>
      <c r="H155" s="1304">
        <f t="shared" si="132"/>
        <v>0</v>
      </c>
      <c r="I155" s="1304">
        <f t="shared" si="132"/>
        <v>0</v>
      </c>
      <c r="J155" s="1304">
        <f t="shared" si="132"/>
        <v>0</v>
      </c>
      <c r="K155" s="1304">
        <f t="shared" si="132"/>
        <v>0</v>
      </c>
      <c r="L155" s="1304">
        <f t="shared" si="132"/>
        <v>0</v>
      </c>
      <c r="M155" s="3750"/>
      <c r="N155" s="3750"/>
      <c r="O155" s="3743"/>
    </row>
    <row r="156" spans="1:16" ht="13.5" thickBot="1">
      <c r="A156" s="3764"/>
      <c r="B156" s="534" t="s">
        <v>20</v>
      </c>
      <c r="C156" s="3795"/>
      <c r="D156" s="779">
        <f>E156+F156+G156+H156+I156+J156+K156+L156</f>
        <v>35876</v>
      </c>
      <c r="E156" s="779">
        <v>0</v>
      </c>
      <c r="F156" s="415">
        <f>110000+30000-140000</f>
        <v>0</v>
      </c>
      <c r="G156" s="415">
        <f>520000-252124-232000</f>
        <v>35876</v>
      </c>
      <c r="H156" s="415">
        <f>120000-49000-71000</f>
        <v>0</v>
      </c>
      <c r="I156" s="415">
        <f>0+17000-17000</f>
        <v>0</v>
      </c>
      <c r="J156" s="415">
        <v>0</v>
      </c>
      <c r="K156" s="415">
        <v>0</v>
      </c>
      <c r="L156" s="415">
        <v>0</v>
      </c>
      <c r="M156" s="3752"/>
      <c r="N156" s="3752"/>
      <c r="O156" s="3744"/>
      <c r="P156" s="3355"/>
    </row>
    <row r="157" spans="1:16" ht="26.25" customHeight="1">
      <c r="A157" s="3759" t="s">
        <v>83</v>
      </c>
      <c r="B157" s="1146" t="s">
        <v>406</v>
      </c>
      <c r="C157" s="1147" t="s">
        <v>100</v>
      </c>
      <c r="D157" s="1081"/>
      <c r="E157" s="1081"/>
      <c r="F157" s="1081"/>
      <c r="G157" s="1081"/>
      <c r="H157" s="1081"/>
      <c r="I157" s="1081"/>
      <c r="J157" s="1081"/>
      <c r="K157" s="1081"/>
      <c r="L157" s="1081"/>
      <c r="M157" s="1081"/>
      <c r="N157" s="1081"/>
      <c r="O157" s="3740" t="s">
        <v>270</v>
      </c>
      <c r="P157" s="3355">
        <f>D158+D176</f>
        <v>1218280</v>
      </c>
    </row>
    <row r="158" spans="1:16" ht="14.25" customHeight="1">
      <c r="A158" s="3760"/>
      <c r="B158" s="1291" t="s">
        <v>10</v>
      </c>
      <c r="C158" s="1148"/>
      <c r="D158" s="1292">
        <f>+D159+D166</f>
        <v>1184280</v>
      </c>
      <c r="E158" s="1766">
        <f t="shared" ref="E158:N158" si="133">+E159+E166</f>
        <v>0</v>
      </c>
      <c r="F158" s="1766">
        <f t="shared" si="133"/>
        <v>0</v>
      </c>
      <c r="G158" s="1293">
        <f t="shared" si="133"/>
        <v>651754</v>
      </c>
      <c r="H158" s="1293">
        <f t="shared" si="133"/>
        <v>532526</v>
      </c>
      <c r="I158" s="1766">
        <f t="shared" si="133"/>
        <v>0</v>
      </c>
      <c r="J158" s="1766">
        <f t="shared" si="133"/>
        <v>0</v>
      </c>
      <c r="K158" s="1766">
        <f t="shared" si="133"/>
        <v>0</v>
      </c>
      <c r="L158" s="1766">
        <f t="shared" si="133"/>
        <v>0</v>
      </c>
      <c r="M158" s="1294">
        <f t="shared" si="133"/>
        <v>1060852</v>
      </c>
      <c r="N158" s="1294">
        <f t="shared" si="133"/>
        <v>1184280</v>
      </c>
      <c r="O158" s="3741"/>
    </row>
    <row r="159" spans="1:16">
      <c r="A159" s="3760"/>
      <c r="B159" s="1295" t="s">
        <v>23</v>
      </c>
      <c r="C159" s="3747" t="s">
        <v>405</v>
      </c>
      <c r="D159" s="1296">
        <f>+D160+D163</f>
        <v>177642</v>
      </c>
      <c r="E159" s="1767">
        <f t="shared" ref="E159:L159" si="134">+E160+E163</f>
        <v>0</v>
      </c>
      <c r="F159" s="1767">
        <f t="shared" si="134"/>
        <v>0</v>
      </c>
      <c r="G159" s="1296">
        <f t="shared" si="134"/>
        <v>97763</v>
      </c>
      <c r="H159" s="1296">
        <f t="shared" si="134"/>
        <v>79879</v>
      </c>
      <c r="I159" s="1767">
        <f t="shared" si="134"/>
        <v>0</v>
      </c>
      <c r="J159" s="1767">
        <f t="shared" si="134"/>
        <v>0</v>
      </c>
      <c r="K159" s="1767">
        <f t="shared" si="134"/>
        <v>0</v>
      </c>
      <c r="L159" s="1767">
        <f t="shared" si="134"/>
        <v>0</v>
      </c>
      <c r="M159" s="1297">
        <f t="shared" ref="M159" si="135">+M160</f>
        <v>54214</v>
      </c>
      <c r="N159" s="1297">
        <f>+N160+N163</f>
        <v>177642</v>
      </c>
      <c r="O159" s="3741"/>
    </row>
    <row r="160" spans="1:16">
      <c r="A160" s="3760"/>
      <c r="B160" s="1298" t="s">
        <v>12</v>
      </c>
      <c r="C160" s="3748"/>
      <c r="D160" s="1288">
        <f>E160+F160+G160+H160+I160+J160+K160+L160</f>
        <v>54214</v>
      </c>
      <c r="E160" s="1768">
        <v>0</v>
      </c>
      <c r="F160" s="1769">
        <v>0</v>
      </c>
      <c r="G160" s="1300">
        <f>G161+G162</f>
        <v>29769</v>
      </c>
      <c r="H160" s="1300">
        <f t="shared" ref="H160:L160" si="136">H161+H162</f>
        <v>24445</v>
      </c>
      <c r="I160" s="1769">
        <f t="shared" si="136"/>
        <v>0</v>
      </c>
      <c r="J160" s="1769">
        <f t="shared" si="136"/>
        <v>0</v>
      </c>
      <c r="K160" s="1769">
        <f t="shared" si="136"/>
        <v>0</v>
      </c>
      <c r="L160" s="1769">
        <f t="shared" si="136"/>
        <v>0</v>
      </c>
      <c r="M160" s="843">
        <f>SUM(F160:K160)</f>
        <v>54214</v>
      </c>
      <c r="N160" s="843">
        <f>SUM(G160:L160)</f>
        <v>54214</v>
      </c>
      <c r="O160" s="3741"/>
    </row>
    <row r="161" spans="1:16" s="359" customFormat="1" hidden="1">
      <c r="A161" s="3760"/>
      <c r="B161" s="1770" t="s">
        <v>250</v>
      </c>
      <c r="C161" s="3748"/>
      <c r="D161" s="1771">
        <f>SUM(E161:L161)</f>
        <v>28440</v>
      </c>
      <c r="E161" s="1772">
        <v>0</v>
      </c>
      <c r="F161" s="1773">
        <v>0</v>
      </c>
      <c r="G161" s="1774">
        <v>14220</v>
      </c>
      <c r="H161" s="1774">
        <v>14220</v>
      </c>
      <c r="I161" s="1772">
        <v>0</v>
      </c>
      <c r="J161" s="1772">
        <v>0</v>
      </c>
      <c r="K161" s="1772">
        <v>0</v>
      </c>
      <c r="L161" s="1772">
        <v>0</v>
      </c>
      <c r="M161" s="1775"/>
      <c r="N161" s="1776">
        <f>SUM(G161:L161)</f>
        <v>28440</v>
      </c>
      <c r="O161" s="3741"/>
    </row>
    <row r="162" spans="1:16" s="359" customFormat="1" hidden="1">
      <c r="A162" s="3760"/>
      <c r="B162" s="1777" t="s">
        <v>265</v>
      </c>
      <c r="C162" s="3748"/>
      <c r="D162" s="1778">
        <f>SUM(E162:L162)</f>
        <v>25774</v>
      </c>
      <c r="E162" s="1779">
        <v>0</v>
      </c>
      <c r="F162" s="1780">
        <v>0</v>
      </c>
      <c r="G162" s="1781">
        <f>14199+1350</f>
        <v>15549</v>
      </c>
      <c r="H162" s="1781">
        <f>10075+150</f>
        <v>10225</v>
      </c>
      <c r="I162" s="1779">
        <v>0</v>
      </c>
      <c r="J162" s="1779">
        <v>0</v>
      </c>
      <c r="K162" s="1779">
        <v>0</v>
      </c>
      <c r="L162" s="1779">
        <v>0</v>
      </c>
      <c r="M162" s="1775"/>
      <c r="N162" s="1776">
        <f>SUM(G162:L162)</f>
        <v>25774</v>
      </c>
      <c r="O162" s="3741"/>
    </row>
    <row r="163" spans="1:16" s="1783" customFormat="1">
      <c r="A163" s="3761"/>
      <c r="B163" s="821" t="s">
        <v>13</v>
      </c>
      <c r="C163" s="3749"/>
      <c r="D163" s="1288">
        <f>E163+F163+G163+H163+I163+J163+K163+L163</f>
        <v>123428</v>
      </c>
      <c r="E163" s="1768">
        <v>0</v>
      </c>
      <c r="F163" s="1769">
        <v>0</v>
      </c>
      <c r="G163" s="1300">
        <f>G164+G165</f>
        <v>67994</v>
      </c>
      <c r="H163" s="1300">
        <f t="shared" ref="H163:L163" si="137">H164+H165</f>
        <v>55434</v>
      </c>
      <c r="I163" s="1769">
        <f t="shared" si="137"/>
        <v>0</v>
      </c>
      <c r="J163" s="1769">
        <f t="shared" si="137"/>
        <v>0</v>
      </c>
      <c r="K163" s="1769">
        <f t="shared" si="137"/>
        <v>0</v>
      </c>
      <c r="L163" s="1769">
        <f t="shared" si="137"/>
        <v>0</v>
      </c>
      <c r="M163" s="1782"/>
      <c r="N163" s="843">
        <f t="shared" ref="N163:N165" si="138">SUM(G163:L163)</f>
        <v>123428</v>
      </c>
      <c r="O163" s="3741"/>
    </row>
    <row r="164" spans="1:16" s="1783" customFormat="1" hidden="1">
      <c r="A164" s="3761"/>
      <c r="B164" s="1770" t="s">
        <v>250</v>
      </c>
      <c r="C164" s="3749"/>
      <c r="D164" s="1771">
        <f>SUM(E164:L164)</f>
        <v>71880</v>
      </c>
      <c r="E164" s="1772">
        <v>0</v>
      </c>
      <c r="F164" s="1773">
        <v>0</v>
      </c>
      <c r="G164" s="1774">
        <v>36896</v>
      </c>
      <c r="H164" s="1774">
        <v>34984</v>
      </c>
      <c r="I164" s="1772">
        <v>0</v>
      </c>
      <c r="J164" s="1772">
        <v>0</v>
      </c>
      <c r="K164" s="1772">
        <v>0</v>
      </c>
      <c r="L164" s="1772">
        <v>0</v>
      </c>
      <c r="M164" s="1784"/>
      <c r="N164" s="862">
        <f t="shared" si="138"/>
        <v>71880</v>
      </c>
      <c r="O164" s="3741"/>
    </row>
    <row r="165" spans="1:16" s="1783" customFormat="1" hidden="1">
      <c r="A165" s="3761"/>
      <c r="B165" s="1777" t="s">
        <v>265</v>
      </c>
      <c r="C165" s="3749"/>
      <c r="D165" s="1778">
        <f>SUM(E165:L165)</f>
        <v>51548</v>
      </c>
      <c r="E165" s="1779">
        <v>0</v>
      </c>
      <c r="F165" s="1780">
        <v>0</v>
      </c>
      <c r="G165" s="1781">
        <f>28398+2700</f>
        <v>31098</v>
      </c>
      <c r="H165" s="1781">
        <f>20150+300</f>
        <v>20450</v>
      </c>
      <c r="I165" s="1779">
        <v>0</v>
      </c>
      <c r="J165" s="1779">
        <v>0</v>
      </c>
      <c r="K165" s="1779">
        <v>0</v>
      </c>
      <c r="L165" s="1779">
        <v>0</v>
      </c>
      <c r="M165" s="1784"/>
      <c r="N165" s="862">
        <f t="shared" si="138"/>
        <v>51548</v>
      </c>
      <c r="O165" s="3741"/>
    </row>
    <row r="166" spans="1:16">
      <c r="A166" s="3760"/>
      <c r="B166" s="1295" t="s">
        <v>18</v>
      </c>
      <c r="C166" s="3748"/>
      <c r="D166" s="1304">
        <f>+D167</f>
        <v>1006638</v>
      </c>
      <c r="E166" s="1707">
        <f t="shared" ref="E166:L166" si="139">+E167</f>
        <v>0</v>
      </c>
      <c r="F166" s="1707">
        <f t="shared" si="139"/>
        <v>0</v>
      </c>
      <c r="G166" s="1304">
        <f t="shared" si="139"/>
        <v>553991</v>
      </c>
      <c r="H166" s="1304">
        <f t="shared" si="139"/>
        <v>452647</v>
      </c>
      <c r="I166" s="1707">
        <f t="shared" si="139"/>
        <v>0</v>
      </c>
      <c r="J166" s="1707">
        <f t="shared" si="139"/>
        <v>0</v>
      </c>
      <c r="K166" s="1707">
        <f t="shared" si="139"/>
        <v>0</v>
      </c>
      <c r="L166" s="1707">
        <f t="shared" si="139"/>
        <v>0</v>
      </c>
      <c r="M166" s="1305">
        <f>+M167</f>
        <v>1006638</v>
      </c>
      <c r="N166" s="1305">
        <f>+N167</f>
        <v>1006638</v>
      </c>
      <c r="O166" s="3741"/>
    </row>
    <row r="167" spans="1:16">
      <c r="A167" s="3760"/>
      <c r="B167" s="1298" t="s">
        <v>20</v>
      </c>
      <c r="C167" s="3748"/>
      <c r="D167" s="1288">
        <f>E167+F167+G167+H167+I167+J167+K167+L167</f>
        <v>1006638</v>
      </c>
      <c r="E167" s="1768">
        <v>0</v>
      </c>
      <c r="F167" s="1785">
        <v>0</v>
      </c>
      <c r="G167" s="1301">
        <f>G168+G169</f>
        <v>553991</v>
      </c>
      <c r="H167" s="1301">
        <f t="shared" ref="H167" si="140">H168+H169</f>
        <v>452647</v>
      </c>
      <c r="I167" s="1785">
        <f t="shared" ref="I167" si="141">I168+I169</f>
        <v>0</v>
      </c>
      <c r="J167" s="1785">
        <f t="shared" ref="J167" si="142">J168+J169</f>
        <v>0</v>
      </c>
      <c r="K167" s="1785">
        <f t="shared" ref="K167" si="143">K168+K169</f>
        <v>0</v>
      </c>
      <c r="L167" s="1785">
        <f t="shared" ref="L167" si="144">L168+L169</f>
        <v>0</v>
      </c>
      <c r="M167" s="862">
        <f>SUM(F167:K167)</f>
        <v>1006638</v>
      </c>
      <c r="N167" s="862">
        <f>SUM(G167:L167)</f>
        <v>1006638</v>
      </c>
      <c r="O167" s="3741"/>
    </row>
    <row r="168" spans="1:16" s="359" customFormat="1" hidden="1">
      <c r="A168" s="3760"/>
      <c r="B168" s="1770" t="s">
        <v>250</v>
      </c>
      <c r="C168" s="1786"/>
      <c r="D168" s="1771">
        <f>SUM(E168:L168)</f>
        <v>568480</v>
      </c>
      <c r="E168" s="1772">
        <v>0</v>
      </c>
      <c r="F168" s="1772">
        <v>0</v>
      </c>
      <c r="G168" s="1774">
        <v>289658</v>
      </c>
      <c r="H168" s="1774">
        <v>278822</v>
      </c>
      <c r="I168" s="1772">
        <v>0</v>
      </c>
      <c r="J168" s="1772">
        <v>0</v>
      </c>
      <c r="K168" s="1772">
        <v>0</v>
      </c>
      <c r="L168" s="1772">
        <v>0</v>
      </c>
      <c r="M168" s="1775"/>
      <c r="N168" s="1776">
        <f>SUM(G168:L168)</f>
        <v>568480</v>
      </c>
      <c r="O168" s="3741"/>
    </row>
    <row r="169" spans="1:16" s="359" customFormat="1" hidden="1">
      <c r="A169" s="3760"/>
      <c r="B169" s="1777" t="s">
        <v>265</v>
      </c>
      <c r="C169" s="1787"/>
      <c r="D169" s="1778">
        <f>SUM(E169:L169)</f>
        <v>438158</v>
      </c>
      <c r="E169" s="1779">
        <v>0</v>
      </c>
      <c r="F169" s="1779">
        <v>0</v>
      </c>
      <c r="G169" s="1781">
        <f>241383+22950</f>
        <v>264333</v>
      </c>
      <c r="H169" s="1781">
        <f>171275+2550</f>
        <v>173825</v>
      </c>
      <c r="I169" s="1779">
        <v>0</v>
      </c>
      <c r="J169" s="1779">
        <v>0</v>
      </c>
      <c r="K169" s="1779">
        <v>0</v>
      </c>
      <c r="L169" s="1779">
        <v>0</v>
      </c>
      <c r="M169" s="1775"/>
      <c r="N169" s="1776">
        <f>SUM(G169:L169)</f>
        <v>438158</v>
      </c>
      <c r="O169" s="3756"/>
    </row>
    <row r="170" spans="1:16">
      <c r="A170" s="3762"/>
      <c r="B170" s="1291" t="s">
        <v>21</v>
      </c>
      <c r="C170" s="1291"/>
      <c r="D170" s="1307">
        <f>D173+D171</f>
        <v>1130066</v>
      </c>
      <c r="E170" s="1788">
        <f t="shared" ref="E170:L170" si="145">E173+E171</f>
        <v>0</v>
      </c>
      <c r="F170" s="1788">
        <f t="shared" si="145"/>
        <v>0</v>
      </c>
      <c r="G170" s="1307">
        <f t="shared" si="145"/>
        <v>621985</v>
      </c>
      <c r="H170" s="1307">
        <f t="shared" si="145"/>
        <v>508081</v>
      </c>
      <c r="I170" s="1788">
        <f t="shared" si="145"/>
        <v>0</v>
      </c>
      <c r="J170" s="1788">
        <f t="shared" si="145"/>
        <v>0</v>
      </c>
      <c r="K170" s="1788">
        <f t="shared" si="145"/>
        <v>0</v>
      </c>
      <c r="L170" s="1788">
        <f t="shared" si="145"/>
        <v>0</v>
      </c>
      <c r="M170" s="3750" t="s">
        <v>53</v>
      </c>
      <c r="N170" s="3750" t="s">
        <v>53</v>
      </c>
      <c r="O170" s="3742" t="s">
        <v>438</v>
      </c>
    </row>
    <row r="171" spans="1:16" s="3369" customFormat="1">
      <c r="A171" s="3763"/>
      <c r="B171" s="1738" t="s">
        <v>23</v>
      </c>
      <c r="C171" s="3765" t="s">
        <v>327</v>
      </c>
      <c r="D171" s="1304">
        <f t="shared" ref="D171:L173" si="146">+D172</f>
        <v>123428</v>
      </c>
      <c r="E171" s="1707">
        <f t="shared" si="146"/>
        <v>0</v>
      </c>
      <c r="F171" s="1707">
        <f t="shared" si="146"/>
        <v>0</v>
      </c>
      <c r="G171" s="1304">
        <f t="shared" si="146"/>
        <v>67994</v>
      </c>
      <c r="H171" s="1304">
        <f t="shared" si="146"/>
        <v>55434</v>
      </c>
      <c r="I171" s="1707">
        <f t="shared" si="146"/>
        <v>0</v>
      </c>
      <c r="J171" s="1707">
        <f t="shared" si="146"/>
        <v>0</v>
      </c>
      <c r="K171" s="1707">
        <f t="shared" si="146"/>
        <v>0</v>
      </c>
      <c r="L171" s="1707">
        <f t="shared" si="146"/>
        <v>0</v>
      </c>
      <c r="M171" s="3751"/>
      <c r="N171" s="3751"/>
      <c r="O171" s="3743"/>
    </row>
    <row r="172" spans="1:16" s="3369" customFormat="1">
      <c r="A172" s="3763"/>
      <c r="B172" s="821" t="s">
        <v>13</v>
      </c>
      <c r="C172" s="3754"/>
      <c r="D172" s="1339">
        <f>E172+F172+G172+H172+I172+J172+K172+L172</f>
        <v>123428</v>
      </c>
      <c r="E172" s="1789">
        <v>0</v>
      </c>
      <c r="F172" s="1789">
        <v>0</v>
      </c>
      <c r="G172" s="1790">
        <f>65294+2700</f>
        <v>67994</v>
      </c>
      <c r="H172" s="1790">
        <f>55134+300</f>
        <v>55434</v>
      </c>
      <c r="I172" s="1789">
        <v>0</v>
      </c>
      <c r="J172" s="1789">
        <v>0</v>
      </c>
      <c r="K172" s="1789">
        <v>0</v>
      </c>
      <c r="L172" s="1789">
        <v>0</v>
      </c>
      <c r="M172" s="3751"/>
      <c r="N172" s="3751"/>
      <c r="O172" s="3743"/>
      <c r="P172" s="3370">
        <f>D172-D163</f>
        <v>0</v>
      </c>
    </row>
    <row r="173" spans="1:16" ht="12.75" customHeight="1">
      <c r="A173" s="3762"/>
      <c r="B173" s="1295" t="s">
        <v>18</v>
      </c>
      <c r="C173" s="3754"/>
      <c r="D173" s="1723">
        <f t="shared" si="146"/>
        <v>1006638</v>
      </c>
      <c r="E173" s="1707">
        <f t="shared" si="146"/>
        <v>0</v>
      </c>
      <c r="F173" s="1707">
        <f t="shared" si="146"/>
        <v>0</v>
      </c>
      <c r="G173" s="1304">
        <f t="shared" si="146"/>
        <v>553991</v>
      </c>
      <c r="H173" s="1304">
        <f t="shared" si="146"/>
        <v>452647</v>
      </c>
      <c r="I173" s="1707">
        <f t="shared" si="146"/>
        <v>0</v>
      </c>
      <c r="J173" s="1707">
        <f t="shared" si="146"/>
        <v>0</v>
      </c>
      <c r="K173" s="1707">
        <f t="shared" si="146"/>
        <v>0</v>
      </c>
      <c r="L173" s="1707">
        <f t="shared" si="146"/>
        <v>0</v>
      </c>
      <c r="M173" s="3750"/>
      <c r="N173" s="3750"/>
      <c r="O173" s="3743"/>
    </row>
    <row r="174" spans="1:16" ht="13.5" thickBot="1">
      <c r="A174" s="3764"/>
      <c r="B174" s="534" t="s">
        <v>20</v>
      </c>
      <c r="C174" s="3755"/>
      <c r="D174" s="779">
        <f>E174+F174+G174+H174+I174+J174+K174+L174</f>
        <v>1006638</v>
      </c>
      <c r="E174" s="554">
        <v>0</v>
      </c>
      <c r="F174" s="817">
        <v>0</v>
      </c>
      <c r="G174" s="415">
        <f>531041+22950</f>
        <v>553991</v>
      </c>
      <c r="H174" s="415">
        <f>450097+2550</f>
        <v>452647</v>
      </c>
      <c r="I174" s="817">
        <v>0</v>
      </c>
      <c r="J174" s="817">
        <v>0</v>
      </c>
      <c r="K174" s="817">
        <v>0</v>
      </c>
      <c r="L174" s="817">
        <v>0</v>
      </c>
      <c r="M174" s="3752"/>
      <c r="N174" s="3752"/>
      <c r="O174" s="3744"/>
      <c r="P174" s="3355">
        <f>D174-D167</f>
        <v>0</v>
      </c>
    </row>
    <row r="175" spans="1:16" ht="27.75" customHeight="1" thickBot="1">
      <c r="A175" s="3745" t="s">
        <v>84</v>
      </c>
      <c r="B175" s="1146" t="s">
        <v>407</v>
      </c>
      <c r="C175" s="1147" t="s">
        <v>73</v>
      </c>
      <c r="D175" s="1081"/>
      <c r="E175" s="2752"/>
      <c r="F175" s="2752"/>
      <c r="G175" s="2752"/>
      <c r="H175" s="2752"/>
      <c r="I175" s="2752"/>
      <c r="J175" s="2752"/>
      <c r="K175" s="2752"/>
      <c r="L175" s="41"/>
      <c r="M175" s="533"/>
      <c r="N175" s="533"/>
      <c r="O175" s="3740" t="s">
        <v>265</v>
      </c>
    </row>
    <row r="176" spans="1:16" ht="13.5" thickBot="1">
      <c r="A176" s="3746"/>
      <c r="B176" s="1291" t="s">
        <v>10</v>
      </c>
      <c r="C176" s="1148"/>
      <c r="D176" s="1292">
        <f t="shared" ref="D176:N176" si="147">+D177+D180</f>
        <v>34000</v>
      </c>
      <c r="E176" s="1766">
        <f t="shared" si="147"/>
        <v>0</v>
      </c>
      <c r="F176" s="1766">
        <f t="shared" si="147"/>
        <v>0</v>
      </c>
      <c r="G176" s="1293">
        <f t="shared" si="147"/>
        <v>34000</v>
      </c>
      <c r="H176" s="1766">
        <f t="shared" si="147"/>
        <v>0</v>
      </c>
      <c r="I176" s="1766">
        <f t="shared" si="147"/>
        <v>0</v>
      </c>
      <c r="J176" s="1766">
        <f t="shared" si="147"/>
        <v>0</v>
      </c>
      <c r="K176" s="1766">
        <f t="shared" si="147"/>
        <v>0</v>
      </c>
      <c r="L176" s="1766">
        <f t="shared" si="147"/>
        <v>0</v>
      </c>
      <c r="M176" s="1294">
        <f t="shared" si="147"/>
        <v>30600</v>
      </c>
      <c r="N176" s="1294">
        <f t="shared" si="147"/>
        <v>34000</v>
      </c>
      <c r="O176" s="3741"/>
    </row>
    <row r="177" spans="1:16" ht="13.5" thickBot="1">
      <c r="A177" s="3746"/>
      <c r="B177" s="1295" t="s">
        <v>23</v>
      </c>
      <c r="C177" s="3747" t="s">
        <v>408</v>
      </c>
      <c r="D177" s="1296">
        <f t="shared" ref="D177:L177" si="148">+D178+D179</f>
        <v>5100</v>
      </c>
      <c r="E177" s="1767">
        <f t="shared" si="148"/>
        <v>0</v>
      </c>
      <c r="F177" s="1767">
        <f t="shared" si="148"/>
        <v>0</v>
      </c>
      <c r="G177" s="1296">
        <f t="shared" si="148"/>
        <v>5100</v>
      </c>
      <c r="H177" s="1767">
        <f t="shared" si="148"/>
        <v>0</v>
      </c>
      <c r="I177" s="1767">
        <f t="shared" si="148"/>
        <v>0</v>
      </c>
      <c r="J177" s="1767">
        <f t="shared" si="148"/>
        <v>0</v>
      </c>
      <c r="K177" s="1767">
        <f t="shared" si="148"/>
        <v>0</v>
      </c>
      <c r="L177" s="1767">
        <f t="shared" si="148"/>
        <v>0</v>
      </c>
      <c r="M177" s="1297">
        <f t="shared" ref="M177" si="149">+M178</f>
        <v>1700</v>
      </c>
      <c r="N177" s="1297">
        <f>+N178+N179</f>
        <v>5100</v>
      </c>
      <c r="O177" s="3741"/>
    </row>
    <row r="178" spans="1:16" ht="13.5" thickBot="1">
      <c r="A178" s="3746"/>
      <c r="B178" s="1298" t="s">
        <v>12</v>
      </c>
      <c r="C178" s="3748"/>
      <c r="D178" s="1288">
        <f>E178+F178+G178+H178+I178+J178+K178+L178</f>
        <v>1700</v>
      </c>
      <c r="E178" s="1768">
        <v>0</v>
      </c>
      <c r="F178" s="1769">
        <v>0</v>
      </c>
      <c r="G178" s="1300">
        <f>2975-1275</f>
        <v>1700</v>
      </c>
      <c r="H178" s="1769">
        <v>0</v>
      </c>
      <c r="I178" s="1769">
        <v>0</v>
      </c>
      <c r="J178" s="1769">
        <v>0</v>
      </c>
      <c r="K178" s="1769">
        <v>0</v>
      </c>
      <c r="L178" s="1769">
        <v>0</v>
      </c>
      <c r="M178" s="843">
        <f>SUM(F178:K178)</f>
        <v>1700</v>
      </c>
      <c r="N178" s="843">
        <f>SUM(G178:L178)</f>
        <v>1700</v>
      </c>
      <c r="O178" s="3741"/>
    </row>
    <row r="179" spans="1:16" s="1783" customFormat="1" ht="13.5" thickBot="1">
      <c r="A179" s="3746"/>
      <c r="B179" s="821" t="s">
        <v>13</v>
      </c>
      <c r="C179" s="3749"/>
      <c r="D179" s="1288">
        <f>E179+F179+G179+H179+I179+J179+K179+L179</f>
        <v>3400</v>
      </c>
      <c r="E179" s="1768">
        <v>0</v>
      </c>
      <c r="F179" s="1769">
        <v>0</v>
      </c>
      <c r="G179" s="1300">
        <f>5950-2550</f>
        <v>3400</v>
      </c>
      <c r="H179" s="1769">
        <v>0</v>
      </c>
      <c r="I179" s="1769">
        <v>0</v>
      </c>
      <c r="J179" s="1769">
        <v>0</v>
      </c>
      <c r="K179" s="1769">
        <v>0</v>
      </c>
      <c r="L179" s="1769">
        <v>0</v>
      </c>
      <c r="M179" s="1782"/>
      <c r="N179" s="843">
        <f t="shared" ref="N179" si="150">SUM(G179:L179)</f>
        <v>3400</v>
      </c>
      <c r="O179" s="3741"/>
    </row>
    <row r="180" spans="1:16" ht="13.5" thickBot="1">
      <c r="A180" s="3746"/>
      <c r="B180" s="1295" t="s">
        <v>18</v>
      </c>
      <c r="C180" s="3748"/>
      <c r="D180" s="1304">
        <f>+D181</f>
        <v>28900</v>
      </c>
      <c r="E180" s="1707">
        <f t="shared" ref="E180:L180" si="151">+E181</f>
        <v>0</v>
      </c>
      <c r="F180" s="1707">
        <f t="shared" si="151"/>
        <v>0</v>
      </c>
      <c r="G180" s="1304">
        <f t="shared" si="151"/>
        <v>28900</v>
      </c>
      <c r="H180" s="1707">
        <f t="shared" si="151"/>
        <v>0</v>
      </c>
      <c r="I180" s="1707">
        <f t="shared" si="151"/>
        <v>0</v>
      </c>
      <c r="J180" s="1707">
        <f t="shared" si="151"/>
        <v>0</v>
      </c>
      <c r="K180" s="1707">
        <f t="shared" si="151"/>
        <v>0</v>
      </c>
      <c r="L180" s="1707">
        <f t="shared" si="151"/>
        <v>0</v>
      </c>
      <c r="M180" s="1305">
        <f>+M181</f>
        <v>28900</v>
      </c>
      <c r="N180" s="1305">
        <f>+N181</f>
        <v>28900</v>
      </c>
      <c r="O180" s="3741"/>
    </row>
    <row r="181" spans="1:16" ht="13.5" thickBot="1">
      <c r="A181" s="3746"/>
      <c r="B181" s="1298" t="s">
        <v>20</v>
      </c>
      <c r="C181" s="3748"/>
      <c r="D181" s="1288">
        <f>E181+F181+G181+H181+I181+J181+K181+L181</f>
        <v>28900</v>
      </c>
      <c r="E181" s="1768">
        <v>0</v>
      </c>
      <c r="F181" s="1785">
        <v>0</v>
      </c>
      <c r="G181" s="1301">
        <f>50575-21675</f>
        <v>28900</v>
      </c>
      <c r="H181" s="1785">
        <v>0</v>
      </c>
      <c r="I181" s="1785">
        <v>0</v>
      </c>
      <c r="J181" s="1785">
        <v>0</v>
      </c>
      <c r="K181" s="1785">
        <v>0</v>
      </c>
      <c r="L181" s="1785">
        <v>0</v>
      </c>
      <c r="M181" s="862">
        <f>SUM(F181:K181)</f>
        <v>28900</v>
      </c>
      <c r="N181" s="862">
        <f>SUM(G181:L181)</f>
        <v>28900</v>
      </c>
      <c r="O181" s="3741"/>
    </row>
    <row r="182" spans="1:16" ht="13.5" thickBot="1">
      <c r="A182" s="3746"/>
      <c r="B182" s="1291" t="s">
        <v>21</v>
      </c>
      <c r="C182" s="1291"/>
      <c r="D182" s="1307">
        <f>D185+D183</f>
        <v>32300</v>
      </c>
      <c r="E182" s="1788">
        <f t="shared" ref="E182" si="152">E185+E183</f>
        <v>0</v>
      </c>
      <c r="F182" s="1788">
        <f t="shared" ref="F182" si="153">F185+F183</f>
        <v>0</v>
      </c>
      <c r="G182" s="1307">
        <f t="shared" ref="G182" si="154">G185+G183</f>
        <v>32300</v>
      </c>
      <c r="H182" s="1788">
        <f t="shared" ref="H182" si="155">H185+H183</f>
        <v>0</v>
      </c>
      <c r="I182" s="1788">
        <f t="shared" ref="I182" si="156">I185+I183</f>
        <v>0</v>
      </c>
      <c r="J182" s="1788">
        <f t="shared" ref="J182" si="157">J185+J183</f>
        <v>0</v>
      </c>
      <c r="K182" s="1788">
        <f t="shared" ref="K182" si="158">K185+K183</f>
        <v>0</v>
      </c>
      <c r="L182" s="1788">
        <f t="shared" ref="L182" si="159">L185+L183</f>
        <v>0</v>
      </c>
      <c r="M182" s="3750" t="s">
        <v>53</v>
      </c>
      <c r="N182" s="3750" t="s">
        <v>53</v>
      </c>
      <c r="O182" s="3742" t="s">
        <v>438</v>
      </c>
    </row>
    <row r="183" spans="1:16" s="3369" customFormat="1" ht="13.5" thickBot="1">
      <c r="A183" s="3746"/>
      <c r="B183" s="1738" t="s">
        <v>23</v>
      </c>
      <c r="C183" s="3753" t="s">
        <v>327</v>
      </c>
      <c r="D183" s="1304">
        <f t="shared" ref="D183:L185" si="160">+D184</f>
        <v>3400</v>
      </c>
      <c r="E183" s="1707">
        <f t="shared" si="160"/>
        <v>0</v>
      </c>
      <c r="F183" s="1707">
        <f t="shared" si="160"/>
        <v>0</v>
      </c>
      <c r="G183" s="1304">
        <f t="shared" si="160"/>
        <v>3400</v>
      </c>
      <c r="H183" s="1707">
        <f t="shared" si="160"/>
        <v>0</v>
      </c>
      <c r="I183" s="1707">
        <f t="shared" si="160"/>
        <v>0</v>
      </c>
      <c r="J183" s="1707">
        <f t="shared" si="160"/>
        <v>0</v>
      </c>
      <c r="K183" s="1707">
        <f t="shared" si="160"/>
        <v>0</v>
      </c>
      <c r="L183" s="1707">
        <f t="shared" si="160"/>
        <v>0</v>
      </c>
      <c r="M183" s="3751"/>
      <c r="N183" s="3751"/>
      <c r="O183" s="3743"/>
    </row>
    <row r="184" spans="1:16" s="3369" customFormat="1" ht="13.5" thickBot="1">
      <c r="A184" s="3746"/>
      <c r="B184" s="821" t="s">
        <v>13</v>
      </c>
      <c r="C184" s="3754"/>
      <c r="D184" s="1339">
        <f>E184+F184+G184+H184+I184+J184+K184+L184</f>
        <v>3400</v>
      </c>
      <c r="E184" s="1789">
        <v>0</v>
      </c>
      <c r="F184" s="1789">
        <v>0</v>
      </c>
      <c r="G184" s="1790">
        <f>5950-2550</f>
        <v>3400</v>
      </c>
      <c r="H184" s="1791">
        <v>0</v>
      </c>
      <c r="I184" s="1791">
        <v>0</v>
      </c>
      <c r="J184" s="1791">
        <v>0</v>
      </c>
      <c r="K184" s="1791">
        <v>0</v>
      </c>
      <c r="L184" s="1791">
        <v>0</v>
      </c>
      <c r="M184" s="3751"/>
      <c r="N184" s="3751"/>
      <c r="O184" s="3743"/>
      <c r="P184" s="3370">
        <f>D184-D179</f>
        <v>0</v>
      </c>
    </row>
    <row r="185" spans="1:16" ht="12.75" customHeight="1" thickBot="1">
      <c r="A185" s="3746"/>
      <c r="B185" s="1295" t="s">
        <v>18</v>
      </c>
      <c r="C185" s="3754"/>
      <c r="D185" s="1723">
        <f t="shared" si="160"/>
        <v>28900</v>
      </c>
      <c r="E185" s="1707">
        <f t="shared" si="160"/>
        <v>0</v>
      </c>
      <c r="F185" s="1707">
        <f t="shared" si="160"/>
        <v>0</v>
      </c>
      <c r="G185" s="1304">
        <f t="shared" si="160"/>
        <v>28900</v>
      </c>
      <c r="H185" s="1707">
        <f t="shared" si="160"/>
        <v>0</v>
      </c>
      <c r="I185" s="1707">
        <f t="shared" si="160"/>
        <v>0</v>
      </c>
      <c r="J185" s="1707">
        <f t="shared" si="160"/>
        <v>0</v>
      </c>
      <c r="K185" s="1707">
        <f t="shared" si="160"/>
        <v>0</v>
      </c>
      <c r="L185" s="1707">
        <f t="shared" si="160"/>
        <v>0</v>
      </c>
      <c r="M185" s="3750"/>
      <c r="N185" s="3750"/>
      <c r="O185" s="3743"/>
    </row>
    <row r="186" spans="1:16" ht="13.5" thickBot="1">
      <c r="A186" s="3746"/>
      <c r="B186" s="2093" t="s">
        <v>20</v>
      </c>
      <c r="C186" s="3755"/>
      <c r="D186" s="779">
        <f>E186+F186+G186+H186+I186+J186+K186+L186</f>
        <v>28900</v>
      </c>
      <c r="E186" s="554">
        <v>0</v>
      </c>
      <c r="F186" s="817">
        <v>0</v>
      </c>
      <c r="G186" s="415">
        <f>50575-21675</f>
        <v>28900</v>
      </c>
      <c r="H186" s="817">
        <v>0</v>
      </c>
      <c r="I186" s="817">
        <v>0</v>
      </c>
      <c r="J186" s="817">
        <v>0</v>
      </c>
      <c r="K186" s="817">
        <v>0</v>
      </c>
      <c r="L186" s="817">
        <v>0</v>
      </c>
      <c r="M186" s="3752"/>
      <c r="N186" s="3752"/>
      <c r="O186" s="3744"/>
      <c r="P186" s="3355">
        <f>D186-D181</f>
        <v>0</v>
      </c>
    </row>
    <row r="187" spans="1:16" s="3372" customFormat="1" ht="25.5" customHeight="1" thickBot="1">
      <c r="A187" s="3746" t="s">
        <v>85</v>
      </c>
      <c r="B187" s="1146" t="s">
        <v>432</v>
      </c>
      <c r="C187" s="1147" t="s">
        <v>100</v>
      </c>
      <c r="D187" s="1081"/>
      <c r="E187" s="1081"/>
      <c r="F187" s="1081"/>
      <c r="G187" s="1081"/>
      <c r="H187" s="1081"/>
      <c r="I187" s="1081"/>
      <c r="J187" s="1081"/>
      <c r="K187" s="1081"/>
      <c r="L187" s="1081"/>
      <c r="M187" s="1081"/>
      <c r="N187" s="1081"/>
      <c r="O187" s="3740" t="s">
        <v>270</v>
      </c>
      <c r="P187" s="3371"/>
    </row>
    <row r="188" spans="1:16" s="3372" customFormat="1" ht="13.5" thickBot="1">
      <c r="A188" s="3746"/>
      <c r="B188" s="1291" t="s">
        <v>10</v>
      </c>
      <c r="C188" s="1148"/>
      <c r="D188" s="1292">
        <f>+D189+D196</f>
        <v>828175</v>
      </c>
      <c r="E188" s="1766">
        <f t="shared" ref="E188:N188" si="161">+E189+E196</f>
        <v>0</v>
      </c>
      <c r="F188" s="1766">
        <f t="shared" si="161"/>
        <v>0</v>
      </c>
      <c r="G188" s="1293">
        <f t="shared" si="161"/>
        <v>407100</v>
      </c>
      <c r="H188" s="1293">
        <f t="shared" si="161"/>
        <v>421075</v>
      </c>
      <c r="I188" s="1766">
        <f t="shared" si="161"/>
        <v>0</v>
      </c>
      <c r="J188" s="1766">
        <f t="shared" si="161"/>
        <v>0</v>
      </c>
      <c r="K188" s="1766">
        <f t="shared" si="161"/>
        <v>0</v>
      </c>
      <c r="L188" s="1766">
        <f t="shared" si="161"/>
        <v>0</v>
      </c>
      <c r="M188" s="1294">
        <f t="shared" si="161"/>
        <v>745358</v>
      </c>
      <c r="N188" s="1294">
        <f t="shared" si="161"/>
        <v>828175</v>
      </c>
      <c r="O188" s="3741"/>
      <c r="P188" s="3371"/>
    </row>
    <row r="189" spans="1:16" s="3372" customFormat="1" ht="13.5" thickBot="1">
      <c r="A189" s="3746"/>
      <c r="B189" s="1295" t="s">
        <v>23</v>
      </c>
      <c r="C189" s="3747" t="s">
        <v>423</v>
      </c>
      <c r="D189" s="1296">
        <f>+D190+D193</f>
        <v>124226</v>
      </c>
      <c r="E189" s="1767">
        <f t="shared" ref="E189:L189" si="162">+E190+E193</f>
        <v>0</v>
      </c>
      <c r="F189" s="1767">
        <f t="shared" si="162"/>
        <v>0</v>
      </c>
      <c r="G189" s="1296">
        <f t="shared" si="162"/>
        <v>61065</v>
      </c>
      <c r="H189" s="1296">
        <f t="shared" si="162"/>
        <v>63161</v>
      </c>
      <c r="I189" s="1767">
        <f t="shared" si="162"/>
        <v>0</v>
      </c>
      <c r="J189" s="1767">
        <f t="shared" si="162"/>
        <v>0</v>
      </c>
      <c r="K189" s="1767">
        <f t="shared" si="162"/>
        <v>0</v>
      </c>
      <c r="L189" s="1767">
        <f t="shared" si="162"/>
        <v>0</v>
      </c>
      <c r="M189" s="1297">
        <f t="shared" ref="M189" si="163">+M190</f>
        <v>41409</v>
      </c>
      <c r="N189" s="1297">
        <f>+N190+N193</f>
        <v>124226</v>
      </c>
      <c r="O189" s="3741"/>
      <c r="P189" s="3371"/>
    </row>
    <row r="190" spans="1:16" s="3372" customFormat="1" ht="13.5" thickBot="1">
      <c r="A190" s="3746"/>
      <c r="B190" s="1298" t="s">
        <v>12</v>
      </c>
      <c r="C190" s="3748"/>
      <c r="D190" s="1288">
        <f>E190+F190+G190+H190+I190+J190+K190+L190</f>
        <v>41409</v>
      </c>
      <c r="E190" s="1768">
        <v>0</v>
      </c>
      <c r="F190" s="1769">
        <v>0</v>
      </c>
      <c r="G190" s="1300">
        <f>G191+G192</f>
        <v>20355</v>
      </c>
      <c r="H190" s="1300">
        <f t="shared" ref="H190:L190" si="164">H191+H192</f>
        <v>21054</v>
      </c>
      <c r="I190" s="1769">
        <f t="shared" si="164"/>
        <v>0</v>
      </c>
      <c r="J190" s="1769">
        <f t="shared" si="164"/>
        <v>0</v>
      </c>
      <c r="K190" s="1769">
        <f t="shared" si="164"/>
        <v>0</v>
      </c>
      <c r="L190" s="1769">
        <f t="shared" si="164"/>
        <v>0</v>
      </c>
      <c r="M190" s="843">
        <f>SUM(F190:K190)</f>
        <v>41409</v>
      </c>
      <c r="N190" s="843">
        <f>SUM(G190:L190)</f>
        <v>41409</v>
      </c>
      <c r="O190" s="3741"/>
      <c r="P190" s="3371"/>
    </row>
    <row r="191" spans="1:16" s="3372" customFormat="1" ht="13.5" hidden="1" thickBot="1">
      <c r="A191" s="3746"/>
      <c r="B191" s="1770" t="s">
        <v>250</v>
      </c>
      <c r="C191" s="3748"/>
      <c r="D191" s="1771">
        <f>SUM(E191:L191)</f>
        <v>16432</v>
      </c>
      <c r="E191" s="1772">
        <v>0</v>
      </c>
      <c r="F191" s="1773">
        <v>0</v>
      </c>
      <c r="G191" s="1774">
        <v>7931</v>
      </c>
      <c r="H191" s="1774">
        <v>8501</v>
      </c>
      <c r="I191" s="1772">
        <v>0</v>
      </c>
      <c r="J191" s="1772">
        <v>0</v>
      </c>
      <c r="K191" s="1772">
        <v>0</v>
      </c>
      <c r="L191" s="1772">
        <v>0</v>
      </c>
      <c r="M191" s="1775"/>
      <c r="N191" s="1776">
        <f>SUM(G191:L191)</f>
        <v>16432</v>
      </c>
      <c r="O191" s="3741"/>
      <c r="P191" s="3371"/>
    </row>
    <row r="192" spans="1:16" s="3372" customFormat="1" ht="13.5" hidden="1" thickBot="1">
      <c r="A192" s="3746"/>
      <c r="B192" s="1777" t="s">
        <v>265</v>
      </c>
      <c r="C192" s="3748"/>
      <c r="D192" s="1778">
        <f>SUM(E192:L192)</f>
        <v>24977</v>
      </c>
      <c r="E192" s="1779">
        <v>0</v>
      </c>
      <c r="F192" s="1780">
        <v>0</v>
      </c>
      <c r="G192" s="1781">
        <v>12424</v>
      </c>
      <c r="H192" s="1781">
        <v>12553</v>
      </c>
      <c r="I192" s="1779">
        <v>0</v>
      </c>
      <c r="J192" s="1779">
        <v>0</v>
      </c>
      <c r="K192" s="1779">
        <v>0</v>
      </c>
      <c r="L192" s="1779">
        <v>0</v>
      </c>
      <c r="M192" s="1775"/>
      <c r="N192" s="1776">
        <f>SUM(G192:L192)</f>
        <v>24977</v>
      </c>
      <c r="O192" s="3741"/>
      <c r="P192" s="3371"/>
    </row>
    <row r="193" spans="1:16" s="3372" customFormat="1" ht="13.5" thickBot="1">
      <c r="A193" s="3746"/>
      <c r="B193" s="821" t="s">
        <v>13</v>
      </c>
      <c r="C193" s="3749"/>
      <c r="D193" s="1288">
        <f>E193+F193+G193+H193+I193+J193+K193+L193</f>
        <v>82817</v>
      </c>
      <c r="E193" s="1768">
        <v>0</v>
      </c>
      <c r="F193" s="1769">
        <v>0</v>
      </c>
      <c r="G193" s="1300">
        <f>G194+G195</f>
        <v>40710</v>
      </c>
      <c r="H193" s="1300">
        <f t="shared" ref="H193:L193" si="165">H194+H195</f>
        <v>42107</v>
      </c>
      <c r="I193" s="1769">
        <f t="shared" si="165"/>
        <v>0</v>
      </c>
      <c r="J193" s="1769">
        <f t="shared" si="165"/>
        <v>0</v>
      </c>
      <c r="K193" s="1769">
        <f t="shared" si="165"/>
        <v>0</v>
      </c>
      <c r="L193" s="1769">
        <f t="shared" si="165"/>
        <v>0</v>
      </c>
      <c r="M193" s="1782"/>
      <c r="N193" s="843">
        <f t="shared" ref="N193:N195" si="166">SUM(G193:L193)</f>
        <v>82817</v>
      </c>
      <c r="O193" s="3741"/>
      <c r="P193" s="3371"/>
    </row>
    <row r="194" spans="1:16" s="3372" customFormat="1" ht="13.5" hidden="1" thickBot="1">
      <c r="A194" s="3746"/>
      <c r="B194" s="1770" t="s">
        <v>250</v>
      </c>
      <c r="C194" s="3749"/>
      <c r="D194" s="1771">
        <f>SUM(E194:L194)</f>
        <v>32863</v>
      </c>
      <c r="E194" s="1772">
        <v>0</v>
      </c>
      <c r="F194" s="1773">
        <v>0</v>
      </c>
      <c r="G194" s="1774">
        <v>15862</v>
      </c>
      <c r="H194" s="1774">
        <v>17001</v>
      </c>
      <c r="I194" s="1772">
        <v>0</v>
      </c>
      <c r="J194" s="1772">
        <v>0</v>
      </c>
      <c r="K194" s="1772">
        <v>0</v>
      </c>
      <c r="L194" s="1772">
        <v>0</v>
      </c>
      <c r="M194" s="1784"/>
      <c r="N194" s="862">
        <f t="shared" si="166"/>
        <v>32863</v>
      </c>
      <c r="O194" s="3741"/>
      <c r="P194" s="3371"/>
    </row>
    <row r="195" spans="1:16" s="3372" customFormat="1" ht="13.5" hidden="1" thickBot="1">
      <c r="A195" s="3746"/>
      <c r="B195" s="1777" t="s">
        <v>265</v>
      </c>
      <c r="C195" s="3749"/>
      <c r="D195" s="1778">
        <f>SUM(E195:L195)</f>
        <v>49954</v>
      </c>
      <c r="E195" s="1779">
        <v>0</v>
      </c>
      <c r="F195" s="1780">
        <v>0</v>
      </c>
      <c r="G195" s="1781">
        <v>24848</v>
      </c>
      <c r="H195" s="1781">
        <v>25106</v>
      </c>
      <c r="I195" s="1779">
        <v>0</v>
      </c>
      <c r="J195" s="1779">
        <v>0</v>
      </c>
      <c r="K195" s="1779">
        <v>0</v>
      </c>
      <c r="L195" s="1779">
        <v>0</v>
      </c>
      <c r="M195" s="1784"/>
      <c r="N195" s="862">
        <f t="shared" si="166"/>
        <v>49954</v>
      </c>
      <c r="O195" s="3741"/>
      <c r="P195" s="3371"/>
    </row>
    <row r="196" spans="1:16" s="3372" customFormat="1" ht="13.5" thickBot="1">
      <c r="A196" s="3746"/>
      <c r="B196" s="1295" t="s">
        <v>18</v>
      </c>
      <c r="C196" s="3748"/>
      <c r="D196" s="1304">
        <f>+D197</f>
        <v>703949</v>
      </c>
      <c r="E196" s="1707">
        <f t="shared" ref="E196:L196" si="167">+E197</f>
        <v>0</v>
      </c>
      <c r="F196" s="1707">
        <f t="shared" si="167"/>
        <v>0</v>
      </c>
      <c r="G196" s="1304">
        <f t="shared" si="167"/>
        <v>346035</v>
      </c>
      <c r="H196" s="1304">
        <f t="shared" si="167"/>
        <v>357914</v>
      </c>
      <c r="I196" s="1707">
        <f t="shared" si="167"/>
        <v>0</v>
      </c>
      <c r="J196" s="1707">
        <f t="shared" si="167"/>
        <v>0</v>
      </c>
      <c r="K196" s="1707">
        <f t="shared" si="167"/>
        <v>0</v>
      </c>
      <c r="L196" s="1707">
        <f t="shared" si="167"/>
        <v>0</v>
      </c>
      <c r="M196" s="1305">
        <f>+M197</f>
        <v>703949</v>
      </c>
      <c r="N196" s="1305">
        <f>+N197</f>
        <v>703949</v>
      </c>
      <c r="O196" s="3741"/>
      <c r="P196" s="3371"/>
    </row>
    <row r="197" spans="1:16" s="3372" customFormat="1" ht="13.5" thickBot="1">
      <c r="A197" s="3746"/>
      <c r="B197" s="1298" t="s">
        <v>20</v>
      </c>
      <c r="C197" s="3748"/>
      <c r="D197" s="1288">
        <f>E197+F197+G197+H197+I197+J197+K197+L197</f>
        <v>703949</v>
      </c>
      <c r="E197" s="1768">
        <v>0</v>
      </c>
      <c r="F197" s="1785">
        <v>0</v>
      </c>
      <c r="G197" s="1301">
        <f>G198+G199</f>
        <v>346035</v>
      </c>
      <c r="H197" s="1301">
        <f t="shared" ref="H197:L197" si="168">H198+H199</f>
        <v>357914</v>
      </c>
      <c r="I197" s="1785">
        <f t="shared" si="168"/>
        <v>0</v>
      </c>
      <c r="J197" s="1785">
        <f t="shared" si="168"/>
        <v>0</v>
      </c>
      <c r="K197" s="1785">
        <f t="shared" si="168"/>
        <v>0</v>
      </c>
      <c r="L197" s="1785">
        <f t="shared" si="168"/>
        <v>0</v>
      </c>
      <c r="M197" s="862">
        <f>SUM(F197:K197)</f>
        <v>703949</v>
      </c>
      <c r="N197" s="862">
        <f>SUM(G197:L197)</f>
        <v>703949</v>
      </c>
      <c r="O197" s="3741"/>
      <c r="P197" s="3371"/>
    </row>
    <row r="198" spans="1:16" s="3372" customFormat="1" ht="13.5" hidden="1" thickBot="1">
      <c r="A198" s="3746"/>
      <c r="B198" s="1770" t="s">
        <v>250</v>
      </c>
      <c r="C198" s="1786"/>
      <c r="D198" s="1771">
        <f>SUM(E198:L198)</f>
        <v>279340</v>
      </c>
      <c r="E198" s="1772">
        <v>0</v>
      </c>
      <c r="F198" s="1772">
        <v>0</v>
      </c>
      <c r="G198" s="1774">
        <v>134827</v>
      </c>
      <c r="H198" s="1774">
        <v>144513</v>
      </c>
      <c r="I198" s="1772">
        <v>0</v>
      </c>
      <c r="J198" s="1772">
        <v>0</v>
      </c>
      <c r="K198" s="1772">
        <v>0</v>
      </c>
      <c r="L198" s="1772">
        <v>0</v>
      </c>
      <c r="M198" s="1775"/>
      <c r="N198" s="1776">
        <f>SUM(G198:L198)</f>
        <v>279340</v>
      </c>
      <c r="O198" s="3741"/>
      <c r="P198" s="3371"/>
    </row>
    <row r="199" spans="1:16" s="3372" customFormat="1" ht="13.5" hidden="1" thickBot="1">
      <c r="A199" s="3746"/>
      <c r="B199" s="1777" t="s">
        <v>265</v>
      </c>
      <c r="C199" s="1787"/>
      <c r="D199" s="1778">
        <f>SUM(E199:L199)</f>
        <v>424609</v>
      </c>
      <c r="E199" s="1779">
        <v>0</v>
      </c>
      <c r="F199" s="1779">
        <v>0</v>
      </c>
      <c r="G199" s="1781">
        <v>211208</v>
      </c>
      <c r="H199" s="1781">
        <v>213401</v>
      </c>
      <c r="I199" s="1779">
        <v>0</v>
      </c>
      <c r="J199" s="1779">
        <v>0</v>
      </c>
      <c r="K199" s="1779">
        <v>0</v>
      </c>
      <c r="L199" s="1779">
        <v>0</v>
      </c>
      <c r="M199" s="1775"/>
      <c r="N199" s="1776">
        <f>SUM(G199:L199)</f>
        <v>424609</v>
      </c>
      <c r="O199" s="3756"/>
      <c r="P199" s="3371"/>
    </row>
    <row r="200" spans="1:16" s="3372" customFormat="1" ht="13.5" thickBot="1">
      <c r="A200" s="3838"/>
      <c r="B200" s="1291" t="s">
        <v>21</v>
      </c>
      <c r="C200" s="1291"/>
      <c r="D200" s="1307">
        <f>D203+D201</f>
        <v>786766</v>
      </c>
      <c r="E200" s="1788">
        <f t="shared" ref="E200:L200" si="169">E203+E201</f>
        <v>0</v>
      </c>
      <c r="F200" s="1788">
        <f t="shared" si="169"/>
        <v>0</v>
      </c>
      <c r="G200" s="1307">
        <f t="shared" si="169"/>
        <v>386745</v>
      </c>
      <c r="H200" s="1307">
        <f t="shared" si="169"/>
        <v>400021</v>
      </c>
      <c r="I200" s="1788">
        <f t="shared" si="169"/>
        <v>0</v>
      </c>
      <c r="J200" s="1788">
        <f t="shared" si="169"/>
        <v>0</v>
      </c>
      <c r="K200" s="1788">
        <f t="shared" si="169"/>
        <v>0</v>
      </c>
      <c r="L200" s="1788">
        <f t="shared" si="169"/>
        <v>0</v>
      </c>
      <c r="M200" s="3750" t="s">
        <v>53</v>
      </c>
      <c r="N200" s="3716" t="s">
        <v>53</v>
      </c>
      <c r="O200" s="3839" t="s">
        <v>422</v>
      </c>
      <c r="P200" s="3371"/>
    </row>
    <row r="201" spans="1:16" s="3372" customFormat="1" ht="13.5" thickBot="1">
      <c r="A201" s="3838"/>
      <c r="B201" s="1738" t="s">
        <v>23</v>
      </c>
      <c r="C201" s="3841" t="s">
        <v>327</v>
      </c>
      <c r="D201" s="1304">
        <f t="shared" ref="D201:L203" si="170">+D202</f>
        <v>82817</v>
      </c>
      <c r="E201" s="1707">
        <f t="shared" si="170"/>
        <v>0</v>
      </c>
      <c r="F201" s="1707">
        <f t="shared" si="170"/>
        <v>0</v>
      </c>
      <c r="G201" s="1304">
        <f t="shared" si="170"/>
        <v>40710</v>
      </c>
      <c r="H201" s="1304">
        <f t="shared" si="170"/>
        <v>42107</v>
      </c>
      <c r="I201" s="1707">
        <f t="shared" si="170"/>
        <v>0</v>
      </c>
      <c r="J201" s="1707">
        <f t="shared" si="170"/>
        <v>0</v>
      </c>
      <c r="K201" s="1707">
        <f t="shared" si="170"/>
        <v>0</v>
      </c>
      <c r="L201" s="1707">
        <f t="shared" si="170"/>
        <v>0</v>
      </c>
      <c r="M201" s="3751"/>
      <c r="N201" s="3605"/>
      <c r="O201" s="3840"/>
      <c r="P201" s="3371"/>
    </row>
    <row r="202" spans="1:16" s="3372" customFormat="1" ht="13.5" thickBot="1">
      <c r="A202" s="3838"/>
      <c r="B202" s="821" t="s">
        <v>13</v>
      </c>
      <c r="C202" s="3842"/>
      <c r="D202" s="1339">
        <f>E202+F202+G202+H202+I202+J202+K202+L202</f>
        <v>82817</v>
      </c>
      <c r="E202" s="1789">
        <v>0</v>
      </c>
      <c r="F202" s="1789">
        <v>0</v>
      </c>
      <c r="G202" s="1790">
        <v>40710</v>
      </c>
      <c r="H202" s="1790">
        <v>42107</v>
      </c>
      <c r="I202" s="1789">
        <v>0</v>
      </c>
      <c r="J202" s="1789">
        <v>0</v>
      </c>
      <c r="K202" s="1789">
        <v>0</v>
      </c>
      <c r="L202" s="1789">
        <v>0</v>
      </c>
      <c r="M202" s="3751"/>
      <c r="N202" s="3605"/>
      <c r="O202" s="3840"/>
      <c r="P202" s="3371"/>
    </row>
    <row r="203" spans="1:16" s="3372" customFormat="1" ht="13.5" thickBot="1">
      <c r="A203" s="3838"/>
      <c r="B203" s="1295" t="s">
        <v>18</v>
      </c>
      <c r="C203" s="3842"/>
      <c r="D203" s="1723">
        <f t="shared" si="170"/>
        <v>703949</v>
      </c>
      <c r="E203" s="1707">
        <f t="shared" si="170"/>
        <v>0</v>
      </c>
      <c r="F203" s="1707">
        <f t="shared" si="170"/>
        <v>0</v>
      </c>
      <c r="G203" s="1304">
        <f t="shared" si="170"/>
        <v>346035</v>
      </c>
      <c r="H203" s="1304">
        <f t="shared" si="170"/>
        <v>357914</v>
      </c>
      <c r="I203" s="1707">
        <f t="shared" si="170"/>
        <v>0</v>
      </c>
      <c r="J203" s="1707">
        <f t="shared" si="170"/>
        <v>0</v>
      </c>
      <c r="K203" s="1707">
        <f t="shared" si="170"/>
        <v>0</v>
      </c>
      <c r="L203" s="1707">
        <f t="shared" si="170"/>
        <v>0</v>
      </c>
      <c r="M203" s="3750"/>
      <c r="N203" s="3605"/>
      <c r="O203" s="3840"/>
      <c r="P203" s="3371"/>
    </row>
    <row r="204" spans="1:16" s="3372" customFormat="1" ht="13.5" thickBot="1">
      <c r="A204" s="3838"/>
      <c r="B204" s="534" t="s">
        <v>20</v>
      </c>
      <c r="C204" s="3842"/>
      <c r="D204" s="2031">
        <f>E204+F204+G204+H204+I204+J204+K204+L204</f>
        <v>703949</v>
      </c>
      <c r="E204" s="2478">
        <v>0</v>
      </c>
      <c r="F204" s="1663">
        <v>0</v>
      </c>
      <c r="G204" s="1662">
        <v>346035</v>
      </c>
      <c r="H204" s="1662">
        <v>357914</v>
      </c>
      <c r="I204" s="1663">
        <v>0</v>
      </c>
      <c r="J204" s="1663">
        <v>0</v>
      </c>
      <c r="K204" s="1663">
        <v>0</v>
      </c>
      <c r="L204" s="1663">
        <v>0</v>
      </c>
      <c r="M204" s="3752"/>
      <c r="N204" s="3605"/>
      <c r="O204" s="3840"/>
      <c r="P204" s="3371"/>
    </row>
    <row r="205" spans="1:16" s="3372" customFormat="1" ht="24.75" customHeight="1" thickBot="1">
      <c r="A205" s="3837" t="s">
        <v>86</v>
      </c>
      <c r="B205" s="1146" t="s">
        <v>430</v>
      </c>
      <c r="C205" s="1147" t="s">
        <v>100</v>
      </c>
      <c r="D205" s="1081"/>
      <c r="E205" s="1081"/>
      <c r="F205" s="1081"/>
      <c r="G205" s="1081"/>
      <c r="H205" s="1081"/>
      <c r="I205" s="1081"/>
      <c r="J205" s="1081"/>
      <c r="K205" s="1081"/>
      <c r="L205" s="1081"/>
      <c r="M205" s="1081"/>
      <c r="N205" s="1081"/>
      <c r="O205" s="3832" t="s">
        <v>270</v>
      </c>
      <c r="P205" s="3371"/>
    </row>
    <row r="206" spans="1:16" s="3372" customFormat="1" ht="13.5" thickBot="1">
      <c r="A206" s="3760"/>
      <c r="B206" s="1291" t="s">
        <v>10</v>
      </c>
      <c r="C206" s="1148"/>
      <c r="D206" s="1292">
        <f t="shared" ref="D206:N206" si="171">+D207+D211</f>
        <v>10175942</v>
      </c>
      <c r="E206" s="1766">
        <f t="shared" si="171"/>
        <v>0</v>
      </c>
      <c r="F206" s="1766">
        <f t="shared" si="171"/>
        <v>0</v>
      </c>
      <c r="G206" s="1293">
        <f t="shared" si="171"/>
        <v>550000</v>
      </c>
      <c r="H206" s="1293">
        <f t="shared" si="171"/>
        <v>4122312</v>
      </c>
      <c r="I206" s="1293">
        <f t="shared" si="171"/>
        <v>2739330</v>
      </c>
      <c r="J206" s="1293">
        <f t="shared" si="171"/>
        <v>2327050</v>
      </c>
      <c r="K206" s="1293">
        <f t="shared" si="171"/>
        <v>437250</v>
      </c>
      <c r="L206" s="1766">
        <f t="shared" si="171"/>
        <v>0</v>
      </c>
      <c r="M206" s="1294" t="e">
        <f t="shared" si="171"/>
        <v>#REF!</v>
      </c>
      <c r="N206" s="1294">
        <f t="shared" si="171"/>
        <v>10175942</v>
      </c>
      <c r="O206" s="3832"/>
      <c r="P206" s="3371"/>
    </row>
    <row r="207" spans="1:16" s="3372" customFormat="1" ht="13.5" thickBot="1">
      <c r="A207" s="3760"/>
      <c r="B207" s="1295" t="s">
        <v>23</v>
      </c>
      <c r="C207" s="3747" t="s">
        <v>267</v>
      </c>
      <c r="D207" s="1296">
        <f>+D208</f>
        <v>1599658</v>
      </c>
      <c r="E207" s="1767">
        <f t="shared" ref="E207:L207" si="172">+E208</f>
        <v>0</v>
      </c>
      <c r="F207" s="1767">
        <f t="shared" si="172"/>
        <v>0</v>
      </c>
      <c r="G207" s="1296">
        <f t="shared" si="172"/>
        <v>86460</v>
      </c>
      <c r="H207" s="1296">
        <f t="shared" si="172"/>
        <v>648027</v>
      </c>
      <c r="I207" s="1296">
        <f t="shared" si="172"/>
        <v>430623</v>
      </c>
      <c r="J207" s="1296">
        <f t="shared" si="172"/>
        <v>365812</v>
      </c>
      <c r="K207" s="1296">
        <f t="shared" si="172"/>
        <v>68736</v>
      </c>
      <c r="L207" s="1767">
        <f t="shared" si="172"/>
        <v>0</v>
      </c>
      <c r="M207" s="1297" t="e">
        <f>+#REF!</f>
        <v>#REF!</v>
      </c>
      <c r="N207" s="1297">
        <f>+N208</f>
        <v>1599658</v>
      </c>
      <c r="O207" s="3832"/>
      <c r="P207" s="3371"/>
    </row>
    <row r="208" spans="1:16" s="3372" customFormat="1" ht="13.5" thickBot="1">
      <c r="A208" s="3761"/>
      <c r="B208" s="821" t="s">
        <v>13</v>
      </c>
      <c r="C208" s="3749"/>
      <c r="D208" s="1288">
        <f>E208+F208+G208+H208+I208+J208+K208+L208</f>
        <v>1599658</v>
      </c>
      <c r="E208" s="1768">
        <v>0</v>
      </c>
      <c r="F208" s="1769">
        <v>0</v>
      </c>
      <c r="G208" s="1300">
        <f>G209+G210</f>
        <v>86460</v>
      </c>
      <c r="H208" s="1300">
        <f t="shared" ref="H208:L208" si="173">H209+H210</f>
        <v>648027</v>
      </c>
      <c r="I208" s="1300">
        <f t="shared" si="173"/>
        <v>430623</v>
      </c>
      <c r="J208" s="1300">
        <f t="shared" si="173"/>
        <v>365812</v>
      </c>
      <c r="K208" s="1300">
        <f t="shared" si="173"/>
        <v>68736</v>
      </c>
      <c r="L208" s="1769">
        <f t="shared" si="173"/>
        <v>0</v>
      </c>
      <c r="M208" s="1782"/>
      <c r="N208" s="843">
        <f>SUM(G208:L208)</f>
        <v>1599658</v>
      </c>
      <c r="O208" s="3832"/>
      <c r="P208" s="3371">
        <f>D208-D217</f>
        <v>0</v>
      </c>
    </row>
    <row r="209" spans="1:16" s="3372" customFormat="1" ht="13.5" hidden="1" thickBot="1">
      <c r="A209" s="3761"/>
      <c r="B209" s="1770" t="s">
        <v>250</v>
      </c>
      <c r="C209" s="3749"/>
      <c r="D209" s="1771">
        <f>SUM(E209:L209)</f>
        <v>157767</v>
      </c>
      <c r="E209" s="1772">
        <v>0</v>
      </c>
      <c r="F209" s="1773">
        <v>0</v>
      </c>
      <c r="G209" s="1774">
        <v>14831</v>
      </c>
      <c r="H209" s="1774">
        <v>54829</v>
      </c>
      <c r="I209" s="1774">
        <v>41576</v>
      </c>
      <c r="J209" s="1774">
        <v>37625</v>
      </c>
      <c r="K209" s="1774">
        <v>8906</v>
      </c>
      <c r="L209" s="1772">
        <v>0</v>
      </c>
      <c r="M209" s="1784"/>
      <c r="N209" s="862">
        <f t="shared" ref="N209:N210" si="174">SUM(G209:L209)</f>
        <v>157767</v>
      </c>
      <c r="O209" s="3832"/>
      <c r="P209" s="3371"/>
    </row>
    <row r="210" spans="1:16" s="3372" customFormat="1" ht="13.5" hidden="1" thickBot="1">
      <c r="A210" s="3761"/>
      <c r="B210" s="1777" t="s">
        <v>265</v>
      </c>
      <c r="C210" s="3749"/>
      <c r="D210" s="1778">
        <f>SUM(E210:L210)</f>
        <v>1441891</v>
      </c>
      <c r="E210" s="1779">
        <v>0</v>
      </c>
      <c r="F210" s="1780">
        <v>0</v>
      </c>
      <c r="G210" s="1781">
        <v>71629</v>
      </c>
      <c r="H210" s="1781">
        <v>593198</v>
      </c>
      <c r="I210" s="1781">
        <v>389047</v>
      </c>
      <c r="J210" s="1781">
        <v>328187</v>
      </c>
      <c r="K210" s="1781">
        <v>59830</v>
      </c>
      <c r="L210" s="1779">
        <v>0</v>
      </c>
      <c r="M210" s="1784"/>
      <c r="N210" s="862">
        <f t="shared" si="174"/>
        <v>1441891</v>
      </c>
      <c r="O210" s="3832"/>
      <c r="P210" s="3371"/>
    </row>
    <row r="211" spans="1:16" s="3372" customFormat="1" ht="13.5" thickBot="1">
      <c r="A211" s="3760"/>
      <c r="B211" s="1295" t="s">
        <v>18</v>
      </c>
      <c r="C211" s="3748"/>
      <c r="D211" s="1304">
        <f>+D212</f>
        <v>8576284</v>
      </c>
      <c r="E211" s="1707">
        <f t="shared" ref="E211:L211" si="175">+E212</f>
        <v>0</v>
      </c>
      <c r="F211" s="1707">
        <f t="shared" si="175"/>
        <v>0</v>
      </c>
      <c r="G211" s="1304">
        <f t="shared" si="175"/>
        <v>463540</v>
      </c>
      <c r="H211" s="1304">
        <f t="shared" si="175"/>
        <v>3474285</v>
      </c>
      <c r="I211" s="1304">
        <f t="shared" si="175"/>
        <v>2308707</v>
      </c>
      <c r="J211" s="1304">
        <f t="shared" si="175"/>
        <v>1961238</v>
      </c>
      <c r="K211" s="1304">
        <f t="shared" si="175"/>
        <v>368514</v>
      </c>
      <c r="L211" s="1707">
        <f t="shared" si="175"/>
        <v>0</v>
      </c>
      <c r="M211" s="1305">
        <f>+M212</f>
        <v>8576284</v>
      </c>
      <c r="N211" s="1305">
        <f>+N212</f>
        <v>8576284</v>
      </c>
      <c r="O211" s="3832"/>
      <c r="P211" s="3371"/>
    </row>
    <row r="212" spans="1:16" s="3372" customFormat="1" ht="13.5" thickBot="1">
      <c r="A212" s="3760"/>
      <c r="B212" s="1298" t="s">
        <v>20</v>
      </c>
      <c r="C212" s="3748"/>
      <c r="D212" s="1288">
        <f>E212+F212+G212+H212+I212+J212+K212+L212</f>
        <v>8576284</v>
      </c>
      <c r="E212" s="1768">
        <v>0</v>
      </c>
      <c r="F212" s="1785">
        <v>0</v>
      </c>
      <c r="G212" s="1301">
        <f>G213+G214</f>
        <v>463540</v>
      </c>
      <c r="H212" s="1301">
        <f t="shared" ref="H212:L212" si="176">H213+H214</f>
        <v>3474285</v>
      </c>
      <c r="I212" s="1301">
        <f t="shared" si="176"/>
        <v>2308707</v>
      </c>
      <c r="J212" s="1301">
        <f t="shared" si="176"/>
        <v>1961238</v>
      </c>
      <c r="K212" s="1301">
        <f t="shared" si="176"/>
        <v>368514</v>
      </c>
      <c r="L212" s="1785">
        <f t="shared" si="176"/>
        <v>0</v>
      </c>
      <c r="M212" s="862">
        <f>SUM(F212:K212)</f>
        <v>8576284</v>
      </c>
      <c r="N212" s="862">
        <f>SUM(G212:L212)</f>
        <v>8576284</v>
      </c>
      <c r="O212" s="3832"/>
      <c r="P212" s="3371">
        <f>D212-D219</f>
        <v>0</v>
      </c>
    </row>
    <row r="213" spans="1:16" s="3372" customFormat="1" ht="13.5" hidden="1" thickBot="1">
      <c r="A213" s="3760"/>
      <c r="B213" s="1770" t="s">
        <v>250</v>
      </c>
      <c r="C213" s="1786"/>
      <c r="D213" s="1771">
        <f>SUM(E213:L213)</f>
        <v>845836</v>
      </c>
      <c r="E213" s="1772">
        <v>0</v>
      </c>
      <c r="F213" s="1772">
        <v>0</v>
      </c>
      <c r="G213" s="1774">
        <v>79510</v>
      </c>
      <c r="H213" s="1774">
        <v>293952</v>
      </c>
      <c r="I213" s="1774">
        <v>222904</v>
      </c>
      <c r="J213" s="1774">
        <v>201723</v>
      </c>
      <c r="K213" s="1774">
        <v>47747</v>
      </c>
      <c r="L213" s="1772">
        <v>0</v>
      </c>
      <c r="M213" s="1775"/>
      <c r="N213" s="1776">
        <f>SUM(G213:L213)</f>
        <v>845836</v>
      </c>
      <c r="O213" s="3832"/>
      <c r="P213" s="3371"/>
    </row>
    <row r="214" spans="1:16" s="3372" customFormat="1" hidden="1">
      <c r="A214" s="3760"/>
      <c r="B214" s="1777" t="s">
        <v>265</v>
      </c>
      <c r="C214" s="1787"/>
      <c r="D214" s="1778">
        <f>SUM(E214:L214)</f>
        <v>7730448</v>
      </c>
      <c r="E214" s="1779">
        <v>0</v>
      </c>
      <c r="F214" s="1779">
        <v>0</v>
      </c>
      <c r="G214" s="1781">
        <v>384030</v>
      </c>
      <c r="H214" s="1781">
        <v>3180333</v>
      </c>
      <c r="I214" s="1781">
        <v>2085803</v>
      </c>
      <c r="J214" s="1781">
        <v>1759515</v>
      </c>
      <c r="K214" s="1781">
        <v>320767</v>
      </c>
      <c r="L214" s="1779">
        <v>0</v>
      </c>
      <c r="M214" s="1775"/>
      <c r="N214" s="1776">
        <f>SUM(G214:L214)</f>
        <v>7730448</v>
      </c>
      <c r="O214" s="3833"/>
      <c r="P214" s="3371"/>
    </row>
    <row r="215" spans="1:16" s="3372" customFormat="1">
      <c r="A215" s="3762"/>
      <c r="B215" s="1291" t="s">
        <v>21</v>
      </c>
      <c r="C215" s="1291"/>
      <c r="D215" s="1307">
        <f>D218+D216</f>
        <v>10175942</v>
      </c>
      <c r="E215" s="1788">
        <f t="shared" ref="E215:L215" si="177">E218+E216</f>
        <v>0</v>
      </c>
      <c r="F215" s="1788">
        <f t="shared" si="177"/>
        <v>0</v>
      </c>
      <c r="G215" s="1307">
        <f t="shared" si="177"/>
        <v>550000</v>
      </c>
      <c r="H215" s="1307">
        <f t="shared" si="177"/>
        <v>4122312</v>
      </c>
      <c r="I215" s="1307">
        <f t="shared" si="177"/>
        <v>2739330</v>
      </c>
      <c r="J215" s="1307">
        <f t="shared" si="177"/>
        <v>2327050</v>
      </c>
      <c r="K215" s="1307">
        <f t="shared" si="177"/>
        <v>437250</v>
      </c>
      <c r="L215" s="1788">
        <f t="shared" si="177"/>
        <v>0</v>
      </c>
      <c r="M215" s="3750" t="s">
        <v>53</v>
      </c>
      <c r="N215" s="3750" t="s">
        <v>53</v>
      </c>
      <c r="O215" s="3742" t="s">
        <v>265</v>
      </c>
      <c r="P215" s="3371"/>
    </row>
    <row r="216" spans="1:16" s="3372" customFormat="1">
      <c r="A216" s="3763"/>
      <c r="B216" s="1738" t="s">
        <v>23</v>
      </c>
      <c r="C216" s="3765" t="s">
        <v>424</v>
      </c>
      <c r="D216" s="1304">
        <f t="shared" ref="D216:L218" si="178">+D217</f>
        <v>1599658</v>
      </c>
      <c r="E216" s="1707">
        <f t="shared" si="178"/>
        <v>0</v>
      </c>
      <c r="F216" s="1707">
        <f t="shared" si="178"/>
        <v>0</v>
      </c>
      <c r="G216" s="1304">
        <f t="shared" si="178"/>
        <v>86460</v>
      </c>
      <c r="H216" s="1304">
        <f t="shared" si="178"/>
        <v>648027</v>
      </c>
      <c r="I216" s="1304">
        <f t="shared" si="178"/>
        <v>430623</v>
      </c>
      <c r="J216" s="1304">
        <f t="shared" si="178"/>
        <v>365812</v>
      </c>
      <c r="K216" s="1304">
        <f t="shared" si="178"/>
        <v>68736</v>
      </c>
      <c r="L216" s="1707">
        <f t="shared" si="178"/>
        <v>0</v>
      </c>
      <c r="M216" s="3751"/>
      <c r="N216" s="3751"/>
      <c r="O216" s="3743"/>
      <c r="P216" s="3371"/>
    </row>
    <row r="217" spans="1:16" s="3372" customFormat="1">
      <c r="A217" s="3763"/>
      <c r="B217" s="821" t="s">
        <v>13</v>
      </c>
      <c r="C217" s="3754"/>
      <c r="D217" s="1339">
        <f>E217+F217+G217+H217+I217+J217+K217+L217</f>
        <v>1599658</v>
      </c>
      <c r="E217" s="1789">
        <v>0</v>
      </c>
      <c r="F217" s="1789">
        <v>0</v>
      </c>
      <c r="G217" s="1790">
        <v>86460</v>
      </c>
      <c r="H217" s="1790">
        <v>648027</v>
      </c>
      <c r="I217" s="1790">
        <v>430623</v>
      </c>
      <c r="J217" s="1790">
        <v>365812</v>
      </c>
      <c r="K217" s="1790">
        <v>68736</v>
      </c>
      <c r="L217" s="1789">
        <v>0</v>
      </c>
      <c r="M217" s="3751"/>
      <c r="N217" s="3751"/>
      <c r="O217" s="3743"/>
      <c r="P217" s="3371"/>
    </row>
    <row r="218" spans="1:16" s="3372" customFormat="1">
      <c r="A218" s="3762"/>
      <c r="B218" s="1295" t="s">
        <v>18</v>
      </c>
      <c r="C218" s="3754"/>
      <c r="D218" s="1723">
        <f t="shared" si="178"/>
        <v>8576284</v>
      </c>
      <c r="E218" s="1707">
        <f t="shared" si="178"/>
        <v>0</v>
      </c>
      <c r="F218" s="1707">
        <f t="shared" si="178"/>
        <v>0</v>
      </c>
      <c r="G218" s="1304">
        <f t="shared" si="178"/>
        <v>463540</v>
      </c>
      <c r="H218" s="1304">
        <f t="shared" si="178"/>
        <v>3474285</v>
      </c>
      <c r="I218" s="1304">
        <f t="shared" si="178"/>
        <v>2308707</v>
      </c>
      <c r="J218" s="1304">
        <f t="shared" si="178"/>
        <v>1961238</v>
      </c>
      <c r="K218" s="1304">
        <f t="shared" si="178"/>
        <v>368514</v>
      </c>
      <c r="L218" s="1707">
        <f t="shared" si="178"/>
        <v>0</v>
      </c>
      <c r="M218" s="3750"/>
      <c r="N218" s="3750"/>
      <c r="O218" s="3743"/>
      <c r="P218" s="3371"/>
    </row>
    <row r="219" spans="1:16" s="3372" customFormat="1" ht="13.5" thickBot="1">
      <c r="A219" s="3764"/>
      <c r="B219" s="534" t="s">
        <v>20</v>
      </c>
      <c r="C219" s="3755"/>
      <c r="D219" s="779">
        <f>E219+F219+G219+H219+I219+J219+K219+L219</f>
        <v>8576284</v>
      </c>
      <c r="E219" s="554">
        <v>0</v>
      </c>
      <c r="F219" s="817">
        <v>0</v>
      </c>
      <c r="G219" s="415">
        <v>463540</v>
      </c>
      <c r="H219" s="415">
        <v>3474285</v>
      </c>
      <c r="I219" s="415">
        <v>2308707</v>
      </c>
      <c r="J219" s="415">
        <v>1961238</v>
      </c>
      <c r="K219" s="415">
        <v>368514</v>
      </c>
      <c r="L219" s="817">
        <v>0</v>
      </c>
      <c r="M219" s="3752"/>
      <c r="N219" s="3752"/>
      <c r="O219" s="3744"/>
      <c r="P219" s="3371"/>
    </row>
    <row r="220" spans="1:16" s="3372" customFormat="1" ht="15.75" customHeight="1">
      <c r="A220" s="3837" t="s">
        <v>87</v>
      </c>
      <c r="B220" s="1146" t="s">
        <v>431</v>
      </c>
      <c r="C220" s="1147" t="s">
        <v>100</v>
      </c>
      <c r="D220" s="1081"/>
      <c r="E220" s="1081"/>
      <c r="F220" s="1081"/>
      <c r="G220" s="1081"/>
      <c r="H220" s="1081"/>
      <c r="I220" s="1081"/>
      <c r="J220" s="1081"/>
      <c r="K220" s="1081"/>
      <c r="L220" s="1081"/>
      <c r="M220" s="1081"/>
      <c r="N220" s="1081"/>
      <c r="O220" s="3740" t="s">
        <v>270</v>
      </c>
      <c r="P220" s="3371"/>
    </row>
    <row r="221" spans="1:16" s="3372" customFormat="1">
      <c r="A221" s="3760"/>
      <c r="B221" s="1291" t="s">
        <v>10</v>
      </c>
      <c r="C221" s="1148"/>
      <c r="D221" s="1292">
        <f>+D222+D229</f>
        <v>3546922</v>
      </c>
      <c r="E221" s="1766">
        <f t="shared" ref="E221:N221" si="179">+E222+E229</f>
        <v>0</v>
      </c>
      <c r="F221" s="1766">
        <f t="shared" si="179"/>
        <v>0</v>
      </c>
      <c r="G221" s="1293">
        <f t="shared" si="179"/>
        <v>1133912</v>
      </c>
      <c r="H221" s="1293">
        <f t="shared" si="179"/>
        <v>1207224</v>
      </c>
      <c r="I221" s="1293">
        <f t="shared" si="179"/>
        <v>1205786</v>
      </c>
      <c r="J221" s="1766">
        <f t="shared" si="179"/>
        <v>0</v>
      </c>
      <c r="K221" s="1766">
        <f t="shared" si="179"/>
        <v>0</v>
      </c>
      <c r="L221" s="1766">
        <f t="shared" si="179"/>
        <v>0</v>
      </c>
      <c r="M221" s="1294">
        <f t="shared" si="179"/>
        <v>3192230</v>
      </c>
      <c r="N221" s="1294">
        <f t="shared" si="179"/>
        <v>3546922</v>
      </c>
      <c r="O221" s="3741"/>
      <c r="P221" s="3371"/>
    </row>
    <row r="222" spans="1:16" s="3372" customFormat="1" ht="12.75" customHeight="1">
      <c r="A222" s="3760"/>
      <c r="B222" s="1295" t="s">
        <v>23</v>
      </c>
      <c r="C222" s="3747" t="s">
        <v>423</v>
      </c>
      <c r="D222" s="1296">
        <f>+D223+D226</f>
        <v>532038</v>
      </c>
      <c r="E222" s="1767">
        <f t="shared" ref="E222:L222" si="180">+E223+E226</f>
        <v>0</v>
      </c>
      <c r="F222" s="1767">
        <f t="shared" si="180"/>
        <v>0</v>
      </c>
      <c r="G222" s="1296">
        <f t="shared" si="180"/>
        <v>170087</v>
      </c>
      <c r="H222" s="1296">
        <f t="shared" si="180"/>
        <v>181083</v>
      </c>
      <c r="I222" s="1296">
        <f t="shared" si="180"/>
        <v>180868</v>
      </c>
      <c r="J222" s="1767">
        <f t="shared" si="180"/>
        <v>0</v>
      </c>
      <c r="K222" s="1767">
        <f t="shared" si="180"/>
        <v>0</v>
      </c>
      <c r="L222" s="1767">
        <f t="shared" si="180"/>
        <v>0</v>
      </c>
      <c r="M222" s="1297">
        <f t="shared" ref="M222" si="181">+M223</f>
        <v>177346</v>
      </c>
      <c r="N222" s="1297">
        <f>+N223+N226</f>
        <v>532038</v>
      </c>
      <c r="O222" s="3741"/>
      <c r="P222" s="3371"/>
    </row>
    <row r="223" spans="1:16" s="3372" customFormat="1">
      <c r="A223" s="3760"/>
      <c r="B223" s="1298" t="s">
        <v>12</v>
      </c>
      <c r="C223" s="3748"/>
      <c r="D223" s="1288">
        <f>E223+F223+G223+H223+I223+J223+K223+L223</f>
        <v>177346</v>
      </c>
      <c r="E223" s="1768">
        <v>0</v>
      </c>
      <c r="F223" s="1769">
        <v>0</v>
      </c>
      <c r="G223" s="1300">
        <f>G224+G225</f>
        <v>56696</v>
      </c>
      <c r="H223" s="1300">
        <f t="shared" ref="H223:L223" si="182">H224+H225</f>
        <v>60361</v>
      </c>
      <c r="I223" s="1300">
        <f t="shared" si="182"/>
        <v>60289</v>
      </c>
      <c r="J223" s="1769">
        <f t="shared" si="182"/>
        <v>0</v>
      </c>
      <c r="K223" s="1769">
        <f t="shared" si="182"/>
        <v>0</v>
      </c>
      <c r="L223" s="1769">
        <f t="shared" si="182"/>
        <v>0</v>
      </c>
      <c r="M223" s="843">
        <f>SUM(F223:K223)</f>
        <v>177346</v>
      </c>
      <c r="N223" s="843">
        <f>SUM(G223:L223)</f>
        <v>177346</v>
      </c>
      <c r="O223" s="3741"/>
      <c r="P223" s="3371"/>
    </row>
    <row r="224" spans="1:16" s="3372" customFormat="1" hidden="1">
      <c r="A224" s="3760"/>
      <c r="B224" s="1770" t="s">
        <v>250</v>
      </c>
      <c r="C224" s="3748"/>
      <c r="D224" s="1771">
        <f>SUM(E224:L224)</f>
        <v>61066</v>
      </c>
      <c r="E224" s="1772">
        <v>0</v>
      </c>
      <c r="F224" s="1773">
        <v>0</v>
      </c>
      <c r="G224" s="1774">
        <v>19284</v>
      </c>
      <c r="H224" s="1774">
        <v>20891</v>
      </c>
      <c r="I224" s="1774">
        <v>20891</v>
      </c>
      <c r="J224" s="1772">
        <v>0</v>
      </c>
      <c r="K224" s="1772">
        <v>0</v>
      </c>
      <c r="L224" s="1772">
        <v>0</v>
      </c>
      <c r="M224" s="1775"/>
      <c r="N224" s="1776">
        <f>SUM(G224:L224)</f>
        <v>61066</v>
      </c>
      <c r="O224" s="3741"/>
      <c r="P224" s="3371"/>
    </row>
    <row r="225" spans="1:16" s="3372" customFormat="1" hidden="1">
      <c r="A225" s="3760"/>
      <c r="B225" s="1777" t="s">
        <v>265</v>
      </c>
      <c r="C225" s="3748"/>
      <c r="D225" s="1778">
        <f>SUM(E225:L225)</f>
        <v>116280</v>
      </c>
      <c r="E225" s="1779">
        <v>0</v>
      </c>
      <c r="F225" s="1780">
        <v>0</v>
      </c>
      <c r="G225" s="1781">
        <v>37412</v>
      </c>
      <c r="H225" s="1781">
        <v>39470</v>
      </c>
      <c r="I225" s="1781">
        <v>39398</v>
      </c>
      <c r="J225" s="1779">
        <v>0</v>
      </c>
      <c r="K225" s="1779">
        <v>0</v>
      </c>
      <c r="L225" s="1779">
        <v>0</v>
      </c>
      <c r="M225" s="1775"/>
      <c r="N225" s="1776">
        <f>SUM(G225:L225)</f>
        <v>116280</v>
      </c>
      <c r="O225" s="3741"/>
      <c r="P225" s="3371"/>
    </row>
    <row r="226" spans="1:16" s="3372" customFormat="1">
      <c r="A226" s="3761"/>
      <c r="B226" s="821" t="s">
        <v>13</v>
      </c>
      <c r="C226" s="3749"/>
      <c r="D226" s="1288">
        <f>E226+F226+G226+H226+I226+J226+K226+L226</f>
        <v>354692</v>
      </c>
      <c r="E226" s="1768">
        <v>0</v>
      </c>
      <c r="F226" s="1769">
        <v>0</v>
      </c>
      <c r="G226" s="1300">
        <f>G227+G228</f>
        <v>113391</v>
      </c>
      <c r="H226" s="1300">
        <f t="shared" ref="H226:L226" si="183">H227+H228</f>
        <v>120722</v>
      </c>
      <c r="I226" s="1300">
        <f t="shared" si="183"/>
        <v>120579</v>
      </c>
      <c r="J226" s="1769">
        <f t="shared" si="183"/>
        <v>0</v>
      </c>
      <c r="K226" s="1769">
        <f t="shared" si="183"/>
        <v>0</v>
      </c>
      <c r="L226" s="1769">
        <f t="shared" si="183"/>
        <v>0</v>
      </c>
      <c r="M226" s="1782"/>
      <c r="N226" s="843">
        <f t="shared" ref="N226:N228" si="184">SUM(G226:L226)</f>
        <v>354692</v>
      </c>
      <c r="O226" s="3741"/>
      <c r="P226" s="3371">
        <f>D226-D235</f>
        <v>0</v>
      </c>
    </row>
    <row r="227" spans="1:16" s="3372" customFormat="1" hidden="1">
      <c r="A227" s="3761"/>
      <c r="B227" s="1770" t="s">
        <v>250</v>
      </c>
      <c r="C227" s="3749"/>
      <c r="D227" s="1771">
        <f>SUM(E227:L227)</f>
        <v>122132</v>
      </c>
      <c r="E227" s="1772">
        <v>0</v>
      </c>
      <c r="F227" s="1773">
        <v>0</v>
      </c>
      <c r="G227" s="1774">
        <v>38568</v>
      </c>
      <c r="H227" s="1774">
        <v>41782</v>
      </c>
      <c r="I227" s="1774">
        <v>41782</v>
      </c>
      <c r="J227" s="1772">
        <v>0</v>
      </c>
      <c r="K227" s="1772">
        <v>0</v>
      </c>
      <c r="L227" s="1772">
        <v>0</v>
      </c>
      <c r="M227" s="1784"/>
      <c r="N227" s="862">
        <f t="shared" si="184"/>
        <v>122132</v>
      </c>
      <c r="O227" s="3741"/>
      <c r="P227" s="3371"/>
    </row>
    <row r="228" spans="1:16" s="3372" customFormat="1" hidden="1">
      <c r="A228" s="3761"/>
      <c r="B228" s="1777" t="s">
        <v>265</v>
      </c>
      <c r="C228" s="3749"/>
      <c r="D228" s="1778">
        <f>SUM(E228:L228)</f>
        <v>232560</v>
      </c>
      <c r="E228" s="1779">
        <v>0</v>
      </c>
      <c r="F228" s="1780">
        <v>0</v>
      </c>
      <c r="G228" s="1781">
        <v>74823</v>
      </c>
      <c r="H228" s="1781">
        <v>78940</v>
      </c>
      <c r="I228" s="1781">
        <v>78797</v>
      </c>
      <c r="J228" s="1779">
        <v>0</v>
      </c>
      <c r="K228" s="1779">
        <v>0</v>
      </c>
      <c r="L228" s="1779">
        <v>0</v>
      </c>
      <c r="M228" s="1784"/>
      <c r="N228" s="862">
        <f t="shared" si="184"/>
        <v>232560</v>
      </c>
      <c r="O228" s="3741"/>
      <c r="P228" s="3371"/>
    </row>
    <row r="229" spans="1:16" s="3372" customFormat="1">
      <c r="A229" s="3760"/>
      <c r="B229" s="1295" t="s">
        <v>18</v>
      </c>
      <c r="C229" s="3748"/>
      <c r="D229" s="1304">
        <f>+D230</f>
        <v>3014884</v>
      </c>
      <c r="E229" s="1707">
        <f t="shared" ref="E229:L229" si="185">+E230</f>
        <v>0</v>
      </c>
      <c r="F229" s="1707">
        <f t="shared" si="185"/>
        <v>0</v>
      </c>
      <c r="G229" s="1304">
        <f t="shared" si="185"/>
        <v>963825</v>
      </c>
      <c r="H229" s="1304">
        <f t="shared" si="185"/>
        <v>1026141</v>
      </c>
      <c r="I229" s="1304">
        <f t="shared" si="185"/>
        <v>1024918</v>
      </c>
      <c r="J229" s="1707">
        <f t="shared" si="185"/>
        <v>0</v>
      </c>
      <c r="K229" s="1707">
        <f t="shared" si="185"/>
        <v>0</v>
      </c>
      <c r="L229" s="1707">
        <f t="shared" si="185"/>
        <v>0</v>
      </c>
      <c r="M229" s="1305">
        <f>+M230</f>
        <v>3014884</v>
      </c>
      <c r="N229" s="1305">
        <f>+N230</f>
        <v>3014884</v>
      </c>
      <c r="O229" s="3741"/>
      <c r="P229" s="3371">
        <f>D229-D236</f>
        <v>0</v>
      </c>
    </row>
    <row r="230" spans="1:16" s="3372" customFormat="1">
      <c r="A230" s="3760"/>
      <c r="B230" s="1298" t="s">
        <v>20</v>
      </c>
      <c r="C230" s="3748"/>
      <c r="D230" s="1288">
        <f>E230+F230+G230+H230+I230+J230+K230+L230</f>
        <v>3014884</v>
      </c>
      <c r="E230" s="1768">
        <v>0</v>
      </c>
      <c r="F230" s="1785">
        <v>0</v>
      </c>
      <c r="G230" s="1301">
        <f>G231+G232</f>
        <v>963825</v>
      </c>
      <c r="H230" s="1301">
        <f t="shared" ref="H230:L230" si="186">H231+H232</f>
        <v>1026141</v>
      </c>
      <c r="I230" s="1301">
        <f t="shared" si="186"/>
        <v>1024918</v>
      </c>
      <c r="J230" s="1785">
        <f t="shared" si="186"/>
        <v>0</v>
      </c>
      <c r="K230" s="1785">
        <f t="shared" si="186"/>
        <v>0</v>
      </c>
      <c r="L230" s="1785">
        <f t="shared" si="186"/>
        <v>0</v>
      </c>
      <c r="M230" s="862">
        <f>SUM(F230:K230)</f>
        <v>3014884</v>
      </c>
      <c r="N230" s="862">
        <f>SUM(G230:L230)</f>
        <v>3014884</v>
      </c>
      <c r="O230" s="3741"/>
      <c r="P230" s="3371"/>
    </row>
    <row r="231" spans="1:16" s="3372" customFormat="1" ht="12.75" hidden="1" customHeight="1">
      <c r="A231" s="3760"/>
      <c r="B231" s="1770" t="s">
        <v>250</v>
      </c>
      <c r="C231" s="1786"/>
      <c r="D231" s="1771">
        <f>SUM(E231:L231)</f>
        <v>1038122</v>
      </c>
      <c r="E231" s="1772">
        <v>0</v>
      </c>
      <c r="F231" s="1772">
        <v>0</v>
      </c>
      <c r="G231" s="1774">
        <v>327828</v>
      </c>
      <c r="H231" s="1774">
        <v>355147</v>
      </c>
      <c r="I231" s="1774">
        <v>355147</v>
      </c>
      <c r="J231" s="1772">
        <v>0</v>
      </c>
      <c r="K231" s="1772">
        <v>0</v>
      </c>
      <c r="L231" s="1772">
        <v>0</v>
      </c>
      <c r="M231" s="1775"/>
      <c r="N231" s="1776">
        <f>SUM(G231:L231)</f>
        <v>1038122</v>
      </c>
      <c r="O231" s="3741"/>
      <c r="P231" s="3371"/>
    </row>
    <row r="232" spans="1:16" s="3372" customFormat="1" hidden="1">
      <c r="A232" s="3760"/>
      <c r="B232" s="1777" t="s">
        <v>265</v>
      </c>
      <c r="C232" s="1787"/>
      <c r="D232" s="1778">
        <f>SUM(E232:L232)</f>
        <v>1976762</v>
      </c>
      <c r="E232" s="1779">
        <v>0</v>
      </c>
      <c r="F232" s="1779">
        <v>0</v>
      </c>
      <c r="G232" s="1781">
        <v>635997</v>
      </c>
      <c r="H232" s="1781">
        <v>670994</v>
      </c>
      <c r="I232" s="1781">
        <v>669771</v>
      </c>
      <c r="J232" s="1779">
        <v>0</v>
      </c>
      <c r="K232" s="1779">
        <v>0</v>
      </c>
      <c r="L232" s="1779">
        <v>0</v>
      </c>
      <c r="M232" s="1775"/>
      <c r="N232" s="1776">
        <f>SUM(G232:L232)</f>
        <v>1976762</v>
      </c>
      <c r="O232" s="3756"/>
      <c r="P232" s="3371"/>
    </row>
    <row r="233" spans="1:16" s="3372" customFormat="1">
      <c r="A233" s="3762"/>
      <c r="B233" s="1291" t="s">
        <v>21</v>
      </c>
      <c r="C233" s="1291"/>
      <c r="D233" s="1307">
        <f>D236+D234</f>
        <v>3369576</v>
      </c>
      <c r="E233" s="1788">
        <f t="shared" ref="E233:L233" si="187">E236+E234</f>
        <v>0</v>
      </c>
      <c r="F233" s="1788">
        <f t="shared" si="187"/>
        <v>0</v>
      </c>
      <c r="G233" s="1307">
        <f t="shared" si="187"/>
        <v>1077216</v>
      </c>
      <c r="H233" s="1307">
        <f t="shared" si="187"/>
        <v>1146863</v>
      </c>
      <c r="I233" s="1307">
        <f t="shared" si="187"/>
        <v>1145497</v>
      </c>
      <c r="J233" s="1788">
        <f t="shared" si="187"/>
        <v>0</v>
      </c>
      <c r="K233" s="1788">
        <f t="shared" si="187"/>
        <v>0</v>
      </c>
      <c r="L233" s="1788">
        <f t="shared" si="187"/>
        <v>0</v>
      </c>
      <c r="M233" s="3750" t="s">
        <v>53</v>
      </c>
      <c r="N233" s="3750" t="s">
        <v>53</v>
      </c>
      <c r="O233" s="3742" t="s">
        <v>422</v>
      </c>
      <c r="P233" s="3371"/>
    </row>
    <row r="234" spans="1:16" s="3372" customFormat="1">
      <c r="A234" s="3763"/>
      <c r="B234" s="1738" t="s">
        <v>23</v>
      </c>
      <c r="C234" s="3765" t="s">
        <v>327</v>
      </c>
      <c r="D234" s="1304">
        <f t="shared" ref="D234:L236" si="188">+D235</f>
        <v>354692</v>
      </c>
      <c r="E234" s="1707">
        <f t="shared" si="188"/>
        <v>0</v>
      </c>
      <c r="F234" s="1707">
        <f t="shared" si="188"/>
        <v>0</v>
      </c>
      <c r="G234" s="1304">
        <f t="shared" si="188"/>
        <v>113391</v>
      </c>
      <c r="H234" s="1304">
        <f t="shared" si="188"/>
        <v>120722</v>
      </c>
      <c r="I234" s="1304">
        <f t="shared" si="188"/>
        <v>120579</v>
      </c>
      <c r="J234" s="1707">
        <f t="shared" si="188"/>
        <v>0</v>
      </c>
      <c r="K234" s="1707">
        <f t="shared" si="188"/>
        <v>0</v>
      </c>
      <c r="L234" s="1707">
        <f t="shared" si="188"/>
        <v>0</v>
      </c>
      <c r="M234" s="3751"/>
      <c r="N234" s="3751"/>
      <c r="O234" s="3743"/>
      <c r="P234" s="3371"/>
    </row>
    <row r="235" spans="1:16" s="3372" customFormat="1">
      <c r="A235" s="3763"/>
      <c r="B235" s="821" t="s">
        <v>13</v>
      </c>
      <c r="C235" s="3754"/>
      <c r="D235" s="1339">
        <f>E235+F235+G235+H235+I235+J235+K235+L235</f>
        <v>354692</v>
      </c>
      <c r="E235" s="1789">
        <v>0</v>
      </c>
      <c r="F235" s="1789">
        <v>0</v>
      </c>
      <c r="G235" s="1790">
        <v>113391</v>
      </c>
      <c r="H235" s="1790">
        <v>120722</v>
      </c>
      <c r="I235" s="1790">
        <v>120579</v>
      </c>
      <c r="J235" s="1789">
        <v>0</v>
      </c>
      <c r="K235" s="1789">
        <v>0</v>
      </c>
      <c r="L235" s="1789">
        <v>0</v>
      </c>
      <c r="M235" s="3751"/>
      <c r="N235" s="3751"/>
      <c r="O235" s="3743"/>
      <c r="P235" s="3371"/>
    </row>
    <row r="236" spans="1:16" s="3372" customFormat="1">
      <c r="A236" s="3762"/>
      <c r="B236" s="1295" t="s">
        <v>18</v>
      </c>
      <c r="C236" s="3754"/>
      <c r="D236" s="1723">
        <f t="shared" si="188"/>
        <v>3014884</v>
      </c>
      <c r="E236" s="1707">
        <f t="shared" si="188"/>
        <v>0</v>
      </c>
      <c r="F236" s="1707">
        <f t="shared" si="188"/>
        <v>0</v>
      </c>
      <c r="G236" s="1304">
        <f t="shared" si="188"/>
        <v>963825</v>
      </c>
      <c r="H236" s="1304">
        <f t="shared" si="188"/>
        <v>1026141</v>
      </c>
      <c r="I236" s="1304">
        <f t="shared" si="188"/>
        <v>1024918</v>
      </c>
      <c r="J236" s="1707">
        <f t="shared" si="188"/>
        <v>0</v>
      </c>
      <c r="K236" s="1707">
        <f t="shared" si="188"/>
        <v>0</v>
      </c>
      <c r="L236" s="1707">
        <f t="shared" si="188"/>
        <v>0</v>
      </c>
      <c r="M236" s="3750"/>
      <c r="N236" s="3750"/>
      <c r="O236" s="3743"/>
      <c r="P236" s="3371"/>
    </row>
    <row r="237" spans="1:16" s="3372" customFormat="1" ht="13.5" thickBot="1">
      <c r="A237" s="3764"/>
      <c r="B237" s="534" t="s">
        <v>20</v>
      </c>
      <c r="C237" s="3755"/>
      <c r="D237" s="779">
        <f>E237+F237+G237+H237+I237+J237+K237+L237</f>
        <v>3014884</v>
      </c>
      <c r="E237" s="554">
        <v>0</v>
      </c>
      <c r="F237" s="817">
        <v>0</v>
      </c>
      <c r="G237" s="415">
        <v>963825</v>
      </c>
      <c r="H237" s="415">
        <v>1026141</v>
      </c>
      <c r="I237" s="415">
        <v>1024918</v>
      </c>
      <c r="J237" s="817">
        <v>0</v>
      </c>
      <c r="K237" s="817">
        <v>0</v>
      </c>
      <c r="L237" s="817">
        <v>0</v>
      </c>
      <c r="M237" s="3752"/>
      <c r="N237" s="3752"/>
      <c r="O237" s="3744"/>
      <c r="P237" s="3371"/>
    </row>
    <row r="238" spans="1:16" s="3372" customFormat="1" ht="27" customHeight="1">
      <c r="A238" s="3837" t="s">
        <v>88</v>
      </c>
      <c r="B238" s="1146" t="s">
        <v>458</v>
      </c>
      <c r="C238" s="1147" t="s">
        <v>100</v>
      </c>
      <c r="D238" s="1081"/>
      <c r="E238" s="1081"/>
      <c r="F238" s="1081"/>
      <c r="G238" s="1081"/>
      <c r="H238" s="1081"/>
      <c r="I238" s="1081"/>
      <c r="J238" s="1081"/>
      <c r="K238" s="1081"/>
      <c r="L238" s="1081"/>
      <c r="M238" s="1081"/>
      <c r="N238" s="1081"/>
      <c r="O238" s="3740" t="s">
        <v>270</v>
      </c>
      <c r="P238" s="3371"/>
    </row>
    <row r="239" spans="1:16" s="3372" customFormat="1">
      <c r="A239" s="3760"/>
      <c r="B239" s="1291" t="s">
        <v>10</v>
      </c>
      <c r="C239" s="1148"/>
      <c r="D239" s="1292">
        <f t="shared" ref="D239:N239" si="189">+D240+D244</f>
        <v>2823073</v>
      </c>
      <c r="E239" s="1766">
        <f t="shared" si="189"/>
        <v>0</v>
      </c>
      <c r="F239" s="1766">
        <f t="shared" si="189"/>
        <v>0</v>
      </c>
      <c r="G239" s="1293">
        <f t="shared" si="189"/>
        <v>981527</v>
      </c>
      <c r="H239" s="1293">
        <f t="shared" si="189"/>
        <v>1052185</v>
      </c>
      <c r="I239" s="1293">
        <f t="shared" si="189"/>
        <v>789361</v>
      </c>
      <c r="J239" s="1293">
        <f t="shared" si="189"/>
        <v>0</v>
      </c>
      <c r="K239" s="1293">
        <f t="shared" si="189"/>
        <v>0</v>
      </c>
      <c r="L239" s="1766">
        <f t="shared" si="189"/>
        <v>0</v>
      </c>
      <c r="M239" s="1294" t="e">
        <f t="shared" si="189"/>
        <v>#REF!</v>
      </c>
      <c r="N239" s="1294">
        <f t="shared" si="189"/>
        <v>2823073</v>
      </c>
      <c r="O239" s="3741"/>
      <c r="P239" s="3371">
        <f>D239+D254</f>
        <v>3392273</v>
      </c>
    </row>
    <row r="240" spans="1:16" s="3372" customFormat="1">
      <c r="A240" s="3760"/>
      <c r="B240" s="1295" t="s">
        <v>23</v>
      </c>
      <c r="C240" s="3747" t="s">
        <v>423</v>
      </c>
      <c r="D240" s="1296">
        <f>+D241</f>
        <v>80369</v>
      </c>
      <c r="E240" s="1767">
        <f t="shared" ref="E240:L240" si="190">+E241</f>
        <v>0</v>
      </c>
      <c r="F240" s="1767">
        <f t="shared" si="190"/>
        <v>0</v>
      </c>
      <c r="G240" s="1296">
        <f t="shared" si="190"/>
        <v>27974</v>
      </c>
      <c r="H240" s="1296">
        <f t="shared" si="190"/>
        <v>29987</v>
      </c>
      <c r="I240" s="1296">
        <f t="shared" si="190"/>
        <v>22408</v>
      </c>
      <c r="J240" s="1296">
        <f t="shared" si="190"/>
        <v>0</v>
      </c>
      <c r="K240" s="1296">
        <f t="shared" si="190"/>
        <v>0</v>
      </c>
      <c r="L240" s="1296">
        <f t="shared" si="190"/>
        <v>0</v>
      </c>
      <c r="M240" s="1297" t="e">
        <f>+#REF!</f>
        <v>#REF!</v>
      </c>
      <c r="N240" s="1297">
        <f>+N241</f>
        <v>80369</v>
      </c>
      <c r="O240" s="3741"/>
      <c r="P240" s="3371"/>
    </row>
    <row r="241" spans="1:16" s="3372" customFormat="1">
      <c r="A241" s="3761"/>
      <c r="B241" s="821" t="s">
        <v>13</v>
      </c>
      <c r="C241" s="3749"/>
      <c r="D241" s="1288">
        <f>E241+F241+G241+H241+I241+J241+K241+L241</f>
        <v>80369</v>
      </c>
      <c r="E241" s="1768">
        <v>0</v>
      </c>
      <c r="F241" s="1769">
        <v>0</v>
      </c>
      <c r="G241" s="1300">
        <f>G242+G243</f>
        <v>27974</v>
      </c>
      <c r="H241" s="1300">
        <f t="shared" ref="H241:L241" si="191">H242+H243</f>
        <v>29987</v>
      </c>
      <c r="I241" s="1300">
        <f t="shared" si="191"/>
        <v>22408</v>
      </c>
      <c r="J241" s="1300">
        <f t="shared" si="191"/>
        <v>0</v>
      </c>
      <c r="K241" s="1300">
        <f t="shared" si="191"/>
        <v>0</v>
      </c>
      <c r="L241" s="1769">
        <f t="shared" si="191"/>
        <v>0</v>
      </c>
      <c r="M241" s="1782"/>
      <c r="N241" s="843">
        <f>SUM(G241:L241)</f>
        <v>80369</v>
      </c>
      <c r="O241" s="3741"/>
      <c r="P241" s="3371">
        <f>D241-D250</f>
        <v>0</v>
      </c>
    </row>
    <row r="242" spans="1:16" s="3372" customFormat="1" hidden="1">
      <c r="A242" s="3761"/>
      <c r="B242" s="1770" t="s">
        <v>250</v>
      </c>
      <c r="C242" s="3749"/>
      <c r="D242" s="1771">
        <f>SUM(E242:L242)</f>
        <v>17859</v>
      </c>
      <c r="E242" s="1772">
        <v>0</v>
      </c>
      <c r="F242" s="1773">
        <v>0</v>
      </c>
      <c r="G242" s="1774">
        <v>7649</v>
      </c>
      <c r="H242" s="1774">
        <v>5437</v>
      </c>
      <c r="I242" s="1774">
        <v>4773</v>
      </c>
      <c r="J242" s="1774"/>
      <c r="K242" s="1774"/>
      <c r="L242" s="1772">
        <v>0</v>
      </c>
      <c r="M242" s="1784"/>
      <c r="N242" s="862">
        <f t="shared" ref="N242:N243" si="192">SUM(G242:L242)</f>
        <v>17859</v>
      </c>
      <c r="O242" s="3741"/>
      <c r="P242" s="3371"/>
    </row>
    <row r="243" spans="1:16" s="3372" customFormat="1" hidden="1">
      <c r="A243" s="3761"/>
      <c r="B243" s="1777" t="s">
        <v>265</v>
      </c>
      <c r="C243" s="3749"/>
      <c r="D243" s="1778">
        <f>SUM(E243:L243)</f>
        <v>62510</v>
      </c>
      <c r="E243" s="1779">
        <v>0</v>
      </c>
      <c r="F243" s="1780">
        <v>0</v>
      </c>
      <c r="G243" s="1781">
        <f>21245-920</f>
        <v>20325</v>
      </c>
      <c r="H243" s="1781">
        <v>24550</v>
      </c>
      <c r="I243" s="1781">
        <v>17635</v>
      </c>
      <c r="J243" s="1781"/>
      <c r="K243" s="1781"/>
      <c r="L243" s="1779">
        <v>0</v>
      </c>
      <c r="M243" s="1784"/>
      <c r="N243" s="862">
        <f t="shared" si="192"/>
        <v>62510</v>
      </c>
      <c r="O243" s="3741"/>
      <c r="P243" s="3371"/>
    </row>
    <row r="244" spans="1:16" s="3372" customFormat="1">
      <c r="A244" s="3760"/>
      <c r="B244" s="1295" t="s">
        <v>18</v>
      </c>
      <c r="C244" s="3748"/>
      <c r="D244" s="1304">
        <f>+D245</f>
        <v>2742704</v>
      </c>
      <c r="E244" s="1707">
        <f t="shared" ref="E244:L244" si="193">+E245</f>
        <v>0</v>
      </c>
      <c r="F244" s="1707">
        <f t="shared" si="193"/>
        <v>0</v>
      </c>
      <c r="G244" s="1304">
        <f t="shared" si="193"/>
        <v>953553</v>
      </c>
      <c r="H244" s="1304">
        <f t="shared" si="193"/>
        <v>1022198</v>
      </c>
      <c r="I244" s="1304">
        <f t="shared" si="193"/>
        <v>766953</v>
      </c>
      <c r="J244" s="1304">
        <f t="shared" si="193"/>
        <v>0</v>
      </c>
      <c r="K244" s="1304">
        <f t="shared" si="193"/>
        <v>0</v>
      </c>
      <c r="L244" s="1707">
        <f t="shared" si="193"/>
        <v>0</v>
      </c>
      <c r="M244" s="1305">
        <f>+M245</f>
        <v>2742704</v>
      </c>
      <c r="N244" s="1305">
        <f>+N245</f>
        <v>2742704</v>
      </c>
      <c r="O244" s="3741"/>
      <c r="P244" s="3371">
        <f>D244-D251</f>
        <v>0</v>
      </c>
    </row>
    <row r="245" spans="1:16" s="3372" customFormat="1">
      <c r="A245" s="3760"/>
      <c r="B245" s="1298" t="s">
        <v>20</v>
      </c>
      <c r="C245" s="3748"/>
      <c r="D245" s="1288">
        <f>E245+F245+G245+H245+I245+J245+K245+L245</f>
        <v>2742704</v>
      </c>
      <c r="E245" s="1768">
        <v>0</v>
      </c>
      <c r="F245" s="1785">
        <v>0</v>
      </c>
      <c r="G245" s="1301">
        <f>G246+G247</f>
        <v>953553</v>
      </c>
      <c r="H245" s="1301">
        <f t="shared" ref="H245:L245" si="194">H246+H247</f>
        <v>1022198</v>
      </c>
      <c r="I245" s="1301">
        <f t="shared" si="194"/>
        <v>766953</v>
      </c>
      <c r="J245" s="1301">
        <f t="shared" si="194"/>
        <v>0</v>
      </c>
      <c r="K245" s="1301">
        <f t="shared" si="194"/>
        <v>0</v>
      </c>
      <c r="L245" s="1785">
        <f t="shared" si="194"/>
        <v>0</v>
      </c>
      <c r="M245" s="862">
        <f>SUM(F245:K245)</f>
        <v>2742704</v>
      </c>
      <c r="N245" s="862">
        <f>SUM(G245:L245)</f>
        <v>2742704</v>
      </c>
      <c r="O245" s="3741"/>
      <c r="P245" s="3371"/>
    </row>
    <row r="246" spans="1:16" s="3372" customFormat="1" hidden="1">
      <c r="A246" s="3760"/>
      <c r="B246" s="1770" t="s">
        <v>250</v>
      </c>
      <c r="C246" s="1786"/>
      <c r="D246" s="1771">
        <f>SUM(E246:L246)</f>
        <v>608761</v>
      </c>
      <c r="E246" s="1772">
        <v>0</v>
      </c>
      <c r="F246" s="1772">
        <v>0</v>
      </c>
      <c r="G246" s="1774">
        <v>260714</v>
      </c>
      <c r="H246" s="1774">
        <v>185342</v>
      </c>
      <c r="I246" s="1774">
        <v>162705</v>
      </c>
      <c r="J246" s="1774">
        <v>0</v>
      </c>
      <c r="K246" s="1774">
        <v>0</v>
      </c>
      <c r="L246" s="1772">
        <v>0</v>
      </c>
      <c r="M246" s="1775"/>
      <c r="N246" s="1776">
        <f>SUM(G246:L246)</f>
        <v>608761</v>
      </c>
      <c r="O246" s="3741"/>
      <c r="P246" s="3371"/>
    </row>
    <row r="247" spans="1:16" s="3372" customFormat="1" hidden="1">
      <c r="A247" s="3760"/>
      <c r="B247" s="1777" t="s">
        <v>265</v>
      </c>
      <c r="C247" s="1787"/>
      <c r="D247" s="1778">
        <f>SUM(E247:L247)</f>
        <v>2133943</v>
      </c>
      <c r="E247" s="1779">
        <v>0</v>
      </c>
      <c r="F247" s="1779">
        <v>0</v>
      </c>
      <c r="G247" s="1781">
        <f>724218-31379</f>
        <v>692839</v>
      </c>
      <c r="H247" s="1781">
        <v>836856</v>
      </c>
      <c r="I247" s="1781">
        <v>604248</v>
      </c>
      <c r="J247" s="1781"/>
      <c r="K247" s="1781"/>
      <c r="L247" s="1779">
        <v>0</v>
      </c>
      <c r="M247" s="1775"/>
      <c r="N247" s="1776">
        <f>SUM(G247:L247)</f>
        <v>2133943</v>
      </c>
      <c r="O247" s="3756"/>
      <c r="P247" s="3371"/>
    </row>
    <row r="248" spans="1:16" s="3372" customFormat="1" ht="13.5" thickBot="1">
      <c r="A248" s="3762"/>
      <c r="B248" s="1291" t="s">
        <v>21</v>
      </c>
      <c r="C248" s="1291"/>
      <c r="D248" s="1307">
        <f>D251+D249</f>
        <v>2823073</v>
      </c>
      <c r="E248" s="1788">
        <f t="shared" ref="E248:L248" si="195">E251+E249</f>
        <v>0</v>
      </c>
      <c r="F248" s="1788">
        <f t="shared" si="195"/>
        <v>0</v>
      </c>
      <c r="G248" s="1307">
        <f t="shared" si="195"/>
        <v>981527</v>
      </c>
      <c r="H248" s="1307">
        <f t="shared" si="195"/>
        <v>1052185</v>
      </c>
      <c r="I248" s="1307">
        <f t="shared" si="195"/>
        <v>789361</v>
      </c>
      <c r="J248" s="1307">
        <f t="shared" si="195"/>
        <v>0</v>
      </c>
      <c r="K248" s="1307">
        <f t="shared" si="195"/>
        <v>0</v>
      </c>
      <c r="L248" s="1788">
        <f t="shared" si="195"/>
        <v>0</v>
      </c>
      <c r="M248" s="3750" t="s">
        <v>53</v>
      </c>
      <c r="N248" s="3750" t="s">
        <v>53</v>
      </c>
      <c r="O248" s="3839" t="s">
        <v>422</v>
      </c>
      <c r="P248" s="3371"/>
    </row>
    <row r="249" spans="1:16" s="3372" customFormat="1" ht="12.75" customHeight="1" thickBot="1">
      <c r="A249" s="3763"/>
      <c r="B249" s="1738" t="s">
        <v>23</v>
      </c>
      <c r="C249" s="3765" t="s">
        <v>327</v>
      </c>
      <c r="D249" s="1304">
        <f t="shared" ref="D249:L251" si="196">+D250</f>
        <v>80369</v>
      </c>
      <c r="E249" s="1707">
        <f t="shared" si="196"/>
        <v>0</v>
      </c>
      <c r="F249" s="1707">
        <f t="shared" si="196"/>
        <v>0</v>
      </c>
      <c r="G249" s="1304">
        <f t="shared" si="196"/>
        <v>27974</v>
      </c>
      <c r="H249" s="1304">
        <f t="shared" si="196"/>
        <v>29987</v>
      </c>
      <c r="I249" s="1304">
        <f t="shared" si="196"/>
        <v>22408</v>
      </c>
      <c r="J249" s="1304">
        <f t="shared" si="196"/>
        <v>0</v>
      </c>
      <c r="K249" s="1304">
        <f t="shared" si="196"/>
        <v>0</v>
      </c>
      <c r="L249" s="1707">
        <f t="shared" si="196"/>
        <v>0</v>
      </c>
      <c r="M249" s="3751"/>
      <c r="N249" s="3751"/>
      <c r="O249" s="3840"/>
      <c r="P249" s="3371"/>
    </row>
    <row r="250" spans="1:16" s="3372" customFormat="1" ht="13.5" thickBot="1">
      <c r="A250" s="3763"/>
      <c r="B250" s="821" t="s">
        <v>13</v>
      </c>
      <c r="C250" s="3754"/>
      <c r="D250" s="1339">
        <f>E250+F250+G250+H250+I250+J250+K250+L250</f>
        <v>80369</v>
      </c>
      <c r="E250" s="1789">
        <v>0</v>
      </c>
      <c r="F250" s="1789">
        <v>0</v>
      </c>
      <c r="G250" s="1790">
        <f>28894-920</f>
        <v>27974</v>
      </c>
      <c r="H250" s="1790">
        <v>29987</v>
      </c>
      <c r="I250" s="1790">
        <v>22408</v>
      </c>
      <c r="J250" s="1790"/>
      <c r="K250" s="1790"/>
      <c r="L250" s="1789">
        <v>0</v>
      </c>
      <c r="M250" s="3751"/>
      <c r="N250" s="3751"/>
      <c r="O250" s="3840"/>
      <c r="P250" s="3371"/>
    </row>
    <row r="251" spans="1:16" s="3372" customFormat="1" ht="13.5" thickBot="1">
      <c r="A251" s="3762"/>
      <c r="B251" s="1295" t="s">
        <v>18</v>
      </c>
      <c r="C251" s="3754"/>
      <c r="D251" s="1723">
        <f t="shared" si="196"/>
        <v>2742704</v>
      </c>
      <c r="E251" s="1707">
        <f t="shared" si="196"/>
        <v>0</v>
      </c>
      <c r="F251" s="1707">
        <f t="shared" si="196"/>
        <v>0</v>
      </c>
      <c r="G251" s="1304">
        <f t="shared" si="196"/>
        <v>953553</v>
      </c>
      <c r="H251" s="1304">
        <f t="shared" si="196"/>
        <v>1022198</v>
      </c>
      <c r="I251" s="1304">
        <f t="shared" si="196"/>
        <v>766953</v>
      </c>
      <c r="J251" s="1304">
        <f t="shared" si="196"/>
        <v>0</v>
      </c>
      <c r="K251" s="1304">
        <f t="shared" si="196"/>
        <v>0</v>
      </c>
      <c r="L251" s="1707">
        <f t="shared" si="196"/>
        <v>0</v>
      </c>
      <c r="M251" s="3750"/>
      <c r="N251" s="3750"/>
      <c r="O251" s="3840"/>
      <c r="P251" s="3371"/>
    </row>
    <row r="252" spans="1:16" s="3372" customFormat="1" ht="13.5" thickBot="1">
      <c r="A252" s="3764"/>
      <c r="B252" s="534" t="s">
        <v>20</v>
      </c>
      <c r="C252" s="3755"/>
      <c r="D252" s="779">
        <f>E252+F252+G252+H252+I252+J252+K252+L252</f>
        <v>2742704</v>
      </c>
      <c r="E252" s="554">
        <v>0</v>
      </c>
      <c r="F252" s="817">
        <v>0</v>
      </c>
      <c r="G252" s="415">
        <f>984932-31379</f>
        <v>953553</v>
      </c>
      <c r="H252" s="415">
        <v>1022198</v>
      </c>
      <c r="I252" s="415">
        <v>766953</v>
      </c>
      <c r="J252" s="415"/>
      <c r="K252" s="415"/>
      <c r="L252" s="817">
        <v>0</v>
      </c>
      <c r="M252" s="3752"/>
      <c r="N252" s="3752"/>
      <c r="O252" s="3840"/>
      <c r="P252" s="3371"/>
    </row>
    <row r="253" spans="1:16" s="3372" customFormat="1" ht="27" customHeight="1" thickBot="1">
      <c r="A253" s="3837" t="s">
        <v>89</v>
      </c>
      <c r="B253" s="1146" t="s">
        <v>459</v>
      </c>
      <c r="C253" s="1147" t="s">
        <v>73</v>
      </c>
      <c r="D253" s="1081"/>
      <c r="E253" s="2752"/>
      <c r="F253" s="2752"/>
      <c r="G253" s="2752"/>
      <c r="H253" s="2752"/>
      <c r="I253" s="2752"/>
      <c r="J253" s="2752"/>
      <c r="K253" s="2752"/>
      <c r="L253" s="41"/>
      <c r="M253" s="533"/>
      <c r="N253" s="533"/>
      <c r="O253" s="3832" t="s">
        <v>426</v>
      </c>
      <c r="P253" s="3371"/>
    </row>
    <row r="254" spans="1:16" s="3372" customFormat="1" ht="13.5" thickBot="1">
      <c r="A254" s="3760"/>
      <c r="B254" s="1291" t="s">
        <v>10</v>
      </c>
      <c r="C254" s="1148"/>
      <c r="D254" s="1292">
        <f t="shared" ref="D254:N254" si="197">+D255+D257</f>
        <v>569200</v>
      </c>
      <c r="E254" s="1766">
        <f t="shared" si="197"/>
        <v>0</v>
      </c>
      <c r="F254" s="1766">
        <f t="shared" si="197"/>
        <v>0</v>
      </c>
      <c r="G254" s="1293">
        <f t="shared" si="197"/>
        <v>569200</v>
      </c>
      <c r="H254" s="1293">
        <f t="shared" si="197"/>
        <v>0</v>
      </c>
      <c r="I254" s="1293">
        <f t="shared" si="197"/>
        <v>0</v>
      </c>
      <c r="J254" s="1293">
        <f t="shared" si="197"/>
        <v>0</v>
      </c>
      <c r="K254" s="1293">
        <f t="shared" si="197"/>
        <v>0</v>
      </c>
      <c r="L254" s="1766">
        <f t="shared" si="197"/>
        <v>0</v>
      </c>
      <c r="M254" s="1294" t="e">
        <f t="shared" si="197"/>
        <v>#REF!</v>
      </c>
      <c r="N254" s="1294">
        <f t="shared" si="197"/>
        <v>569200</v>
      </c>
      <c r="O254" s="3832"/>
      <c r="P254" s="3371"/>
    </row>
    <row r="255" spans="1:16" s="3372" customFormat="1" ht="13.5" thickBot="1">
      <c r="A255" s="3760"/>
      <c r="B255" s="1295" t="s">
        <v>23</v>
      </c>
      <c r="C255" s="3747" t="s">
        <v>427</v>
      </c>
      <c r="D255" s="1296">
        <f>+D256</f>
        <v>16222</v>
      </c>
      <c r="E255" s="1767">
        <f t="shared" ref="E255:L255" si="198">+E256</f>
        <v>0</v>
      </c>
      <c r="F255" s="1767">
        <f t="shared" si="198"/>
        <v>0</v>
      </c>
      <c r="G255" s="1296">
        <f t="shared" si="198"/>
        <v>16222</v>
      </c>
      <c r="H255" s="1296">
        <f t="shared" si="198"/>
        <v>0</v>
      </c>
      <c r="I255" s="1296">
        <f t="shared" si="198"/>
        <v>0</v>
      </c>
      <c r="J255" s="1296">
        <f t="shared" si="198"/>
        <v>0</v>
      </c>
      <c r="K255" s="1296">
        <f t="shared" si="198"/>
        <v>0</v>
      </c>
      <c r="L255" s="1296">
        <f t="shared" si="198"/>
        <v>0</v>
      </c>
      <c r="M255" s="1297" t="e">
        <f>+#REF!</f>
        <v>#REF!</v>
      </c>
      <c r="N255" s="1297">
        <f>+N256</f>
        <v>16222</v>
      </c>
      <c r="O255" s="3832"/>
      <c r="P255" s="3371"/>
    </row>
    <row r="256" spans="1:16" s="3372" customFormat="1" ht="13.5" thickBot="1">
      <c r="A256" s="3761"/>
      <c r="B256" s="821" t="s">
        <v>13</v>
      </c>
      <c r="C256" s="3749"/>
      <c r="D256" s="1288">
        <f>E256+F256+G256+H256+I256+J256+K256+L256</f>
        <v>16222</v>
      </c>
      <c r="E256" s="1768">
        <v>0</v>
      </c>
      <c r="F256" s="1769">
        <v>0</v>
      </c>
      <c r="G256" s="1300">
        <f>15302+920</f>
        <v>16222</v>
      </c>
      <c r="H256" s="1300"/>
      <c r="I256" s="1300"/>
      <c r="J256" s="1300"/>
      <c r="K256" s="1300"/>
      <c r="L256" s="1769"/>
      <c r="M256" s="1782"/>
      <c r="N256" s="843">
        <f>SUM(G256:L256)</f>
        <v>16222</v>
      </c>
      <c r="O256" s="3832"/>
      <c r="P256" s="3371"/>
    </row>
    <row r="257" spans="1:16" s="3372" customFormat="1" ht="13.5" thickBot="1">
      <c r="A257" s="3760"/>
      <c r="B257" s="1295" t="s">
        <v>18</v>
      </c>
      <c r="C257" s="3748"/>
      <c r="D257" s="1304">
        <f>+D258</f>
        <v>552978</v>
      </c>
      <c r="E257" s="1707">
        <f t="shared" ref="E257:L257" si="199">+E258</f>
        <v>0</v>
      </c>
      <c r="F257" s="1707">
        <f t="shared" si="199"/>
        <v>0</v>
      </c>
      <c r="G257" s="1304">
        <f t="shared" si="199"/>
        <v>552978</v>
      </c>
      <c r="H257" s="1304">
        <f t="shared" si="199"/>
        <v>0</v>
      </c>
      <c r="I257" s="1304">
        <f t="shared" si="199"/>
        <v>0</v>
      </c>
      <c r="J257" s="1304">
        <f t="shared" si="199"/>
        <v>0</v>
      </c>
      <c r="K257" s="1304">
        <f t="shared" si="199"/>
        <v>0</v>
      </c>
      <c r="L257" s="1707">
        <f t="shared" si="199"/>
        <v>0</v>
      </c>
      <c r="M257" s="1305">
        <f>+M258</f>
        <v>552978</v>
      </c>
      <c r="N257" s="1305">
        <f>+N258</f>
        <v>552978</v>
      </c>
      <c r="O257" s="3832"/>
      <c r="P257" s="3371"/>
    </row>
    <row r="258" spans="1:16" s="3372" customFormat="1" ht="13.5" thickBot="1">
      <c r="A258" s="3760"/>
      <c r="B258" s="1298" t="s">
        <v>20</v>
      </c>
      <c r="C258" s="3748"/>
      <c r="D258" s="1288">
        <f>E258+F258+G258+H258+I258+J258+K258+L258</f>
        <v>552978</v>
      </c>
      <c r="E258" s="1768">
        <v>0</v>
      </c>
      <c r="F258" s="1785">
        <v>0</v>
      </c>
      <c r="G258" s="1301">
        <f>521599+31379</f>
        <v>552978</v>
      </c>
      <c r="H258" s="1301"/>
      <c r="I258" s="1301"/>
      <c r="J258" s="1301"/>
      <c r="K258" s="1301"/>
      <c r="L258" s="1785"/>
      <c r="M258" s="862">
        <f>SUM(F258:K258)</f>
        <v>552978</v>
      </c>
      <c r="N258" s="862">
        <f>SUM(G258:L258)</f>
        <v>552978</v>
      </c>
      <c r="O258" s="3832"/>
      <c r="P258" s="3371"/>
    </row>
    <row r="259" spans="1:16" s="3372" customFormat="1" ht="13.5" thickBot="1">
      <c r="A259" s="3762"/>
      <c r="B259" s="1291" t="s">
        <v>21</v>
      </c>
      <c r="C259" s="1291"/>
      <c r="D259" s="1307">
        <f>D262+D260</f>
        <v>569200</v>
      </c>
      <c r="E259" s="1788">
        <f t="shared" ref="E259:L259" si="200">E262+E260</f>
        <v>0</v>
      </c>
      <c r="F259" s="1788">
        <f t="shared" si="200"/>
        <v>0</v>
      </c>
      <c r="G259" s="1307">
        <f t="shared" si="200"/>
        <v>569200</v>
      </c>
      <c r="H259" s="1307">
        <f t="shared" si="200"/>
        <v>0</v>
      </c>
      <c r="I259" s="1307">
        <f t="shared" si="200"/>
        <v>0</v>
      </c>
      <c r="J259" s="1307">
        <f t="shared" si="200"/>
        <v>0</v>
      </c>
      <c r="K259" s="1307">
        <f t="shared" si="200"/>
        <v>0</v>
      </c>
      <c r="L259" s="1788">
        <f t="shared" si="200"/>
        <v>0</v>
      </c>
      <c r="M259" s="3750" t="s">
        <v>53</v>
      </c>
      <c r="N259" s="3750" t="s">
        <v>53</v>
      </c>
      <c r="O259" s="3840" t="s">
        <v>422</v>
      </c>
      <c r="P259" s="3371"/>
    </row>
    <row r="260" spans="1:16" s="3372" customFormat="1" ht="12.75" customHeight="1" thickBot="1">
      <c r="A260" s="3763"/>
      <c r="B260" s="1738" t="s">
        <v>23</v>
      </c>
      <c r="C260" s="3765" t="s">
        <v>327</v>
      </c>
      <c r="D260" s="1304">
        <f t="shared" ref="D260:L262" si="201">+D261</f>
        <v>16222</v>
      </c>
      <c r="E260" s="1707">
        <f t="shared" si="201"/>
        <v>0</v>
      </c>
      <c r="F260" s="1707">
        <f t="shared" si="201"/>
        <v>0</v>
      </c>
      <c r="G260" s="1304">
        <f t="shared" si="201"/>
        <v>16222</v>
      </c>
      <c r="H260" s="1304">
        <f t="shared" si="201"/>
        <v>0</v>
      </c>
      <c r="I260" s="1304">
        <f t="shared" si="201"/>
        <v>0</v>
      </c>
      <c r="J260" s="1304">
        <f t="shared" si="201"/>
        <v>0</v>
      </c>
      <c r="K260" s="1304">
        <f t="shared" si="201"/>
        <v>0</v>
      </c>
      <c r="L260" s="1707">
        <f t="shared" si="201"/>
        <v>0</v>
      </c>
      <c r="M260" s="3751"/>
      <c r="N260" s="3751"/>
      <c r="O260" s="3840"/>
      <c r="P260" s="3371"/>
    </row>
    <row r="261" spans="1:16" s="3372" customFormat="1" ht="13.5" thickBot="1">
      <c r="A261" s="3763"/>
      <c r="B261" s="821" t="s">
        <v>13</v>
      </c>
      <c r="C261" s="3754"/>
      <c r="D261" s="1339">
        <f>E261+F261+G261+H261+I261+J261+K261+L261</f>
        <v>16222</v>
      </c>
      <c r="E261" s="1789">
        <v>0</v>
      </c>
      <c r="F261" s="1789">
        <v>0</v>
      </c>
      <c r="G261" s="1790">
        <f>15302+920</f>
        <v>16222</v>
      </c>
      <c r="H261" s="1790"/>
      <c r="I261" s="1790"/>
      <c r="J261" s="1790"/>
      <c r="K261" s="1790"/>
      <c r="L261" s="1789">
        <v>0</v>
      </c>
      <c r="M261" s="3751"/>
      <c r="N261" s="3751"/>
      <c r="O261" s="3840"/>
      <c r="P261" s="3371"/>
    </row>
    <row r="262" spans="1:16" s="3372" customFormat="1">
      <c r="A262" s="3762"/>
      <c r="B262" s="1295" t="s">
        <v>18</v>
      </c>
      <c r="C262" s="3754"/>
      <c r="D262" s="1723">
        <f t="shared" si="201"/>
        <v>552978</v>
      </c>
      <c r="E262" s="1707">
        <f t="shared" si="201"/>
        <v>0</v>
      </c>
      <c r="F262" s="1707">
        <f t="shared" si="201"/>
        <v>0</v>
      </c>
      <c r="G262" s="1304">
        <f t="shared" si="201"/>
        <v>552978</v>
      </c>
      <c r="H262" s="1304">
        <f t="shared" si="201"/>
        <v>0</v>
      </c>
      <c r="I262" s="1304">
        <f t="shared" si="201"/>
        <v>0</v>
      </c>
      <c r="J262" s="1304">
        <f t="shared" si="201"/>
        <v>0</v>
      </c>
      <c r="K262" s="1304">
        <f t="shared" si="201"/>
        <v>0</v>
      </c>
      <c r="L262" s="1707">
        <f t="shared" si="201"/>
        <v>0</v>
      </c>
      <c r="M262" s="3750"/>
      <c r="N262" s="3750"/>
      <c r="O262" s="3843"/>
      <c r="P262" s="3371"/>
    </row>
    <row r="263" spans="1:16" s="3372" customFormat="1" ht="13.5" thickBot="1">
      <c r="A263" s="3764"/>
      <c r="B263" s="534" t="s">
        <v>20</v>
      </c>
      <c r="C263" s="3755"/>
      <c r="D263" s="779">
        <f>E263+F263+G263+H263+I263+J263+K263+L263</f>
        <v>552978</v>
      </c>
      <c r="E263" s="554">
        <v>0</v>
      </c>
      <c r="F263" s="817">
        <v>0</v>
      </c>
      <c r="G263" s="415">
        <f>521599+31379</f>
        <v>552978</v>
      </c>
      <c r="H263" s="415"/>
      <c r="I263" s="415"/>
      <c r="J263" s="415"/>
      <c r="K263" s="415"/>
      <c r="L263" s="817">
        <v>0</v>
      </c>
      <c r="M263" s="3752"/>
      <c r="N263" s="3752"/>
      <c r="O263" s="3744"/>
      <c r="P263" s="3371"/>
    </row>
    <row r="264" spans="1:16" s="3372" customFormat="1" ht="25.5" customHeight="1">
      <c r="A264" s="3837" t="s">
        <v>91</v>
      </c>
      <c r="B264" s="1146" t="s">
        <v>457</v>
      </c>
      <c r="C264" s="1147" t="s">
        <v>100</v>
      </c>
      <c r="D264" s="1081"/>
      <c r="E264" s="1081"/>
      <c r="F264" s="1081"/>
      <c r="G264" s="1081"/>
      <c r="H264" s="1081"/>
      <c r="I264" s="1081"/>
      <c r="J264" s="1081"/>
      <c r="K264" s="1081"/>
      <c r="L264" s="1081"/>
      <c r="M264" s="1081"/>
      <c r="N264" s="1081"/>
      <c r="O264" s="3740" t="s">
        <v>270</v>
      </c>
      <c r="P264" s="3371"/>
    </row>
    <row r="265" spans="1:16" s="3372" customFormat="1">
      <c r="A265" s="3760"/>
      <c r="B265" s="1291" t="s">
        <v>10</v>
      </c>
      <c r="C265" s="1148"/>
      <c r="D265" s="1292">
        <f>+D266+D273</f>
        <v>1113035</v>
      </c>
      <c r="E265" s="1766">
        <f t="shared" ref="E265:N265" si="202">+E266+E273</f>
        <v>0</v>
      </c>
      <c r="F265" s="1766">
        <f t="shared" si="202"/>
        <v>0</v>
      </c>
      <c r="G265" s="1293">
        <f t="shared" si="202"/>
        <v>294044</v>
      </c>
      <c r="H265" s="1293">
        <f t="shared" si="202"/>
        <v>392447</v>
      </c>
      <c r="I265" s="1293">
        <f t="shared" si="202"/>
        <v>351828</v>
      </c>
      <c r="J265" s="1293">
        <f t="shared" si="202"/>
        <v>74716</v>
      </c>
      <c r="K265" s="1766">
        <f t="shared" si="202"/>
        <v>0</v>
      </c>
      <c r="L265" s="1766">
        <f t="shared" si="202"/>
        <v>0</v>
      </c>
      <c r="M265" s="1294">
        <f t="shared" si="202"/>
        <v>938066</v>
      </c>
      <c r="N265" s="1294">
        <f t="shared" si="202"/>
        <v>1113035</v>
      </c>
      <c r="O265" s="3741"/>
      <c r="P265" s="3371"/>
    </row>
    <row r="266" spans="1:16" s="3372" customFormat="1">
      <c r="A266" s="3760"/>
      <c r="B266" s="1295" t="s">
        <v>23</v>
      </c>
      <c r="C266" s="3747" t="s">
        <v>405</v>
      </c>
      <c r="D266" s="1296">
        <f>+D267+D270</f>
        <v>174969</v>
      </c>
      <c r="E266" s="1767">
        <f t="shared" ref="E266:L266" si="203">+E267+E270</f>
        <v>0</v>
      </c>
      <c r="F266" s="1767">
        <f t="shared" si="203"/>
        <v>0</v>
      </c>
      <c r="G266" s="1296">
        <f t="shared" si="203"/>
        <v>46224</v>
      </c>
      <c r="H266" s="1296">
        <f t="shared" si="203"/>
        <v>61693</v>
      </c>
      <c r="I266" s="1296">
        <f t="shared" si="203"/>
        <v>55307</v>
      </c>
      <c r="J266" s="1296">
        <f t="shared" si="203"/>
        <v>11745</v>
      </c>
      <c r="K266" s="1767">
        <f t="shared" si="203"/>
        <v>0</v>
      </c>
      <c r="L266" s="1767">
        <f t="shared" si="203"/>
        <v>0</v>
      </c>
      <c r="M266" s="1297">
        <f t="shared" ref="M266" si="204">+M267</f>
        <v>0</v>
      </c>
      <c r="N266" s="1297">
        <f>+N267+N270</f>
        <v>174969</v>
      </c>
      <c r="O266" s="3741"/>
      <c r="P266" s="3371"/>
    </row>
    <row r="267" spans="1:16" s="3372" customFormat="1" hidden="1">
      <c r="A267" s="3760"/>
      <c r="B267" s="1298" t="s">
        <v>12</v>
      </c>
      <c r="C267" s="3748"/>
      <c r="D267" s="1288">
        <f>E267+F267+G267+H267+I267+J267+K267+L267</f>
        <v>0</v>
      </c>
      <c r="E267" s="1768">
        <v>0</v>
      </c>
      <c r="F267" s="1769">
        <v>0</v>
      </c>
      <c r="G267" s="1300">
        <f>G268+G269</f>
        <v>0</v>
      </c>
      <c r="H267" s="1300">
        <f t="shared" ref="H267:L267" si="205">H268+H269</f>
        <v>0</v>
      </c>
      <c r="I267" s="1300">
        <f t="shared" si="205"/>
        <v>0</v>
      </c>
      <c r="J267" s="1300">
        <f t="shared" si="205"/>
        <v>0</v>
      </c>
      <c r="K267" s="1769">
        <f t="shared" si="205"/>
        <v>0</v>
      </c>
      <c r="L267" s="1769">
        <f t="shared" si="205"/>
        <v>0</v>
      </c>
      <c r="M267" s="843">
        <f>SUM(F267:K267)</f>
        <v>0</v>
      </c>
      <c r="N267" s="843">
        <f>SUM(G267:L267)</f>
        <v>0</v>
      </c>
      <c r="O267" s="3741"/>
      <c r="P267" s="3371"/>
    </row>
    <row r="268" spans="1:16" s="3372" customFormat="1" hidden="1">
      <c r="A268" s="3760"/>
      <c r="B268" s="1770" t="s">
        <v>250</v>
      </c>
      <c r="C268" s="3748"/>
      <c r="D268" s="1771">
        <f>SUM(E268:L268)</f>
        <v>0</v>
      </c>
      <c r="E268" s="1772">
        <v>0</v>
      </c>
      <c r="F268" s="1773">
        <v>0</v>
      </c>
      <c r="G268" s="1774"/>
      <c r="H268" s="1774"/>
      <c r="I268" s="1774"/>
      <c r="J268" s="1774">
        <v>0</v>
      </c>
      <c r="K268" s="1772">
        <v>0</v>
      </c>
      <c r="L268" s="1772">
        <v>0</v>
      </c>
      <c r="M268" s="1775"/>
      <c r="N268" s="1776">
        <f>SUM(G268:L268)</f>
        <v>0</v>
      </c>
      <c r="O268" s="3741"/>
      <c r="P268" s="3371"/>
    </row>
    <row r="269" spans="1:16" s="3372" customFormat="1" hidden="1">
      <c r="A269" s="3760"/>
      <c r="B269" s="1777" t="s">
        <v>265</v>
      </c>
      <c r="C269" s="3748"/>
      <c r="D269" s="1778">
        <f>SUM(E269:L269)</f>
        <v>0</v>
      </c>
      <c r="E269" s="1779">
        <v>0</v>
      </c>
      <c r="F269" s="1780">
        <v>0</v>
      </c>
      <c r="G269" s="1781"/>
      <c r="H269" s="1781"/>
      <c r="I269" s="1781"/>
      <c r="J269" s="1781">
        <v>0</v>
      </c>
      <c r="K269" s="1779">
        <v>0</v>
      </c>
      <c r="L269" s="1779">
        <v>0</v>
      </c>
      <c r="M269" s="1775"/>
      <c r="N269" s="1776">
        <f>SUM(G269:L269)</f>
        <v>0</v>
      </c>
      <c r="O269" s="3741"/>
      <c r="P269" s="3371"/>
    </row>
    <row r="270" spans="1:16" s="3372" customFormat="1">
      <c r="A270" s="3761"/>
      <c r="B270" s="821" t="s">
        <v>13</v>
      </c>
      <c r="C270" s="3749"/>
      <c r="D270" s="1288">
        <f>E270+F270+G270+H270+I270+J270+K270+L270</f>
        <v>174969</v>
      </c>
      <c r="E270" s="1768">
        <v>0</v>
      </c>
      <c r="F270" s="1769">
        <v>0</v>
      </c>
      <c r="G270" s="1300">
        <f>G271+G272</f>
        <v>46224</v>
      </c>
      <c r="H270" s="1300">
        <f t="shared" ref="H270:L270" si="206">H271+H272</f>
        <v>61693</v>
      </c>
      <c r="I270" s="1300">
        <f t="shared" si="206"/>
        <v>55307</v>
      </c>
      <c r="J270" s="1300">
        <f t="shared" si="206"/>
        <v>11745</v>
      </c>
      <c r="K270" s="1769">
        <f t="shared" si="206"/>
        <v>0</v>
      </c>
      <c r="L270" s="1769">
        <f t="shared" si="206"/>
        <v>0</v>
      </c>
      <c r="M270" s="1782"/>
      <c r="N270" s="843">
        <f t="shared" ref="N270:N272" si="207">SUM(G270:L270)</f>
        <v>174969</v>
      </c>
      <c r="O270" s="3741"/>
      <c r="P270" s="3371"/>
    </row>
    <row r="271" spans="1:16" s="3372" customFormat="1" hidden="1">
      <c r="A271" s="3761"/>
      <c r="B271" s="1770" t="s">
        <v>250</v>
      </c>
      <c r="C271" s="3749"/>
      <c r="D271" s="1771">
        <f>SUM(E271:L271)</f>
        <v>115553</v>
      </c>
      <c r="E271" s="1772">
        <v>0</v>
      </c>
      <c r="F271" s="1773">
        <v>0</v>
      </c>
      <c r="G271" s="1774">
        <v>27998</v>
      </c>
      <c r="H271" s="1774">
        <v>38418</v>
      </c>
      <c r="I271" s="1774">
        <v>38208</v>
      </c>
      <c r="J271" s="1774">
        <v>10929</v>
      </c>
      <c r="K271" s="1772">
        <v>0</v>
      </c>
      <c r="L271" s="1772">
        <v>0</v>
      </c>
      <c r="M271" s="1784"/>
      <c r="N271" s="862">
        <f t="shared" si="207"/>
        <v>115553</v>
      </c>
      <c r="O271" s="3741"/>
      <c r="P271" s="3371">
        <f>D270-D279</f>
        <v>0</v>
      </c>
    </row>
    <row r="272" spans="1:16" s="3372" customFormat="1" hidden="1">
      <c r="A272" s="3761"/>
      <c r="B272" s="1777" t="s">
        <v>265</v>
      </c>
      <c r="C272" s="3749"/>
      <c r="D272" s="1778">
        <f>SUM(E272:L272)</f>
        <v>59416</v>
      </c>
      <c r="E272" s="1779">
        <v>0</v>
      </c>
      <c r="F272" s="1780">
        <v>0</v>
      </c>
      <c r="G272" s="1781">
        <v>18226</v>
      </c>
      <c r="H272" s="1781">
        <v>23275</v>
      </c>
      <c r="I272" s="1781">
        <v>17099</v>
      </c>
      <c r="J272" s="1781">
        <v>816</v>
      </c>
      <c r="K272" s="1779">
        <v>0</v>
      </c>
      <c r="L272" s="1779">
        <v>0</v>
      </c>
      <c r="M272" s="1784"/>
      <c r="N272" s="862">
        <f t="shared" si="207"/>
        <v>59416</v>
      </c>
      <c r="O272" s="3741"/>
      <c r="P272" s="3371"/>
    </row>
    <row r="273" spans="1:16" s="3372" customFormat="1">
      <c r="A273" s="3760"/>
      <c r="B273" s="1295" t="s">
        <v>18</v>
      </c>
      <c r="C273" s="3748"/>
      <c r="D273" s="1304">
        <f>+D274</f>
        <v>938066</v>
      </c>
      <c r="E273" s="1707">
        <f t="shared" ref="E273:L273" si="208">+E274</f>
        <v>0</v>
      </c>
      <c r="F273" s="1707">
        <f t="shared" si="208"/>
        <v>0</v>
      </c>
      <c r="G273" s="1304">
        <f t="shared" si="208"/>
        <v>247820</v>
      </c>
      <c r="H273" s="1304">
        <f t="shared" si="208"/>
        <v>330754</v>
      </c>
      <c r="I273" s="1304">
        <f t="shared" si="208"/>
        <v>296521</v>
      </c>
      <c r="J273" s="1304">
        <f t="shared" si="208"/>
        <v>62971</v>
      </c>
      <c r="K273" s="1707">
        <f t="shared" si="208"/>
        <v>0</v>
      </c>
      <c r="L273" s="1707">
        <f t="shared" si="208"/>
        <v>0</v>
      </c>
      <c r="M273" s="1305">
        <f>+M274</f>
        <v>938066</v>
      </c>
      <c r="N273" s="1305">
        <f>+N274</f>
        <v>938066</v>
      </c>
      <c r="O273" s="3741"/>
      <c r="P273" s="3371">
        <f>D274-D281</f>
        <v>0</v>
      </c>
    </row>
    <row r="274" spans="1:16" s="3372" customFormat="1">
      <c r="A274" s="3760"/>
      <c r="B274" s="1298" t="s">
        <v>20</v>
      </c>
      <c r="C274" s="3748"/>
      <c r="D274" s="1288">
        <f>E274+F274+G274+H274+I274+J274+K274+L274</f>
        <v>938066</v>
      </c>
      <c r="E274" s="1768">
        <v>0</v>
      </c>
      <c r="F274" s="1785">
        <v>0</v>
      </c>
      <c r="G274" s="1301">
        <f>G275+G276</f>
        <v>247820</v>
      </c>
      <c r="H274" s="1301">
        <f t="shared" ref="H274:L274" si="209">H275+H276</f>
        <v>330754</v>
      </c>
      <c r="I274" s="1301">
        <f t="shared" si="209"/>
        <v>296521</v>
      </c>
      <c r="J274" s="1301">
        <f t="shared" si="209"/>
        <v>62971</v>
      </c>
      <c r="K274" s="1785">
        <f t="shared" si="209"/>
        <v>0</v>
      </c>
      <c r="L274" s="1785">
        <f t="shared" si="209"/>
        <v>0</v>
      </c>
      <c r="M274" s="862">
        <f>SUM(F274:K274)</f>
        <v>938066</v>
      </c>
      <c r="N274" s="862">
        <f>SUM(G274:L274)</f>
        <v>938066</v>
      </c>
      <c r="O274" s="3741"/>
      <c r="P274" s="3371"/>
    </row>
    <row r="275" spans="1:16" s="3372" customFormat="1" hidden="1">
      <c r="A275" s="3760"/>
      <c r="B275" s="1770" t="s">
        <v>250</v>
      </c>
      <c r="C275" s="1786"/>
      <c r="D275" s="1771">
        <f>SUM(E275:L275)</f>
        <v>619522</v>
      </c>
      <c r="E275" s="1772">
        <v>0</v>
      </c>
      <c r="F275" s="1772">
        <v>0</v>
      </c>
      <c r="G275" s="1774">
        <v>150106</v>
      </c>
      <c r="H275" s="1774">
        <v>205970</v>
      </c>
      <c r="I275" s="1774">
        <v>204850</v>
      </c>
      <c r="J275" s="1774">
        <v>58596</v>
      </c>
      <c r="K275" s="1772">
        <v>0</v>
      </c>
      <c r="L275" s="1772">
        <v>0</v>
      </c>
      <c r="M275" s="1775"/>
      <c r="N275" s="1776">
        <f>SUM(G275:L275)</f>
        <v>619522</v>
      </c>
      <c r="O275" s="3741"/>
      <c r="P275" s="3371"/>
    </row>
    <row r="276" spans="1:16" s="3372" customFormat="1" hidden="1">
      <c r="A276" s="3760"/>
      <c r="B276" s="1777" t="s">
        <v>265</v>
      </c>
      <c r="C276" s="1787"/>
      <c r="D276" s="1778">
        <f>SUM(E276:L276)</f>
        <v>318544</v>
      </c>
      <c r="E276" s="1779">
        <v>0</v>
      </c>
      <c r="F276" s="1779">
        <v>0</v>
      </c>
      <c r="G276" s="1781">
        <v>97714</v>
      </c>
      <c r="H276" s="1781">
        <v>124784</v>
      </c>
      <c r="I276" s="1781">
        <v>91671</v>
      </c>
      <c r="J276" s="1781">
        <v>4375</v>
      </c>
      <c r="K276" s="1779">
        <v>0</v>
      </c>
      <c r="L276" s="1779">
        <v>0</v>
      </c>
      <c r="M276" s="1775"/>
      <c r="N276" s="1776">
        <f>SUM(G276:L276)</f>
        <v>318544</v>
      </c>
      <c r="O276" s="3756"/>
      <c r="P276" s="3371"/>
    </row>
    <row r="277" spans="1:16" s="3372" customFormat="1">
      <c r="A277" s="3762"/>
      <c r="B277" s="1291" t="s">
        <v>21</v>
      </c>
      <c r="C277" s="1291"/>
      <c r="D277" s="1307">
        <f>D280+D278</f>
        <v>1113035</v>
      </c>
      <c r="E277" s="1788">
        <f t="shared" ref="E277:L277" si="210">E280+E278</f>
        <v>0</v>
      </c>
      <c r="F277" s="1788">
        <f t="shared" si="210"/>
        <v>0</v>
      </c>
      <c r="G277" s="1307">
        <f t="shared" si="210"/>
        <v>294044</v>
      </c>
      <c r="H277" s="1307">
        <f t="shared" si="210"/>
        <v>392447</v>
      </c>
      <c r="I277" s="1307">
        <f t="shared" si="210"/>
        <v>351828</v>
      </c>
      <c r="J277" s="1307">
        <f t="shared" si="210"/>
        <v>74716</v>
      </c>
      <c r="K277" s="1788">
        <f t="shared" si="210"/>
        <v>0</v>
      </c>
      <c r="L277" s="1788">
        <f t="shared" si="210"/>
        <v>0</v>
      </c>
      <c r="M277" s="3750" t="s">
        <v>53</v>
      </c>
      <c r="N277" s="3750" t="s">
        <v>53</v>
      </c>
      <c r="O277" s="3742" t="s">
        <v>265</v>
      </c>
      <c r="P277" s="3371"/>
    </row>
    <row r="278" spans="1:16" s="3372" customFormat="1">
      <c r="A278" s="3763"/>
      <c r="B278" s="1738" t="s">
        <v>23</v>
      </c>
      <c r="C278" s="3765" t="s">
        <v>408</v>
      </c>
      <c r="D278" s="1304">
        <f t="shared" ref="D278:L280" si="211">+D279</f>
        <v>174969</v>
      </c>
      <c r="E278" s="1707">
        <f t="shared" si="211"/>
        <v>0</v>
      </c>
      <c r="F278" s="1707">
        <f t="shared" si="211"/>
        <v>0</v>
      </c>
      <c r="G278" s="1304">
        <f t="shared" si="211"/>
        <v>46224</v>
      </c>
      <c r="H278" s="1304">
        <f t="shared" si="211"/>
        <v>61693</v>
      </c>
      <c r="I278" s="1304">
        <f t="shared" si="211"/>
        <v>55307</v>
      </c>
      <c r="J278" s="1304">
        <f t="shared" si="211"/>
        <v>11745</v>
      </c>
      <c r="K278" s="1707">
        <f t="shared" si="211"/>
        <v>0</v>
      </c>
      <c r="L278" s="1707">
        <f t="shared" si="211"/>
        <v>0</v>
      </c>
      <c r="M278" s="3751"/>
      <c r="N278" s="3751"/>
      <c r="O278" s="3743"/>
      <c r="P278" s="3371"/>
    </row>
    <row r="279" spans="1:16" s="3372" customFormat="1">
      <c r="A279" s="3763"/>
      <c r="B279" s="821" t="s">
        <v>13</v>
      </c>
      <c r="C279" s="3754"/>
      <c r="D279" s="1891">
        <f>E279+F279+G279+H279+I279+J279+K279+L279</f>
        <v>174969</v>
      </c>
      <c r="E279" s="1789">
        <v>0</v>
      </c>
      <c r="F279" s="1789">
        <v>0</v>
      </c>
      <c r="G279" s="1790">
        <v>46224</v>
      </c>
      <c r="H279" s="1790">
        <v>61693</v>
      </c>
      <c r="I279" s="1790">
        <v>55307</v>
      </c>
      <c r="J279" s="1790">
        <v>11745</v>
      </c>
      <c r="K279" s="1789">
        <v>0</v>
      </c>
      <c r="L279" s="1789">
        <v>0</v>
      </c>
      <c r="M279" s="3751"/>
      <c r="N279" s="3751"/>
      <c r="O279" s="3743"/>
      <c r="P279" s="3371"/>
    </row>
    <row r="280" spans="1:16" s="3372" customFormat="1">
      <c r="A280" s="3762"/>
      <c r="B280" s="1295" t="s">
        <v>18</v>
      </c>
      <c r="C280" s="3754"/>
      <c r="D280" s="1723">
        <f t="shared" si="211"/>
        <v>938066</v>
      </c>
      <c r="E280" s="1707">
        <f t="shared" si="211"/>
        <v>0</v>
      </c>
      <c r="F280" s="1707">
        <f t="shared" si="211"/>
        <v>0</v>
      </c>
      <c r="G280" s="1723">
        <f t="shared" si="211"/>
        <v>247820</v>
      </c>
      <c r="H280" s="1723">
        <f t="shared" si="211"/>
        <v>330754</v>
      </c>
      <c r="I280" s="1723">
        <f t="shared" si="211"/>
        <v>296521</v>
      </c>
      <c r="J280" s="1723">
        <f t="shared" si="211"/>
        <v>62971</v>
      </c>
      <c r="K280" s="1707">
        <f t="shared" si="211"/>
        <v>0</v>
      </c>
      <c r="L280" s="1707">
        <f t="shared" si="211"/>
        <v>0</v>
      </c>
      <c r="M280" s="3750"/>
      <c r="N280" s="3750"/>
      <c r="O280" s="3743"/>
      <c r="P280" s="3371"/>
    </row>
    <row r="281" spans="1:16" s="3372" customFormat="1" ht="13.5" thickBot="1">
      <c r="A281" s="3764"/>
      <c r="B281" s="534" t="s">
        <v>20</v>
      </c>
      <c r="C281" s="3755"/>
      <c r="D281" s="779">
        <f>E281+F281+G281+H281+I281+J281+K281+L281</f>
        <v>938066</v>
      </c>
      <c r="E281" s="554">
        <v>0</v>
      </c>
      <c r="F281" s="817">
        <v>0</v>
      </c>
      <c r="G281" s="779">
        <v>247820</v>
      </c>
      <c r="H281" s="779">
        <v>330754</v>
      </c>
      <c r="I281" s="779">
        <v>296521</v>
      </c>
      <c r="J281" s="779">
        <v>62971</v>
      </c>
      <c r="K281" s="817">
        <v>0</v>
      </c>
      <c r="L281" s="817">
        <v>0</v>
      </c>
      <c r="M281" s="3752"/>
      <c r="N281" s="3752"/>
      <c r="O281" s="3744"/>
      <c r="P281" s="3371"/>
    </row>
    <row r="282" spans="1:16" hidden="1">
      <c r="B282" s="1172" t="s">
        <v>338</v>
      </c>
      <c r="C282" s="1172"/>
      <c r="D282" s="1172"/>
      <c r="E282" s="1172"/>
      <c r="F282" s="1172"/>
      <c r="G282" s="1172"/>
      <c r="H282" s="1172"/>
      <c r="I282" s="1172"/>
      <c r="J282" s="1172"/>
      <c r="K282" s="1172"/>
      <c r="L282" s="1172"/>
    </row>
    <row r="283" spans="1:16" hidden="1">
      <c r="B283" s="1172" t="s">
        <v>339</v>
      </c>
      <c r="C283" s="1172"/>
      <c r="D283" s="2390">
        <f t="shared" ref="D283:L283" si="212">D38+D55+D68+D92+D132+D144+D170+D200+D215+D233+D248+D277+D117</f>
        <v>123583221</v>
      </c>
      <c r="E283" s="2390">
        <f t="shared" si="212"/>
        <v>8840348</v>
      </c>
      <c r="F283" s="2390">
        <f t="shared" si="212"/>
        <v>9874235</v>
      </c>
      <c r="G283" s="2390">
        <f t="shared" si="212"/>
        <v>23074765</v>
      </c>
      <c r="H283" s="2390">
        <f t="shared" si="212"/>
        <v>33349433</v>
      </c>
      <c r="I283" s="2390">
        <f t="shared" si="212"/>
        <v>20288719</v>
      </c>
      <c r="J283" s="2390">
        <f t="shared" si="212"/>
        <v>12123450</v>
      </c>
      <c r="K283" s="2390">
        <f t="shared" si="212"/>
        <v>8729767</v>
      </c>
      <c r="L283" s="2390">
        <f t="shared" si="212"/>
        <v>7302504</v>
      </c>
      <c r="M283" s="2390" t="e">
        <f>M38+M55+M68+M92+M132+M144+M170+M200+M215+M233+M248+M277</f>
        <v>#VALUE!</v>
      </c>
    </row>
    <row r="284" spans="1:16" hidden="1">
      <c r="B284" s="1172" t="s">
        <v>340</v>
      </c>
      <c r="C284" s="1172"/>
      <c r="D284" s="2390">
        <f t="shared" ref="D284:L284" si="213">D80+D104+D154+D182+D259</f>
        <v>719567</v>
      </c>
      <c r="E284" s="2390">
        <f t="shared" si="213"/>
        <v>21928</v>
      </c>
      <c r="F284" s="2390">
        <f t="shared" si="213"/>
        <v>60263</v>
      </c>
      <c r="G284" s="2390">
        <f t="shared" si="213"/>
        <v>637376</v>
      </c>
      <c r="H284" s="2390">
        <f t="shared" si="213"/>
        <v>0</v>
      </c>
      <c r="I284" s="2390">
        <f t="shared" si="213"/>
        <v>0</v>
      </c>
      <c r="J284" s="2390">
        <f t="shared" si="213"/>
        <v>0</v>
      </c>
      <c r="K284" s="2390">
        <f t="shared" si="213"/>
        <v>0</v>
      </c>
      <c r="L284" s="2390">
        <f t="shared" si="213"/>
        <v>0</v>
      </c>
      <c r="M284" s="2390" t="e">
        <f>M80+M104+M154+M182</f>
        <v>#VALUE!</v>
      </c>
    </row>
    <row r="285" spans="1:16" hidden="1">
      <c r="B285" s="1172" t="s">
        <v>341</v>
      </c>
      <c r="C285" s="1172"/>
      <c r="D285" s="1133">
        <f>D283+D284</f>
        <v>124302788</v>
      </c>
      <c r="E285" s="1133">
        <f t="shared" ref="E285:L285" si="214">E283+E284</f>
        <v>8862276</v>
      </c>
      <c r="F285" s="1133">
        <f t="shared" si="214"/>
        <v>9934498</v>
      </c>
      <c r="G285" s="1133">
        <f t="shared" si="214"/>
        <v>23712141</v>
      </c>
      <c r="H285" s="1133">
        <f t="shared" si="214"/>
        <v>33349433</v>
      </c>
      <c r="I285" s="1133">
        <f t="shared" si="214"/>
        <v>20288719</v>
      </c>
      <c r="J285" s="1133">
        <f t="shared" si="214"/>
        <v>12123450</v>
      </c>
      <c r="K285" s="1133">
        <f t="shared" si="214"/>
        <v>8729767</v>
      </c>
      <c r="L285" s="1133">
        <f t="shared" si="214"/>
        <v>7302504</v>
      </c>
    </row>
    <row r="286" spans="1:16" hidden="1">
      <c r="B286" s="1134" t="s">
        <v>41</v>
      </c>
      <c r="C286" s="1134"/>
      <c r="D286" s="1135">
        <f t="shared" ref="D286:L286" si="215">D285-D18</f>
        <v>0</v>
      </c>
      <c r="E286" s="1135">
        <f t="shared" si="215"/>
        <v>0</v>
      </c>
      <c r="F286" s="1135">
        <f t="shared" si="215"/>
        <v>0</v>
      </c>
      <c r="G286" s="1135">
        <f t="shared" si="215"/>
        <v>0</v>
      </c>
      <c r="H286" s="1135">
        <f t="shared" si="215"/>
        <v>0</v>
      </c>
      <c r="I286" s="1135">
        <f t="shared" si="215"/>
        <v>0</v>
      </c>
      <c r="J286" s="1135">
        <f t="shared" si="215"/>
        <v>0</v>
      </c>
      <c r="K286" s="1135">
        <f t="shared" si="215"/>
        <v>0</v>
      </c>
      <c r="L286" s="1135">
        <f t="shared" si="215"/>
        <v>0</v>
      </c>
    </row>
    <row r="287" spans="1:16" hidden="1">
      <c r="B287" s="2881"/>
      <c r="C287" s="2881"/>
      <c r="D287" s="2881"/>
      <c r="E287" s="2881"/>
      <c r="F287" s="2881"/>
      <c r="G287" s="2881"/>
      <c r="H287" s="2881"/>
      <c r="I287" s="2881"/>
      <c r="J287" s="2881"/>
      <c r="K287" s="2881"/>
      <c r="L287" s="2881"/>
    </row>
    <row r="288" spans="1:16" hidden="1"/>
    <row r="289" spans="2:2" ht="31.5" hidden="1" customHeight="1">
      <c r="B289" s="2363" t="s">
        <v>560</v>
      </c>
    </row>
    <row r="290" spans="2:2" hidden="1"/>
    <row r="291" spans="2:2" hidden="1"/>
    <row r="292" spans="2:2" hidden="1"/>
    <row r="293" spans="2:2" hidden="1"/>
    <row r="294" spans="2:2" hidden="1"/>
    <row r="295" spans="2:2" hidden="1"/>
    <row r="296" spans="2:2" hidden="1"/>
    <row r="297" spans="2:2" hidden="1"/>
    <row r="298" spans="2:2" hidden="1"/>
    <row r="299" spans="2:2" hidden="1"/>
    <row r="300" spans="2:2" hidden="1"/>
    <row r="301" spans="2:2" hidden="1"/>
    <row r="302" spans="2:2" hidden="1"/>
    <row r="303" spans="2:2" hidden="1"/>
    <row r="304" spans="2:2" hidden="1"/>
    <row r="305" hidden="1"/>
    <row r="306" hidden="1"/>
    <row r="307" hidden="1"/>
    <row r="308" hidden="1"/>
    <row r="309" hidden="1"/>
    <row r="310" hidden="1"/>
    <row r="311" hidden="1"/>
    <row r="312" hidden="1"/>
    <row r="313" hidden="1"/>
    <row r="314" hidden="1"/>
    <row r="315" hidden="1"/>
    <row r="316" hidden="1"/>
    <row r="317" hidden="1"/>
    <row r="318" hidden="1"/>
    <row r="319" hidden="1"/>
    <row r="320" hidden="1"/>
    <row r="321" hidden="1"/>
    <row r="322" hidden="1"/>
    <row r="323" hidden="1"/>
    <row r="324" hidden="1"/>
    <row r="325" hidden="1"/>
    <row r="326" hidden="1"/>
    <row r="327" hidden="1"/>
    <row r="328" hidden="1"/>
    <row r="329" hidden="1"/>
    <row r="330" hidden="1"/>
    <row r="331" hidden="1"/>
    <row r="332" hidden="1"/>
    <row r="333" hidden="1"/>
    <row r="334" hidden="1"/>
    <row r="335" hidden="1"/>
    <row r="336" hidden="1"/>
    <row r="337" hidden="1"/>
    <row r="338" hidden="1"/>
    <row r="339" hidden="1"/>
    <row r="340" hidden="1"/>
    <row r="341" hidden="1"/>
    <row r="342" hidden="1"/>
    <row r="343" hidden="1"/>
    <row r="344" hidden="1"/>
    <row r="345" hidden="1"/>
    <row r="346" hidden="1"/>
    <row r="347" hidden="1"/>
    <row r="348" hidden="1"/>
    <row r="349" hidden="1"/>
    <row r="350" hidden="1"/>
    <row r="351" hidden="1"/>
    <row r="352" hidden="1"/>
    <row r="353" hidden="1"/>
    <row r="354" hidden="1"/>
    <row r="355" hidden="1"/>
    <row r="356" hidden="1"/>
    <row r="357" hidden="1"/>
    <row r="358" hidden="1"/>
    <row r="359" hidden="1"/>
    <row r="360" hidden="1"/>
    <row r="361" hidden="1"/>
    <row r="362" hidden="1"/>
    <row r="363" hidden="1"/>
    <row r="364" hidden="1"/>
    <row r="365" hidden="1"/>
    <row r="366" hidden="1"/>
    <row r="367" hidden="1"/>
    <row r="368" hidden="1"/>
    <row r="369" hidden="1"/>
    <row r="370" hidden="1"/>
    <row r="371" hidden="1"/>
    <row r="372" hidden="1"/>
    <row r="373" hidden="1"/>
    <row r="374" hidden="1"/>
    <row r="375" hidden="1"/>
    <row r="376" hidden="1"/>
    <row r="401" spans="1:15" ht="13.5" thickBot="1">
      <c r="A401" s="3373"/>
    </row>
    <row r="402" spans="1:15" ht="13.5" thickBot="1">
      <c r="A402" s="3374"/>
    </row>
    <row r="403" spans="1:15" ht="13.5" thickBot="1">
      <c r="A403" s="3374"/>
    </row>
    <row r="404" spans="1:15" ht="13.5" thickBot="1">
      <c r="A404" s="3374"/>
    </row>
    <row r="405" spans="1:15" ht="13.5" thickBot="1">
      <c r="A405" s="3374"/>
    </row>
    <row r="406" spans="1:15" ht="13.5" thickBot="1">
      <c r="A406" s="3374"/>
    </row>
    <row r="407" spans="1:15" ht="13.5" thickBot="1">
      <c r="A407" s="3374"/>
      <c r="N407" s="3206"/>
      <c r="O407" s="3206"/>
    </row>
    <row r="408" spans="1:15" ht="13.5" thickBot="1">
      <c r="A408" s="3374"/>
      <c r="C408" s="3206"/>
      <c r="N408" s="3375"/>
      <c r="O408" s="3375"/>
    </row>
    <row r="409" spans="1:15" ht="13.5" thickBot="1">
      <c r="A409" s="3374"/>
      <c r="C409" s="3375"/>
      <c r="D409" s="3206"/>
      <c r="E409" s="3206"/>
      <c r="F409" s="3206"/>
      <c r="G409" s="3206"/>
      <c r="H409" s="3206"/>
      <c r="I409" s="3206"/>
      <c r="J409" s="3206"/>
      <c r="K409" s="3206"/>
      <c r="L409" s="3206"/>
      <c r="N409" s="3375"/>
      <c r="O409" s="3375"/>
    </row>
    <row r="410" spans="1:15" ht="13.5" thickBot="1">
      <c r="A410" s="3374"/>
      <c r="C410" s="3376"/>
      <c r="D410" s="3376"/>
      <c r="E410" s="3376"/>
      <c r="F410" s="3376"/>
      <c r="G410" s="3376"/>
      <c r="H410" s="3376"/>
      <c r="I410" s="3376"/>
      <c r="J410" s="3376"/>
      <c r="K410" s="3376"/>
      <c r="L410" s="3376"/>
      <c r="N410" s="3376"/>
      <c r="O410" s="3375"/>
    </row>
    <row r="411" spans="1:15" ht="13.5" thickBot="1">
      <c r="A411" s="3374"/>
      <c r="O411" s="3375"/>
    </row>
    <row r="412" spans="1:15" ht="13.5" thickBot="1">
      <c r="A412" s="3374"/>
      <c r="O412" s="3375"/>
    </row>
    <row r="413" spans="1:15" ht="13.5" thickBot="1">
      <c r="A413" s="3374"/>
      <c r="O413" s="3375"/>
    </row>
    <row r="414" spans="1:15" ht="13.5" thickBot="1">
      <c r="A414" s="3374"/>
      <c r="O414" s="3375"/>
    </row>
    <row r="415" spans="1:15" ht="13.5" thickBot="1">
      <c r="A415" s="3374"/>
      <c r="O415" s="3376"/>
    </row>
    <row r="416" spans="1:15" ht="13.5" thickBot="1">
      <c r="A416" s="3374"/>
    </row>
    <row r="417" spans="1:1" ht="13.5" thickBot="1">
      <c r="A417" s="3374"/>
    </row>
    <row r="418" spans="1:1">
      <c r="A418" s="3377"/>
    </row>
    <row r="516" spans="1:15" ht="13.5" thickBot="1">
      <c r="O516" s="3206"/>
    </row>
    <row r="517" spans="1:15" ht="13.5" thickBot="1">
      <c r="O517" s="3375"/>
    </row>
    <row r="518" spans="1:15" ht="13.5" thickBot="1">
      <c r="O518" s="3375"/>
    </row>
    <row r="519" spans="1:15" ht="13.5" thickBot="1">
      <c r="O519" s="3375"/>
    </row>
    <row r="520" spans="1:15" ht="13.5" thickBot="1">
      <c r="N520" s="3206"/>
      <c r="O520" s="3375"/>
    </row>
    <row r="521" spans="1:15" ht="13.5" thickBot="1">
      <c r="N521" s="3375"/>
      <c r="O521" s="3375"/>
    </row>
    <row r="522" spans="1:15" ht="13.5" thickBot="1">
      <c r="N522" s="3375"/>
      <c r="O522" s="3375"/>
    </row>
    <row r="523" spans="1:15" ht="13.5" thickBot="1">
      <c r="N523" s="3375"/>
      <c r="O523" s="3375"/>
    </row>
    <row r="524" spans="1:15" ht="13.5" thickBot="1">
      <c r="N524" s="3375"/>
      <c r="O524" s="3375"/>
    </row>
    <row r="525" spans="1:15" ht="13.5" thickBot="1">
      <c r="A525" s="3373"/>
      <c r="B525" s="3206"/>
      <c r="C525" s="3206"/>
      <c r="D525" s="3206"/>
      <c r="E525" s="3206"/>
      <c r="F525" s="3206"/>
      <c r="G525" s="3206"/>
      <c r="H525" s="3206"/>
      <c r="I525" s="3206"/>
      <c r="J525" s="3206"/>
      <c r="K525" s="3206"/>
      <c r="L525" s="3206"/>
      <c r="N525" s="3375"/>
      <c r="O525" s="3375"/>
    </row>
    <row r="526" spans="1:15" ht="13.5" thickBot="1">
      <c r="A526" s="3374"/>
      <c r="B526" s="3376"/>
      <c r="C526" s="3376"/>
      <c r="D526" s="3376"/>
      <c r="E526" s="3376"/>
      <c r="F526" s="3376"/>
      <c r="G526" s="3376"/>
      <c r="H526" s="3376"/>
      <c r="I526" s="3376"/>
      <c r="J526" s="3376"/>
      <c r="K526" s="3376"/>
      <c r="L526" s="3376"/>
      <c r="N526" s="3376"/>
      <c r="O526" s="3375"/>
    </row>
    <row r="527" spans="1:15" ht="13.5" thickBot="1">
      <c r="A527" s="3374"/>
      <c r="O527" s="3375"/>
    </row>
    <row r="528" spans="1:15" ht="13.5" thickBot="1">
      <c r="A528" s="3374"/>
      <c r="O528" s="3375"/>
    </row>
    <row r="529" spans="1:15" ht="13.5" thickBot="1">
      <c r="A529" s="3374"/>
      <c r="O529" s="3375"/>
    </row>
    <row r="530" spans="1:15" ht="13.5" thickBot="1">
      <c r="A530" s="3374"/>
      <c r="O530" s="3375"/>
    </row>
    <row r="531" spans="1:15" ht="13.5" thickBot="1">
      <c r="A531" s="3374"/>
      <c r="O531" s="3375"/>
    </row>
    <row r="532" spans="1:15" ht="13.5" thickBot="1">
      <c r="A532" s="3374"/>
      <c r="O532" s="3375"/>
    </row>
    <row r="533" spans="1:15">
      <c r="A533" s="3377"/>
      <c r="O533" s="3376"/>
    </row>
  </sheetData>
  <mergeCells count="135">
    <mergeCell ref="O104:O108"/>
    <mergeCell ref="O80:O84"/>
    <mergeCell ref="O109:O116"/>
    <mergeCell ref="C111:C116"/>
    <mergeCell ref="M117:M121"/>
    <mergeCell ref="N117:N121"/>
    <mergeCell ref="C118:C121"/>
    <mergeCell ref="O97:O103"/>
    <mergeCell ref="A264:A281"/>
    <mergeCell ref="O264:O276"/>
    <mergeCell ref="C266:C274"/>
    <mergeCell ref="M277:M281"/>
    <mergeCell ref="N277:N281"/>
    <mergeCell ref="O277:O281"/>
    <mergeCell ref="C278:C281"/>
    <mergeCell ref="A253:A263"/>
    <mergeCell ref="O253:O258"/>
    <mergeCell ref="C255:C258"/>
    <mergeCell ref="M259:M263"/>
    <mergeCell ref="N259:N263"/>
    <mergeCell ref="O259:O263"/>
    <mergeCell ref="C260:C263"/>
    <mergeCell ref="A238:A252"/>
    <mergeCell ref="O238:O247"/>
    <mergeCell ref="C240:C245"/>
    <mergeCell ref="M248:M252"/>
    <mergeCell ref="N248:N252"/>
    <mergeCell ref="O248:O252"/>
    <mergeCell ref="C249:C252"/>
    <mergeCell ref="A220:A237"/>
    <mergeCell ref="O220:O232"/>
    <mergeCell ref="C222:C230"/>
    <mergeCell ref="M233:M237"/>
    <mergeCell ref="N233:N237"/>
    <mergeCell ref="O233:O237"/>
    <mergeCell ref="C234:C237"/>
    <mergeCell ref="A205:A219"/>
    <mergeCell ref="O205:O214"/>
    <mergeCell ref="C207:C212"/>
    <mergeCell ref="M215:M219"/>
    <mergeCell ref="N215:N219"/>
    <mergeCell ref="O215:O219"/>
    <mergeCell ref="C216:C219"/>
    <mergeCell ref="A187:A204"/>
    <mergeCell ref="O187:O199"/>
    <mergeCell ref="C189:C197"/>
    <mergeCell ref="M200:M204"/>
    <mergeCell ref="N200:N204"/>
    <mergeCell ref="O200:O204"/>
    <mergeCell ref="C201:C204"/>
    <mergeCell ref="O44:O52"/>
    <mergeCell ref="C87:C91"/>
    <mergeCell ref="N92:N96"/>
    <mergeCell ref="O55:O59"/>
    <mergeCell ref="A61:A72"/>
    <mergeCell ref="C63:C67"/>
    <mergeCell ref="C69:C72"/>
    <mergeCell ref="N68:N72"/>
    <mergeCell ref="A44:A59"/>
    <mergeCell ref="C46:C52"/>
    <mergeCell ref="C56:C59"/>
    <mergeCell ref="N55:N59"/>
    <mergeCell ref="M55:M59"/>
    <mergeCell ref="M68:M72"/>
    <mergeCell ref="O61:O67"/>
    <mergeCell ref="O73:O79"/>
    <mergeCell ref="O85:O91"/>
    <mergeCell ref="M80:M84"/>
    <mergeCell ref="M92:M96"/>
    <mergeCell ref="O92:O96"/>
    <mergeCell ref="A3:O3"/>
    <mergeCell ref="C4:C5"/>
    <mergeCell ref="D4:D5"/>
    <mergeCell ref="O4:O5"/>
    <mergeCell ref="N4:N5"/>
    <mergeCell ref="B4:B5"/>
    <mergeCell ref="A4:A5"/>
    <mergeCell ref="M4:M5"/>
    <mergeCell ref="A24:A43"/>
    <mergeCell ref="C26:C37"/>
    <mergeCell ref="C39:C43"/>
    <mergeCell ref="N38:N43"/>
    <mergeCell ref="M18:M23"/>
    <mergeCell ref="M38:M43"/>
    <mergeCell ref="N18:N23"/>
    <mergeCell ref="F4:F5"/>
    <mergeCell ref="G4:L4"/>
    <mergeCell ref="O24:O37"/>
    <mergeCell ref="O122:O129"/>
    <mergeCell ref="O132:O134"/>
    <mergeCell ref="C149:C150"/>
    <mergeCell ref="N154:N156"/>
    <mergeCell ref="C155:C156"/>
    <mergeCell ref="M154:M156"/>
    <mergeCell ref="A135:A146"/>
    <mergeCell ref="N144:N146"/>
    <mergeCell ref="C145:C146"/>
    <mergeCell ref="C137:C143"/>
    <mergeCell ref="M144:M146"/>
    <mergeCell ref="O135:O138"/>
    <mergeCell ref="O147:O150"/>
    <mergeCell ref="O144:O146"/>
    <mergeCell ref="O154:O156"/>
    <mergeCell ref="A122:A134"/>
    <mergeCell ref="C124:C129"/>
    <mergeCell ref="N132:N134"/>
    <mergeCell ref="C133:C134"/>
    <mergeCell ref="M132:M134"/>
    <mergeCell ref="M104:M108"/>
    <mergeCell ref="A157:A174"/>
    <mergeCell ref="C159:C167"/>
    <mergeCell ref="M170:M174"/>
    <mergeCell ref="N170:N174"/>
    <mergeCell ref="C171:C174"/>
    <mergeCell ref="A147:A156"/>
    <mergeCell ref="A73:A84"/>
    <mergeCell ref="C93:C96"/>
    <mergeCell ref="A97:A108"/>
    <mergeCell ref="C99:C103"/>
    <mergeCell ref="N104:N108"/>
    <mergeCell ref="C105:C108"/>
    <mergeCell ref="C75:C79"/>
    <mergeCell ref="N80:N84"/>
    <mergeCell ref="C81:C84"/>
    <mergeCell ref="A85:A96"/>
    <mergeCell ref="A109:A121"/>
    <mergeCell ref="O175:O181"/>
    <mergeCell ref="O182:O186"/>
    <mergeCell ref="A175:A186"/>
    <mergeCell ref="C177:C181"/>
    <mergeCell ref="M182:M186"/>
    <mergeCell ref="N182:N186"/>
    <mergeCell ref="C183:C186"/>
    <mergeCell ref="O157:O169"/>
    <mergeCell ref="O170:O174"/>
  </mergeCells>
  <printOptions horizontalCentered="1"/>
  <pageMargins left="3.937007874015748E-2" right="7.874015748031496E-2" top="0.51181102362204722" bottom="0.51181102362204722" header="0.11811023622047245" footer="0.15748031496062992"/>
  <pageSetup paperSize="9" scale="68" firstPageNumber="38" orientation="landscape" useFirstPageNumber="1" r:id="rId1"/>
  <headerFooter alignWithMargins="0">
    <oddHeader>&amp;C&amp;"Arial,Kursywa"Wieloletnia prognoza finansowa Województwa Zachodniopomorskiego&amp;"Arial,Normalny"
__________________________________________________________________________________________________________________</oddHeader>
    <oddFooter>&amp;C&amp;8&amp;P</oddFooter>
  </headerFooter>
  <rowBreaks count="3" manualBreakCount="3">
    <brk id="72" max="14" man="1"/>
    <brk id="186" max="14" man="1"/>
    <brk id="252" max="14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0"/>
  </sheetPr>
  <dimension ref="A1:AF533"/>
  <sheetViews>
    <sheetView showGridLines="0" view="pageBreakPreview" zoomScaleSheetLayoutView="100" workbookViewId="0"/>
  </sheetViews>
  <sheetFormatPr defaultColWidth="9.140625" defaultRowHeight="12.75"/>
  <cols>
    <col min="1" max="1" width="3.7109375" style="284" customWidth="1"/>
    <col min="2" max="2" width="54.7109375" style="285" customWidth="1"/>
    <col min="3" max="3" width="9.85546875" style="285" customWidth="1"/>
    <col min="4" max="4" width="13.7109375" style="285" customWidth="1"/>
    <col min="5" max="5" width="11.85546875" style="285" customWidth="1"/>
    <col min="6" max="6" width="11.7109375" style="285" customWidth="1"/>
    <col min="7" max="7" width="10.85546875" style="285" customWidth="1"/>
    <col min="8" max="8" width="10.28515625" style="285" customWidth="1"/>
    <col min="9" max="9" width="10.85546875" style="285" customWidth="1"/>
    <col min="10" max="10" width="10.5703125" style="285" customWidth="1"/>
    <col min="11" max="11" width="10" style="285" customWidth="1"/>
    <col min="12" max="12" width="10.140625" style="285" customWidth="1"/>
    <col min="13" max="13" width="13.42578125" style="285" hidden="1" customWidth="1"/>
    <col min="14" max="14" width="13" style="285" customWidth="1"/>
    <col min="15" max="15" width="14.28515625" style="350" customWidth="1"/>
    <col min="16" max="16" width="11.5703125" style="349" hidden="1" customWidth="1"/>
    <col min="17" max="17" width="10.140625" style="349" hidden="1" customWidth="1"/>
    <col min="18" max="18" width="10.7109375" style="349" hidden="1" customWidth="1"/>
    <col min="19" max="19" width="0" style="349" hidden="1" customWidth="1"/>
    <col min="20" max="20" width="10.140625" style="349" hidden="1" customWidth="1"/>
    <col min="21" max="21" width="0" style="349" hidden="1" customWidth="1"/>
    <col min="22" max="22" width="10.7109375" style="349" hidden="1" customWidth="1"/>
    <col min="23" max="23" width="10.140625" style="349" hidden="1" customWidth="1"/>
    <col min="24" max="31" width="0" style="349" hidden="1" customWidth="1"/>
    <col min="32" max="32" width="8.5703125" style="349" hidden="1" customWidth="1"/>
    <col min="33" max="34" width="0" style="349" hidden="1" customWidth="1"/>
    <col min="35" max="44" width="9.140625" style="349"/>
    <col min="45" max="45" width="8.7109375" style="349" customWidth="1"/>
    <col min="46" max="55" width="9.140625" style="349"/>
    <col min="56" max="56" width="4.28515625" style="349" customWidth="1"/>
    <col min="57" max="66" width="9.140625" style="349"/>
    <col min="67" max="67" width="5" style="349" customWidth="1"/>
    <col min="68" max="77" width="9.140625" style="349"/>
    <col min="78" max="78" width="3.85546875" style="349" customWidth="1"/>
    <col min="79" max="90" width="9.140625" style="349"/>
    <col min="91" max="91" width="5.28515625" style="349" customWidth="1"/>
    <col min="92" max="103" width="9.140625" style="349"/>
    <col min="104" max="104" width="1.5703125" style="349" customWidth="1"/>
    <col min="105" max="117" width="9.140625" style="349"/>
    <col min="118" max="118" width="0.7109375" style="349" customWidth="1"/>
    <col min="119" max="130" width="9.140625" style="349"/>
    <col min="131" max="131" width="8.28515625" style="349" customWidth="1"/>
    <col min="132" max="140" width="9.140625" style="349"/>
    <col min="141" max="141" width="0.28515625" style="349" customWidth="1"/>
    <col min="142" max="167" width="9.140625" style="349"/>
    <col min="168" max="168" width="0.7109375" style="349" customWidth="1"/>
    <col min="169" max="16384" width="9.140625" style="349"/>
  </cols>
  <sheetData>
    <row r="1" spans="1:19" ht="17.25" customHeight="1">
      <c r="D1" s="288"/>
      <c r="E1" s="288"/>
      <c r="H1" s="290" t="s">
        <v>475</v>
      </c>
      <c r="I1" s="6"/>
      <c r="J1" s="6"/>
      <c r="K1" s="6"/>
      <c r="L1" s="6"/>
      <c r="M1" s="6"/>
      <c r="N1" s="6"/>
      <c r="O1" s="7"/>
    </row>
    <row r="2" spans="1:19" ht="36.75" customHeight="1" thickBot="1">
      <c r="A2" s="3800" t="s">
        <v>511</v>
      </c>
      <c r="B2" s="3801"/>
      <c r="C2" s="3801"/>
      <c r="D2" s="3801"/>
      <c r="E2" s="3801"/>
      <c r="F2" s="3801"/>
      <c r="G2" s="3801"/>
      <c r="H2" s="3801"/>
      <c r="I2" s="3801"/>
      <c r="J2" s="3801"/>
      <c r="K2" s="3801"/>
      <c r="L2" s="3801"/>
      <c r="M2" s="3801"/>
      <c r="N2" s="3801"/>
      <c r="O2" s="3802"/>
    </row>
    <row r="3" spans="1:19" s="223" customFormat="1" ht="75.75" customHeight="1">
      <c r="A3" s="3651" t="s">
        <v>66</v>
      </c>
      <c r="B3" s="3653" t="s">
        <v>67</v>
      </c>
      <c r="C3" s="3629" t="s">
        <v>63</v>
      </c>
      <c r="D3" s="3631" t="s">
        <v>64</v>
      </c>
      <c r="E3" s="2687" t="s">
        <v>221</v>
      </c>
      <c r="F3" s="3649" t="s">
        <v>420</v>
      </c>
      <c r="G3" s="3646" t="s">
        <v>376</v>
      </c>
      <c r="H3" s="3647"/>
      <c r="I3" s="3647"/>
      <c r="J3" s="3647"/>
      <c r="K3" s="3647"/>
      <c r="L3" s="3648"/>
      <c r="M3" s="3638" t="s">
        <v>390</v>
      </c>
      <c r="N3" s="3638" t="s">
        <v>433</v>
      </c>
      <c r="O3" s="3633" t="s">
        <v>65</v>
      </c>
    </row>
    <row r="4" spans="1:19" s="223" customFormat="1" ht="18.75" customHeight="1" thickBot="1">
      <c r="A4" s="3652"/>
      <c r="B4" s="3654"/>
      <c r="C4" s="4272"/>
      <c r="D4" s="3632"/>
      <c r="E4" s="2306" t="s">
        <v>367</v>
      </c>
      <c r="F4" s="3650"/>
      <c r="G4" s="2685" t="s">
        <v>6</v>
      </c>
      <c r="H4" s="2685" t="s">
        <v>170</v>
      </c>
      <c r="I4" s="2685" t="s">
        <v>172</v>
      </c>
      <c r="J4" s="2685" t="s">
        <v>212</v>
      </c>
      <c r="K4" s="2685" t="s">
        <v>213</v>
      </c>
      <c r="L4" s="2685" t="s">
        <v>211</v>
      </c>
      <c r="M4" s="4271"/>
      <c r="N4" s="4271"/>
      <c r="O4" s="3634"/>
      <c r="P4" s="395"/>
      <c r="Q4" s="395"/>
    </row>
    <row r="5" spans="1:19" s="245" customFormat="1" ht="12.75" customHeight="1" thickBot="1">
      <c r="A5" s="8">
        <v>1</v>
      </c>
      <c r="B5" s="9">
        <v>2</v>
      </c>
      <c r="C5" s="10">
        <v>3</v>
      </c>
      <c r="D5" s="11">
        <v>4</v>
      </c>
      <c r="E5" s="13">
        <v>5</v>
      </c>
      <c r="F5" s="12">
        <v>6</v>
      </c>
      <c r="G5" s="13">
        <v>7</v>
      </c>
      <c r="H5" s="13">
        <v>8</v>
      </c>
      <c r="I5" s="13">
        <v>9</v>
      </c>
      <c r="J5" s="13">
        <v>10</v>
      </c>
      <c r="K5" s="13">
        <v>11</v>
      </c>
      <c r="L5" s="13">
        <v>12</v>
      </c>
      <c r="M5" s="14">
        <v>13</v>
      </c>
      <c r="N5" s="14">
        <v>13</v>
      </c>
      <c r="O5" s="15">
        <v>14</v>
      </c>
      <c r="P5" s="244"/>
      <c r="Q5" s="244"/>
    </row>
    <row r="6" spans="1:19" s="223" customFormat="1" ht="16.5" customHeight="1">
      <c r="A6" s="352"/>
      <c r="B6" s="226" t="s">
        <v>68</v>
      </c>
      <c r="C6" s="203"/>
      <c r="D6" s="204">
        <f>+D7+D8</f>
        <v>38992820</v>
      </c>
      <c r="E6" s="204">
        <f>+E7+E8</f>
        <v>0</v>
      </c>
      <c r="F6" s="204">
        <f t="shared" ref="F6:L6" si="0">+F7+F8</f>
        <v>0</v>
      </c>
      <c r="G6" s="204">
        <f t="shared" si="0"/>
        <v>5697680</v>
      </c>
      <c r="H6" s="204">
        <f t="shared" si="0"/>
        <v>15526840</v>
      </c>
      <c r="I6" s="204">
        <f t="shared" si="0"/>
        <v>15502869</v>
      </c>
      <c r="J6" s="204">
        <f t="shared" si="0"/>
        <v>2265431</v>
      </c>
      <c r="K6" s="204">
        <f t="shared" si="0"/>
        <v>0</v>
      </c>
      <c r="L6" s="204">
        <f t="shared" si="0"/>
        <v>0</v>
      </c>
      <c r="M6" s="16">
        <f>+M7+M8</f>
        <v>38992820</v>
      </c>
      <c r="N6" s="16">
        <f>+N7+N8</f>
        <v>38992820</v>
      </c>
      <c r="O6" s="680"/>
      <c r="P6" s="395"/>
    </row>
    <row r="7" spans="1:19" s="223" customFormat="1" ht="16.5" customHeight="1">
      <c r="A7" s="354"/>
      <c r="B7" s="218" t="s">
        <v>69</v>
      </c>
      <c r="C7" s="206"/>
      <c r="D7" s="207">
        <f>+D35</f>
        <v>1266343</v>
      </c>
      <c r="E7" s="207">
        <f>+E438+E456+E374+E389</f>
        <v>0</v>
      </c>
      <c r="F7" s="207">
        <f t="shared" ref="F7" si="1">+F438+F456+F374+F389</f>
        <v>0</v>
      </c>
      <c r="G7" s="207">
        <f>+G35</f>
        <v>189594</v>
      </c>
      <c r="H7" s="207">
        <f t="shared" ref="H7:J7" si="2">+H35</f>
        <v>514124</v>
      </c>
      <c r="I7" s="207">
        <f t="shared" si="2"/>
        <v>490892</v>
      </c>
      <c r="J7" s="207">
        <f t="shared" si="2"/>
        <v>71733</v>
      </c>
      <c r="K7" s="207">
        <f t="shared" ref="K7:L7" si="3">+K438+K456+K374</f>
        <v>0</v>
      </c>
      <c r="L7" s="207">
        <f t="shared" si="3"/>
        <v>0</v>
      </c>
      <c r="M7" s="840">
        <f>SUM(F7:K7)</f>
        <v>1266343</v>
      </c>
      <c r="N7" s="840">
        <f>SUM(G7:L7)</f>
        <v>1266343</v>
      </c>
      <c r="O7" s="681"/>
    </row>
    <row r="8" spans="1:19" s="223" customFormat="1" ht="16.5" customHeight="1" thickBot="1">
      <c r="A8" s="354"/>
      <c r="B8" s="2392" t="s">
        <v>9</v>
      </c>
      <c r="C8" s="683"/>
      <c r="D8" s="684">
        <f>+D24+D26+D28</f>
        <v>37726477</v>
      </c>
      <c r="E8" s="684">
        <f t="shared" ref="E8:L8" si="4">+E24+E26+E28</f>
        <v>0</v>
      </c>
      <c r="F8" s="684">
        <f t="shared" si="4"/>
        <v>0</v>
      </c>
      <c r="G8" s="684">
        <f t="shared" si="4"/>
        <v>5508086</v>
      </c>
      <c r="H8" s="684">
        <f t="shared" si="4"/>
        <v>15012716</v>
      </c>
      <c r="I8" s="684">
        <f t="shared" si="4"/>
        <v>15011977</v>
      </c>
      <c r="J8" s="684">
        <f t="shared" si="4"/>
        <v>2193698</v>
      </c>
      <c r="K8" s="684">
        <f t="shared" si="4"/>
        <v>0</v>
      </c>
      <c r="L8" s="684">
        <f t="shared" si="4"/>
        <v>0</v>
      </c>
      <c r="M8" s="147">
        <f>SUM(F8:K8)</f>
        <v>37726477</v>
      </c>
      <c r="N8" s="147">
        <f>+J8+I8+H8+G8</f>
        <v>37726477</v>
      </c>
      <c r="O8" s="681"/>
    </row>
    <row r="9" spans="1:19" s="223" customFormat="1" ht="14.25" customHeight="1">
      <c r="A9" s="354"/>
      <c r="B9" s="176" t="s">
        <v>10</v>
      </c>
      <c r="C9" s="20"/>
      <c r="D9" s="685">
        <f t="shared" ref="D9:N9" si="5">+D10+D14</f>
        <v>39992442</v>
      </c>
      <c r="E9" s="685">
        <f t="shared" si="5"/>
        <v>0</v>
      </c>
      <c r="F9" s="685">
        <f t="shared" si="5"/>
        <v>0</v>
      </c>
      <c r="G9" s="685">
        <f t="shared" si="5"/>
        <v>5987579</v>
      </c>
      <c r="H9" s="685">
        <f t="shared" si="5"/>
        <v>16236563</v>
      </c>
      <c r="I9" s="685">
        <f t="shared" si="5"/>
        <v>15502869</v>
      </c>
      <c r="J9" s="685">
        <f t="shared" si="5"/>
        <v>2265431</v>
      </c>
      <c r="K9" s="685">
        <f t="shared" si="5"/>
        <v>0</v>
      </c>
      <c r="L9" s="685">
        <f t="shared" si="5"/>
        <v>0</v>
      </c>
      <c r="M9" s="686">
        <f t="shared" si="5"/>
        <v>39992442</v>
      </c>
      <c r="N9" s="686">
        <f t="shared" si="5"/>
        <v>39992442</v>
      </c>
      <c r="O9" s="617"/>
      <c r="P9" s="687"/>
      <c r="Q9" s="395"/>
      <c r="S9" s="395"/>
    </row>
    <row r="10" spans="1:19" s="690" customFormat="1" ht="14.25" customHeight="1">
      <c r="A10" s="354"/>
      <c r="B10" s="2393" t="s">
        <v>11</v>
      </c>
      <c r="C10" s="2142"/>
      <c r="D10" s="841">
        <f>+D11+D12+D13</f>
        <v>5998866</v>
      </c>
      <c r="E10" s="841">
        <f t="shared" ref="E10:L10" si="6">+E11+E12+E13</f>
        <v>0</v>
      </c>
      <c r="F10" s="841">
        <f t="shared" si="6"/>
        <v>0</v>
      </c>
      <c r="G10" s="841">
        <f t="shared" si="6"/>
        <v>898137</v>
      </c>
      <c r="H10" s="841">
        <f t="shared" si="6"/>
        <v>2435485</v>
      </c>
      <c r="I10" s="841">
        <f t="shared" si="6"/>
        <v>2325430</v>
      </c>
      <c r="J10" s="841">
        <f t="shared" si="6"/>
        <v>339814</v>
      </c>
      <c r="K10" s="841">
        <f t="shared" si="6"/>
        <v>0</v>
      </c>
      <c r="L10" s="841">
        <f t="shared" si="6"/>
        <v>0</v>
      </c>
      <c r="M10" s="2143">
        <f>SUM(M11:M13)</f>
        <v>5998866</v>
      </c>
      <c r="N10" s="2143">
        <f>SUM(N11:N13)</f>
        <v>5998866</v>
      </c>
      <c r="O10" s="688"/>
      <c r="P10" s="689"/>
      <c r="Q10" s="687"/>
    </row>
    <row r="11" spans="1:19" s="223" customFormat="1" ht="14.25" customHeight="1">
      <c r="A11" s="354"/>
      <c r="B11" s="2148" t="s">
        <v>118</v>
      </c>
      <c r="C11" s="691"/>
      <c r="D11" s="842">
        <f>+D24+D37</f>
        <v>1000000</v>
      </c>
      <c r="E11" s="842">
        <f t="shared" ref="E11:L11" si="7">+E24</f>
        <v>0</v>
      </c>
      <c r="F11" s="842">
        <f t="shared" si="7"/>
        <v>0</v>
      </c>
      <c r="G11" s="842">
        <f>+G24+G37</f>
        <v>9480</v>
      </c>
      <c r="H11" s="842">
        <f>+H24+H37</f>
        <v>102106</v>
      </c>
      <c r="I11" s="842">
        <f>+I24+I37</f>
        <v>775143</v>
      </c>
      <c r="J11" s="842">
        <f>+J24+J37</f>
        <v>113271</v>
      </c>
      <c r="K11" s="842">
        <f t="shared" si="7"/>
        <v>0</v>
      </c>
      <c r="L11" s="842">
        <f t="shared" si="7"/>
        <v>0</v>
      </c>
      <c r="M11" s="2144">
        <f>SUM(F11:K11)</f>
        <v>1000000</v>
      </c>
      <c r="N11" s="2144">
        <f>SUM(G11:L11)</f>
        <v>1000000</v>
      </c>
      <c r="O11" s="617"/>
      <c r="P11" s="395"/>
      <c r="Q11" s="395"/>
      <c r="S11" s="395"/>
    </row>
    <row r="12" spans="1:19" s="223" customFormat="1" ht="14.25" customHeight="1">
      <c r="A12" s="354"/>
      <c r="B12" s="2148" t="s">
        <v>31</v>
      </c>
      <c r="C12" s="2145"/>
      <c r="D12" s="842">
        <f>+D25</f>
        <v>999622</v>
      </c>
      <c r="E12" s="842">
        <f t="shared" ref="E12:L12" si="8">+E25</f>
        <v>0</v>
      </c>
      <c r="F12" s="842">
        <f t="shared" si="8"/>
        <v>0</v>
      </c>
      <c r="G12" s="842">
        <f t="shared" si="8"/>
        <v>289899</v>
      </c>
      <c r="H12" s="842">
        <f t="shared" si="8"/>
        <v>709723</v>
      </c>
      <c r="I12" s="842">
        <f t="shared" si="8"/>
        <v>0</v>
      </c>
      <c r="J12" s="842">
        <f t="shared" si="8"/>
        <v>0</v>
      </c>
      <c r="K12" s="842">
        <f t="shared" si="8"/>
        <v>0</v>
      </c>
      <c r="L12" s="842">
        <f t="shared" si="8"/>
        <v>0</v>
      </c>
      <c r="M12" s="2144">
        <f>SUM(E12:K12)</f>
        <v>999622</v>
      </c>
      <c r="N12" s="2144">
        <f>SUM(F12:L12)</f>
        <v>999622</v>
      </c>
      <c r="O12" s="694"/>
      <c r="P12" s="395"/>
    </row>
    <row r="13" spans="1:19" s="223" customFormat="1" ht="15.75" customHeight="1">
      <c r="A13" s="354"/>
      <c r="B13" s="2148" t="s">
        <v>508</v>
      </c>
      <c r="C13" s="691"/>
      <c r="D13" s="842">
        <f>+D26+D38</f>
        <v>3999244</v>
      </c>
      <c r="E13" s="842">
        <f t="shared" ref="E13:L13" si="9">+E26</f>
        <v>0</v>
      </c>
      <c r="F13" s="842">
        <f t="shared" si="9"/>
        <v>0</v>
      </c>
      <c r="G13" s="842">
        <f>+G26+G38</f>
        <v>598758</v>
      </c>
      <c r="H13" s="842">
        <f t="shared" ref="H13:J13" si="10">+H26+H38</f>
        <v>1623656</v>
      </c>
      <c r="I13" s="842">
        <f t="shared" si="10"/>
        <v>1550287</v>
      </c>
      <c r="J13" s="842">
        <f t="shared" si="10"/>
        <v>226543</v>
      </c>
      <c r="K13" s="842">
        <f t="shared" si="9"/>
        <v>0</v>
      </c>
      <c r="L13" s="842">
        <f t="shared" si="9"/>
        <v>0</v>
      </c>
      <c r="M13" s="808">
        <f>SUM(F13:K13)</f>
        <v>3999244</v>
      </c>
      <c r="N13" s="808">
        <f>SUM(G13:L13)</f>
        <v>3999244</v>
      </c>
      <c r="O13" s="694"/>
      <c r="P13" s="395"/>
    </row>
    <row r="14" spans="1:19" s="690" customFormat="1" ht="14.25" customHeight="1">
      <c r="A14" s="354"/>
      <c r="B14" s="2393" t="s">
        <v>18</v>
      </c>
      <c r="C14" s="695"/>
      <c r="D14" s="841">
        <f>+D15</f>
        <v>33993576</v>
      </c>
      <c r="E14" s="841">
        <f t="shared" ref="E14:K14" si="11">+E15</f>
        <v>0</v>
      </c>
      <c r="F14" s="841">
        <f t="shared" si="11"/>
        <v>0</v>
      </c>
      <c r="G14" s="841">
        <f t="shared" si="11"/>
        <v>5089442</v>
      </c>
      <c r="H14" s="841">
        <f t="shared" si="11"/>
        <v>13801078</v>
      </c>
      <c r="I14" s="841">
        <f t="shared" si="11"/>
        <v>13177439</v>
      </c>
      <c r="J14" s="841">
        <f t="shared" si="11"/>
        <v>1925617</v>
      </c>
      <c r="K14" s="841">
        <f t="shared" si="11"/>
        <v>0</v>
      </c>
      <c r="L14" s="841">
        <f>+L15</f>
        <v>0</v>
      </c>
      <c r="M14" s="2146">
        <f>+M15</f>
        <v>33993576</v>
      </c>
      <c r="N14" s="2146">
        <f>+N15</f>
        <v>33993576</v>
      </c>
      <c r="O14" s="696"/>
      <c r="P14" s="689"/>
      <c r="Q14" s="687"/>
    </row>
    <row r="15" spans="1:19" s="223" customFormat="1" ht="14.25" customHeight="1">
      <c r="A15" s="354"/>
      <c r="B15" s="2148" t="s">
        <v>20</v>
      </c>
      <c r="C15" s="2147"/>
      <c r="D15" s="842">
        <f>+D28+D40</f>
        <v>33993576</v>
      </c>
      <c r="E15" s="842">
        <f t="shared" ref="E15:L15" si="12">+E28</f>
        <v>0</v>
      </c>
      <c r="F15" s="842">
        <f t="shared" si="12"/>
        <v>0</v>
      </c>
      <c r="G15" s="842">
        <f>+G28+G40</f>
        <v>5089442</v>
      </c>
      <c r="H15" s="842">
        <f t="shared" ref="H15:J15" si="13">+H28+H40</f>
        <v>13801078</v>
      </c>
      <c r="I15" s="842">
        <f t="shared" si="13"/>
        <v>13177439</v>
      </c>
      <c r="J15" s="842">
        <f t="shared" si="13"/>
        <v>1925617</v>
      </c>
      <c r="K15" s="842">
        <f t="shared" si="12"/>
        <v>0</v>
      </c>
      <c r="L15" s="842">
        <f t="shared" si="12"/>
        <v>0</v>
      </c>
      <c r="M15" s="808">
        <f>SUM(F15:K15)</f>
        <v>33993576</v>
      </c>
      <c r="N15" s="808">
        <f>SUM(G15:L15)</f>
        <v>33993576</v>
      </c>
      <c r="O15" s="617"/>
      <c r="P15" s="395"/>
      <c r="Q15" s="395"/>
    </row>
    <row r="16" spans="1:19" s="223" customFormat="1" ht="14.25" customHeight="1">
      <c r="A16" s="354"/>
      <c r="B16" s="2149" t="s">
        <v>21</v>
      </c>
      <c r="C16" s="1356"/>
      <c r="D16" s="598">
        <f>+D17+D19</f>
        <v>37992820</v>
      </c>
      <c r="E16" s="598">
        <f t="shared" ref="E16:L16" si="14">+E17+E19</f>
        <v>0</v>
      </c>
      <c r="F16" s="598">
        <f t="shared" si="14"/>
        <v>0</v>
      </c>
      <c r="G16" s="598">
        <f t="shared" si="14"/>
        <v>5688200</v>
      </c>
      <c r="H16" s="598">
        <f t="shared" si="14"/>
        <v>15424734</v>
      </c>
      <c r="I16" s="598">
        <f t="shared" si="14"/>
        <v>14727726</v>
      </c>
      <c r="J16" s="598">
        <f t="shared" si="14"/>
        <v>2152160</v>
      </c>
      <c r="K16" s="598">
        <f t="shared" si="14"/>
        <v>0</v>
      </c>
      <c r="L16" s="598">
        <f t="shared" si="14"/>
        <v>0</v>
      </c>
      <c r="M16" s="4318"/>
      <c r="N16" s="4318" t="s">
        <v>53</v>
      </c>
      <c r="O16" s="617"/>
      <c r="P16" s="395"/>
      <c r="S16" s="687"/>
    </row>
    <row r="17" spans="1:17" s="223" customFormat="1" ht="14.25" customHeight="1">
      <c r="A17" s="354"/>
      <c r="B17" s="2150" t="s">
        <v>23</v>
      </c>
      <c r="C17" s="2151"/>
      <c r="D17" s="847">
        <f>+D18</f>
        <v>3999244</v>
      </c>
      <c r="E17" s="847">
        <f t="shared" ref="E17:L17" si="15">+E18</f>
        <v>0</v>
      </c>
      <c r="F17" s="847">
        <f t="shared" si="15"/>
        <v>0</v>
      </c>
      <c r="G17" s="847">
        <f t="shared" si="15"/>
        <v>598758</v>
      </c>
      <c r="H17" s="847">
        <f t="shared" si="15"/>
        <v>1623656</v>
      </c>
      <c r="I17" s="847">
        <f t="shared" si="15"/>
        <v>1550287</v>
      </c>
      <c r="J17" s="847">
        <f t="shared" si="15"/>
        <v>226543</v>
      </c>
      <c r="K17" s="847">
        <f t="shared" si="15"/>
        <v>0</v>
      </c>
      <c r="L17" s="847">
        <f t="shared" si="15"/>
        <v>0</v>
      </c>
      <c r="M17" s="4319"/>
      <c r="N17" s="4319"/>
      <c r="O17" s="617"/>
    </row>
    <row r="18" spans="1:17" s="223" customFormat="1" ht="14.25" customHeight="1">
      <c r="A18" s="354"/>
      <c r="B18" s="2394" t="s">
        <v>17</v>
      </c>
      <c r="C18" s="25"/>
      <c r="D18" s="842">
        <f>+D43+D31</f>
        <v>3999244</v>
      </c>
      <c r="E18" s="842">
        <f t="shared" ref="E18:L18" si="16">+E31</f>
        <v>0</v>
      </c>
      <c r="F18" s="842">
        <f t="shared" si="16"/>
        <v>0</v>
      </c>
      <c r="G18" s="842">
        <f>+G31+G43</f>
        <v>598758</v>
      </c>
      <c r="H18" s="842">
        <f t="shared" ref="H18:J18" si="17">+H31+H43</f>
        <v>1623656</v>
      </c>
      <c r="I18" s="842">
        <f t="shared" si="17"/>
        <v>1550287</v>
      </c>
      <c r="J18" s="842">
        <f t="shared" si="17"/>
        <v>226543</v>
      </c>
      <c r="K18" s="842">
        <f t="shared" si="16"/>
        <v>0</v>
      </c>
      <c r="L18" s="842">
        <f t="shared" si="16"/>
        <v>0</v>
      </c>
      <c r="M18" s="4319"/>
      <c r="N18" s="4319"/>
      <c r="O18" s="694"/>
      <c r="P18" s="395"/>
    </row>
    <row r="19" spans="1:17" s="223" customFormat="1" ht="14.25" customHeight="1">
      <c r="A19" s="354"/>
      <c r="B19" s="2152" t="s">
        <v>18</v>
      </c>
      <c r="C19" s="2153"/>
      <c r="D19" s="847">
        <f>+D20</f>
        <v>33993576</v>
      </c>
      <c r="E19" s="847">
        <f t="shared" ref="E19:L19" si="18">+E20</f>
        <v>0</v>
      </c>
      <c r="F19" s="847">
        <f t="shared" si="18"/>
        <v>0</v>
      </c>
      <c r="G19" s="847">
        <f t="shared" si="18"/>
        <v>5089442</v>
      </c>
      <c r="H19" s="847">
        <f t="shared" si="18"/>
        <v>13801078</v>
      </c>
      <c r="I19" s="847">
        <f t="shared" si="18"/>
        <v>13177439</v>
      </c>
      <c r="J19" s="847">
        <f t="shared" si="18"/>
        <v>1925617</v>
      </c>
      <c r="K19" s="847">
        <f t="shared" si="18"/>
        <v>0</v>
      </c>
      <c r="L19" s="847">
        <f t="shared" si="18"/>
        <v>0</v>
      </c>
      <c r="M19" s="4319"/>
      <c r="N19" s="4319"/>
      <c r="O19" s="694"/>
      <c r="P19" s="395"/>
    </row>
    <row r="20" spans="1:17" s="223" customFormat="1" ht="15" customHeight="1" thickBot="1">
      <c r="A20" s="355"/>
      <c r="B20" s="2395" t="s">
        <v>20</v>
      </c>
      <c r="C20" s="2396"/>
      <c r="D20" s="2397">
        <f>+D33+D45</f>
        <v>33993576</v>
      </c>
      <c r="E20" s="2397">
        <f t="shared" ref="E20:L20" si="19">+E33</f>
        <v>0</v>
      </c>
      <c r="F20" s="2397">
        <f t="shared" si="19"/>
        <v>0</v>
      </c>
      <c r="G20" s="2397">
        <f>+G33+G45</f>
        <v>5089442</v>
      </c>
      <c r="H20" s="2397">
        <f t="shared" ref="H20:J20" si="20">+H33+H45</f>
        <v>13801078</v>
      </c>
      <c r="I20" s="2397">
        <f t="shared" si="20"/>
        <v>13177439</v>
      </c>
      <c r="J20" s="2397">
        <f t="shared" si="20"/>
        <v>1925617</v>
      </c>
      <c r="K20" s="2397">
        <f t="shared" si="19"/>
        <v>0</v>
      </c>
      <c r="L20" s="2397">
        <f t="shared" si="19"/>
        <v>0</v>
      </c>
      <c r="M20" s="4320"/>
      <c r="N20" s="4320"/>
      <c r="O20" s="2156"/>
    </row>
    <row r="21" spans="1:17" ht="27.75" customHeight="1">
      <c r="A21" s="4321" t="s">
        <v>55</v>
      </c>
      <c r="B21" s="179" t="s">
        <v>516</v>
      </c>
      <c r="C21" s="542" t="s">
        <v>73</v>
      </c>
      <c r="D21" s="2809"/>
      <c r="E21" s="2764"/>
      <c r="F21" s="2764"/>
      <c r="G21" s="2764"/>
      <c r="H21" s="2810"/>
      <c r="I21" s="2810"/>
      <c r="J21" s="2810"/>
      <c r="K21" s="2764"/>
      <c r="L21" s="2811"/>
      <c r="M21" s="2812"/>
      <c r="N21" s="3119"/>
      <c r="O21" s="3734" t="s">
        <v>509</v>
      </c>
    </row>
    <row r="22" spans="1:17" ht="12" customHeight="1">
      <c r="A22" s="4322"/>
      <c r="B22" s="2131" t="s">
        <v>10</v>
      </c>
      <c r="C22" s="2813"/>
      <c r="D22" s="2814">
        <f>+D23+D27</f>
        <v>38726099</v>
      </c>
      <c r="E22" s="2815">
        <v>0</v>
      </c>
      <c r="F22" s="2815">
        <v>0</v>
      </c>
      <c r="G22" s="544">
        <f>+G23+G27</f>
        <v>5797985</v>
      </c>
      <c r="H22" s="544">
        <f>+H23+H27</f>
        <v>15722439</v>
      </c>
      <c r="I22" s="544">
        <f>+I23+I27</f>
        <v>15011977</v>
      </c>
      <c r="J22" s="544">
        <f>+J23+J27</f>
        <v>2193698</v>
      </c>
      <c r="K22" s="2815">
        <v>0</v>
      </c>
      <c r="L22" s="2815">
        <v>0</v>
      </c>
      <c r="M22" s="2816">
        <f>+M23+M27</f>
        <v>3872611</v>
      </c>
      <c r="N22" s="2963">
        <f>+N23+N27</f>
        <v>37726477</v>
      </c>
      <c r="O22" s="3735"/>
      <c r="P22" s="2398"/>
    </row>
    <row r="23" spans="1:17" ht="12" customHeight="1">
      <c r="A23" s="4322"/>
      <c r="B23" s="2817" t="s">
        <v>23</v>
      </c>
      <c r="C23" s="4324" t="s">
        <v>507</v>
      </c>
      <c r="D23" s="2818">
        <f>+D24+D25+D26</f>
        <v>5808915</v>
      </c>
      <c r="E23" s="2819">
        <v>0</v>
      </c>
      <c r="F23" s="2819">
        <v>0</v>
      </c>
      <c r="G23" s="2820">
        <f>+G24+G25+G26</f>
        <v>869698</v>
      </c>
      <c r="H23" s="2820">
        <f>+H24+H25+H26</f>
        <v>2358366</v>
      </c>
      <c r="I23" s="2820">
        <f>+I24+I25+I26</f>
        <v>2251796</v>
      </c>
      <c r="J23" s="2820">
        <f>+J24+J25+J26</f>
        <v>329055</v>
      </c>
      <c r="K23" s="2819">
        <v>0</v>
      </c>
      <c r="L23" s="2819">
        <v>0</v>
      </c>
      <c r="M23" s="2821">
        <f>+M26</f>
        <v>3872611</v>
      </c>
      <c r="N23" s="3120">
        <f>+N24+N26</f>
        <v>4809293</v>
      </c>
      <c r="O23" s="3735"/>
    </row>
    <row r="24" spans="1:17" ht="12" customHeight="1">
      <c r="A24" s="4322"/>
      <c r="B24" s="2822" t="s">
        <v>118</v>
      </c>
      <c r="C24" s="4325"/>
      <c r="D24" s="1339">
        <f>+G24+H24+I24+J24</f>
        <v>936682</v>
      </c>
      <c r="E24" s="2819">
        <v>0</v>
      </c>
      <c r="F24" s="2819">
        <v>0</v>
      </c>
      <c r="G24" s="1452">
        <v>0</v>
      </c>
      <c r="H24" s="1452">
        <v>76399</v>
      </c>
      <c r="I24" s="1452">
        <v>750598</v>
      </c>
      <c r="J24" s="1452">
        <v>109685</v>
      </c>
      <c r="K24" s="2819">
        <v>0</v>
      </c>
      <c r="L24" s="2819">
        <v>0</v>
      </c>
      <c r="M24" s="2821"/>
      <c r="N24" s="3121">
        <f>+J24+I24+H24+G24</f>
        <v>936682</v>
      </c>
      <c r="O24" s="3735"/>
    </row>
    <row r="25" spans="1:17" ht="12" customHeight="1">
      <c r="A25" s="4322"/>
      <c r="B25" s="2823" t="s">
        <v>31</v>
      </c>
      <c r="C25" s="4325"/>
      <c r="D25" s="1339">
        <f>+G25+H25+I25+J25</f>
        <v>999622</v>
      </c>
      <c r="E25" s="2824">
        <v>0</v>
      </c>
      <c r="F25" s="1954">
        <v>0</v>
      </c>
      <c r="G25" s="1452">
        <v>289899</v>
      </c>
      <c r="H25" s="1452">
        <v>709723</v>
      </c>
      <c r="I25" s="1452">
        <v>0</v>
      </c>
      <c r="J25" s="1452">
        <v>0</v>
      </c>
      <c r="K25" s="1954">
        <v>0</v>
      </c>
      <c r="L25" s="1954">
        <v>0</v>
      </c>
      <c r="M25" s="2825" t="s">
        <v>53</v>
      </c>
      <c r="N25" s="2904" t="s">
        <v>53</v>
      </c>
      <c r="O25" s="3735"/>
      <c r="Q25" s="2398"/>
    </row>
    <row r="26" spans="1:17" ht="12" customHeight="1">
      <c r="A26" s="4322"/>
      <c r="B26" s="2826" t="s">
        <v>508</v>
      </c>
      <c r="C26" s="4325"/>
      <c r="D26" s="1339">
        <f>E26+F26+G26+H26+I26+J26+K26+L26</f>
        <v>3872611</v>
      </c>
      <c r="E26" s="2824">
        <v>0</v>
      </c>
      <c r="F26" s="1954">
        <v>0</v>
      </c>
      <c r="G26" s="1452">
        <v>579799</v>
      </c>
      <c r="H26" s="1452">
        <v>1572244</v>
      </c>
      <c r="I26" s="1452">
        <v>1501198</v>
      </c>
      <c r="J26" s="1452">
        <v>219370</v>
      </c>
      <c r="K26" s="1954">
        <v>0</v>
      </c>
      <c r="L26" s="1954">
        <v>0</v>
      </c>
      <c r="M26" s="2827">
        <f>SUM(F26:K26)</f>
        <v>3872611</v>
      </c>
      <c r="N26" s="2661">
        <f t="shared" ref="N26" si="21">SUM(G26:L26)</f>
        <v>3872611</v>
      </c>
      <c r="O26" s="3735"/>
    </row>
    <row r="27" spans="1:17" ht="12" customHeight="1">
      <c r="A27" s="4322"/>
      <c r="B27" s="2817" t="s">
        <v>18</v>
      </c>
      <c r="C27" s="4325"/>
      <c r="D27" s="2820">
        <f>+D28</f>
        <v>32917184</v>
      </c>
      <c r="E27" s="2824">
        <v>0</v>
      </c>
      <c r="F27" s="1954">
        <v>0</v>
      </c>
      <c r="G27" s="2820">
        <f>+G28</f>
        <v>4928287</v>
      </c>
      <c r="H27" s="2820">
        <f t="shared" ref="H27:J27" si="22">+H28</f>
        <v>13364073</v>
      </c>
      <c r="I27" s="2820">
        <f t="shared" si="22"/>
        <v>12760181</v>
      </c>
      <c r="J27" s="2820">
        <f t="shared" si="22"/>
        <v>1864643</v>
      </c>
      <c r="K27" s="2828">
        <v>0</v>
      </c>
      <c r="L27" s="2828">
        <v>0</v>
      </c>
      <c r="M27" s="2829"/>
      <c r="N27" s="2965">
        <f>+N28</f>
        <v>32917184</v>
      </c>
      <c r="O27" s="3735"/>
    </row>
    <row r="28" spans="1:17" ht="12" customHeight="1">
      <c r="A28" s="4322"/>
      <c r="B28" s="2826" t="s">
        <v>510</v>
      </c>
      <c r="C28" s="4326"/>
      <c r="D28" s="1339">
        <f>+E28+F28+G28+H28+I28+J28</f>
        <v>32917184</v>
      </c>
      <c r="E28" s="2824">
        <v>0</v>
      </c>
      <c r="F28" s="1954">
        <v>0</v>
      </c>
      <c r="G28" s="1452">
        <v>4928287</v>
      </c>
      <c r="H28" s="1452">
        <v>13364073</v>
      </c>
      <c r="I28" s="1452">
        <v>12760181</v>
      </c>
      <c r="J28" s="1452">
        <v>1864643</v>
      </c>
      <c r="K28" s="2828">
        <v>0</v>
      </c>
      <c r="L28" s="2828">
        <v>0</v>
      </c>
      <c r="M28" s="2830"/>
      <c r="N28" s="3122">
        <f>+J28+I28+H28+G28</f>
        <v>32917184</v>
      </c>
      <c r="O28" s="4185"/>
    </row>
    <row r="29" spans="1:17" ht="12" customHeight="1">
      <c r="A29" s="4322"/>
      <c r="B29" s="2131" t="s">
        <v>21</v>
      </c>
      <c r="C29" s="2813"/>
      <c r="D29" s="544">
        <f>+D30+D32</f>
        <v>36789795</v>
      </c>
      <c r="E29" s="2815">
        <f>+E30+E32</f>
        <v>0</v>
      </c>
      <c r="F29" s="2815">
        <f>+F30+F32</f>
        <v>0</v>
      </c>
      <c r="G29" s="1219">
        <f>+G30+G32</f>
        <v>5508086</v>
      </c>
      <c r="H29" s="1219">
        <f t="shared" ref="H29:J29" si="23">+H30+H32</f>
        <v>14936317</v>
      </c>
      <c r="I29" s="1219">
        <f t="shared" si="23"/>
        <v>14261379</v>
      </c>
      <c r="J29" s="1219">
        <f t="shared" si="23"/>
        <v>2084013</v>
      </c>
      <c r="K29" s="2815">
        <v>0</v>
      </c>
      <c r="L29" s="2815">
        <v>0</v>
      </c>
      <c r="M29" s="4327" t="s">
        <v>53</v>
      </c>
      <c r="N29" s="4328" t="s">
        <v>53</v>
      </c>
      <c r="O29" s="3735" t="s">
        <v>512</v>
      </c>
    </row>
    <row r="30" spans="1:17" ht="12" customHeight="1">
      <c r="A30" s="4322"/>
      <c r="B30" s="2187" t="s">
        <v>23</v>
      </c>
      <c r="C30" s="4317" t="s">
        <v>182</v>
      </c>
      <c r="D30" s="1440">
        <f>+D31</f>
        <v>3872611</v>
      </c>
      <c r="E30" s="2064">
        <f>+E31</f>
        <v>0</v>
      </c>
      <c r="F30" s="2064">
        <f>+F31</f>
        <v>0</v>
      </c>
      <c r="G30" s="2820">
        <f>+G31</f>
        <v>579799</v>
      </c>
      <c r="H30" s="2820">
        <f t="shared" ref="H30:J30" si="24">+H31</f>
        <v>1572244</v>
      </c>
      <c r="I30" s="2820">
        <f t="shared" si="24"/>
        <v>1501198</v>
      </c>
      <c r="J30" s="2820">
        <f t="shared" si="24"/>
        <v>219370</v>
      </c>
      <c r="K30" s="2064">
        <v>0</v>
      </c>
      <c r="L30" s="2064">
        <v>0</v>
      </c>
      <c r="M30" s="4327"/>
      <c r="N30" s="4328"/>
      <c r="O30" s="3735"/>
    </row>
    <row r="31" spans="1:17" ht="12" customHeight="1">
      <c r="A31" s="4322"/>
      <c r="B31" s="2826" t="s">
        <v>508</v>
      </c>
      <c r="C31" s="4286"/>
      <c r="D31" s="1339">
        <f>+G31+H31+I31+J31</f>
        <v>3872611</v>
      </c>
      <c r="E31" s="2824">
        <v>0</v>
      </c>
      <c r="F31" s="2824">
        <v>0</v>
      </c>
      <c r="G31" s="1452">
        <v>579799</v>
      </c>
      <c r="H31" s="1452">
        <v>1572244</v>
      </c>
      <c r="I31" s="1452">
        <v>1501198</v>
      </c>
      <c r="J31" s="1452">
        <v>219370</v>
      </c>
      <c r="K31" s="1954">
        <v>0</v>
      </c>
      <c r="L31" s="1954">
        <v>0</v>
      </c>
      <c r="M31" s="4327"/>
      <c r="N31" s="4328"/>
      <c r="O31" s="3735"/>
      <c r="Q31" s="2398">
        <f>+D26+D38</f>
        <v>3999244</v>
      </c>
    </row>
    <row r="32" spans="1:17" ht="12" customHeight="1">
      <c r="A32" s="4322"/>
      <c r="B32" s="2189" t="s">
        <v>18</v>
      </c>
      <c r="C32" s="4286"/>
      <c r="D32" s="2820">
        <f t="shared" ref="D32:J32" si="25">+D33</f>
        <v>32917184</v>
      </c>
      <c r="E32" s="2824">
        <f t="shared" si="25"/>
        <v>0</v>
      </c>
      <c r="F32" s="1667">
        <f t="shared" si="25"/>
        <v>0</v>
      </c>
      <c r="G32" s="2820">
        <f t="shared" si="25"/>
        <v>4928287</v>
      </c>
      <c r="H32" s="2820">
        <f t="shared" si="25"/>
        <v>13364073</v>
      </c>
      <c r="I32" s="2820">
        <f t="shared" si="25"/>
        <v>12760181</v>
      </c>
      <c r="J32" s="2820">
        <f t="shared" si="25"/>
        <v>1864643</v>
      </c>
      <c r="K32" s="1256">
        <v>0</v>
      </c>
      <c r="L32" s="1256">
        <v>0</v>
      </c>
      <c r="M32" s="2827"/>
      <c r="N32" s="2661"/>
      <c r="O32" s="3735"/>
      <c r="Q32" s="2398">
        <f>+D33+D45</f>
        <v>33993576</v>
      </c>
    </row>
    <row r="33" spans="1:17" ht="12" customHeight="1" thickBot="1">
      <c r="A33" s="4323"/>
      <c r="B33" s="327" t="s">
        <v>20</v>
      </c>
      <c r="C33" s="4287"/>
      <c r="D33" s="1643">
        <f>+E33+F33+G33+H33+I33+J33</f>
        <v>32917184</v>
      </c>
      <c r="E33" s="2831"/>
      <c r="F33" s="1668"/>
      <c r="G33" s="1456">
        <v>4928287</v>
      </c>
      <c r="H33" s="1456">
        <v>13364073</v>
      </c>
      <c r="I33" s="1456">
        <v>12760181</v>
      </c>
      <c r="J33" s="1456">
        <v>1864643</v>
      </c>
      <c r="K33" s="1668">
        <v>0</v>
      </c>
      <c r="L33" s="1668">
        <v>0</v>
      </c>
      <c r="M33" s="2832"/>
      <c r="N33" s="2970"/>
      <c r="O33" s="3736"/>
      <c r="Q33" s="2398">
        <f>+Q31+Q32</f>
        <v>37992820</v>
      </c>
    </row>
    <row r="34" spans="1:17" ht="31.5" customHeight="1">
      <c r="A34" s="4321" t="s">
        <v>56</v>
      </c>
      <c r="B34" s="179" t="s">
        <v>517</v>
      </c>
      <c r="C34" s="542" t="s">
        <v>100</v>
      </c>
      <c r="D34" s="2809"/>
      <c r="E34" s="2764"/>
      <c r="F34" s="2764"/>
      <c r="G34" s="2764"/>
      <c r="H34" s="2764"/>
      <c r="I34" s="2764"/>
      <c r="J34" s="2764"/>
      <c r="K34" s="2764"/>
      <c r="L34" s="2811"/>
      <c r="M34" s="2812"/>
      <c r="N34" s="3119"/>
      <c r="O34" s="3734" t="s">
        <v>513</v>
      </c>
    </row>
    <row r="35" spans="1:17" ht="12" customHeight="1">
      <c r="A35" s="4322"/>
      <c r="B35" s="2131" t="s">
        <v>10</v>
      </c>
      <c r="C35" s="2813"/>
      <c r="D35" s="2814">
        <f>+D36+D39</f>
        <v>1266343</v>
      </c>
      <c r="E35" s="2815">
        <v>0</v>
      </c>
      <c r="F35" s="2815">
        <v>0</v>
      </c>
      <c r="G35" s="544">
        <f>+G36+G39</f>
        <v>189594</v>
      </c>
      <c r="H35" s="544">
        <f>+H36+H39</f>
        <v>514124</v>
      </c>
      <c r="I35" s="544">
        <f>+I36+I39</f>
        <v>490892</v>
      </c>
      <c r="J35" s="544">
        <f>+J36+J39</f>
        <v>71733</v>
      </c>
      <c r="K35" s="2815">
        <v>0</v>
      </c>
      <c r="L35" s="2815">
        <v>0</v>
      </c>
      <c r="M35" s="2816" t="e">
        <f>+M36+M39</f>
        <v>#REF!</v>
      </c>
      <c r="N35" s="2963">
        <f>+N36+N39</f>
        <v>1266343</v>
      </c>
      <c r="O35" s="3735"/>
    </row>
    <row r="36" spans="1:17" ht="12" customHeight="1">
      <c r="A36" s="4322"/>
      <c r="B36" s="2817" t="s">
        <v>23</v>
      </c>
      <c r="C36" s="4324" t="s">
        <v>139</v>
      </c>
      <c r="D36" s="2818">
        <f>+D37+D38</f>
        <v>189951</v>
      </c>
      <c r="E36" s="2819">
        <v>0</v>
      </c>
      <c r="F36" s="2819">
        <v>0</v>
      </c>
      <c r="G36" s="2820">
        <f>+G37+G38</f>
        <v>28439</v>
      </c>
      <c r="H36" s="2820">
        <f t="shared" ref="H36:J36" si="26">+H37+H38</f>
        <v>77119</v>
      </c>
      <c r="I36" s="2820">
        <f t="shared" si="26"/>
        <v>73634</v>
      </c>
      <c r="J36" s="2820">
        <f t="shared" si="26"/>
        <v>10759</v>
      </c>
      <c r="K36" s="2819">
        <v>0</v>
      </c>
      <c r="L36" s="2819">
        <v>0</v>
      </c>
      <c r="M36" s="2821" t="e">
        <f>+#REF!+M38+#REF!</f>
        <v>#REF!</v>
      </c>
      <c r="N36" s="3120">
        <f>+N37+N38</f>
        <v>189951</v>
      </c>
      <c r="O36" s="3735"/>
    </row>
    <row r="37" spans="1:17" ht="12" customHeight="1">
      <c r="A37" s="4322"/>
      <c r="B37" s="2822" t="s">
        <v>118</v>
      </c>
      <c r="C37" s="4325"/>
      <c r="D37" s="1339">
        <f>+G37+H37+I37+J37</f>
        <v>63318</v>
      </c>
      <c r="E37" s="2819">
        <v>0</v>
      </c>
      <c r="F37" s="2819">
        <v>0</v>
      </c>
      <c r="G37" s="1452">
        <v>9480</v>
      </c>
      <c r="H37" s="1452">
        <v>25707</v>
      </c>
      <c r="I37" s="1452">
        <v>24545</v>
      </c>
      <c r="J37" s="1452">
        <v>3586</v>
      </c>
      <c r="K37" s="2819">
        <v>0</v>
      </c>
      <c r="L37" s="2819">
        <v>0</v>
      </c>
      <c r="M37" s="2821"/>
      <c r="N37" s="3121">
        <f>+J37+I37+H37+G37</f>
        <v>63318</v>
      </c>
      <c r="O37" s="3735"/>
      <c r="Q37" s="2398"/>
    </row>
    <row r="38" spans="1:17" ht="12" customHeight="1">
      <c r="A38" s="4322"/>
      <c r="B38" s="2826" t="s">
        <v>508</v>
      </c>
      <c r="C38" s="4325"/>
      <c r="D38" s="1339">
        <f>E38+F38+G38+H38+I38+J38+K38+L38</f>
        <v>126633</v>
      </c>
      <c r="E38" s="2824">
        <v>0</v>
      </c>
      <c r="F38" s="1954">
        <v>0</v>
      </c>
      <c r="G38" s="1452">
        <v>18959</v>
      </c>
      <c r="H38" s="1452">
        <v>51412</v>
      </c>
      <c r="I38" s="1452">
        <v>49089</v>
      </c>
      <c r="J38" s="1452">
        <v>7173</v>
      </c>
      <c r="K38" s="1954">
        <v>0</v>
      </c>
      <c r="L38" s="1954">
        <v>0</v>
      </c>
      <c r="M38" s="2827">
        <f>SUM(F38:K38)</f>
        <v>126633</v>
      </c>
      <c r="N38" s="2661">
        <f t="shared" ref="N38" si="27">SUM(G38:L38)</f>
        <v>126633</v>
      </c>
      <c r="O38" s="3735"/>
    </row>
    <row r="39" spans="1:17" ht="12" customHeight="1">
      <c r="A39" s="4322"/>
      <c r="B39" s="2817" t="s">
        <v>18</v>
      </c>
      <c r="C39" s="4325"/>
      <c r="D39" s="2820">
        <f>+D40</f>
        <v>1076392</v>
      </c>
      <c r="E39" s="2824">
        <v>0</v>
      </c>
      <c r="F39" s="1954">
        <v>0</v>
      </c>
      <c r="G39" s="2820">
        <f>+G40</f>
        <v>161155</v>
      </c>
      <c r="H39" s="2820">
        <f t="shared" ref="H39:J39" si="28">+H40</f>
        <v>437005</v>
      </c>
      <c r="I39" s="2820">
        <f t="shared" si="28"/>
        <v>417258</v>
      </c>
      <c r="J39" s="2820">
        <f t="shared" si="28"/>
        <v>60974</v>
      </c>
      <c r="K39" s="2828">
        <v>0</v>
      </c>
      <c r="L39" s="2828">
        <v>0</v>
      </c>
      <c r="M39" s="2829"/>
      <c r="N39" s="2965">
        <f>+N40</f>
        <v>1076392</v>
      </c>
      <c r="O39" s="3735"/>
    </row>
    <row r="40" spans="1:17" ht="12" customHeight="1">
      <c r="A40" s="4322"/>
      <c r="B40" s="2826" t="s">
        <v>510</v>
      </c>
      <c r="C40" s="4326"/>
      <c r="D40" s="1339">
        <f>+E40+F40+G40+H40+I40+J40</f>
        <v>1076392</v>
      </c>
      <c r="E40" s="2824">
        <v>0</v>
      </c>
      <c r="F40" s="1954">
        <v>0</v>
      </c>
      <c r="G40" s="1452">
        <v>161155</v>
      </c>
      <c r="H40" s="1452">
        <v>437005</v>
      </c>
      <c r="I40" s="1452">
        <v>417258</v>
      </c>
      <c r="J40" s="1452">
        <v>60974</v>
      </c>
      <c r="K40" s="2828">
        <v>0</v>
      </c>
      <c r="L40" s="2828">
        <v>0</v>
      </c>
      <c r="M40" s="2830"/>
      <c r="N40" s="3122">
        <f>+J40+I40+H40+G40</f>
        <v>1076392</v>
      </c>
      <c r="O40" s="4185"/>
    </row>
    <row r="41" spans="1:17" ht="12" customHeight="1">
      <c r="A41" s="4322"/>
      <c r="B41" s="2131" t="s">
        <v>21</v>
      </c>
      <c r="C41" s="2813"/>
      <c r="D41" s="544">
        <f>+D42+D44</f>
        <v>1203025</v>
      </c>
      <c r="E41" s="2815">
        <f>+E42+E44</f>
        <v>0</v>
      </c>
      <c r="F41" s="2815">
        <f>+F42+F44</f>
        <v>0</v>
      </c>
      <c r="G41" s="2814">
        <f>+G42+G44</f>
        <v>180114</v>
      </c>
      <c r="H41" s="2814">
        <f t="shared" ref="H41:J41" si="29">+H42+H44</f>
        <v>488417</v>
      </c>
      <c r="I41" s="2814">
        <f t="shared" si="29"/>
        <v>466347</v>
      </c>
      <c r="J41" s="2814">
        <f t="shared" si="29"/>
        <v>68147</v>
      </c>
      <c r="K41" s="2815">
        <v>0</v>
      </c>
      <c r="L41" s="2815">
        <v>0</v>
      </c>
      <c r="M41" s="4327" t="s">
        <v>53</v>
      </c>
      <c r="N41" s="4328" t="s">
        <v>53</v>
      </c>
      <c r="O41" s="3735" t="s">
        <v>512</v>
      </c>
    </row>
    <row r="42" spans="1:17" ht="12" customHeight="1">
      <c r="A42" s="4322"/>
      <c r="B42" s="2187" t="s">
        <v>23</v>
      </c>
      <c r="C42" s="4317" t="s">
        <v>182</v>
      </c>
      <c r="D42" s="1440">
        <f>+D43</f>
        <v>126633</v>
      </c>
      <c r="E42" s="2064">
        <f>+E43</f>
        <v>0</v>
      </c>
      <c r="F42" s="2064">
        <f>+F43</f>
        <v>0</v>
      </c>
      <c r="G42" s="2820">
        <f>+G43</f>
        <v>18959</v>
      </c>
      <c r="H42" s="2820">
        <f t="shared" ref="H42:J42" si="30">+H43</f>
        <v>51412</v>
      </c>
      <c r="I42" s="2820">
        <f t="shared" si="30"/>
        <v>49089</v>
      </c>
      <c r="J42" s="2820">
        <f t="shared" si="30"/>
        <v>7173</v>
      </c>
      <c r="K42" s="2064">
        <v>0</v>
      </c>
      <c r="L42" s="2064">
        <v>0</v>
      </c>
      <c r="M42" s="4327"/>
      <c r="N42" s="4328"/>
      <c r="O42" s="3735"/>
    </row>
    <row r="43" spans="1:17" ht="12" customHeight="1">
      <c r="A43" s="4322"/>
      <c r="B43" s="2826" t="s">
        <v>508</v>
      </c>
      <c r="C43" s="4286"/>
      <c r="D43" s="1339">
        <f>+G43+H43+I43+J43</f>
        <v>126633</v>
      </c>
      <c r="E43" s="2824">
        <v>0</v>
      </c>
      <c r="F43" s="2824">
        <v>0</v>
      </c>
      <c r="G43" s="1452">
        <v>18959</v>
      </c>
      <c r="H43" s="1452">
        <v>51412</v>
      </c>
      <c r="I43" s="1452">
        <v>49089</v>
      </c>
      <c r="J43" s="1452">
        <v>7173</v>
      </c>
      <c r="K43" s="1954">
        <v>0</v>
      </c>
      <c r="L43" s="1954">
        <v>0</v>
      </c>
      <c r="M43" s="4327"/>
      <c r="N43" s="4328"/>
      <c r="O43" s="3735"/>
    </row>
    <row r="44" spans="1:17" ht="12" customHeight="1">
      <c r="A44" s="4322"/>
      <c r="B44" s="2189" t="s">
        <v>18</v>
      </c>
      <c r="C44" s="4286"/>
      <c r="D44" s="2820">
        <f t="shared" ref="D44:J44" si="31">+D45</f>
        <v>1076392</v>
      </c>
      <c r="E44" s="2824">
        <f t="shared" si="31"/>
        <v>0</v>
      </c>
      <c r="F44" s="1667">
        <f t="shared" si="31"/>
        <v>0</v>
      </c>
      <c r="G44" s="2820">
        <f t="shared" si="31"/>
        <v>161155</v>
      </c>
      <c r="H44" s="2820">
        <f t="shared" si="31"/>
        <v>437005</v>
      </c>
      <c r="I44" s="2820">
        <f t="shared" si="31"/>
        <v>417258</v>
      </c>
      <c r="J44" s="2820">
        <f t="shared" si="31"/>
        <v>60974</v>
      </c>
      <c r="K44" s="1256">
        <v>0</v>
      </c>
      <c r="L44" s="1256">
        <v>0</v>
      </c>
      <c r="M44" s="2827"/>
      <c r="N44" s="2661"/>
      <c r="O44" s="3735"/>
    </row>
    <row r="45" spans="1:17" ht="12" customHeight="1" thickBot="1">
      <c r="A45" s="4323"/>
      <c r="B45" s="327" t="s">
        <v>20</v>
      </c>
      <c r="C45" s="4287"/>
      <c r="D45" s="1643">
        <f>+E45+F45+G45+H45+I45+J45</f>
        <v>1076392</v>
      </c>
      <c r="E45" s="2824">
        <v>0</v>
      </c>
      <c r="F45" s="2824">
        <v>0</v>
      </c>
      <c r="G45" s="1456">
        <v>161155</v>
      </c>
      <c r="H45" s="1456">
        <v>437005</v>
      </c>
      <c r="I45" s="1456">
        <v>417258</v>
      </c>
      <c r="J45" s="1456">
        <v>60974</v>
      </c>
      <c r="K45" s="1668">
        <v>0</v>
      </c>
      <c r="L45" s="1668">
        <v>0</v>
      </c>
      <c r="M45" s="2832"/>
      <c r="N45" s="2970"/>
      <c r="O45" s="3736"/>
    </row>
    <row r="46" spans="1:17" s="3418" customFormat="1" ht="24" customHeight="1" thickBot="1">
      <c r="A46" s="4313" t="s">
        <v>188</v>
      </c>
      <c r="B46" s="4313"/>
      <c r="C46" s="4313"/>
      <c r="D46" s="4313"/>
      <c r="E46" s="4313"/>
      <c r="F46" s="3416"/>
      <c r="G46" s="3416"/>
      <c r="H46" s="3417"/>
      <c r="I46" s="3417"/>
      <c r="J46" s="3417"/>
      <c r="K46" s="3417"/>
      <c r="L46" s="3417"/>
      <c r="M46" s="3417"/>
      <c r="N46" s="3417"/>
      <c r="O46" s="3417"/>
    </row>
    <row r="47" spans="1:17" ht="36.75" customHeight="1">
      <c r="A47" s="1208"/>
      <c r="B47" s="1208"/>
      <c r="C47" s="3629" t="s">
        <v>63</v>
      </c>
      <c r="D47" s="3996" t="s">
        <v>64</v>
      </c>
      <c r="E47" s="4000" t="s">
        <v>379</v>
      </c>
      <c r="F47" s="3649" t="s">
        <v>420</v>
      </c>
      <c r="G47" s="3646" t="s">
        <v>376</v>
      </c>
      <c r="H47" s="3647"/>
      <c r="I47" s="3647"/>
      <c r="J47" s="3647"/>
      <c r="K47" s="3647"/>
      <c r="L47" s="3648"/>
      <c r="M47" s="3638" t="s">
        <v>390</v>
      </c>
      <c r="N47" s="3638" t="s">
        <v>377</v>
      </c>
      <c r="O47" s="4296" t="s">
        <v>65</v>
      </c>
    </row>
    <row r="48" spans="1:17" ht="45.75" customHeight="1">
      <c r="A48" s="2690" t="s">
        <v>66</v>
      </c>
      <c r="B48" s="1209" t="s">
        <v>67</v>
      </c>
      <c r="C48" s="4314"/>
      <c r="D48" s="4315"/>
      <c r="E48" s="4316"/>
      <c r="F48" s="4281"/>
      <c r="G48" s="4276" t="s">
        <v>6</v>
      </c>
      <c r="H48" s="4276" t="s">
        <v>170</v>
      </c>
      <c r="I48" s="4276" t="s">
        <v>172</v>
      </c>
      <c r="J48" s="4276" t="s">
        <v>212</v>
      </c>
      <c r="K48" s="4276" t="s">
        <v>213</v>
      </c>
      <c r="L48" s="4276" t="s">
        <v>211</v>
      </c>
      <c r="M48" s="4277"/>
      <c r="N48" s="4277"/>
      <c r="O48" s="4297"/>
    </row>
    <row r="49" spans="1:18" ht="15.75" customHeight="1" thickBot="1">
      <c r="A49" s="1210"/>
      <c r="B49" s="1211"/>
      <c r="C49" s="4243"/>
      <c r="D49" s="4215"/>
      <c r="E49" s="4001"/>
      <c r="F49" s="4282"/>
      <c r="G49" s="3650"/>
      <c r="H49" s="3650"/>
      <c r="I49" s="3650"/>
      <c r="J49" s="3650"/>
      <c r="K49" s="3650"/>
      <c r="L49" s="3650"/>
      <c r="M49" s="3944"/>
      <c r="N49" s="3944"/>
      <c r="O49" s="4298"/>
    </row>
    <row r="50" spans="1:18" s="293" customFormat="1" ht="12" customHeight="1" thickBot="1">
      <c r="A50" s="856">
        <v>1</v>
      </c>
      <c r="B50" s="857">
        <v>2</v>
      </c>
      <c r="C50" s="858" t="s">
        <v>109</v>
      </c>
      <c r="D50" s="858" t="s">
        <v>110</v>
      </c>
      <c r="E50" s="858">
        <v>5</v>
      </c>
      <c r="F50" s="858">
        <v>6</v>
      </c>
      <c r="G50" s="858">
        <v>7</v>
      </c>
      <c r="H50" s="858">
        <v>8</v>
      </c>
      <c r="I50" s="858">
        <v>9</v>
      </c>
      <c r="J50" s="858">
        <v>10</v>
      </c>
      <c r="K50" s="858">
        <v>11</v>
      </c>
      <c r="L50" s="858">
        <v>12</v>
      </c>
      <c r="M50" s="859">
        <v>13</v>
      </c>
      <c r="N50" s="859">
        <v>13</v>
      </c>
      <c r="O50" s="860">
        <v>14</v>
      </c>
      <c r="Q50" s="1212"/>
    </row>
    <row r="51" spans="1:18" s="1389" customFormat="1" ht="15.75" customHeight="1">
      <c r="A51" s="1213"/>
      <c r="B51" s="226" t="s">
        <v>68</v>
      </c>
      <c r="C51" s="203"/>
      <c r="D51" s="204">
        <f>+D52+D53</f>
        <v>74006029</v>
      </c>
      <c r="E51" s="204">
        <f t="shared" ref="E51" si="32">+E52+E53</f>
        <v>0</v>
      </c>
      <c r="F51" s="204">
        <f t="shared" ref="F51" si="33">+F52+F53</f>
        <v>0</v>
      </c>
      <c r="G51" s="204">
        <f t="shared" ref="G51:N51" si="34">+G52+G53</f>
        <v>2354619</v>
      </c>
      <c r="H51" s="204">
        <f t="shared" si="34"/>
        <v>9647017</v>
      </c>
      <c r="I51" s="204">
        <f t="shared" si="34"/>
        <v>9647017</v>
      </c>
      <c r="J51" s="204">
        <f t="shared" si="34"/>
        <v>9647017</v>
      </c>
      <c r="K51" s="204">
        <f t="shared" si="34"/>
        <v>5007017</v>
      </c>
      <c r="L51" s="1214">
        <f t="shared" si="34"/>
        <v>4067017</v>
      </c>
      <c r="M51" s="1215">
        <f t="shared" ref="M51" si="35">+M52+M53</f>
        <v>60506029</v>
      </c>
      <c r="N51" s="2947">
        <f t="shared" si="34"/>
        <v>74006029</v>
      </c>
      <c r="O51" s="3118"/>
      <c r="Q51" s="296"/>
      <c r="R51" s="296"/>
    </row>
    <row r="52" spans="1:18" s="1389" customFormat="1" ht="15.75" customHeight="1">
      <c r="A52" s="184"/>
      <c r="B52" s="218" t="s">
        <v>69</v>
      </c>
      <c r="C52" s="206"/>
      <c r="D52" s="207">
        <f>+D87+D92+D97</f>
        <v>60506029</v>
      </c>
      <c r="E52" s="1645">
        <f t="shared" ref="E52:N52" si="36">+E87+E92+E97</f>
        <v>0</v>
      </c>
      <c r="F52" s="1646">
        <f t="shared" si="36"/>
        <v>0</v>
      </c>
      <c r="G52" s="1646">
        <f t="shared" si="36"/>
        <v>2354619</v>
      </c>
      <c r="H52" s="1646">
        <f t="shared" si="36"/>
        <v>5147017</v>
      </c>
      <c r="I52" s="1646">
        <f t="shared" si="36"/>
        <v>5147017</v>
      </c>
      <c r="J52" s="1646">
        <f t="shared" si="36"/>
        <v>5147017</v>
      </c>
      <c r="K52" s="1646">
        <f t="shared" si="36"/>
        <v>5007017</v>
      </c>
      <c r="L52" s="1646">
        <f t="shared" si="36"/>
        <v>4067017</v>
      </c>
      <c r="M52" s="1726">
        <f t="shared" si="36"/>
        <v>60506029</v>
      </c>
      <c r="N52" s="1726">
        <f t="shared" si="36"/>
        <v>60506029</v>
      </c>
      <c r="O52" s="17"/>
    </row>
    <row r="53" spans="1:18" s="1389" customFormat="1" ht="15.75" customHeight="1" thickBot="1">
      <c r="A53" s="184"/>
      <c r="B53" s="219" t="s">
        <v>9</v>
      </c>
      <c r="C53" s="536"/>
      <c r="D53" s="217">
        <f>+D101</f>
        <v>13500000</v>
      </c>
      <c r="E53" s="1647">
        <f t="shared" ref="E53:M53" si="37">+E74+E75+E76</f>
        <v>0</v>
      </c>
      <c r="F53" s="217">
        <f t="shared" si="37"/>
        <v>0</v>
      </c>
      <c r="G53" s="217">
        <f t="shared" si="37"/>
        <v>0</v>
      </c>
      <c r="H53" s="217">
        <f>+H101</f>
        <v>4500000</v>
      </c>
      <c r="I53" s="217">
        <f t="shared" ref="I53:J53" si="38">+I101</f>
        <v>4500000</v>
      </c>
      <c r="J53" s="217">
        <f t="shared" si="38"/>
        <v>4500000</v>
      </c>
      <c r="K53" s="217">
        <f t="shared" si="37"/>
        <v>0</v>
      </c>
      <c r="L53" s="217">
        <f t="shared" si="37"/>
        <v>0</v>
      </c>
      <c r="M53" s="1725">
        <f t="shared" si="37"/>
        <v>0</v>
      </c>
      <c r="N53" s="1725">
        <f>+N101</f>
        <v>13500000</v>
      </c>
      <c r="O53" s="17"/>
    </row>
    <row r="54" spans="1:18" s="293" customFormat="1" ht="15" customHeight="1">
      <c r="A54" s="184"/>
      <c r="B54" s="1216" t="s">
        <v>10</v>
      </c>
      <c r="C54" s="1217"/>
      <c r="D54" s="1218">
        <f>+D55+D62</f>
        <v>78989222.640000001</v>
      </c>
      <c r="E54" s="1219">
        <f t="shared" ref="E54:L54" si="39">+E55+E62</f>
        <v>1776666.64</v>
      </c>
      <c r="F54" s="1219">
        <f t="shared" si="39"/>
        <v>1313333</v>
      </c>
      <c r="G54" s="1219">
        <f t="shared" si="39"/>
        <v>4247813</v>
      </c>
      <c r="H54" s="1219">
        <f t="shared" si="39"/>
        <v>9647017</v>
      </c>
      <c r="I54" s="1219">
        <f t="shared" si="39"/>
        <v>9647017</v>
      </c>
      <c r="J54" s="1219">
        <f t="shared" si="39"/>
        <v>9647017</v>
      </c>
      <c r="K54" s="1219">
        <f t="shared" si="39"/>
        <v>5007017</v>
      </c>
      <c r="L54" s="1219">
        <f t="shared" si="39"/>
        <v>4067017</v>
      </c>
      <c r="M54" s="1220">
        <f>SUM(M55,M62)</f>
        <v>60506029</v>
      </c>
      <c r="N54" s="2990">
        <f>SUM(N55,N62)</f>
        <v>74006029</v>
      </c>
      <c r="O54" s="314"/>
      <c r="R54" s="174"/>
    </row>
    <row r="55" spans="1:18" s="343" customFormat="1" ht="14.25" customHeight="1">
      <c r="A55" s="184"/>
      <c r="B55" s="1221" t="s">
        <v>11</v>
      </c>
      <c r="C55" s="1222"/>
      <c r="D55" s="1223">
        <f>SUM(D56:D61)</f>
        <v>78989222.640000001</v>
      </c>
      <c r="E55" s="1223">
        <f t="shared" ref="E55:L55" si="40">SUM(E56:E61)</f>
        <v>1776666.64</v>
      </c>
      <c r="F55" s="1223">
        <f t="shared" si="40"/>
        <v>1313333</v>
      </c>
      <c r="G55" s="1223">
        <f t="shared" si="40"/>
        <v>4247813</v>
      </c>
      <c r="H55" s="1223">
        <f t="shared" si="40"/>
        <v>9647017</v>
      </c>
      <c r="I55" s="1223">
        <f t="shared" si="40"/>
        <v>9647017</v>
      </c>
      <c r="J55" s="1223">
        <f t="shared" si="40"/>
        <v>9647017</v>
      </c>
      <c r="K55" s="1223">
        <f t="shared" si="40"/>
        <v>5007017</v>
      </c>
      <c r="L55" s="1223">
        <f t="shared" si="40"/>
        <v>4067017</v>
      </c>
      <c r="M55" s="1224">
        <f>SUM(M56:M61)</f>
        <v>60506029</v>
      </c>
      <c r="N55" s="3117">
        <f>SUM(N56:N61)</f>
        <v>74006029</v>
      </c>
      <c r="O55" s="302"/>
      <c r="Q55" s="344"/>
    </row>
    <row r="56" spans="1:18" s="343" customFormat="1" ht="14.25" customHeight="1">
      <c r="A56" s="184"/>
      <c r="B56" s="1225" t="s">
        <v>12</v>
      </c>
      <c r="C56" s="1222"/>
      <c r="D56" s="1226">
        <f>+D87+D92+D97+D101</f>
        <v>74006029</v>
      </c>
      <c r="E56" s="1226">
        <f t="shared" ref="E56:K56" si="41">+E87+E92+E97</f>
        <v>0</v>
      </c>
      <c r="F56" s="1226">
        <f t="shared" si="41"/>
        <v>0</v>
      </c>
      <c r="G56" s="1226">
        <f t="shared" si="41"/>
        <v>2354619</v>
      </c>
      <c r="H56" s="1226">
        <f>+H87+H92+H97+H101</f>
        <v>9647017</v>
      </c>
      <c r="I56" s="1226">
        <f t="shared" ref="I56:J56" si="42">+I87+I92+I97+I101</f>
        <v>9647017</v>
      </c>
      <c r="J56" s="1226">
        <f t="shared" si="42"/>
        <v>9647017</v>
      </c>
      <c r="K56" s="1226">
        <f t="shared" si="41"/>
        <v>5007017</v>
      </c>
      <c r="L56" s="1226">
        <f>+L87+L92+L97</f>
        <v>4067017</v>
      </c>
      <c r="M56" s="1234">
        <f>+M87+M92+M97</f>
        <v>60506029</v>
      </c>
      <c r="N56" s="3058">
        <f>+N87+N92+N97+N101</f>
        <v>74006029</v>
      </c>
      <c r="O56" s="302"/>
      <c r="Q56" s="344"/>
      <c r="R56" s="344"/>
    </row>
    <row r="57" spans="1:18" s="293" customFormat="1" ht="14.25" customHeight="1" thickBot="1">
      <c r="A57" s="184"/>
      <c r="B57" s="1225" t="s">
        <v>31</v>
      </c>
      <c r="C57" s="1227"/>
      <c r="D57" s="1228">
        <f t="shared" ref="D57:L57" si="43">+D73+D86+D91+D96</f>
        <v>4983193.6400000006</v>
      </c>
      <c r="E57" s="1228">
        <f t="shared" si="43"/>
        <v>1776666.64</v>
      </c>
      <c r="F57" s="1228">
        <f t="shared" si="43"/>
        <v>1313333</v>
      </c>
      <c r="G57" s="1228">
        <f t="shared" si="43"/>
        <v>1893194</v>
      </c>
      <c r="H57" s="1228">
        <f t="shared" si="43"/>
        <v>0</v>
      </c>
      <c r="I57" s="1228">
        <f t="shared" si="43"/>
        <v>0</v>
      </c>
      <c r="J57" s="1228">
        <f t="shared" si="43"/>
        <v>0</v>
      </c>
      <c r="K57" s="1228">
        <f t="shared" si="43"/>
        <v>0</v>
      </c>
      <c r="L57" s="1228">
        <f t="shared" si="43"/>
        <v>0</v>
      </c>
      <c r="M57" s="1229" t="s">
        <v>53</v>
      </c>
      <c r="N57" s="2904" t="s">
        <v>53</v>
      </c>
      <c r="O57" s="314"/>
      <c r="Q57" s="174"/>
      <c r="R57" s="174"/>
    </row>
    <row r="58" spans="1:18" s="293" customFormat="1" ht="14.25" hidden="1" customHeight="1">
      <c r="A58" s="184"/>
      <c r="B58" s="1225" t="s">
        <v>112</v>
      </c>
      <c r="C58" s="1230"/>
      <c r="D58" s="1228">
        <f>+D74</f>
        <v>0</v>
      </c>
      <c r="E58" s="1228">
        <f t="shared" ref="E58:L58" si="44">+E74</f>
        <v>0</v>
      </c>
      <c r="F58" s="1228">
        <f t="shared" si="44"/>
        <v>0</v>
      </c>
      <c r="G58" s="1228">
        <f t="shared" si="44"/>
        <v>0</v>
      </c>
      <c r="H58" s="1228">
        <f t="shared" si="44"/>
        <v>0</v>
      </c>
      <c r="I58" s="1228">
        <f t="shared" si="44"/>
        <v>0</v>
      </c>
      <c r="J58" s="1228">
        <f t="shared" si="44"/>
        <v>0</v>
      </c>
      <c r="K58" s="1228">
        <f t="shared" si="44"/>
        <v>0</v>
      </c>
      <c r="L58" s="1228">
        <f t="shared" si="44"/>
        <v>0</v>
      </c>
      <c r="M58" s="1231"/>
      <c r="N58" s="1231"/>
      <c r="O58" s="1232"/>
      <c r="Q58" s="174"/>
      <c r="R58" s="174"/>
    </row>
    <row r="59" spans="1:18" s="343" customFormat="1" ht="14.25" hidden="1" customHeight="1">
      <c r="A59" s="538"/>
      <c r="B59" s="1233" t="s">
        <v>13</v>
      </c>
      <c r="C59" s="1227"/>
      <c r="D59" s="1230">
        <f>D75</f>
        <v>0</v>
      </c>
      <c r="E59" s="1230">
        <f t="shared" ref="E59:O59" si="45">E75</f>
        <v>0</v>
      </c>
      <c r="F59" s="1230">
        <f t="shared" si="45"/>
        <v>0</v>
      </c>
      <c r="G59" s="1230">
        <f t="shared" si="45"/>
        <v>0</v>
      </c>
      <c r="H59" s="1230">
        <f t="shared" si="45"/>
        <v>0</v>
      </c>
      <c r="I59" s="1230">
        <f t="shared" si="45"/>
        <v>0</v>
      </c>
      <c r="J59" s="1230">
        <f t="shared" si="45"/>
        <v>0</v>
      </c>
      <c r="K59" s="1230">
        <f t="shared" si="45"/>
        <v>0</v>
      </c>
      <c r="L59" s="1230">
        <f t="shared" si="45"/>
        <v>0</v>
      </c>
      <c r="M59" s="1234">
        <f t="shared" si="45"/>
        <v>0</v>
      </c>
      <c r="N59" s="1231">
        <f t="shared" si="45"/>
        <v>0</v>
      </c>
      <c r="O59" s="1230">
        <f t="shared" si="45"/>
        <v>0</v>
      </c>
      <c r="Q59" s="344"/>
    </row>
    <row r="60" spans="1:18" s="303" customFormat="1" ht="14.25" hidden="1" customHeight="1">
      <c r="A60" s="538"/>
      <c r="B60" s="1233" t="s">
        <v>33</v>
      </c>
      <c r="C60" s="1227"/>
      <c r="D60" s="1230"/>
      <c r="E60" s="1230"/>
      <c r="F60" s="1230"/>
      <c r="G60" s="1230"/>
      <c r="H60" s="1230"/>
      <c r="I60" s="1230"/>
      <c r="J60" s="1230"/>
      <c r="K60" s="1230"/>
      <c r="L60" s="1230"/>
      <c r="M60" s="1236"/>
      <c r="N60" s="1236"/>
      <c r="O60" s="1235"/>
      <c r="Q60" s="1237"/>
    </row>
    <row r="61" spans="1:18" s="293" customFormat="1" ht="14.25" hidden="1" customHeight="1">
      <c r="A61" s="184"/>
      <c r="B61" s="1233" t="s">
        <v>113</v>
      </c>
      <c r="C61" s="1227"/>
      <c r="D61" s="1230">
        <f t="shared" ref="D61" si="46">D76</f>
        <v>0</v>
      </c>
      <c r="E61" s="1230">
        <f t="shared" ref="E61:L61" si="47">E76</f>
        <v>0</v>
      </c>
      <c r="F61" s="1230">
        <f t="shared" si="47"/>
        <v>0</v>
      </c>
      <c r="G61" s="1230">
        <f t="shared" si="47"/>
        <v>0</v>
      </c>
      <c r="H61" s="1230">
        <f t="shared" si="47"/>
        <v>0</v>
      </c>
      <c r="I61" s="1230">
        <f t="shared" si="47"/>
        <v>0</v>
      </c>
      <c r="J61" s="1230">
        <f t="shared" si="47"/>
        <v>0</v>
      </c>
      <c r="K61" s="1230">
        <f t="shared" si="47"/>
        <v>0</v>
      </c>
      <c r="L61" s="1230">
        <f t="shared" si="47"/>
        <v>0</v>
      </c>
      <c r="M61" s="1231">
        <f>M76</f>
        <v>0</v>
      </c>
      <c r="N61" s="1231">
        <f>N76</f>
        <v>0</v>
      </c>
      <c r="O61" s="1232"/>
      <c r="Q61" s="174"/>
    </row>
    <row r="62" spans="1:18" s="343" customFormat="1" ht="14.25" hidden="1" customHeight="1">
      <c r="A62" s="144"/>
      <c r="B62" s="178" t="s">
        <v>18</v>
      </c>
      <c r="C62" s="1238"/>
      <c r="D62" s="1239">
        <f t="shared" ref="D62:L62" si="48">SUM(D63:D63)</f>
        <v>0</v>
      </c>
      <c r="E62" s="1239">
        <f t="shared" si="48"/>
        <v>0</v>
      </c>
      <c r="F62" s="1239">
        <f t="shared" si="48"/>
        <v>0</v>
      </c>
      <c r="G62" s="1239">
        <f t="shared" si="48"/>
        <v>0</v>
      </c>
      <c r="H62" s="1239">
        <f t="shared" si="48"/>
        <v>0</v>
      </c>
      <c r="I62" s="1239">
        <f t="shared" si="48"/>
        <v>0</v>
      </c>
      <c r="J62" s="1239">
        <f t="shared" si="48"/>
        <v>0</v>
      </c>
      <c r="K62" s="1239">
        <f t="shared" si="48"/>
        <v>0</v>
      </c>
      <c r="L62" s="1239">
        <f t="shared" si="48"/>
        <v>0</v>
      </c>
      <c r="M62" s="1229" t="s">
        <v>53</v>
      </c>
      <c r="N62" s="1229" t="s">
        <v>53</v>
      </c>
      <c r="O62" s="537"/>
    </row>
    <row r="63" spans="1:18" s="293" customFormat="1" ht="14.25" hidden="1" customHeight="1">
      <c r="A63" s="160"/>
      <c r="B63" s="1240" t="s">
        <v>34</v>
      </c>
      <c r="C63" s="1241"/>
      <c r="D63" s="1242"/>
      <c r="E63" s="1242"/>
      <c r="F63" s="1242"/>
      <c r="G63" s="1242"/>
      <c r="H63" s="1242"/>
      <c r="I63" s="1242"/>
      <c r="J63" s="1242"/>
      <c r="K63" s="1242"/>
      <c r="L63" s="1242"/>
      <c r="M63" s="1229" t="s">
        <v>53</v>
      </c>
      <c r="N63" s="1229" t="s">
        <v>53</v>
      </c>
      <c r="O63" s="1243"/>
    </row>
    <row r="64" spans="1:18" s="343" customFormat="1" ht="14.25" hidden="1" customHeight="1">
      <c r="A64" s="144"/>
      <c r="B64" s="539" t="s">
        <v>21</v>
      </c>
      <c r="C64" s="183"/>
      <c r="D64" s="555">
        <f>+D65+D68</f>
        <v>0</v>
      </c>
      <c r="E64" s="555">
        <f t="shared" ref="E64:L64" si="49">+E65+E68</f>
        <v>0</v>
      </c>
      <c r="F64" s="555">
        <f t="shared" si="49"/>
        <v>0</v>
      </c>
      <c r="G64" s="555">
        <f t="shared" si="49"/>
        <v>0</v>
      </c>
      <c r="H64" s="555">
        <f t="shared" si="49"/>
        <v>0</v>
      </c>
      <c r="I64" s="555">
        <f t="shared" si="49"/>
        <v>0</v>
      </c>
      <c r="J64" s="555">
        <f t="shared" si="49"/>
        <v>0</v>
      </c>
      <c r="K64" s="555">
        <f t="shared" si="49"/>
        <v>0</v>
      </c>
      <c r="L64" s="555">
        <f t="shared" si="49"/>
        <v>0</v>
      </c>
      <c r="M64" s="4278" t="s">
        <v>22</v>
      </c>
      <c r="N64" s="4278" t="s">
        <v>22</v>
      </c>
      <c r="O64" s="1244"/>
    </row>
    <row r="65" spans="1:19" s="293" customFormat="1" ht="14.25" hidden="1" customHeight="1">
      <c r="A65" s="160"/>
      <c r="B65" s="178" t="s">
        <v>11</v>
      </c>
      <c r="C65" s="1238"/>
      <c r="D65" s="1239">
        <f>+D66+D67</f>
        <v>0</v>
      </c>
      <c r="E65" s="1239">
        <f t="shared" ref="E65:L65" si="50">+E66+E67</f>
        <v>0</v>
      </c>
      <c r="F65" s="1239">
        <f t="shared" si="50"/>
        <v>0</v>
      </c>
      <c r="G65" s="1239">
        <f t="shared" si="50"/>
        <v>0</v>
      </c>
      <c r="H65" s="1239">
        <f t="shared" si="50"/>
        <v>0</v>
      </c>
      <c r="I65" s="1239">
        <f t="shared" si="50"/>
        <v>0</v>
      </c>
      <c r="J65" s="1239">
        <f t="shared" si="50"/>
        <v>0</v>
      </c>
      <c r="K65" s="1239">
        <f t="shared" si="50"/>
        <v>0</v>
      </c>
      <c r="L65" s="1239">
        <f t="shared" si="50"/>
        <v>0</v>
      </c>
      <c r="M65" s="4279"/>
      <c r="N65" s="4279"/>
      <c r="O65" s="1243"/>
    </row>
    <row r="66" spans="1:19" s="293" customFormat="1" ht="14.25" hidden="1" customHeight="1">
      <c r="A66" s="160"/>
      <c r="B66" s="1233" t="s">
        <v>13</v>
      </c>
      <c r="C66" s="1227"/>
      <c r="D66" s="1230">
        <f>D81</f>
        <v>0</v>
      </c>
      <c r="E66" s="1230">
        <f t="shared" ref="E66:L66" si="51">E81</f>
        <v>0</v>
      </c>
      <c r="F66" s="1230">
        <f t="shared" si="51"/>
        <v>0</v>
      </c>
      <c r="G66" s="1230">
        <f t="shared" si="51"/>
        <v>0</v>
      </c>
      <c r="H66" s="1230">
        <f t="shared" si="51"/>
        <v>0</v>
      </c>
      <c r="I66" s="1230">
        <f t="shared" si="51"/>
        <v>0</v>
      </c>
      <c r="J66" s="1230">
        <f t="shared" si="51"/>
        <v>0</v>
      </c>
      <c r="K66" s="1230">
        <f t="shared" si="51"/>
        <v>0</v>
      </c>
      <c r="L66" s="1230">
        <f t="shared" si="51"/>
        <v>0</v>
      </c>
      <c r="M66" s="4279"/>
      <c r="N66" s="4279"/>
      <c r="O66" s="1243"/>
      <c r="Q66" s="174"/>
    </row>
    <row r="67" spans="1:19" s="293" customFormat="1" ht="14.25" hidden="1" customHeight="1">
      <c r="A67" s="160"/>
      <c r="B67" s="1233" t="s">
        <v>360</v>
      </c>
      <c r="C67" s="1227"/>
      <c r="D67" s="1230">
        <f t="shared" ref="D67" si="52">D82</f>
        <v>0</v>
      </c>
      <c r="E67" s="1230">
        <f t="shared" ref="E67:L67" si="53">E82</f>
        <v>0</v>
      </c>
      <c r="F67" s="1230">
        <f t="shared" si="53"/>
        <v>0</v>
      </c>
      <c r="G67" s="1230">
        <f t="shared" si="53"/>
        <v>0</v>
      </c>
      <c r="H67" s="1230">
        <f t="shared" si="53"/>
        <v>0</v>
      </c>
      <c r="I67" s="1230">
        <f t="shared" si="53"/>
        <v>0</v>
      </c>
      <c r="J67" s="1230">
        <f t="shared" si="53"/>
        <v>0</v>
      </c>
      <c r="K67" s="1230">
        <f t="shared" si="53"/>
        <v>0</v>
      </c>
      <c r="L67" s="1230">
        <f t="shared" si="53"/>
        <v>0</v>
      </c>
      <c r="M67" s="4279"/>
      <c r="N67" s="4279"/>
      <c r="O67" s="1243"/>
      <c r="Q67" s="174"/>
    </row>
    <row r="68" spans="1:19" s="293" customFormat="1" ht="14.25" hidden="1" customHeight="1">
      <c r="A68" s="160"/>
      <c r="B68" s="178" t="s">
        <v>18</v>
      </c>
      <c r="C68" s="1238"/>
      <c r="D68" s="1239">
        <f t="shared" ref="D68:L68" si="54">SUM(D69:D69)</f>
        <v>0</v>
      </c>
      <c r="E68" s="1239">
        <f t="shared" si="54"/>
        <v>0</v>
      </c>
      <c r="F68" s="1239">
        <f t="shared" si="54"/>
        <v>0</v>
      </c>
      <c r="G68" s="1239">
        <f t="shared" si="54"/>
        <v>0</v>
      </c>
      <c r="H68" s="1239">
        <f t="shared" si="54"/>
        <v>0</v>
      </c>
      <c r="I68" s="1239">
        <f t="shared" si="54"/>
        <v>0</v>
      </c>
      <c r="J68" s="1239">
        <f t="shared" si="54"/>
        <v>0</v>
      </c>
      <c r="K68" s="1239">
        <f t="shared" si="54"/>
        <v>0</v>
      </c>
      <c r="L68" s="1239">
        <f t="shared" si="54"/>
        <v>0</v>
      </c>
      <c r="M68" s="4279"/>
      <c r="N68" s="4279"/>
      <c r="O68" s="1243"/>
      <c r="Q68" s="174"/>
    </row>
    <row r="69" spans="1:19" s="293" customFormat="1" ht="14.25" hidden="1" customHeight="1" thickBot="1">
      <c r="A69" s="160"/>
      <c r="B69" s="1240" t="s">
        <v>34</v>
      </c>
      <c r="C69" s="1245"/>
      <c r="D69" s="1200"/>
      <c r="E69" s="1200"/>
      <c r="F69" s="1200"/>
      <c r="G69" s="1200"/>
      <c r="H69" s="1200"/>
      <c r="I69" s="1200"/>
      <c r="J69" s="1200"/>
      <c r="K69" s="1200"/>
      <c r="L69" s="1200"/>
      <c r="M69" s="4280"/>
      <c r="N69" s="4280"/>
      <c r="O69" s="1243"/>
      <c r="Q69" s="174"/>
    </row>
    <row r="70" spans="1:19" s="315" customFormat="1" ht="38.25" hidden="1" customHeight="1">
      <c r="A70" s="4268" t="s">
        <v>55</v>
      </c>
      <c r="B70" s="1197"/>
      <c r="C70" s="542" t="s">
        <v>73</v>
      </c>
      <c r="D70" s="1246"/>
      <c r="E70" s="1271"/>
      <c r="F70" s="1271"/>
      <c r="G70" s="1271"/>
      <c r="H70" s="1271"/>
      <c r="I70" s="1271"/>
      <c r="J70" s="1247"/>
      <c r="K70" s="1271"/>
      <c r="L70" s="1246"/>
      <c r="M70" s="1248"/>
      <c r="N70" s="1248"/>
      <c r="O70" s="4293"/>
      <c r="Q70" s="4283"/>
      <c r="R70" s="4283"/>
      <c r="S70" s="4283"/>
    </row>
    <row r="71" spans="1:19" s="315" customFormat="1" ht="13.5" hidden="1" customHeight="1">
      <c r="A71" s="4291"/>
      <c r="B71" s="417" t="s">
        <v>10</v>
      </c>
      <c r="C71" s="2364"/>
      <c r="D71" s="544">
        <f>+D72+D77</f>
        <v>0</v>
      </c>
      <c r="E71" s="544">
        <f t="shared" ref="E71" si="55">+E72+E77</f>
        <v>0</v>
      </c>
      <c r="F71" s="544">
        <f t="shared" ref="F71:L71" si="56">+F72</f>
        <v>0</v>
      </c>
      <c r="G71" s="1249">
        <f t="shared" si="56"/>
        <v>0</v>
      </c>
      <c r="H71" s="1249">
        <f t="shared" si="56"/>
        <v>0</v>
      </c>
      <c r="I71" s="1249">
        <f t="shared" si="56"/>
        <v>0</v>
      </c>
      <c r="J71" s="1249">
        <f t="shared" si="56"/>
        <v>0</v>
      </c>
      <c r="K71" s="1249">
        <f t="shared" si="56"/>
        <v>0</v>
      </c>
      <c r="L71" s="2365">
        <f t="shared" si="56"/>
        <v>0</v>
      </c>
      <c r="M71" s="1250">
        <f>+M72+M77</f>
        <v>0</v>
      </c>
      <c r="N71" s="1250">
        <f>+N72+N77</f>
        <v>0</v>
      </c>
      <c r="O71" s="4294"/>
      <c r="P71" s="320"/>
      <c r="Q71" s="4283"/>
      <c r="R71" s="4283"/>
      <c r="S71" s="4283"/>
    </row>
    <row r="72" spans="1:19" s="315" customFormat="1" ht="13.5" hidden="1" customHeight="1">
      <c r="A72" s="4291"/>
      <c r="B72" s="2366" t="s">
        <v>23</v>
      </c>
      <c r="C72" s="4284" t="s">
        <v>114</v>
      </c>
      <c r="D72" s="2367">
        <f>SUM(D73:D76)</f>
        <v>0</v>
      </c>
      <c r="E72" s="2367">
        <f>+E73+E74+E75+E76</f>
        <v>0</v>
      </c>
      <c r="F72" s="2367">
        <f t="shared" ref="F72:L72" si="57">+F73+F74+F75+F76</f>
        <v>0</v>
      </c>
      <c r="G72" s="2368">
        <f t="shared" si="57"/>
        <v>0</v>
      </c>
      <c r="H72" s="2368">
        <f t="shared" si="57"/>
        <v>0</v>
      </c>
      <c r="I72" s="2368">
        <f t="shared" si="57"/>
        <v>0</v>
      </c>
      <c r="J72" s="2368">
        <f t="shared" si="57"/>
        <v>0</v>
      </c>
      <c r="K72" s="2368">
        <f t="shared" si="57"/>
        <v>0</v>
      </c>
      <c r="L72" s="2369">
        <f t="shared" si="57"/>
        <v>0</v>
      </c>
      <c r="M72" s="2370">
        <f>+M74+M75+M76</f>
        <v>0</v>
      </c>
      <c r="N72" s="2370">
        <f>+N74+N75+N76</f>
        <v>0</v>
      </c>
      <c r="O72" s="4294"/>
      <c r="Q72" s="4283"/>
      <c r="R72" s="4283"/>
      <c r="S72" s="4283"/>
    </row>
    <row r="73" spans="1:19" s="315" customFormat="1" ht="13.5" hidden="1" customHeight="1">
      <c r="A73" s="4291"/>
      <c r="B73" s="1251" t="s">
        <v>115</v>
      </c>
      <c r="C73" s="3971"/>
      <c r="D73" s="236">
        <f>E73+F73+G73+H73+I73+J73+K73+L73</f>
        <v>0</v>
      </c>
      <c r="E73" s="1253">
        <v>0</v>
      </c>
      <c r="F73" s="546">
        <v>0</v>
      </c>
      <c r="G73" s="2371">
        <v>0</v>
      </c>
      <c r="H73" s="2371">
        <v>0</v>
      </c>
      <c r="I73" s="2371">
        <v>0</v>
      </c>
      <c r="J73" s="2371">
        <v>0</v>
      </c>
      <c r="K73" s="2371">
        <v>0</v>
      </c>
      <c r="L73" s="2372">
        <v>0</v>
      </c>
      <c r="M73" s="1229" t="s">
        <v>53</v>
      </c>
      <c r="N73" s="1229" t="s">
        <v>53</v>
      </c>
      <c r="O73" s="4295"/>
      <c r="Q73" s="4283"/>
      <c r="R73" s="4283"/>
      <c r="S73" s="4283"/>
    </row>
    <row r="74" spans="1:19" s="315" customFormat="1" ht="13.5" hidden="1" customHeight="1">
      <c r="A74" s="4291"/>
      <c r="B74" s="2373" t="s">
        <v>116</v>
      </c>
      <c r="C74" s="3971"/>
      <c r="D74" s="236">
        <f>E74+F74+G74+H74+I74+J74+K74+L74</f>
        <v>0</v>
      </c>
      <c r="E74" s="1253">
        <v>0</v>
      </c>
      <c r="F74" s="2371">
        <v>0</v>
      </c>
      <c r="G74" s="2371">
        <v>0</v>
      </c>
      <c r="H74" s="2371">
        <v>0</v>
      </c>
      <c r="I74" s="2371">
        <v>0</v>
      </c>
      <c r="J74" s="2371">
        <v>0</v>
      </c>
      <c r="K74" s="2371">
        <v>0</v>
      </c>
      <c r="L74" s="2372">
        <v>0</v>
      </c>
      <c r="M74" s="1252">
        <f t="shared" ref="M74:N76" si="58">SUM(F74:K74)</f>
        <v>0</v>
      </c>
      <c r="N74" s="1252">
        <f t="shared" si="58"/>
        <v>0</v>
      </c>
      <c r="O74" s="4295"/>
      <c r="Q74" s="4283"/>
      <c r="R74" s="4283"/>
      <c r="S74" s="4283"/>
    </row>
    <row r="75" spans="1:19" s="315" customFormat="1" ht="12" hidden="1" customHeight="1">
      <c r="A75" s="4291"/>
      <c r="B75" s="129" t="s">
        <v>13</v>
      </c>
      <c r="C75" s="3971"/>
      <c r="D75" s="236">
        <f>E75+F75+G75+H75+I75+J75+K75+L75</f>
        <v>0</v>
      </c>
      <c r="E75" s="1253">
        <v>0</v>
      </c>
      <c r="F75" s="546">
        <v>0</v>
      </c>
      <c r="G75" s="2374">
        <v>0</v>
      </c>
      <c r="H75" s="2374">
        <v>0</v>
      </c>
      <c r="I75" s="2374">
        <v>0</v>
      </c>
      <c r="J75" s="2374">
        <v>0</v>
      </c>
      <c r="K75" s="2374">
        <v>0</v>
      </c>
      <c r="L75" s="2375">
        <v>0</v>
      </c>
      <c r="M75" s="1252">
        <f>SUM(F75:K75)</f>
        <v>0</v>
      </c>
      <c r="N75" s="1252">
        <f t="shared" si="58"/>
        <v>0</v>
      </c>
      <c r="O75" s="4295"/>
      <c r="Q75" s="4283"/>
      <c r="R75" s="4283"/>
      <c r="S75" s="4283"/>
    </row>
    <row r="76" spans="1:19" s="315" customFormat="1" ht="13.5" hidden="1" customHeight="1">
      <c r="A76" s="4291"/>
      <c r="B76" s="129" t="s">
        <v>113</v>
      </c>
      <c r="C76" s="3971"/>
      <c r="D76" s="236">
        <f>E76+F76+G76+H76+I76+J76+K76+L76</f>
        <v>0</v>
      </c>
      <c r="E76" s="1253">
        <v>0</v>
      </c>
      <c r="F76" s="2371">
        <v>0</v>
      </c>
      <c r="G76" s="2304">
        <v>0</v>
      </c>
      <c r="H76" s="2374">
        <v>0</v>
      </c>
      <c r="I76" s="2374">
        <v>0</v>
      </c>
      <c r="J76" s="2374">
        <v>0</v>
      </c>
      <c r="K76" s="2374">
        <v>0</v>
      </c>
      <c r="L76" s="2375">
        <v>0</v>
      </c>
      <c r="M76" s="1252">
        <f t="shared" si="58"/>
        <v>0</v>
      </c>
      <c r="N76" s="1252">
        <f t="shared" si="58"/>
        <v>0</v>
      </c>
      <c r="O76" s="4295"/>
      <c r="Q76" s="4283"/>
      <c r="R76" s="4283"/>
      <c r="S76" s="4283"/>
    </row>
    <row r="77" spans="1:19" s="315" customFormat="1" ht="18.75" hidden="1" customHeight="1">
      <c r="A77" s="4291"/>
      <c r="B77" s="2373" t="s">
        <v>18</v>
      </c>
      <c r="C77" s="3972"/>
      <c r="D77" s="236">
        <f>+D78</f>
        <v>0</v>
      </c>
      <c r="E77" s="1253"/>
      <c r="F77" s="546"/>
      <c r="G77" s="236"/>
      <c r="H77" s="2376"/>
      <c r="I77" s="2377"/>
      <c r="J77" s="2377"/>
      <c r="K77" s="2378"/>
      <c r="L77" s="2377"/>
      <c r="M77" s="2379"/>
      <c r="N77" s="2379"/>
      <c r="O77" s="4295"/>
      <c r="Q77" s="4283"/>
      <c r="R77" s="4283"/>
      <c r="S77" s="4283"/>
    </row>
    <row r="78" spans="1:19" s="315" customFormat="1" ht="16.5" hidden="1" customHeight="1">
      <c r="A78" s="4291"/>
      <c r="B78" s="129" t="s">
        <v>34</v>
      </c>
      <c r="C78" s="2380"/>
      <c r="D78" s="236">
        <v>0</v>
      </c>
      <c r="E78" s="1253"/>
      <c r="F78" s="2371"/>
      <c r="G78" s="236"/>
      <c r="H78" s="2376"/>
      <c r="I78" s="2376"/>
      <c r="J78" s="2377"/>
      <c r="K78" s="2378"/>
      <c r="L78" s="2376"/>
      <c r="M78" s="2381"/>
      <c r="N78" s="2381"/>
      <c r="O78" s="4295"/>
      <c r="Q78" s="4283"/>
      <c r="R78" s="4283"/>
      <c r="S78" s="4283"/>
    </row>
    <row r="79" spans="1:19" s="315" customFormat="1" ht="13.5" hidden="1" customHeight="1">
      <c r="A79" s="4291"/>
      <c r="B79" s="417" t="s">
        <v>21</v>
      </c>
      <c r="C79" s="2364"/>
      <c r="D79" s="544">
        <f>D81+D82</f>
        <v>0</v>
      </c>
      <c r="E79" s="544">
        <f t="shared" ref="E79" si="59">E81+E82</f>
        <v>0</v>
      </c>
      <c r="F79" s="544">
        <f t="shared" ref="F79:L79" si="60">+F80</f>
        <v>0</v>
      </c>
      <c r="G79" s="1249">
        <f t="shared" si="60"/>
        <v>0</v>
      </c>
      <c r="H79" s="1249">
        <f t="shared" si="60"/>
        <v>0</v>
      </c>
      <c r="I79" s="1249">
        <f t="shared" si="60"/>
        <v>0</v>
      </c>
      <c r="J79" s="1249">
        <f t="shared" si="60"/>
        <v>0</v>
      </c>
      <c r="K79" s="1249">
        <f t="shared" si="60"/>
        <v>0</v>
      </c>
      <c r="L79" s="2365">
        <f t="shared" si="60"/>
        <v>0</v>
      </c>
      <c r="M79" s="4288" t="s">
        <v>53</v>
      </c>
      <c r="N79" s="4288" t="s">
        <v>53</v>
      </c>
      <c r="O79" s="4295"/>
      <c r="Q79" s="4283"/>
      <c r="R79" s="4283"/>
      <c r="S79" s="4283"/>
    </row>
    <row r="80" spans="1:19" s="303" customFormat="1" ht="13.5" hidden="1" customHeight="1">
      <c r="A80" s="4291"/>
      <c r="B80" s="515" t="s">
        <v>23</v>
      </c>
      <c r="C80" s="4285" t="s">
        <v>114</v>
      </c>
      <c r="D80" s="1254">
        <f>+D81+D82</f>
        <v>0</v>
      </c>
      <c r="E80" s="1254">
        <f t="shared" ref="E80" si="61">+E81+E82</f>
        <v>0</v>
      </c>
      <c r="F80" s="1254">
        <f t="shared" ref="F80:L80" si="62">+F81+F82</f>
        <v>0</v>
      </c>
      <c r="G80" s="1256">
        <f t="shared" si="62"/>
        <v>0</v>
      </c>
      <c r="H80" s="1256">
        <f t="shared" si="62"/>
        <v>0</v>
      </c>
      <c r="I80" s="1256">
        <f t="shared" si="62"/>
        <v>0</v>
      </c>
      <c r="J80" s="1256">
        <f t="shared" si="62"/>
        <v>0</v>
      </c>
      <c r="K80" s="1256">
        <f t="shared" si="62"/>
        <v>0</v>
      </c>
      <c r="L80" s="2382">
        <f t="shared" si="62"/>
        <v>0</v>
      </c>
      <c r="M80" s="4289"/>
      <c r="N80" s="4289"/>
      <c r="O80" s="4295"/>
      <c r="Q80" s="4283"/>
      <c r="R80" s="4283"/>
      <c r="S80" s="4283"/>
    </row>
    <row r="81" spans="1:17" s="315" customFormat="1" ht="13.5" hidden="1" customHeight="1">
      <c r="A81" s="4291"/>
      <c r="B81" s="129" t="s">
        <v>13</v>
      </c>
      <c r="C81" s="4286"/>
      <c r="D81" s="236">
        <v>0</v>
      </c>
      <c r="E81" s="1253">
        <v>0</v>
      </c>
      <c r="F81" s="1253">
        <v>0</v>
      </c>
      <c r="G81" s="2374">
        <v>0</v>
      </c>
      <c r="H81" s="2374">
        <v>0</v>
      </c>
      <c r="I81" s="2374">
        <v>0</v>
      </c>
      <c r="J81" s="2374">
        <v>0</v>
      </c>
      <c r="K81" s="2374">
        <v>0</v>
      </c>
      <c r="L81" s="2375">
        <v>0</v>
      </c>
      <c r="M81" s="4289"/>
      <c r="N81" s="4289"/>
      <c r="O81" s="4295"/>
    </row>
    <row r="82" spans="1:17" s="315" customFormat="1" ht="15" hidden="1" customHeight="1" thickBot="1">
      <c r="A82" s="4292"/>
      <c r="B82" s="276" t="s">
        <v>113</v>
      </c>
      <c r="C82" s="4287"/>
      <c r="D82" s="1643">
        <v>0</v>
      </c>
      <c r="E82" s="1644">
        <v>0</v>
      </c>
      <c r="F82" s="556">
        <v>0</v>
      </c>
      <c r="G82" s="556">
        <v>0</v>
      </c>
      <c r="H82" s="556">
        <v>0</v>
      </c>
      <c r="I82" s="556">
        <v>0</v>
      </c>
      <c r="J82" s="556">
        <v>0</v>
      </c>
      <c r="K82" s="556">
        <v>0</v>
      </c>
      <c r="L82" s="2383">
        <v>0</v>
      </c>
      <c r="M82" s="4290"/>
      <c r="N82" s="4290"/>
      <c r="O82" s="4295"/>
    </row>
    <row r="83" spans="1:17" s="315" customFormat="1" ht="28.5" customHeight="1">
      <c r="A83" s="4268" t="s">
        <v>55</v>
      </c>
      <c r="B83" s="1197" t="s">
        <v>366</v>
      </c>
      <c r="C83" s="542" t="s">
        <v>100</v>
      </c>
      <c r="D83" s="2809"/>
      <c r="E83" s="2764"/>
      <c r="F83" s="2764"/>
      <c r="G83" s="2764"/>
      <c r="H83" s="2764"/>
      <c r="I83" s="2764"/>
      <c r="J83" s="2764"/>
      <c r="K83" s="2764"/>
      <c r="L83" s="2811"/>
      <c r="M83" s="1248"/>
      <c r="N83" s="2960"/>
      <c r="O83" s="4273" t="s">
        <v>385</v>
      </c>
    </row>
    <row r="84" spans="1:17" s="315" customFormat="1" ht="13.5" customHeight="1">
      <c r="A84" s="4269"/>
      <c r="B84" s="417" t="s">
        <v>10</v>
      </c>
      <c r="C84" s="2961"/>
      <c r="D84" s="2814">
        <f>+D85</f>
        <v>8000000</v>
      </c>
      <c r="E84" s="2814">
        <f t="shared" ref="E84:N84" si="63">+E85</f>
        <v>1660000</v>
      </c>
      <c r="F84" s="2814">
        <f t="shared" si="63"/>
        <v>1080000</v>
      </c>
      <c r="G84" s="2814">
        <f t="shared" si="63"/>
        <v>1080000</v>
      </c>
      <c r="H84" s="2814">
        <f t="shared" si="63"/>
        <v>1080000</v>
      </c>
      <c r="I84" s="2814">
        <f t="shared" si="63"/>
        <v>1080000</v>
      </c>
      <c r="J84" s="2814">
        <f t="shared" si="63"/>
        <v>1080000</v>
      </c>
      <c r="K84" s="2814">
        <f t="shared" si="63"/>
        <v>940000</v>
      </c>
      <c r="L84" s="2962">
        <f t="shared" si="63"/>
        <v>0</v>
      </c>
      <c r="M84" s="2816">
        <f t="shared" si="63"/>
        <v>4540000</v>
      </c>
      <c r="N84" s="2963">
        <f t="shared" si="63"/>
        <v>4540000</v>
      </c>
      <c r="O84" s="4274"/>
    </row>
    <row r="85" spans="1:17" s="303" customFormat="1" ht="16.5" customHeight="1">
      <c r="A85" s="4269"/>
      <c r="B85" s="545" t="s">
        <v>23</v>
      </c>
      <c r="C85" s="4020" t="s">
        <v>117</v>
      </c>
      <c r="D85" s="1440">
        <f>+D86+D87</f>
        <v>8000000</v>
      </c>
      <c r="E85" s="1440">
        <f t="shared" ref="E85" si="64">+E86+E87</f>
        <v>1660000</v>
      </c>
      <c r="F85" s="1440">
        <f t="shared" ref="F85:L85" si="65">+F86+F87</f>
        <v>1080000</v>
      </c>
      <c r="G85" s="1440">
        <f t="shared" si="65"/>
        <v>1080000</v>
      </c>
      <c r="H85" s="1440">
        <f t="shared" si="65"/>
        <v>1080000</v>
      </c>
      <c r="I85" s="1440">
        <f t="shared" si="65"/>
        <v>1080000</v>
      </c>
      <c r="J85" s="1440">
        <f t="shared" si="65"/>
        <v>1080000</v>
      </c>
      <c r="K85" s="1440">
        <f t="shared" si="65"/>
        <v>940000</v>
      </c>
      <c r="L85" s="2964">
        <f t="shared" si="65"/>
        <v>0</v>
      </c>
      <c r="M85" s="2829">
        <f>+M87</f>
        <v>4540000</v>
      </c>
      <c r="N85" s="2965">
        <f>+N87</f>
        <v>4540000</v>
      </c>
      <c r="O85" s="4274"/>
    </row>
    <row r="86" spans="1:17" s="303" customFormat="1" ht="13.5" customHeight="1">
      <c r="A86" s="4269"/>
      <c r="B86" s="1251" t="s">
        <v>115</v>
      </c>
      <c r="C86" s="4021"/>
      <c r="D86" s="785">
        <f>E86+F86+G86+H86+I86+J86+K86+L86</f>
        <v>3460000</v>
      </c>
      <c r="E86" s="1606">
        <v>1660000</v>
      </c>
      <c r="F86" s="1452">
        <v>1080000</v>
      </c>
      <c r="G86" s="1452">
        <v>720000</v>
      </c>
      <c r="H86" s="1452">
        <v>0</v>
      </c>
      <c r="I86" s="1452">
        <v>0</v>
      </c>
      <c r="J86" s="1452">
        <v>0</v>
      </c>
      <c r="K86" s="1452">
        <v>0</v>
      </c>
      <c r="L86" s="2966">
        <v>0</v>
      </c>
      <c r="M86" s="2827">
        <f>SUM(F86:K86)</f>
        <v>1800000</v>
      </c>
      <c r="N86" s="3031">
        <v>0</v>
      </c>
      <c r="O86" s="4274"/>
    </row>
    <row r="87" spans="1:17" s="303" customFormat="1" ht="13.5" customHeight="1" thickBot="1">
      <c r="A87" s="4270"/>
      <c r="B87" s="2967" t="s">
        <v>118</v>
      </c>
      <c r="C87" s="4022"/>
      <c r="D87" s="1455">
        <f>E87+F87+G87+H87+I87+J87+K87+L87</f>
        <v>4540000</v>
      </c>
      <c r="E87" s="1644">
        <v>0</v>
      </c>
      <c r="F87" s="2968">
        <v>0</v>
      </c>
      <c r="G87" s="1456">
        <f>1080000-720000</f>
        <v>360000</v>
      </c>
      <c r="H87" s="1456">
        <v>1080000</v>
      </c>
      <c r="I87" s="1456">
        <v>1080000</v>
      </c>
      <c r="J87" s="1456">
        <v>1080000</v>
      </c>
      <c r="K87" s="1456">
        <v>940000</v>
      </c>
      <c r="L87" s="2969">
        <v>0</v>
      </c>
      <c r="M87" s="2832">
        <f>SUM(F87:L87)</f>
        <v>4540000</v>
      </c>
      <c r="N87" s="2970">
        <f>SUM(G87:L87)</f>
        <v>4540000</v>
      </c>
      <c r="O87" s="4275"/>
    </row>
    <row r="88" spans="1:17" s="303" customFormat="1" ht="48.75" customHeight="1">
      <c r="A88" s="4268" t="s">
        <v>56</v>
      </c>
      <c r="B88" s="2971" t="s">
        <v>361</v>
      </c>
      <c r="C88" s="542" t="s">
        <v>100</v>
      </c>
      <c r="D88" s="2809"/>
      <c r="E88" s="2764"/>
      <c r="F88" s="2764"/>
      <c r="G88" s="2764"/>
      <c r="H88" s="2764"/>
      <c r="I88" s="2764"/>
      <c r="J88" s="2764"/>
      <c r="K88" s="2764"/>
      <c r="L88" s="2811"/>
      <c r="M88" s="2972"/>
      <c r="N88" s="2973"/>
      <c r="O88" s="4305" t="s">
        <v>271</v>
      </c>
      <c r="P88" s="1237">
        <f>+H97+I97+J97+K97+L97+H97+I97+J97+1916851-59217</f>
        <v>32527106</v>
      </c>
    </row>
    <row r="89" spans="1:17" s="303" customFormat="1" ht="13.5" customHeight="1" thickBot="1">
      <c r="A89" s="4269"/>
      <c r="B89" s="417" t="s">
        <v>10</v>
      </c>
      <c r="C89" s="2974"/>
      <c r="D89" s="2975">
        <f>+D90</f>
        <v>2799999.64</v>
      </c>
      <c r="E89" s="2975">
        <f t="shared" ref="E89" si="66">+E90</f>
        <v>116666.64</v>
      </c>
      <c r="F89" s="2975">
        <f t="shared" ref="F89:L89" si="67">+F90</f>
        <v>233333</v>
      </c>
      <c r="G89" s="2975">
        <f t="shared" si="67"/>
        <v>233333</v>
      </c>
      <c r="H89" s="2975">
        <f t="shared" si="67"/>
        <v>233333</v>
      </c>
      <c r="I89" s="2975">
        <f t="shared" si="67"/>
        <v>233333</v>
      </c>
      <c r="J89" s="2975">
        <f t="shared" si="67"/>
        <v>233333</v>
      </c>
      <c r="K89" s="2975">
        <f t="shared" si="67"/>
        <v>233333</v>
      </c>
      <c r="L89" s="2975">
        <f t="shared" si="67"/>
        <v>233333</v>
      </c>
      <c r="M89" s="2976">
        <f>+M90</f>
        <v>2294444</v>
      </c>
      <c r="N89" s="2977">
        <f>+N90</f>
        <v>2294444</v>
      </c>
      <c r="O89" s="4306"/>
    </row>
    <row r="90" spans="1:17" s="303" customFormat="1" ht="13.5" customHeight="1" thickBot="1">
      <c r="A90" s="4269"/>
      <c r="B90" s="545" t="s">
        <v>23</v>
      </c>
      <c r="C90" s="4302" t="s">
        <v>117</v>
      </c>
      <c r="D90" s="1257">
        <f>+D92+D91</f>
        <v>2799999.64</v>
      </c>
      <c r="E90" s="1257">
        <f>+E91</f>
        <v>116666.64</v>
      </c>
      <c r="F90" s="1257">
        <f t="shared" ref="F90:L90" si="68">+F91+F92</f>
        <v>233333</v>
      </c>
      <c r="G90" s="1257">
        <f t="shared" si="68"/>
        <v>233333</v>
      </c>
      <c r="H90" s="1257">
        <f t="shared" si="68"/>
        <v>233333</v>
      </c>
      <c r="I90" s="1257">
        <f t="shared" si="68"/>
        <v>233333</v>
      </c>
      <c r="J90" s="1257">
        <f t="shared" si="68"/>
        <v>233333</v>
      </c>
      <c r="K90" s="1257">
        <f t="shared" si="68"/>
        <v>233333</v>
      </c>
      <c r="L90" s="1257">
        <f t="shared" si="68"/>
        <v>233333</v>
      </c>
      <c r="M90" s="2978">
        <f>+M92</f>
        <v>2294444</v>
      </c>
      <c r="N90" s="2965">
        <f>+N92</f>
        <v>2294444</v>
      </c>
      <c r="O90" s="4312"/>
    </row>
    <row r="91" spans="1:17" s="303" customFormat="1" ht="12.75" customHeight="1" thickBot="1">
      <c r="A91" s="4269"/>
      <c r="B91" s="1251" t="s">
        <v>115</v>
      </c>
      <c r="C91" s="4021"/>
      <c r="D91" s="236">
        <f>E91+F91+G91+H91+I91+J91+K91+L91</f>
        <v>505555.64</v>
      </c>
      <c r="E91" s="1253">
        <v>116666.64</v>
      </c>
      <c r="F91" s="1258">
        <v>233333</v>
      </c>
      <c r="G91" s="1258">
        <v>155556</v>
      </c>
      <c r="H91" s="1258">
        <v>0</v>
      </c>
      <c r="I91" s="1258">
        <v>0</v>
      </c>
      <c r="J91" s="1258"/>
      <c r="K91" s="1258"/>
      <c r="L91" s="1258"/>
      <c r="M91" s="1252">
        <f>SUM(F91:K91)</f>
        <v>388889</v>
      </c>
      <c r="N91" s="3031">
        <v>0</v>
      </c>
      <c r="O91" s="4312"/>
    </row>
    <row r="92" spans="1:17" s="303" customFormat="1" ht="13.5" customHeight="1" thickBot="1">
      <c r="A92" s="4269"/>
      <c r="B92" s="2967" t="s">
        <v>118</v>
      </c>
      <c r="C92" s="4022"/>
      <c r="D92" s="778">
        <f>E92+F92+G92+H92+I92+J92+K92+L92+P92</f>
        <v>2294444</v>
      </c>
      <c r="E92" s="2979">
        <v>0</v>
      </c>
      <c r="F92" s="464">
        <v>0</v>
      </c>
      <c r="G92" s="464">
        <f>233333-155556</f>
        <v>77777</v>
      </c>
      <c r="H92" s="464">
        <v>233333</v>
      </c>
      <c r="I92" s="464">
        <v>233333</v>
      </c>
      <c r="J92" s="464">
        <v>233333</v>
      </c>
      <c r="K92" s="464">
        <v>233333</v>
      </c>
      <c r="L92" s="464">
        <v>233333</v>
      </c>
      <c r="M92" s="1252">
        <f>SUM(F92:L92)+1050002</f>
        <v>2294444</v>
      </c>
      <c r="N92" s="2661">
        <f>SUM(G92:L92)+1050002</f>
        <v>2294444</v>
      </c>
      <c r="O92" s="4307"/>
      <c r="P92" s="1255">
        <v>1050002</v>
      </c>
      <c r="Q92" s="1237">
        <f>+P92+P97</f>
        <v>33636325</v>
      </c>
    </row>
    <row r="93" spans="1:17" s="315" customFormat="1" ht="42" customHeight="1" thickBot="1">
      <c r="A93" s="4270" t="s">
        <v>57</v>
      </c>
      <c r="B93" s="1197" t="s">
        <v>363</v>
      </c>
      <c r="C93" s="542" t="s">
        <v>100</v>
      </c>
      <c r="D93" s="2809"/>
      <c r="E93" s="2764"/>
      <c r="F93" s="2764"/>
      <c r="G93" s="2764"/>
      <c r="H93" s="2764"/>
      <c r="I93" s="2764"/>
      <c r="J93" s="2764"/>
      <c r="K93" s="2764"/>
      <c r="L93" s="2811"/>
      <c r="M93" s="1248"/>
      <c r="N93" s="2960"/>
      <c r="O93" s="4311" t="s">
        <v>320</v>
      </c>
    </row>
    <row r="94" spans="1:17" s="315" customFormat="1" ht="13.5" customHeight="1" thickBot="1">
      <c r="A94" s="4303"/>
      <c r="B94" s="417" t="s">
        <v>10</v>
      </c>
      <c r="C94" s="2974"/>
      <c r="D94" s="544">
        <f>+D95</f>
        <v>54689223</v>
      </c>
      <c r="E94" s="1249">
        <f t="shared" ref="E94:L94" si="69">+E95</f>
        <v>0</v>
      </c>
      <c r="F94" s="1249">
        <f t="shared" si="69"/>
        <v>0</v>
      </c>
      <c r="G94" s="544">
        <f t="shared" si="69"/>
        <v>2934480</v>
      </c>
      <c r="H94" s="544">
        <f t="shared" si="69"/>
        <v>3833684</v>
      </c>
      <c r="I94" s="544">
        <f t="shared" si="69"/>
        <v>3833684</v>
      </c>
      <c r="J94" s="544">
        <f t="shared" si="69"/>
        <v>3833684</v>
      </c>
      <c r="K94" s="544">
        <f t="shared" si="69"/>
        <v>3833684</v>
      </c>
      <c r="L94" s="544">
        <f t="shared" si="69"/>
        <v>3833684</v>
      </c>
      <c r="M94" s="1250">
        <f>+M95</f>
        <v>54689223</v>
      </c>
      <c r="N94" s="2980">
        <f>+N95</f>
        <v>53671585</v>
      </c>
      <c r="O94" s="4312"/>
    </row>
    <row r="95" spans="1:17" s="303" customFormat="1" ht="13.5" customHeight="1" thickBot="1">
      <c r="A95" s="4303"/>
      <c r="B95" s="545" t="s">
        <v>23</v>
      </c>
      <c r="C95" s="4302" t="s">
        <v>117</v>
      </c>
      <c r="D95" s="1254">
        <f>+D96+D97</f>
        <v>54689223</v>
      </c>
      <c r="E95" s="1256">
        <f t="shared" ref="E95" si="70">+E96+E97</f>
        <v>0</v>
      </c>
      <c r="F95" s="1256">
        <f t="shared" ref="F95:L95" si="71">+F96+F97</f>
        <v>0</v>
      </c>
      <c r="G95" s="1254">
        <f t="shared" si="71"/>
        <v>2934480</v>
      </c>
      <c r="H95" s="1254">
        <f t="shared" si="71"/>
        <v>3833684</v>
      </c>
      <c r="I95" s="1254">
        <f t="shared" si="71"/>
        <v>3833684</v>
      </c>
      <c r="J95" s="1254">
        <f t="shared" si="71"/>
        <v>3833684</v>
      </c>
      <c r="K95" s="1254">
        <f t="shared" si="71"/>
        <v>3833684</v>
      </c>
      <c r="L95" s="1254">
        <f t="shared" si="71"/>
        <v>3833684</v>
      </c>
      <c r="M95" s="2978">
        <f>+M96+M97</f>
        <v>54689223</v>
      </c>
      <c r="N95" s="2981">
        <f>+N96+N97</f>
        <v>53671585</v>
      </c>
      <c r="O95" s="4312"/>
      <c r="Q95" s="1237"/>
    </row>
    <row r="96" spans="1:17" s="303" customFormat="1" ht="13.5" customHeight="1" thickBot="1">
      <c r="A96" s="4303"/>
      <c r="B96" s="1251" t="s">
        <v>115</v>
      </c>
      <c r="C96" s="4021"/>
      <c r="D96" s="236">
        <f>E96+F96+G96+H96+I96+J96+K96+L96</f>
        <v>1017638</v>
      </c>
      <c r="E96" s="2982">
        <v>0</v>
      </c>
      <c r="F96" s="550">
        <v>0</v>
      </c>
      <c r="G96" s="1452">
        <v>1017638</v>
      </c>
      <c r="H96" s="550">
        <v>0</v>
      </c>
      <c r="I96" s="550">
        <v>0</v>
      </c>
      <c r="J96" s="550">
        <v>0</v>
      </c>
      <c r="K96" s="551">
        <v>0</v>
      </c>
      <c r="L96" s="551">
        <v>0</v>
      </c>
      <c r="M96" s="1252">
        <f>SUM(F96:K96)</f>
        <v>1017638</v>
      </c>
      <c r="N96" s="3030">
        <v>0</v>
      </c>
      <c r="O96" s="4307"/>
    </row>
    <row r="97" spans="1:23" s="303" customFormat="1" ht="13.5" customHeight="1" thickBot="1">
      <c r="A97" s="4303"/>
      <c r="B97" s="2967" t="s">
        <v>118</v>
      </c>
      <c r="C97" s="4022"/>
      <c r="D97" s="778">
        <f>+G97+H97+I97+J97+K97+L97+P97</f>
        <v>53671585</v>
      </c>
      <c r="E97" s="2983">
        <v>0</v>
      </c>
      <c r="F97" s="517">
        <v>0</v>
      </c>
      <c r="G97" s="1456">
        <f>2934480-1017638</f>
        <v>1916842</v>
      </c>
      <c r="H97" s="464">
        <f>3912640-78956</f>
        <v>3833684</v>
      </c>
      <c r="I97" s="464">
        <f>3912640-78956</f>
        <v>3833684</v>
      </c>
      <c r="J97" s="464">
        <f>3912640-78956</f>
        <v>3833684</v>
      </c>
      <c r="K97" s="464">
        <f>3912640-78956</f>
        <v>3833684</v>
      </c>
      <c r="L97" s="464">
        <f>3912640-78956</f>
        <v>3833684</v>
      </c>
      <c r="M97" s="2984">
        <f>+K97+J97+I97+H97+G97+F97+L97+3833684+3833684+3833684+3833684+3833684+3833684+3833684+3833684+1916851</f>
        <v>53671585</v>
      </c>
      <c r="N97" s="3123">
        <f>+L97+K97+J97+I97+H97+G97+3833684+3833684+3833684+3833684+3833684+3833684+3833684+3833684+1916851</f>
        <v>53671585</v>
      </c>
      <c r="O97" s="4311"/>
      <c r="P97" s="2676">
        <v>32586323</v>
      </c>
    </row>
    <row r="98" spans="1:23" s="303" customFormat="1" ht="27.75" customHeight="1">
      <c r="A98" s="4304" t="s">
        <v>58</v>
      </c>
      <c r="B98" s="1197" t="s">
        <v>506</v>
      </c>
      <c r="C98" s="542" t="s">
        <v>73</v>
      </c>
      <c r="D98" s="2809"/>
      <c r="E98" s="2764"/>
      <c r="F98" s="2764"/>
      <c r="G98" s="2764"/>
      <c r="H98" s="2764"/>
      <c r="I98" s="2764"/>
      <c r="J98" s="2764"/>
      <c r="K98" s="2764"/>
      <c r="L98" s="2811"/>
      <c r="M98" s="2960"/>
      <c r="N98" s="2985"/>
      <c r="O98" s="4305" t="s">
        <v>505</v>
      </c>
      <c r="P98" s="2391"/>
    </row>
    <row r="99" spans="1:23" s="303" customFormat="1" ht="13.5" customHeight="1" thickBot="1">
      <c r="A99" s="4270"/>
      <c r="B99" s="2131" t="s">
        <v>10</v>
      </c>
      <c r="C99" s="2986"/>
      <c r="D99" s="2987">
        <f>+D100</f>
        <v>13500000</v>
      </c>
      <c r="E99" s="2988">
        <v>0</v>
      </c>
      <c r="F99" s="2988">
        <v>0</v>
      </c>
      <c r="G99" s="2987">
        <v>0</v>
      </c>
      <c r="H99" s="2987">
        <f>+H100</f>
        <v>4500000</v>
      </c>
      <c r="I99" s="2987">
        <f t="shared" ref="I99:J99" si="72">+I100</f>
        <v>4500000</v>
      </c>
      <c r="J99" s="2987">
        <f t="shared" si="72"/>
        <v>4500000</v>
      </c>
      <c r="K99" s="2988">
        <v>0</v>
      </c>
      <c r="L99" s="2988">
        <v>0</v>
      </c>
      <c r="M99" s="2989"/>
      <c r="N99" s="2990">
        <f>+N100</f>
        <v>13500000</v>
      </c>
      <c r="O99" s="4306"/>
      <c r="P99" s="2391"/>
    </row>
    <row r="100" spans="1:23" s="303" customFormat="1" ht="13.5" customHeight="1" thickBot="1">
      <c r="A100" s="4303"/>
      <c r="B100" s="2846" t="s">
        <v>23</v>
      </c>
      <c r="C100" s="4309" t="s">
        <v>504</v>
      </c>
      <c r="D100" s="2991">
        <f>+D101</f>
        <v>13500000</v>
      </c>
      <c r="E100" s="2992">
        <v>0</v>
      </c>
      <c r="F100" s="2992">
        <v>0</v>
      </c>
      <c r="G100" s="2991">
        <v>0</v>
      </c>
      <c r="H100" s="2991">
        <f>+H101</f>
        <v>4500000</v>
      </c>
      <c r="I100" s="2991">
        <f t="shared" ref="I100:J100" si="73">+I101</f>
        <v>4500000</v>
      </c>
      <c r="J100" s="2991">
        <f t="shared" si="73"/>
        <v>4500000</v>
      </c>
      <c r="K100" s="2992">
        <v>0</v>
      </c>
      <c r="L100" s="2992">
        <v>0</v>
      </c>
      <c r="M100" s="2993"/>
      <c r="N100" s="2994">
        <f>+N101</f>
        <v>13500000</v>
      </c>
      <c r="O100" s="4307"/>
      <c r="P100" s="2391"/>
    </row>
    <row r="101" spans="1:23" s="303" customFormat="1" ht="13.5" customHeight="1" thickBot="1">
      <c r="A101" s="4303"/>
      <c r="B101" s="2967" t="s">
        <v>118</v>
      </c>
      <c r="C101" s="4310"/>
      <c r="D101" s="2404">
        <f>+E101+F101+G101+H101+I101+J101</f>
        <v>13500000</v>
      </c>
      <c r="E101" s="2995">
        <v>0</v>
      </c>
      <c r="F101" s="2996">
        <v>0</v>
      </c>
      <c r="G101" s="2968">
        <v>0</v>
      </c>
      <c r="H101" s="2968">
        <v>4500000</v>
      </c>
      <c r="I101" s="2968">
        <v>4500000</v>
      </c>
      <c r="J101" s="2968">
        <v>4500000</v>
      </c>
      <c r="K101" s="2997">
        <v>0</v>
      </c>
      <c r="L101" s="2997">
        <v>0</v>
      </c>
      <c r="M101" s="2998"/>
      <c r="N101" s="2999">
        <f>+J101+I101+H101</f>
        <v>13500000</v>
      </c>
      <c r="O101" s="4308"/>
      <c r="P101" s="2391"/>
    </row>
    <row r="102" spans="1:23" s="1259" customFormat="1" ht="13.5" customHeight="1">
      <c r="A102" s="4299"/>
      <c r="B102" s="4299"/>
      <c r="C102" s="4299"/>
      <c r="D102" s="4299"/>
      <c r="E102" s="4299"/>
      <c r="F102" s="4299"/>
      <c r="G102" s="4299"/>
      <c r="H102" s="4299"/>
      <c r="I102" s="4299"/>
      <c r="J102" s="4299"/>
      <c r="K102" s="4299"/>
      <c r="L102" s="4299"/>
      <c r="M102" s="4299"/>
      <c r="N102" s="4299"/>
      <c r="O102" s="4300"/>
    </row>
    <row r="103" spans="1:23" s="293" customFormat="1" ht="12.75" customHeight="1">
      <c r="A103" s="4301" t="s">
        <v>362</v>
      </c>
      <c r="B103" s="4301"/>
      <c r="C103" s="4301"/>
      <c r="D103" s="4301"/>
      <c r="E103" s="4301"/>
      <c r="F103" s="4301"/>
      <c r="G103" s="4301"/>
      <c r="H103" s="4301"/>
      <c r="I103" s="4301"/>
      <c r="J103" s="4301"/>
      <c r="K103" s="4301"/>
      <c r="L103" s="4301"/>
      <c r="O103" s="174"/>
    </row>
    <row r="104" spans="1:23" s="293" customFormat="1" ht="12.75" customHeight="1">
      <c r="A104" s="4301" t="s">
        <v>514</v>
      </c>
      <c r="B104" s="4301"/>
      <c r="C104" s="4301"/>
      <c r="D104" s="4301"/>
      <c r="E104" s="4301"/>
      <c r="F104" s="4301"/>
      <c r="G104" s="4301"/>
      <c r="H104" s="4301"/>
      <c r="I104" s="4301"/>
      <c r="J104" s="2686"/>
      <c r="K104" s="2686"/>
      <c r="L104" s="2686"/>
    </row>
    <row r="105" spans="1:23" s="1259" customFormat="1" ht="13.5" customHeight="1">
      <c r="A105" s="4299"/>
      <c r="B105" s="4299"/>
      <c r="C105" s="4299"/>
      <c r="D105" s="4299"/>
      <c r="E105" s="4299"/>
      <c r="F105" s="4299"/>
      <c r="G105" s="4299"/>
      <c r="H105" s="4299"/>
      <c r="I105" s="4299"/>
      <c r="J105" s="4299"/>
      <c r="K105" s="4299"/>
      <c r="L105" s="4299"/>
      <c r="M105" s="4299"/>
      <c r="N105" s="4299"/>
      <c r="O105" s="4299"/>
    </row>
    <row r="106" spans="1:23" s="1260" customFormat="1" ht="12.75" hidden="1" customHeight="1" thickBot="1">
      <c r="A106" s="2624"/>
      <c r="E106" s="1261"/>
      <c r="F106" s="2936"/>
      <c r="G106" s="2936"/>
      <c r="H106" s="2936"/>
      <c r="I106" s="2936"/>
      <c r="J106" s="2936"/>
      <c r="K106" s="2936"/>
      <c r="L106" s="2936"/>
      <c r="M106" s="2936"/>
      <c r="N106" s="2936"/>
      <c r="O106" s="3000"/>
    </row>
    <row r="107" spans="1:23" s="315" customFormat="1" ht="10.5" hidden="1" customHeight="1" thickBot="1">
      <c r="A107" s="2465"/>
      <c r="B107" s="2936"/>
      <c r="C107" s="2938"/>
      <c r="D107" s="2938"/>
      <c r="E107" s="2936"/>
      <c r="F107" s="2936"/>
      <c r="G107" s="2936"/>
      <c r="H107" s="2936"/>
      <c r="I107" s="2936"/>
      <c r="J107" s="2936"/>
      <c r="K107" s="2936"/>
      <c r="L107" s="2936"/>
      <c r="M107" s="2936"/>
      <c r="N107" s="2936"/>
      <c r="O107" s="3001"/>
    </row>
    <row r="108" spans="1:23" s="1259" customFormat="1" ht="15.75" hidden="1" customHeight="1" thickBot="1">
      <c r="A108" s="2488"/>
      <c r="B108" s="2936"/>
      <c r="C108" s="2936"/>
      <c r="D108" s="2936"/>
      <c r="E108" s="2936"/>
      <c r="F108" s="3002">
        <v>2017</v>
      </c>
      <c r="G108" s="3002">
        <v>2018</v>
      </c>
      <c r="H108" s="3002">
        <v>2019</v>
      </c>
      <c r="I108" s="3002">
        <v>2020</v>
      </c>
      <c r="J108" s="3002">
        <v>2021</v>
      </c>
      <c r="K108" s="3002">
        <v>2022</v>
      </c>
      <c r="L108" s="3002">
        <v>2023</v>
      </c>
      <c r="M108" s="3002">
        <v>2024</v>
      </c>
      <c r="N108" s="3003">
        <v>2024</v>
      </c>
      <c r="O108" s="3004">
        <v>2025</v>
      </c>
      <c r="P108" s="3002">
        <v>2026</v>
      </c>
      <c r="Q108" s="3002">
        <v>2027</v>
      </c>
      <c r="R108" s="1262">
        <v>2028</v>
      </c>
      <c r="S108" s="1262">
        <v>2029</v>
      </c>
      <c r="T108" s="1262">
        <v>2030</v>
      </c>
      <c r="U108" s="1262">
        <v>2031</v>
      </c>
      <c r="V108" s="1262">
        <v>2032</v>
      </c>
    </row>
    <row r="109" spans="1:23" s="1259" customFormat="1" ht="15.75" hidden="1" customHeight="1" thickBot="1">
      <c r="A109" s="2465"/>
      <c r="B109" s="1263" t="s">
        <v>200</v>
      </c>
      <c r="C109" s="1263"/>
      <c r="D109" s="1264"/>
      <c r="E109" s="1263"/>
      <c r="F109" s="1265">
        <f>+F87+F92+F97</f>
        <v>0</v>
      </c>
      <c r="G109" s="1265">
        <f>+G87+G92+G97</f>
        <v>2354619</v>
      </c>
      <c r="H109" s="1265">
        <f>+H87+H92+H97</f>
        <v>5147017</v>
      </c>
      <c r="I109" s="1265">
        <f>+I87+I92+I97</f>
        <v>5147017</v>
      </c>
      <c r="J109" s="1265">
        <f>+J87+J92+J97</f>
        <v>5147017</v>
      </c>
      <c r="K109" s="1265">
        <f t="shared" ref="K109" si="74">+K87+K92+K97</f>
        <v>5007017</v>
      </c>
      <c r="L109" s="1265">
        <f>+L87+L92+L97</f>
        <v>4067017</v>
      </c>
      <c r="M109" s="1265"/>
      <c r="N109" s="2516">
        <f>4145973-78956</f>
        <v>4067017</v>
      </c>
      <c r="O109" s="2527">
        <f>4145973-78956</f>
        <v>4067017</v>
      </c>
      <c r="P109" s="1265">
        <f>4145973-78956</f>
        <v>4067017</v>
      </c>
      <c r="Q109" s="1265">
        <f>4145973-78956</f>
        <v>4067017</v>
      </c>
      <c r="R109" s="1265">
        <f>4029310-78956</f>
        <v>3950354</v>
      </c>
      <c r="S109" s="1265">
        <f>3912640-78956</f>
        <v>3833684</v>
      </c>
      <c r="T109" s="1265">
        <f>3912640-78956</f>
        <v>3833684</v>
      </c>
      <c r="U109" s="1265">
        <f>3912640-78956</f>
        <v>3833684</v>
      </c>
      <c r="V109" s="1265">
        <v>1916851</v>
      </c>
      <c r="W109" s="1265">
        <f>+N87+N92+N97</f>
        <v>60506029</v>
      </c>
    </row>
    <row r="110" spans="1:23" s="1259" customFormat="1" ht="15.75" hidden="1" customHeight="1" thickBot="1">
      <c r="A110" s="2465"/>
      <c r="B110" s="2936"/>
      <c r="C110" s="2936"/>
      <c r="D110" s="2938"/>
      <c r="E110" s="2936"/>
      <c r="F110" s="2936"/>
      <c r="G110" s="2936"/>
      <c r="H110" s="2936"/>
      <c r="I110" s="2936"/>
      <c r="J110" s="2936"/>
      <c r="K110" s="2936"/>
      <c r="L110" s="2936"/>
      <c r="M110" s="2936"/>
      <c r="N110" s="2936"/>
      <c r="O110" s="3001"/>
      <c r="V110" s="1266">
        <f>SUM(F109:V109)</f>
        <v>60506029</v>
      </c>
    </row>
    <row r="111" spans="1:23" s="1259" customFormat="1" ht="12" hidden="1" customHeight="1" thickBot="1">
      <c r="A111" s="2465"/>
      <c r="B111" s="2936"/>
      <c r="C111" s="2936"/>
      <c r="D111" s="2938"/>
      <c r="E111" s="2936"/>
      <c r="F111" s="2936"/>
      <c r="G111" s="2936"/>
      <c r="H111" s="2936"/>
      <c r="I111" s="2936"/>
      <c r="J111" s="2936"/>
      <c r="K111" s="2936"/>
      <c r="L111" s="2936"/>
      <c r="M111" s="2936"/>
      <c r="N111" s="2936"/>
      <c r="O111" s="3001"/>
      <c r="R111" s="1266"/>
      <c r="V111" s="1266"/>
    </row>
    <row r="112" spans="1:23" s="1267" customFormat="1" ht="22.5" hidden="1" customHeight="1" thickBot="1">
      <c r="A112" s="2465"/>
      <c r="B112" s="2956" t="s">
        <v>338</v>
      </c>
      <c r="C112" s="2955"/>
      <c r="D112" s="2955"/>
      <c r="E112" s="2955"/>
      <c r="F112" s="2955"/>
      <c r="G112" s="2955"/>
      <c r="H112" s="2955"/>
      <c r="I112" s="2955"/>
      <c r="J112" s="2955"/>
      <c r="K112" s="2955"/>
      <c r="L112" s="2955"/>
      <c r="M112" s="2936"/>
      <c r="N112" s="2936"/>
      <c r="O112" s="3001"/>
      <c r="V112" s="1268">
        <f>+V110-W109</f>
        <v>0</v>
      </c>
    </row>
    <row r="113" spans="1:15" s="315" customFormat="1" ht="12.75" hidden="1" customHeight="1" thickBot="1">
      <c r="A113" s="2465"/>
      <c r="B113" s="2956" t="s">
        <v>339</v>
      </c>
      <c r="C113" s="2955"/>
      <c r="D113" s="2889">
        <f>D41</f>
        <v>1203025</v>
      </c>
      <c r="E113" s="2889">
        <f t="shared" ref="E113:L113" si="75">E41</f>
        <v>0</v>
      </c>
      <c r="F113" s="2889">
        <f t="shared" si="75"/>
        <v>0</v>
      </c>
      <c r="G113" s="2889">
        <f t="shared" si="75"/>
        <v>180114</v>
      </c>
      <c r="H113" s="2889">
        <f t="shared" si="75"/>
        <v>488417</v>
      </c>
      <c r="I113" s="2889">
        <f t="shared" si="75"/>
        <v>466347</v>
      </c>
      <c r="J113" s="2889">
        <f t="shared" si="75"/>
        <v>68147</v>
      </c>
      <c r="K113" s="2889">
        <f t="shared" si="75"/>
        <v>0</v>
      </c>
      <c r="L113" s="2889">
        <f t="shared" si="75"/>
        <v>0</v>
      </c>
      <c r="M113" s="2936"/>
      <c r="N113" s="2936"/>
      <c r="O113" s="3001"/>
    </row>
    <row r="114" spans="1:15" s="315" customFormat="1" ht="12.75" hidden="1" customHeight="1">
      <c r="A114" s="2489"/>
      <c r="B114" s="2956" t="s">
        <v>340</v>
      </c>
      <c r="C114" s="2955"/>
      <c r="D114" s="2889">
        <f>D29</f>
        <v>36789795</v>
      </c>
      <c r="E114" s="2889">
        <f t="shared" ref="E114:L114" si="76">E29</f>
        <v>0</v>
      </c>
      <c r="F114" s="2889">
        <f t="shared" si="76"/>
        <v>0</v>
      </c>
      <c r="G114" s="2889">
        <f t="shared" si="76"/>
        <v>5508086</v>
      </c>
      <c r="H114" s="2889">
        <f>H29</f>
        <v>14936317</v>
      </c>
      <c r="I114" s="2889">
        <f t="shared" si="76"/>
        <v>14261379</v>
      </c>
      <c r="J114" s="2889">
        <f t="shared" si="76"/>
        <v>2084013</v>
      </c>
      <c r="K114" s="2889">
        <f t="shared" si="76"/>
        <v>0</v>
      </c>
      <c r="L114" s="2889">
        <f t="shared" si="76"/>
        <v>0</v>
      </c>
      <c r="M114" s="2936"/>
      <c r="N114" s="2936"/>
      <c r="O114" s="3005"/>
    </row>
    <row r="115" spans="1:15" s="315" customFormat="1" hidden="1">
      <c r="A115" s="284"/>
      <c r="B115" s="2956" t="s">
        <v>341</v>
      </c>
      <c r="C115" s="2955"/>
      <c r="D115" s="1873">
        <f>D113+D114</f>
        <v>37992820</v>
      </c>
      <c r="E115" s="1873">
        <f t="shared" ref="E115:L115" si="77">E113+E114</f>
        <v>0</v>
      </c>
      <c r="F115" s="1873">
        <f t="shared" si="77"/>
        <v>0</v>
      </c>
      <c r="G115" s="1873">
        <f t="shared" si="77"/>
        <v>5688200</v>
      </c>
      <c r="H115" s="1873">
        <f t="shared" si="77"/>
        <v>15424734</v>
      </c>
      <c r="I115" s="1873">
        <f t="shared" si="77"/>
        <v>14727726</v>
      </c>
      <c r="J115" s="1873">
        <f t="shared" si="77"/>
        <v>2152160</v>
      </c>
      <c r="K115" s="1873">
        <f t="shared" si="77"/>
        <v>0</v>
      </c>
      <c r="L115" s="1873">
        <f t="shared" si="77"/>
        <v>0</v>
      </c>
      <c r="M115" s="2936"/>
      <c r="N115" s="2936"/>
      <c r="O115" s="2937"/>
    </row>
    <row r="116" spans="1:15" s="1267" customFormat="1" ht="14.25" hidden="1" customHeight="1">
      <c r="A116" s="284"/>
      <c r="B116" s="1591" t="s">
        <v>41</v>
      </c>
      <c r="C116" s="1592"/>
      <c r="D116" s="1874">
        <f>D115-D16</f>
        <v>0</v>
      </c>
      <c r="E116" s="1874">
        <f t="shared" ref="E116:L116" si="78">E115-E16</f>
        <v>0</v>
      </c>
      <c r="F116" s="1874">
        <f t="shared" si="78"/>
        <v>0</v>
      </c>
      <c r="G116" s="1874">
        <f t="shared" si="78"/>
        <v>0</v>
      </c>
      <c r="H116" s="1874">
        <f t="shared" si="78"/>
        <v>0</v>
      </c>
      <c r="I116" s="1874">
        <f t="shared" si="78"/>
        <v>0</v>
      </c>
      <c r="J116" s="1874">
        <f t="shared" si="78"/>
        <v>0</v>
      </c>
      <c r="K116" s="1874">
        <f t="shared" si="78"/>
        <v>0</v>
      </c>
      <c r="L116" s="1874">
        <f t="shared" si="78"/>
        <v>0</v>
      </c>
      <c r="M116" s="2936"/>
      <c r="N116" s="2936"/>
      <c r="O116" s="2937"/>
    </row>
    <row r="117" spans="1:15" s="315" customFormat="1" ht="12.75" hidden="1" customHeight="1">
      <c r="A117" s="284"/>
      <c r="B117" s="2936"/>
      <c r="C117" s="2936"/>
      <c r="D117" s="2936"/>
      <c r="E117" s="2936"/>
      <c r="F117" s="2936"/>
      <c r="G117" s="2936"/>
      <c r="H117" s="2936"/>
      <c r="I117" s="2936"/>
      <c r="J117" s="2936"/>
      <c r="K117" s="2936"/>
      <c r="L117" s="2936"/>
      <c r="M117" s="2936"/>
      <c r="N117" s="2936"/>
      <c r="O117" s="2937"/>
    </row>
    <row r="118" spans="1:15" s="315" customFormat="1" ht="12.75" hidden="1" customHeight="1">
      <c r="A118" s="284"/>
      <c r="B118" s="2936"/>
      <c r="C118" s="2936"/>
      <c r="D118" s="2936"/>
      <c r="E118" s="2936"/>
      <c r="F118" s="2936"/>
      <c r="G118" s="2936"/>
      <c r="H118" s="2936"/>
      <c r="I118" s="2936"/>
      <c r="J118" s="2936"/>
      <c r="K118" s="2936"/>
      <c r="L118" s="2936"/>
      <c r="M118" s="2936"/>
      <c r="N118" s="2936"/>
      <c r="O118" s="2937"/>
    </row>
    <row r="119" spans="1:15" s="315" customFormat="1" hidden="1">
      <c r="A119" s="284"/>
      <c r="B119" s="2936"/>
      <c r="C119" s="2936"/>
      <c r="D119" s="2936"/>
      <c r="E119" s="2936"/>
      <c r="F119" s="2936"/>
      <c r="G119" s="2936"/>
      <c r="H119" s="2936"/>
      <c r="I119" s="2936"/>
      <c r="J119" s="2936"/>
      <c r="K119" s="2936"/>
      <c r="L119" s="2936"/>
      <c r="M119" s="2936"/>
      <c r="N119" s="2936"/>
      <c r="O119" s="2937"/>
    </row>
    <row r="120" spans="1:15" s="315" customFormat="1" hidden="1">
      <c r="A120" s="284"/>
      <c r="B120" s="2936"/>
      <c r="C120" s="2936"/>
      <c r="D120" s="2936"/>
      <c r="E120" s="2936"/>
      <c r="F120" s="2936"/>
      <c r="G120" s="2936"/>
      <c r="H120" s="2936"/>
      <c r="I120" s="2936"/>
      <c r="J120" s="2936"/>
      <c r="K120" s="2936"/>
      <c r="L120" s="2936"/>
      <c r="M120" s="2936"/>
      <c r="N120" s="2936"/>
      <c r="O120" s="2937"/>
    </row>
    <row r="121" spans="1:15" s="1267" customFormat="1" ht="33.75" hidden="1" customHeight="1">
      <c r="A121" s="284"/>
      <c r="B121" s="2936"/>
      <c r="C121" s="2936"/>
      <c r="D121" s="2936"/>
      <c r="E121" s="2936"/>
      <c r="F121" s="2936"/>
      <c r="G121" s="2936"/>
      <c r="H121" s="2936"/>
      <c r="I121" s="2936"/>
      <c r="J121" s="2936"/>
      <c r="K121" s="2936"/>
      <c r="L121" s="2936"/>
      <c r="M121" s="2936"/>
      <c r="N121" s="2936"/>
      <c r="O121" s="2937"/>
    </row>
    <row r="122" spans="1:15" s="315" customFormat="1" ht="12.75" hidden="1" customHeight="1">
      <c r="A122" s="284"/>
      <c r="B122" s="2936"/>
      <c r="C122" s="2936"/>
      <c r="D122" s="2936"/>
      <c r="E122" s="2936"/>
      <c r="F122" s="2936"/>
      <c r="G122" s="2936"/>
      <c r="H122" s="2936"/>
      <c r="I122" s="2936"/>
      <c r="J122" s="2936"/>
      <c r="K122" s="2936"/>
      <c r="L122" s="2936"/>
      <c r="M122" s="2936"/>
      <c r="N122" s="2936"/>
      <c r="O122" s="2937"/>
    </row>
    <row r="123" spans="1:15" s="315" customFormat="1" ht="12.75" hidden="1" customHeight="1">
      <c r="A123" s="284"/>
      <c r="B123" s="2936"/>
      <c r="C123" s="2936"/>
      <c r="D123" s="2936"/>
      <c r="E123" s="2936"/>
      <c r="F123" s="2936"/>
      <c r="G123" s="2936"/>
      <c r="H123" s="2936"/>
      <c r="I123" s="2936"/>
      <c r="J123" s="2936"/>
      <c r="K123" s="2936"/>
      <c r="L123" s="2936"/>
      <c r="M123" s="2936"/>
      <c r="N123" s="2936"/>
      <c r="O123" s="2937"/>
    </row>
    <row r="124" spans="1:15" s="315" customFormat="1" ht="12.75" customHeight="1">
      <c r="A124" s="284"/>
      <c r="B124" s="2936"/>
      <c r="C124" s="2936"/>
      <c r="D124" s="2936"/>
      <c r="E124" s="2936"/>
      <c r="F124" s="2936"/>
      <c r="G124" s="2936"/>
      <c r="H124" s="2936"/>
      <c r="I124" s="2936"/>
      <c r="J124" s="2936"/>
      <c r="K124" s="2936"/>
      <c r="L124" s="2936"/>
      <c r="M124" s="2936"/>
      <c r="N124" s="2936"/>
      <c r="O124" s="2937"/>
    </row>
    <row r="125" spans="1:15" s="315" customFormat="1" ht="12.75" customHeight="1">
      <c r="A125" s="284"/>
      <c r="B125" s="2936"/>
      <c r="C125" s="2936"/>
      <c r="D125" s="2936"/>
      <c r="E125" s="2936"/>
      <c r="F125" s="2936"/>
      <c r="G125" s="2936"/>
      <c r="H125" s="2936"/>
      <c r="I125" s="2936"/>
      <c r="J125" s="2936"/>
      <c r="K125" s="2936"/>
      <c r="L125" s="2936"/>
      <c r="M125" s="2936"/>
      <c r="N125" s="2936"/>
      <c r="O125" s="2937"/>
    </row>
    <row r="126" spans="1:15" s="315" customFormat="1">
      <c r="A126" s="284"/>
      <c r="B126" s="2936"/>
      <c r="C126" s="2936"/>
      <c r="D126" s="2936"/>
      <c r="E126" s="2936"/>
      <c r="F126" s="2936"/>
      <c r="G126" s="2936"/>
      <c r="H126" s="2936"/>
      <c r="I126" s="2936"/>
      <c r="J126" s="2936"/>
      <c r="K126" s="2936"/>
      <c r="L126" s="2936"/>
      <c r="M126" s="2936"/>
      <c r="N126" s="2936"/>
      <c r="O126" s="2937"/>
    </row>
    <row r="127" spans="1:15" s="1267" customFormat="1" ht="12" customHeight="1">
      <c r="A127" s="284"/>
      <c r="B127" s="2936"/>
      <c r="C127" s="2936"/>
      <c r="D127" s="2936"/>
      <c r="E127" s="2936"/>
      <c r="F127" s="2936"/>
      <c r="G127" s="2936"/>
      <c r="H127" s="2936"/>
      <c r="I127" s="2936"/>
      <c r="J127" s="2936"/>
      <c r="K127" s="2936"/>
      <c r="L127" s="2936"/>
      <c r="M127" s="2936"/>
      <c r="N127" s="2936"/>
      <c r="O127" s="2937"/>
    </row>
    <row r="128" spans="1:15" s="315" customFormat="1" ht="12.75" customHeight="1">
      <c r="A128" s="284"/>
      <c r="B128" s="2936"/>
      <c r="C128" s="2936"/>
      <c r="D128" s="2936"/>
      <c r="E128" s="2936"/>
      <c r="F128" s="2936"/>
      <c r="G128" s="2936"/>
      <c r="H128" s="2936"/>
      <c r="I128" s="2936"/>
      <c r="J128" s="2936"/>
      <c r="K128" s="2936"/>
      <c r="L128" s="2936"/>
      <c r="M128" s="2936"/>
      <c r="N128" s="2936"/>
      <c r="O128" s="2937"/>
    </row>
    <row r="129" spans="1:15" s="315" customFormat="1" ht="12.75" customHeight="1">
      <c r="A129" s="284"/>
      <c r="B129" s="2936"/>
      <c r="C129" s="2936"/>
      <c r="D129" s="2936"/>
      <c r="E129" s="2936"/>
      <c r="F129" s="2936"/>
      <c r="G129" s="2936"/>
      <c r="H129" s="2936"/>
      <c r="I129" s="2936"/>
      <c r="J129" s="2936"/>
      <c r="K129" s="2936"/>
      <c r="L129" s="2936"/>
      <c r="M129" s="2936"/>
      <c r="N129" s="2936"/>
      <c r="O129" s="2937"/>
    </row>
    <row r="130" spans="1:15" s="315" customFormat="1">
      <c r="A130" s="284"/>
      <c r="B130" s="2936"/>
      <c r="C130" s="2936"/>
      <c r="D130" s="2936"/>
      <c r="E130" s="2936"/>
      <c r="F130" s="2936"/>
      <c r="G130" s="2936"/>
      <c r="H130" s="2936"/>
      <c r="I130" s="2936"/>
      <c r="J130" s="2936"/>
      <c r="K130" s="2936"/>
      <c r="L130" s="2936"/>
      <c r="M130" s="2936"/>
      <c r="N130" s="2936"/>
      <c r="O130" s="2937"/>
    </row>
    <row r="131" spans="1:15" s="315" customFormat="1">
      <c r="A131" s="284"/>
      <c r="B131" s="2936"/>
      <c r="C131" s="2936"/>
      <c r="D131" s="2936"/>
      <c r="E131" s="2936"/>
      <c r="F131" s="2936"/>
      <c r="G131" s="2936"/>
      <c r="H131" s="2936"/>
      <c r="I131" s="2936"/>
      <c r="J131" s="2936"/>
      <c r="K131" s="2936"/>
      <c r="L131" s="2936"/>
      <c r="M131" s="2936"/>
      <c r="N131" s="2936"/>
      <c r="O131" s="2937"/>
    </row>
    <row r="132" spans="1:15" s="1267" customFormat="1" ht="22.5" customHeight="1">
      <c r="A132" s="284"/>
      <c r="B132" s="2936"/>
      <c r="C132" s="2936"/>
      <c r="D132" s="2936"/>
      <c r="E132" s="2936"/>
      <c r="F132" s="2936"/>
      <c r="G132" s="2936"/>
      <c r="H132" s="2936"/>
      <c r="I132" s="2936"/>
      <c r="J132" s="2936"/>
      <c r="K132" s="2936"/>
      <c r="L132" s="2936"/>
      <c r="M132" s="2936"/>
      <c r="N132" s="2936"/>
      <c r="O132" s="2937"/>
    </row>
    <row r="133" spans="1:15" s="315" customFormat="1" ht="12.75" customHeight="1">
      <c r="A133" s="284"/>
      <c r="B133" s="2936"/>
      <c r="C133" s="2936"/>
      <c r="D133" s="2936"/>
      <c r="E133" s="2936"/>
      <c r="F133" s="2936"/>
      <c r="G133" s="2936"/>
      <c r="H133" s="2936"/>
      <c r="I133" s="2936"/>
      <c r="J133" s="2936"/>
      <c r="K133" s="2936"/>
      <c r="L133" s="2936"/>
      <c r="M133" s="2936"/>
      <c r="N133" s="2936"/>
      <c r="O133" s="2937"/>
    </row>
    <row r="134" spans="1:15" s="315" customFormat="1" ht="12.75" customHeight="1">
      <c r="A134" s="284"/>
      <c r="B134" s="2936"/>
      <c r="C134" s="2936"/>
      <c r="D134" s="2936"/>
      <c r="E134" s="2936"/>
      <c r="F134" s="2936"/>
      <c r="G134" s="2936"/>
      <c r="H134" s="2936"/>
      <c r="I134" s="2936"/>
      <c r="J134" s="2936"/>
      <c r="K134" s="2936"/>
      <c r="L134" s="2936"/>
      <c r="M134" s="2936"/>
      <c r="N134" s="2936"/>
      <c r="O134" s="2937"/>
    </row>
    <row r="135" spans="1:15" s="315" customFormat="1">
      <c r="A135" s="284"/>
      <c r="B135" s="2936"/>
      <c r="C135" s="2936"/>
      <c r="D135" s="2936"/>
      <c r="E135" s="2936"/>
      <c r="F135" s="2936"/>
      <c r="G135" s="2936"/>
      <c r="H135" s="2936"/>
      <c r="I135" s="2936"/>
      <c r="J135" s="2936"/>
      <c r="K135" s="2936"/>
      <c r="L135" s="2936"/>
      <c r="M135" s="2936"/>
      <c r="N135" s="2936"/>
      <c r="O135" s="2937"/>
    </row>
    <row r="136" spans="1:15" s="315" customFormat="1">
      <c r="A136" s="284"/>
      <c r="B136" s="2936"/>
      <c r="C136" s="2936"/>
      <c r="D136" s="2936"/>
      <c r="E136" s="2936"/>
      <c r="F136" s="2936"/>
      <c r="G136" s="2936"/>
      <c r="H136" s="2936"/>
      <c r="I136" s="2936"/>
      <c r="J136" s="2936"/>
      <c r="K136" s="2936"/>
      <c r="L136" s="2936"/>
      <c r="M136" s="2936"/>
      <c r="N136" s="2936"/>
      <c r="O136" s="2937"/>
    </row>
    <row r="137" spans="1:15" s="1267" customFormat="1" ht="15" customHeight="1">
      <c r="A137" s="284"/>
      <c r="B137" s="2936"/>
      <c r="C137" s="2936"/>
      <c r="D137" s="2936"/>
      <c r="E137" s="2936"/>
      <c r="F137" s="2936"/>
      <c r="G137" s="2936"/>
      <c r="H137" s="2936"/>
      <c r="I137" s="2936"/>
      <c r="J137" s="2936"/>
      <c r="K137" s="2936"/>
      <c r="L137" s="2936"/>
      <c r="M137" s="2936"/>
      <c r="N137" s="2936"/>
      <c r="O137" s="2937"/>
    </row>
    <row r="138" spans="1:15" s="315" customFormat="1" ht="12.75" customHeight="1">
      <c r="A138" s="284"/>
      <c r="B138" s="2936"/>
      <c r="C138" s="2936"/>
      <c r="D138" s="2936"/>
      <c r="E138" s="2936"/>
      <c r="F138" s="2936"/>
      <c r="G138" s="2936"/>
      <c r="H138" s="2936"/>
      <c r="I138" s="2936"/>
      <c r="J138" s="2936"/>
      <c r="K138" s="2936"/>
      <c r="L138" s="2936"/>
      <c r="M138" s="2936"/>
      <c r="N138" s="2936"/>
      <c r="O138" s="2937"/>
    </row>
    <row r="139" spans="1:15" s="315" customFormat="1" ht="12.75" customHeight="1">
      <c r="A139" s="284"/>
      <c r="B139" s="2936"/>
      <c r="C139" s="2936"/>
      <c r="D139" s="2936"/>
      <c r="E139" s="2936"/>
      <c r="F139" s="2936"/>
      <c r="G139" s="2936"/>
      <c r="H139" s="2936"/>
      <c r="I139" s="2936"/>
      <c r="J139" s="2936"/>
      <c r="K139" s="2936"/>
      <c r="L139" s="2936"/>
      <c r="M139" s="2936"/>
      <c r="N139" s="2936"/>
      <c r="O139" s="2937"/>
    </row>
    <row r="140" spans="1:15" s="315" customFormat="1">
      <c r="A140" s="284"/>
      <c r="B140" s="2936"/>
      <c r="C140" s="2936"/>
      <c r="D140" s="2936"/>
      <c r="E140" s="2936"/>
      <c r="F140" s="2936"/>
      <c r="G140" s="2936"/>
      <c r="H140" s="2936"/>
      <c r="I140" s="2936"/>
      <c r="J140" s="2936"/>
      <c r="K140" s="2936"/>
      <c r="L140" s="2936"/>
      <c r="M140" s="2936"/>
      <c r="N140" s="2936"/>
      <c r="O140" s="2937"/>
    </row>
    <row r="141" spans="1:15" s="315" customFormat="1">
      <c r="A141" s="284"/>
      <c r="B141" s="2936"/>
      <c r="C141" s="2936"/>
      <c r="D141" s="2936"/>
      <c r="E141" s="2936"/>
      <c r="F141" s="2936"/>
      <c r="G141" s="2936"/>
      <c r="H141" s="2936"/>
      <c r="I141" s="2936"/>
      <c r="J141" s="2936"/>
      <c r="K141" s="2936"/>
      <c r="L141" s="2936"/>
      <c r="M141" s="2936"/>
      <c r="N141" s="2936"/>
      <c r="O141" s="2937"/>
    </row>
    <row r="142" spans="1:15" s="1267" customFormat="1" ht="13.5" customHeight="1">
      <c r="A142" s="284"/>
      <c r="B142" s="2936"/>
      <c r="C142" s="2936"/>
      <c r="D142" s="2936"/>
      <c r="E142" s="2936"/>
      <c r="F142" s="2936"/>
      <c r="G142" s="2936"/>
      <c r="H142" s="2936"/>
      <c r="I142" s="2936"/>
      <c r="J142" s="2936"/>
      <c r="K142" s="2936"/>
      <c r="L142" s="2936"/>
      <c r="M142" s="2936"/>
      <c r="N142" s="2936"/>
      <c r="O142" s="2937"/>
    </row>
    <row r="143" spans="1:15" s="315" customFormat="1" ht="12.75" customHeight="1">
      <c r="A143" s="284"/>
      <c r="B143" s="2936"/>
      <c r="C143" s="2936"/>
      <c r="D143" s="2936"/>
      <c r="E143" s="2936"/>
      <c r="F143" s="2936"/>
      <c r="G143" s="2936"/>
      <c r="H143" s="2936"/>
      <c r="I143" s="2936"/>
      <c r="J143" s="2936"/>
      <c r="K143" s="2936"/>
      <c r="L143" s="2936"/>
      <c r="M143" s="2936"/>
      <c r="N143" s="2936"/>
      <c r="O143" s="2937"/>
    </row>
    <row r="144" spans="1:15" s="315" customFormat="1" ht="12.75" customHeight="1">
      <c r="A144" s="284"/>
      <c r="B144" s="2936"/>
      <c r="C144" s="2936"/>
      <c r="D144" s="2936"/>
      <c r="E144" s="2936"/>
      <c r="F144" s="2936"/>
      <c r="G144" s="2936"/>
      <c r="H144" s="2936"/>
      <c r="I144" s="2936"/>
      <c r="J144" s="2936"/>
      <c r="K144" s="2936"/>
      <c r="L144" s="2936"/>
      <c r="M144" s="2936"/>
      <c r="N144" s="2936"/>
      <c r="O144" s="2937"/>
    </row>
    <row r="145" spans="1:15" s="315" customFormat="1">
      <c r="A145" s="284"/>
      <c r="B145" s="2936"/>
      <c r="C145" s="2936"/>
      <c r="D145" s="2936"/>
      <c r="E145" s="2936"/>
      <c r="F145" s="2936"/>
      <c r="G145" s="2936"/>
      <c r="H145" s="2936"/>
      <c r="I145" s="2936"/>
      <c r="J145" s="2936"/>
      <c r="K145" s="2936"/>
      <c r="L145" s="2936"/>
      <c r="M145" s="2936"/>
      <c r="N145" s="2936"/>
      <c r="O145" s="2937"/>
    </row>
    <row r="146" spans="1:15" s="315" customFormat="1">
      <c r="A146" s="284"/>
      <c r="B146" s="2936"/>
      <c r="C146" s="2936"/>
      <c r="D146" s="2936"/>
      <c r="E146" s="2936"/>
      <c r="F146" s="2936"/>
      <c r="G146" s="2936"/>
      <c r="H146" s="2936"/>
      <c r="I146" s="2936"/>
      <c r="J146" s="2936"/>
      <c r="K146" s="2936"/>
      <c r="L146" s="2936"/>
      <c r="M146" s="2936"/>
      <c r="N146" s="2936"/>
      <c r="O146" s="2937"/>
    </row>
    <row r="147" spans="1:15" s="315" customFormat="1">
      <c r="A147" s="284"/>
      <c r="B147" s="2936"/>
      <c r="C147" s="2936"/>
      <c r="D147" s="2936"/>
      <c r="E147" s="2936"/>
      <c r="F147" s="2936"/>
      <c r="G147" s="2936"/>
      <c r="H147" s="2936"/>
      <c r="I147" s="2936"/>
      <c r="J147" s="2936"/>
      <c r="K147" s="2936"/>
      <c r="L147" s="2936"/>
      <c r="M147" s="2936"/>
      <c r="N147" s="2936"/>
      <c r="O147" s="2937"/>
    </row>
    <row r="148" spans="1:15" s="1267" customFormat="1" ht="22.5" customHeight="1">
      <c r="A148" s="284"/>
      <c r="B148" s="2936"/>
      <c r="C148" s="2936"/>
      <c r="D148" s="2936"/>
      <c r="E148" s="2936"/>
      <c r="F148" s="2936"/>
      <c r="G148" s="2936"/>
      <c r="H148" s="2936"/>
      <c r="I148" s="2936"/>
      <c r="J148" s="2936"/>
      <c r="K148" s="2936"/>
      <c r="L148" s="2936"/>
      <c r="M148" s="2936"/>
      <c r="N148" s="2936"/>
      <c r="O148" s="2937"/>
    </row>
    <row r="149" spans="1:15" s="315" customFormat="1" ht="12.75" customHeight="1">
      <c r="A149" s="284"/>
      <c r="B149" s="2936"/>
      <c r="C149" s="2936"/>
      <c r="D149" s="2936"/>
      <c r="E149" s="2936"/>
      <c r="F149" s="2936"/>
      <c r="G149" s="2936"/>
      <c r="H149" s="2936"/>
      <c r="I149" s="2936"/>
      <c r="J149" s="2936"/>
      <c r="K149" s="2936"/>
      <c r="L149" s="2936"/>
      <c r="M149" s="2936"/>
      <c r="N149" s="2936"/>
      <c r="O149" s="2937"/>
    </row>
    <row r="150" spans="1:15" s="315" customFormat="1" ht="12.75" customHeight="1">
      <c r="A150" s="284"/>
      <c r="B150" s="2936"/>
      <c r="C150" s="2936"/>
      <c r="D150" s="2936"/>
      <c r="E150" s="2936"/>
      <c r="F150" s="2936"/>
      <c r="G150" s="2936"/>
      <c r="H150" s="2936"/>
      <c r="I150" s="2936"/>
      <c r="J150" s="2936"/>
      <c r="K150" s="2936"/>
      <c r="L150" s="2936"/>
      <c r="M150" s="2936"/>
      <c r="N150" s="2936"/>
      <c r="O150" s="2937"/>
    </row>
    <row r="151" spans="1:15" s="315" customFormat="1">
      <c r="A151" s="284"/>
      <c r="B151" s="2936"/>
      <c r="C151" s="2936"/>
      <c r="D151" s="2936"/>
      <c r="E151" s="2936"/>
      <c r="F151" s="2936"/>
      <c r="G151" s="2936"/>
      <c r="H151" s="2936"/>
      <c r="I151" s="2936"/>
      <c r="J151" s="2936"/>
      <c r="K151" s="2936"/>
      <c r="L151" s="2936"/>
      <c r="M151" s="2936"/>
      <c r="N151" s="2936"/>
      <c r="O151" s="2937"/>
    </row>
    <row r="152" spans="1:15" s="315" customFormat="1">
      <c r="A152" s="284"/>
      <c r="B152" s="2936"/>
      <c r="C152" s="2936"/>
      <c r="D152" s="2936"/>
      <c r="E152" s="2936"/>
      <c r="F152" s="2936"/>
      <c r="G152" s="2936"/>
      <c r="H152" s="2936"/>
      <c r="I152" s="2936"/>
      <c r="J152" s="2936"/>
      <c r="K152" s="2936"/>
      <c r="L152" s="2936"/>
      <c r="M152" s="2936"/>
      <c r="N152" s="2936"/>
      <c r="O152" s="2937"/>
    </row>
    <row r="153" spans="1:15" s="1267" customFormat="1" ht="12.75" customHeight="1">
      <c r="A153" s="284"/>
      <c r="B153" s="2936"/>
      <c r="C153" s="2936"/>
      <c r="D153" s="2936"/>
      <c r="E153" s="2936"/>
      <c r="F153" s="2936"/>
      <c r="G153" s="2936"/>
      <c r="H153" s="2936"/>
      <c r="I153" s="2936"/>
      <c r="J153" s="2936"/>
      <c r="K153" s="2936"/>
      <c r="L153" s="2936"/>
      <c r="M153" s="2936"/>
      <c r="N153" s="2936"/>
      <c r="O153" s="2937"/>
    </row>
    <row r="154" spans="1:15" s="315" customFormat="1" ht="9.75" customHeight="1">
      <c r="A154" s="284"/>
      <c r="B154" s="2936"/>
      <c r="C154" s="2936"/>
      <c r="D154" s="2936"/>
      <c r="E154" s="2936"/>
      <c r="F154" s="2936"/>
      <c r="G154" s="2936"/>
      <c r="H154" s="2936"/>
      <c r="I154" s="2936"/>
      <c r="J154" s="2936"/>
      <c r="K154" s="2936"/>
      <c r="L154" s="2936"/>
      <c r="M154" s="2936"/>
      <c r="N154" s="2936"/>
      <c r="O154" s="2937"/>
    </row>
    <row r="155" spans="1:15" s="315" customFormat="1" ht="12.75" customHeight="1">
      <c r="A155" s="284"/>
      <c r="B155" s="2936"/>
      <c r="C155" s="2936"/>
      <c r="D155" s="2936"/>
      <c r="E155" s="2936"/>
      <c r="F155" s="2936"/>
      <c r="G155" s="2936"/>
      <c r="H155" s="2936"/>
      <c r="I155" s="2936"/>
      <c r="J155" s="2936"/>
      <c r="K155" s="2936"/>
      <c r="L155" s="2936"/>
      <c r="M155" s="2936"/>
      <c r="N155" s="2936"/>
      <c r="O155" s="2937"/>
    </row>
    <row r="156" spans="1:15" s="315" customFormat="1">
      <c r="A156" s="284"/>
      <c r="B156" s="2936"/>
      <c r="C156" s="2936"/>
      <c r="D156" s="2936"/>
      <c r="E156" s="2936"/>
      <c r="F156" s="2936"/>
      <c r="G156" s="2936"/>
      <c r="H156" s="2936"/>
      <c r="I156" s="2936"/>
      <c r="J156" s="2936"/>
      <c r="K156" s="2936"/>
      <c r="L156" s="2936"/>
      <c r="M156" s="2936"/>
      <c r="N156" s="2936"/>
      <c r="O156" s="2937"/>
    </row>
    <row r="157" spans="1:15" s="315" customFormat="1">
      <c r="A157" s="284"/>
      <c r="B157" s="2936"/>
      <c r="C157" s="2936"/>
      <c r="D157" s="2936"/>
      <c r="E157" s="2936"/>
      <c r="F157" s="2936"/>
      <c r="G157" s="2936"/>
      <c r="H157" s="2936"/>
      <c r="I157" s="2936"/>
      <c r="J157" s="2936"/>
      <c r="K157" s="2936"/>
      <c r="L157" s="2936"/>
      <c r="M157" s="2936"/>
      <c r="N157" s="2936"/>
      <c r="O157" s="2937"/>
    </row>
    <row r="158" spans="1:15" s="1267" customFormat="1" ht="13.5" customHeight="1">
      <c r="A158" s="284"/>
      <c r="B158" s="2936"/>
      <c r="C158" s="2936"/>
      <c r="D158" s="2936"/>
      <c r="E158" s="2936"/>
      <c r="F158" s="2936"/>
      <c r="G158" s="2936"/>
      <c r="H158" s="2936"/>
      <c r="I158" s="2936"/>
      <c r="J158" s="2936"/>
      <c r="K158" s="2936"/>
      <c r="L158" s="2936"/>
      <c r="M158" s="2936"/>
      <c r="N158" s="2936"/>
      <c r="O158" s="2937"/>
    </row>
    <row r="159" spans="1:15" s="315" customFormat="1" ht="9.75" customHeight="1">
      <c r="A159" s="284"/>
      <c r="B159" s="2936"/>
      <c r="C159" s="2936"/>
      <c r="D159" s="2936"/>
      <c r="E159" s="2936"/>
      <c r="F159" s="2936"/>
      <c r="G159" s="2936"/>
      <c r="H159" s="2936"/>
      <c r="I159" s="2936"/>
      <c r="J159" s="2936"/>
      <c r="K159" s="2936"/>
      <c r="L159" s="2936"/>
      <c r="M159" s="2936"/>
      <c r="N159" s="2936"/>
      <c r="O159" s="2937"/>
    </row>
    <row r="160" spans="1:15" s="315" customFormat="1" ht="12.75" customHeight="1">
      <c r="A160" s="284"/>
      <c r="B160" s="2936"/>
      <c r="C160" s="2936"/>
      <c r="D160" s="2936"/>
      <c r="E160" s="2936"/>
      <c r="F160" s="2936"/>
      <c r="G160" s="2936"/>
      <c r="H160" s="2936"/>
      <c r="I160" s="2936"/>
      <c r="J160" s="2936"/>
      <c r="K160" s="2936"/>
      <c r="L160" s="2936"/>
      <c r="M160" s="2936"/>
      <c r="N160" s="2936"/>
      <c r="O160" s="2937"/>
    </row>
    <row r="161" spans="1:15" s="315" customFormat="1">
      <c r="A161" s="284"/>
      <c r="B161" s="2936"/>
      <c r="C161" s="2936"/>
      <c r="D161" s="2936"/>
      <c r="E161" s="2936"/>
      <c r="F161" s="2936"/>
      <c r="G161" s="2936"/>
      <c r="H161" s="2936"/>
      <c r="I161" s="2936"/>
      <c r="J161" s="2936"/>
      <c r="K161" s="2936"/>
      <c r="L161" s="2936"/>
      <c r="M161" s="2936"/>
      <c r="N161" s="2936"/>
      <c r="O161" s="2937"/>
    </row>
    <row r="162" spans="1:15" s="315" customFormat="1">
      <c r="A162" s="284"/>
      <c r="B162" s="2936"/>
      <c r="C162" s="2936"/>
      <c r="D162" s="2936"/>
      <c r="E162" s="2936"/>
      <c r="F162" s="2936"/>
      <c r="G162" s="2936"/>
      <c r="H162" s="2936"/>
      <c r="I162" s="2936"/>
      <c r="J162" s="2936"/>
      <c r="K162" s="2936"/>
      <c r="L162" s="2936"/>
      <c r="M162" s="2936"/>
      <c r="N162" s="2936"/>
      <c r="O162" s="2937"/>
    </row>
    <row r="163" spans="1:15" s="315" customFormat="1">
      <c r="A163" s="284"/>
      <c r="B163" s="2936"/>
      <c r="C163" s="2936"/>
      <c r="D163" s="2936"/>
      <c r="E163" s="2936"/>
      <c r="F163" s="2936"/>
      <c r="G163" s="2936"/>
      <c r="H163" s="2936"/>
      <c r="I163" s="2936"/>
      <c r="J163" s="2936"/>
      <c r="K163" s="2936"/>
      <c r="L163" s="2936"/>
      <c r="M163" s="2936"/>
      <c r="N163" s="2936"/>
      <c r="O163" s="2937"/>
    </row>
    <row r="164" spans="1:15" s="315" customFormat="1">
      <c r="A164" s="284"/>
      <c r="B164" s="2936"/>
      <c r="C164" s="2936"/>
      <c r="D164" s="2936"/>
      <c r="E164" s="2936"/>
      <c r="F164" s="2936"/>
      <c r="G164" s="2936"/>
      <c r="H164" s="2936"/>
      <c r="I164" s="2936"/>
      <c r="J164" s="2936"/>
      <c r="K164" s="2936"/>
      <c r="L164" s="2936"/>
      <c r="M164" s="2936"/>
      <c r="N164" s="2936"/>
      <c r="O164" s="2937"/>
    </row>
    <row r="165" spans="1:15" s="315" customFormat="1">
      <c r="A165" s="284"/>
      <c r="B165" s="2936"/>
      <c r="C165" s="2936"/>
      <c r="D165" s="2936"/>
      <c r="E165" s="2936"/>
      <c r="F165" s="2936"/>
      <c r="G165" s="2936"/>
      <c r="H165" s="2936"/>
      <c r="I165" s="2936"/>
      <c r="J165" s="2936"/>
      <c r="K165" s="2936"/>
      <c r="L165" s="2936"/>
      <c r="M165" s="2936"/>
      <c r="N165" s="2936"/>
      <c r="O165" s="2937"/>
    </row>
    <row r="166" spans="1:15" s="1267" customFormat="1" ht="22.5" customHeight="1">
      <c r="A166" s="284"/>
      <c r="B166" s="2936"/>
      <c r="C166" s="2936"/>
      <c r="D166" s="2936"/>
      <c r="E166" s="2936"/>
      <c r="F166" s="2936"/>
      <c r="G166" s="2936"/>
      <c r="H166" s="2936"/>
      <c r="I166" s="2936"/>
      <c r="J166" s="2936"/>
      <c r="K166" s="2936"/>
      <c r="L166" s="2936"/>
      <c r="M166" s="2936"/>
      <c r="N166" s="2936"/>
      <c r="O166" s="2937"/>
    </row>
    <row r="167" spans="1:15" s="315" customFormat="1" ht="12.75" customHeight="1">
      <c r="A167" s="284"/>
      <c r="B167" s="2936"/>
      <c r="C167" s="2936"/>
      <c r="D167" s="2936"/>
      <c r="E167" s="2936"/>
      <c r="F167" s="2936"/>
      <c r="G167" s="2936"/>
      <c r="H167" s="2936"/>
      <c r="I167" s="2936"/>
      <c r="J167" s="2936"/>
      <c r="K167" s="2936"/>
      <c r="L167" s="2936"/>
      <c r="M167" s="2936"/>
      <c r="N167" s="2936"/>
      <c r="O167" s="2937"/>
    </row>
    <row r="168" spans="1:15" s="315" customFormat="1" ht="12.75" customHeight="1">
      <c r="A168" s="284"/>
      <c r="B168" s="2936"/>
      <c r="C168" s="2936"/>
      <c r="D168" s="2936"/>
      <c r="E168" s="2936"/>
      <c r="F168" s="2936"/>
      <c r="G168" s="2936"/>
      <c r="H168" s="2936"/>
      <c r="I168" s="2936"/>
      <c r="J168" s="2936"/>
      <c r="K168" s="2936"/>
      <c r="L168" s="2936"/>
      <c r="M168" s="2936"/>
      <c r="N168" s="2936"/>
      <c r="O168" s="2937"/>
    </row>
    <row r="169" spans="1:15" s="315" customFormat="1" ht="13.5" thickBot="1">
      <c r="A169" s="2091"/>
      <c r="B169" s="2939"/>
      <c r="C169" s="2939"/>
      <c r="D169" s="2939"/>
      <c r="E169" s="2939"/>
      <c r="F169" s="2939"/>
      <c r="G169" s="2939"/>
      <c r="H169" s="2939"/>
      <c r="I169" s="2939"/>
      <c r="J169" s="2939"/>
      <c r="K169" s="2939"/>
      <c r="L169" s="2939"/>
      <c r="M169" s="2939"/>
      <c r="N169" s="2939"/>
      <c r="O169" s="2940"/>
    </row>
    <row r="170" spans="1:15" s="315" customFormat="1">
      <c r="A170" s="284"/>
      <c r="B170" s="2936"/>
      <c r="C170" s="2936"/>
      <c r="D170" s="2936"/>
      <c r="E170" s="2936"/>
      <c r="F170" s="2936"/>
      <c r="G170" s="2936"/>
      <c r="H170" s="2936"/>
      <c r="I170" s="2936"/>
      <c r="J170" s="2936"/>
      <c r="K170" s="2936"/>
      <c r="L170" s="2936"/>
      <c r="M170" s="2936"/>
      <c r="N170" s="2936"/>
      <c r="O170" s="2937"/>
    </row>
    <row r="171" spans="1:15" s="1267" customFormat="1" ht="34.5" customHeight="1">
      <c r="A171" s="284"/>
      <c r="B171" s="2936"/>
      <c r="C171" s="2936"/>
      <c r="D171" s="2936"/>
      <c r="E171" s="2936"/>
      <c r="F171" s="2936"/>
      <c r="G171" s="2936"/>
      <c r="H171" s="2936"/>
      <c r="I171" s="2936"/>
      <c r="J171" s="2936"/>
      <c r="K171" s="2936"/>
      <c r="L171" s="2936"/>
      <c r="M171" s="2936"/>
      <c r="N171" s="2936"/>
      <c r="O171" s="2937"/>
    </row>
    <row r="172" spans="1:15" s="315" customFormat="1" ht="14.25" customHeight="1">
      <c r="A172" s="284"/>
      <c r="B172" s="2936"/>
      <c r="C172" s="2936"/>
      <c r="D172" s="2936"/>
      <c r="E172" s="2936"/>
      <c r="F172" s="2936"/>
      <c r="G172" s="2936"/>
      <c r="H172" s="2936"/>
      <c r="I172" s="2936"/>
      <c r="J172" s="2936"/>
      <c r="K172" s="2936"/>
      <c r="L172" s="2936"/>
      <c r="M172" s="2936"/>
      <c r="N172" s="2936"/>
      <c r="O172" s="2937"/>
    </row>
    <row r="173" spans="1:15" s="315" customFormat="1" ht="12.75" customHeight="1">
      <c r="A173" s="284"/>
      <c r="B173" s="2936"/>
      <c r="C173" s="2936"/>
      <c r="D173" s="2936"/>
      <c r="E173" s="2936"/>
      <c r="F173" s="2936"/>
      <c r="G173" s="2936"/>
      <c r="H173" s="2936"/>
      <c r="I173" s="2936"/>
      <c r="J173" s="2936"/>
      <c r="K173" s="2936"/>
      <c r="L173" s="2936"/>
      <c r="M173" s="2936"/>
      <c r="N173" s="2936"/>
      <c r="O173" s="2937"/>
    </row>
    <row r="174" spans="1:15" s="315" customFormat="1">
      <c r="A174" s="284"/>
      <c r="B174" s="2936"/>
      <c r="C174" s="2936"/>
      <c r="D174" s="2936"/>
      <c r="E174" s="2936"/>
      <c r="F174" s="2936"/>
      <c r="G174" s="2936"/>
      <c r="H174" s="2936"/>
      <c r="I174" s="2936"/>
      <c r="J174" s="2936"/>
      <c r="K174" s="2936"/>
      <c r="L174" s="2936"/>
      <c r="M174" s="2936"/>
      <c r="N174" s="2936"/>
      <c r="O174" s="2937"/>
    </row>
    <row r="175" spans="1:15" s="315" customFormat="1" ht="13.5" thickBot="1">
      <c r="A175" s="2091"/>
      <c r="B175" s="2936"/>
      <c r="C175" s="2936"/>
      <c r="D175" s="2936"/>
      <c r="E175" s="2936"/>
      <c r="F175" s="2936"/>
      <c r="G175" s="2936"/>
      <c r="H175" s="2936"/>
      <c r="I175" s="2936"/>
      <c r="J175" s="2936"/>
      <c r="K175" s="2936"/>
      <c r="L175" s="2936"/>
      <c r="M175" s="2936"/>
      <c r="N175" s="2936"/>
      <c r="O175" s="2937"/>
    </row>
    <row r="176" spans="1:15" s="315" customFormat="1" ht="13.5" thickBot="1">
      <c r="A176" s="2465"/>
      <c r="B176" s="2936"/>
      <c r="C176" s="2936"/>
      <c r="D176" s="2936"/>
      <c r="E176" s="2936"/>
      <c r="F176" s="2936"/>
      <c r="G176" s="2936"/>
      <c r="H176" s="2936"/>
      <c r="I176" s="2936"/>
      <c r="J176" s="2936"/>
      <c r="K176" s="2936"/>
      <c r="L176" s="2936"/>
      <c r="M176" s="2936"/>
      <c r="N176" s="2936"/>
      <c r="O176" s="2937"/>
    </row>
    <row r="177" spans="1:15" s="1267" customFormat="1" ht="36.75" customHeight="1" thickBot="1">
      <c r="A177" s="2465"/>
      <c r="B177" s="2936"/>
      <c r="C177" s="2936"/>
      <c r="D177" s="2936"/>
      <c r="E177" s="2936"/>
      <c r="F177" s="2936"/>
      <c r="G177" s="2936"/>
      <c r="H177" s="2936"/>
      <c r="I177" s="2936"/>
      <c r="J177" s="2936"/>
      <c r="K177" s="2936"/>
      <c r="L177" s="2936"/>
      <c r="M177" s="2936"/>
      <c r="N177" s="2936"/>
      <c r="O177" s="2937"/>
    </row>
    <row r="178" spans="1:15" s="315" customFormat="1" ht="9.75" customHeight="1" thickBot="1">
      <c r="A178" s="2465"/>
      <c r="B178" s="2936"/>
      <c r="C178" s="2936"/>
      <c r="D178" s="2936"/>
      <c r="E178" s="2936"/>
      <c r="F178" s="2936"/>
      <c r="G178" s="2936"/>
      <c r="H178" s="2936"/>
      <c r="I178" s="2936"/>
      <c r="J178" s="2936"/>
      <c r="K178" s="2936"/>
      <c r="L178" s="2936"/>
      <c r="M178" s="2936"/>
      <c r="N178" s="2936"/>
      <c r="O178" s="2937"/>
    </row>
    <row r="179" spans="1:15" s="315" customFormat="1" ht="12.75" customHeight="1" thickBot="1">
      <c r="A179" s="2465"/>
      <c r="B179" s="2936"/>
      <c r="C179" s="2936"/>
      <c r="D179" s="2936"/>
      <c r="E179" s="2936"/>
      <c r="F179" s="2936"/>
      <c r="G179" s="2936"/>
      <c r="H179" s="2936"/>
      <c r="I179" s="2936"/>
      <c r="J179" s="2936"/>
      <c r="K179" s="2936"/>
      <c r="L179" s="2936"/>
      <c r="M179" s="2936"/>
      <c r="N179" s="2936"/>
      <c r="O179" s="2937"/>
    </row>
    <row r="180" spans="1:15" s="315" customFormat="1" ht="13.5" thickBot="1">
      <c r="A180" s="2465"/>
      <c r="B180" s="2936"/>
      <c r="C180" s="2936"/>
      <c r="D180" s="2936"/>
      <c r="E180" s="2936"/>
      <c r="F180" s="2936"/>
      <c r="G180" s="2936"/>
      <c r="H180" s="2936"/>
      <c r="I180" s="2936"/>
      <c r="J180" s="2936"/>
      <c r="K180" s="2936"/>
      <c r="L180" s="2936"/>
      <c r="M180" s="2936"/>
      <c r="N180" s="2936"/>
      <c r="O180" s="2937"/>
    </row>
    <row r="181" spans="1:15" s="315" customFormat="1" ht="13.5" thickBot="1">
      <c r="A181" s="2465"/>
      <c r="B181" s="2936"/>
      <c r="C181" s="2936"/>
      <c r="D181" s="2936"/>
      <c r="E181" s="2936"/>
      <c r="F181" s="2936"/>
      <c r="G181" s="2936"/>
      <c r="H181" s="2936"/>
      <c r="I181" s="2936"/>
      <c r="J181" s="2936"/>
      <c r="K181" s="2936"/>
      <c r="L181" s="2936"/>
      <c r="M181" s="2936"/>
      <c r="N181" s="2936"/>
      <c r="O181" s="2937"/>
    </row>
    <row r="182" spans="1:15" s="315" customFormat="1" ht="13.5" thickBot="1">
      <c r="A182" s="2465"/>
      <c r="B182" s="2936"/>
      <c r="C182" s="2936"/>
      <c r="D182" s="2936"/>
      <c r="E182" s="2936"/>
      <c r="F182" s="2936"/>
      <c r="G182" s="2936"/>
      <c r="H182" s="2936"/>
      <c r="I182" s="2936"/>
      <c r="J182" s="2936"/>
      <c r="K182" s="2936"/>
      <c r="L182" s="2936"/>
      <c r="M182" s="2936"/>
      <c r="N182" s="2936"/>
      <c r="O182" s="2937"/>
    </row>
    <row r="183" spans="1:15" s="1267" customFormat="1" ht="33.75" customHeight="1" thickBot="1">
      <c r="A183" s="2465"/>
      <c r="B183" s="2936"/>
      <c r="C183" s="2936"/>
      <c r="D183" s="2936"/>
      <c r="E183" s="2936"/>
      <c r="F183" s="2936"/>
      <c r="G183" s="2936"/>
      <c r="H183" s="2936"/>
      <c r="I183" s="2936"/>
      <c r="J183" s="2936"/>
      <c r="K183" s="2936"/>
      <c r="L183" s="2936"/>
      <c r="M183" s="2936"/>
      <c r="N183" s="2936"/>
      <c r="O183" s="2937"/>
    </row>
    <row r="184" spans="1:15" s="315" customFormat="1" ht="9.75" customHeight="1" thickBot="1">
      <c r="A184" s="2465"/>
      <c r="B184" s="2936"/>
      <c r="C184" s="2936"/>
      <c r="D184" s="2936"/>
      <c r="E184" s="2936"/>
      <c r="F184" s="2936"/>
      <c r="G184" s="2936"/>
      <c r="H184" s="2936"/>
      <c r="I184" s="2936"/>
      <c r="J184" s="2936"/>
      <c r="K184" s="2936"/>
      <c r="L184" s="2936"/>
      <c r="M184" s="2936"/>
      <c r="N184" s="2936"/>
      <c r="O184" s="2937"/>
    </row>
    <row r="185" spans="1:15" s="315" customFormat="1" ht="12.75" customHeight="1" thickBot="1">
      <c r="A185" s="2465"/>
      <c r="B185" s="2936"/>
      <c r="C185" s="2936"/>
      <c r="D185" s="2936"/>
      <c r="E185" s="2936"/>
      <c r="F185" s="2936"/>
      <c r="G185" s="2936"/>
      <c r="H185" s="2936"/>
      <c r="I185" s="2936"/>
      <c r="J185" s="2936"/>
      <c r="K185" s="2936"/>
      <c r="L185" s="2936"/>
      <c r="M185" s="2936"/>
      <c r="N185" s="2936"/>
      <c r="O185" s="2937"/>
    </row>
    <row r="186" spans="1:15" s="315" customFormat="1" ht="13.5" thickBot="1">
      <c r="A186" s="2465"/>
      <c r="B186" s="2939"/>
      <c r="C186" s="2936"/>
      <c r="D186" s="2936"/>
      <c r="E186" s="2936"/>
      <c r="F186" s="2936"/>
      <c r="G186" s="2936"/>
      <c r="H186" s="2936"/>
      <c r="I186" s="2936"/>
      <c r="J186" s="2936"/>
      <c r="K186" s="2936"/>
      <c r="L186" s="2936"/>
      <c r="M186" s="2936"/>
      <c r="N186" s="2936"/>
      <c r="O186" s="2937"/>
    </row>
    <row r="187" spans="1:15" s="315" customFormat="1" ht="13.5" thickBot="1">
      <c r="A187" s="2465"/>
      <c r="B187" s="2943"/>
      <c r="C187" s="2936"/>
      <c r="D187" s="2936"/>
      <c r="E187" s="2936"/>
      <c r="F187" s="2936"/>
      <c r="G187" s="2936"/>
      <c r="H187" s="2936"/>
      <c r="I187" s="2936"/>
      <c r="J187" s="2936"/>
      <c r="K187" s="2936"/>
      <c r="L187" s="2936"/>
      <c r="M187" s="2936"/>
      <c r="N187" s="2936"/>
      <c r="O187" s="2937"/>
    </row>
    <row r="188" spans="1:15" s="315" customFormat="1" ht="13.5" thickBot="1">
      <c r="A188" s="2465"/>
      <c r="B188" s="2936"/>
      <c r="C188" s="2936"/>
      <c r="D188" s="2936"/>
      <c r="E188" s="2936"/>
      <c r="F188" s="2936"/>
      <c r="G188" s="2936"/>
      <c r="H188" s="2936"/>
      <c r="I188" s="2936"/>
      <c r="J188" s="2936"/>
      <c r="K188" s="2936"/>
      <c r="L188" s="2936"/>
      <c r="M188" s="2936"/>
      <c r="N188" s="2936"/>
      <c r="O188" s="2937"/>
    </row>
    <row r="189" spans="1:15" s="315" customFormat="1" ht="13.5" thickBot="1">
      <c r="A189" s="2465"/>
      <c r="B189" s="2936"/>
      <c r="C189" s="2936"/>
      <c r="D189" s="2936"/>
      <c r="E189" s="2936"/>
      <c r="F189" s="2936"/>
      <c r="G189" s="2936"/>
      <c r="H189" s="2936"/>
      <c r="I189" s="2936"/>
      <c r="J189" s="2936"/>
      <c r="K189" s="2936"/>
      <c r="L189" s="2936"/>
      <c r="M189" s="2936"/>
      <c r="N189" s="2936"/>
      <c r="O189" s="2937"/>
    </row>
    <row r="190" spans="1:15" s="1269" customFormat="1" ht="14.25" customHeight="1" thickBot="1">
      <c r="A190" s="2465"/>
      <c r="B190" s="2936"/>
      <c r="C190" s="2936"/>
      <c r="D190" s="2936"/>
      <c r="E190" s="2936"/>
      <c r="F190" s="2936"/>
      <c r="G190" s="2936"/>
      <c r="H190" s="2936"/>
      <c r="I190" s="2936"/>
      <c r="J190" s="2936"/>
      <c r="K190" s="2936"/>
      <c r="L190" s="2936"/>
      <c r="M190" s="2936"/>
      <c r="N190" s="2936"/>
      <c r="O190" s="2937"/>
    </row>
    <row r="191" spans="1:15" s="315" customFormat="1" ht="13.5" thickBot="1">
      <c r="A191" s="2465"/>
      <c r="B191" s="2936"/>
      <c r="C191" s="2936"/>
      <c r="D191" s="2936"/>
      <c r="E191" s="2936"/>
      <c r="F191" s="2936"/>
      <c r="G191" s="2936"/>
      <c r="H191" s="2936"/>
      <c r="I191" s="2936"/>
      <c r="J191" s="2936"/>
      <c r="K191" s="2936"/>
      <c r="L191" s="2936"/>
      <c r="M191" s="2936"/>
      <c r="N191" s="2936"/>
      <c r="O191" s="2937"/>
    </row>
    <row r="192" spans="1:15" s="1260" customFormat="1" ht="23.25" customHeight="1" thickBot="1">
      <c r="A192" s="2465"/>
      <c r="B192" s="2936"/>
      <c r="C192" s="2936"/>
      <c r="D192" s="2936"/>
      <c r="E192" s="2936"/>
      <c r="F192" s="2936"/>
      <c r="G192" s="2936"/>
      <c r="H192" s="2936"/>
      <c r="I192" s="2936"/>
      <c r="J192" s="2936"/>
      <c r="K192" s="2936"/>
      <c r="L192" s="2936"/>
      <c r="M192" s="2936"/>
      <c r="N192" s="2936"/>
      <c r="O192" s="2937"/>
    </row>
    <row r="193" spans="1:15" s="315" customFormat="1" ht="13.5" thickBot="1">
      <c r="A193" s="2465"/>
      <c r="B193" s="2936"/>
      <c r="C193" s="2936"/>
      <c r="D193" s="2936"/>
      <c r="E193" s="2936"/>
      <c r="F193" s="2936"/>
      <c r="G193" s="2936"/>
      <c r="H193" s="2936"/>
      <c r="I193" s="2936"/>
      <c r="J193" s="2936"/>
      <c r="K193" s="2936"/>
      <c r="L193" s="2936"/>
      <c r="M193" s="2936"/>
      <c r="N193" s="2936"/>
      <c r="O193" s="2937"/>
    </row>
    <row r="194" spans="1:15" s="1259" customFormat="1" ht="15.75" customHeight="1" thickBot="1">
      <c r="A194" s="2465"/>
      <c r="B194" s="2936"/>
      <c r="C194" s="2936"/>
      <c r="D194" s="2936"/>
      <c r="E194" s="2936"/>
      <c r="F194" s="2936"/>
      <c r="G194" s="2936"/>
      <c r="H194" s="2936"/>
      <c r="I194" s="2936"/>
      <c r="J194" s="2936"/>
      <c r="K194" s="2936"/>
      <c r="L194" s="2936"/>
      <c r="M194" s="2936"/>
      <c r="N194" s="2936"/>
      <c r="O194" s="2937"/>
    </row>
    <row r="195" spans="1:15" s="1259" customFormat="1" ht="12.75" customHeight="1" thickBot="1">
      <c r="A195" s="2465"/>
      <c r="B195" s="2936"/>
      <c r="C195" s="2936"/>
      <c r="D195" s="2936"/>
      <c r="E195" s="2936"/>
      <c r="F195" s="2936"/>
      <c r="G195" s="2936"/>
      <c r="H195" s="2936"/>
      <c r="I195" s="2936"/>
      <c r="J195" s="2936"/>
      <c r="K195" s="2936"/>
      <c r="L195" s="2936"/>
      <c r="M195" s="2936"/>
      <c r="N195" s="2936"/>
      <c r="O195" s="2937"/>
    </row>
    <row r="196" spans="1:15" s="1259" customFormat="1" ht="12.75" customHeight="1" thickBot="1">
      <c r="A196" s="2465"/>
      <c r="B196" s="2936"/>
      <c r="C196" s="2936"/>
      <c r="D196" s="2936"/>
      <c r="E196" s="2936"/>
      <c r="F196" s="2936"/>
      <c r="G196" s="2936"/>
      <c r="H196" s="2936"/>
      <c r="I196" s="2936"/>
      <c r="J196" s="2936"/>
      <c r="K196" s="2936"/>
      <c r="L196" s="2936"/>
      <c r="M196" s="2936"/>
      <c r="N196" s="2936"/>
      <c r="O196" s="2937"/>
    </row>
    <row r="197" spans="1:15" s="1259" customFormat="1" ht="12" customHeight="1" thickBot="1">
      <c r="A197" s="2465"/>
      <c r="B197" s="2936"/>
      <c r="C197" s="2936"/>
      <c r="D197" s="2936"/>
      <c r="E197" s="2936"/>
      <c r="F197" s="2936"/>
      <c r="G197" s="2936"/>
      <c r="H197" s="2936"/>
      <c r="I197" s="2936"/>
      <c r="J197" s="2936"/>
      <c r="K197" s="2936"/>
      <c r="L197" s="2936"/>
      <c r="M197" s="2936"/>
      <c r="N197" s="2936"/>
      <c r="O197" s="2937"/>
    </row>
    <row r="198" spans="1:15" s="1269" customFormat="1" ht="24" customHeight="1" thickBot="1">
      <c r="A198" s="2465"/>
      <c r="B198" s="2936"/>
      <c r="C198" s="2936"/>
      <c r="D198" s="2936"/>
      <c r="E198" s="2936"/>
      <c r="F198" s="2936"/>
      <c r="G198" s="2936"/>
      <c r="H198" s="2936"/>
      <c r="I198" s="2936"/>
      <c r="J198" s="2936"/>
      <c r="K198" s="2936"/>
      <c r="L198" s="2936"/>
      <c r="M198" s="2936"/>
      <c r="N198" s="2936"/>
      <c r="O198" s="2937"/>
    </row>
    <row r="199" spans="1:15" s="315" customFormat="1" ht="11.25" customHeight="1" thickBot="1">
      <c r="A199" s="2465"/>
      <c r="B199" s="2936"/>
      <c r="C199" s="2936"/>
      <c r="D199" s="2936"/>
      <c r="E199" s="2936"/>
      <c r="F199" s="2936"/>
      <c r="G199" s="2936"/>
      <c r="H199" s="2936"/>
      <c r="I199" s="2936"/>
      <c r="J199" s="2936"/>
      <c r="K199" s="2936"/>
      <c r="L199" s="2936"/>
      <c r="M199" s="2936"/>
      <c r="N199" s="2936"/>
      <c r="O199" s="2937"/>
    </row>
    <row r="200" spans="1:15" s="315" customFormat="1" ht="12.75" customHeight="1" thickBot="1">
      <c r="A200" s="2465"/>
      <c r="B200" s="2936"/>
      <c r="C200" s="2936"/>
      <c r="D200" s="2936"/>
      <c r="E200" s="2936"/>
      <c r="F200" s="2936"/>
      <c r="G200" s="2936"/>
      <c r="H200" s="2936"/>
      <c r="I200" s="2936"/>
      <c r="J200" s="2936"/>
      <c r="K200" s="2936"/>
      <c r="L200" s="2936"/>
      <c r="M200" s="2936"/>
      <c r="N200" s="2939"/>
      <c r="O200" s="2940"/>
    </row>
    <row r="201" spans="1:15" s="315" customFormat="1" ht="13.5" thickBot="1">
      <c r="A201" s="2465"/>
      <c r="B201" s="2936"/>
      <c r="C201" s="2939"/>
      <c r="D201" s="2936"/>
      <c r="E201" s="2936"/>
      <c r="F201" s="2936"/>
      <c r="G201" s="2936"/>
      <c r="H201" s="2936"/>
      <c r="I201" s="2936"/>
      <c r="J201" s="2936"/>
      <c r="K201" s="2936"/>
      <c r="L201" s="2936"/>
      <c r="M201" s="2936"/>
      <c r="N201" s="2941"/>
      <c r="O201" s="2942"/>
    </row>
    <row r="202" spans="1:15" s="315" customFormat="1" ht="13.5" thickBot="1">
      <c r="A202" s="2465"/>
      <c r="B202" s="2936"/>
      <c r="C202" s="2941"/>
      <c r="D202" s="2936"/>
      <c r="E202" s="2936"/>
      <c r="F202" s="2936"/>
      <c r="G202" s="2936"/>
      <c r="H202" s="2936"/>
      <c r="I202" s="2936"/>
      <c r="J202" s="2936"/>
      <c r="K202" s="2936"/>
      <c r="L202" s="2936"/>
      <c r="M202" s="2936"/>
      <c r="N202" s="2941"/>
      <c r="O202" s="2942"/>
    </row>
    <row r="203" spans="1:15" s="315" customFormat="1" ht="13.5" thickBot="1">
      <c r="A203" s="2465"/>
      <c r="B203" s="2936"/>
      <c r="C203" s="2941"/>
      <c r="D203" s="2936"/>
      <c r="E203" s="2936"/>
      <c r="F203" s="2936"/>
      <c r="G203" s="2936"/>
      <c r="H203" s="2936"/>
      <c r="I203" s="2936"/>
      <c r="J203" s="2936"/>
      <c r="K203" s="2936"/>
      <c r="L203" s="2936"/>
      <c r="M203" s="2936"/>
      <c r="N203" s="2941"/>
      <c r="O203" s="2942"/>
    </row>
    <row r="204" spans="1:15" s="315" customFormat="1" ht="13.5" thickBot="1">
      <c r="A204" s="2466"/>
      <c r="B204" s="2936"/>
      <c r="C204" s="2941"/>
      <c r="D204" s="2939"/>
      <c r="E204" s="2939"/>
      <c r="F204" s="2939"/>
      <c r="G204" s="2939"/>
      <c r="H204" s="2939"/>
      <c r="I204" s="2939"/>
      <c r="J204" s="2939"/>
      <c r="K204" s="2939"/>
      <c r="L204" s="2939"/>
      <c r="M204" s="2936"/>
      <c r="N204" s="2941"/>
      <c r="O204" s="2942"/>
    </row>
    <row r="205" spans="1:15" s="315" customFormat="1" ht="21.75" customHeight="1" thickBot="1">
      <c r="A205" s="284"/>
      <c r="B205" s="2936"/>
      <c r="C205" s="2943"/>
      <c r="D205" s="2943"/>
      <c r="E205" s="2943"/>
      <c r="F205" s="2943"/>
      <c r="G205" s="2943"/>
      <c r="H205" s="2943"/>
      <c r="I205" s="2943"/>
      <c r="J205" s="2943"/>
      <c r="K205" s="2943"/>
      <c r="L205" s="2943"/>
      <c r="M205" s="2936"/>
      <c r="N205" s="2943"/>
      <c r="O205" s="2942"/>
    </row>
    <row r="206" spans="1:15" s="315" customFormat="1" ht="12.75" customHeight="1" thickBot="1">
      <c r="A206" s="284"/>
      <c r="B206" s="2936"/>
      <c r="C206" s="2936"/>
      <c r="D206" s="2936"/>
      <c r="E206" s="2936"/>
      <c r="F206" s="2936"/>
      <c r="G206" s="2936"/>
      <c r="H206" s="2936"/>
      <c r="I206" s="2936"/>
      <c r="J206" s="2936"/>
      <c r="K206" s="2936"/>
      <c r="L206" s="2936"/>
      <c r="M206" s="2936"/>
      <c r="N206" s="2936"/>
      <c r="O206" s="2942"/>
    </row>
    <row r="207" spans="1:15" s="315" customFormat="1" ht="13.5" thickBot="1">
      <c r="A207" s="284"/>
      <c r="B207" s="2936"/>
      <c r="C207" s="2936"/>
      <c r="D207" s="2936"/>
      <c r="E207" s="2936"/>
      <c r="F207" s="2936"/>
      <c r="G207" s="2936"/>
      <c r="H207" s="2936"/>
      <c r="I207" s="2936"/>
      <c r="J207" s="2936"/>
      <c r="K207" s="2936"/>
      <c r="L207" s="2936"/>
      <c r="M207" s="2936"/>
      <c r="N207" s="2936"/>
      <c r="O207" s="2942"/>
    </row>
    <row r="208" spans="1:15" s="315" customFormat="1" ht="13.5" thickBot="1">
      <c r="A208" s="284"/>
      <c r="B208" s="2936"/>
      <c r="C208" s="2936"/>
      <c r="D208" s="2936"/>
      <c r="E208" s="2936"/>
      <c r="F208" s="2936"/>
      <c r="G208" s="2936"/>
      <c r="H208" s="2936"/>
      <c r="I208" s="2936"/>
      <c r="J208" s="2936"/>
      <c r="K208" s="2936"/>
      <c r="L208" s="2936"/>
      <c r="M208" s="2936"/>
      <c r="N208" s="2936"/>
      <c r="O208" s="2942"/>
    </row>
    <row r="209" spans="1:15" s="315" customFormat="1" ht="13.5" thickBot="1">
      <c r="A209" s="284"/>
      <c r="B209" s="2936"/>
      <c r="C209" s="2936"/>
      <c r="D209" s="2936"/>
      <c r="E209" s="2936"/>
      <c r="F209" s="2936"/>
      <c r="G209" s="2936"/>
      <c r="H209" s="2936"/>
      <c r="I209" s="2936"/>
      <c r="J209" s="2936"/>
      <c r="K209" s="2936"/>
      <c r="L209" s="2936"/>
      <c r="M209" s="2936"/>
      <c r="N209" s="2936"/>
      <c r="O209" s="2942"/>
    </row>
    <row r="210" spans="1:15" s="315" customFormat="1" ht="13.5" thickBot="1">
      <c r="A210" s="284"/>
      <c r="B210" s="2936"/>
      <c r="C210" s="2936"/>
      <c r="D210" s="2936"/>
      <c r="E210" s="2936"/>
      <c r="F210" s="2936"/>
      <c r="G210" s="2936"/>
      <c r="H210" s="2936"/>
      <c r="I210" s="2936"/>
      <c r="J210" s="2936"/>
      <c r="K210" s="2936"/>
      <c r="L210" s="2936"/>
      <c r="M210" s="2936"/>
      <c r="N210" s="2936"/>
      <c r="O210" s="2942"/>
    </row>
    <row r="211" spans="1:15" s="315" customFormat="1" ht="13.5" thickBot="1">
      <c r="A211" s="284"/>
      <c r="B211" s="2936"/>
      <c r="C211" s="2936"/>
      <c r="D211" s="2936"/>
      <c r="E211" s="2936"/>
      <c r="F211" s="2936"/>
      <c r="G211" s="2936"/>
      <c r="H211" s="2936"/>
      <c r="I211" s="2936"/>
      <c r="J211" s="2936"/>
      <c r="K211" s="2936"/>
      <c r="L211" s="2936"/>
      <c r="M211" s="2936"/>
      <c r="N211" s="2936"/>
      <c r="O211" s="2942"/>
    </row>
    <row r="212" spans="1:15" s="315" customFormat="1" ht="32.25" customHeight="1" thickBot="1">
      <c r="A212" s="284"/>
      <c r="B212" s="2936"/>
      <c r="C212" s="2936"/>
      <c r="D212" s="2936"/>
      <c r="E212" s="2936"/>
      <c r="F212" s="2936"/>
      <c r="G212" s="2936"/>
      <c r="H212" s="2936"/>
      <c r="I212" s="2936"/>
      <c r="J212" s="2936"/>
      <c r="K212" s="2936"/>
      <c r="L212" s="2936"/>
      <c r="M212" s="2936"/>
      <c r="N212" s="2936"/>
      <c r="O212" s="2942"/>
    </row>
    <row r="213" spans="1:15" s="315" customFormat="1" ht="15" customHeight="1" thickBot="1">
      <c r="A213" s="284"/>
      <c r="B213" s="2936"/>
      <c r="C213" s="2936"/>
      <c r="D213" s="2936"/>
      <c r="E213" s="2936"/>
      <c r="F213" s="2936"/>
      <c r="G213" s="2936"/>
      <c r="H213" s="2936"/>
      <c r="I213" s="2936"/>
      <c r="J213" s="2936"/>
      <c r="K213" s="2936"/>
      <c r="L213" s="2936"/>
      <c r="M213" s="2936"/>
      <c r="N213" s="2936"/>
      <c r="O213" s="2942"/>
    </row>
    <row r="214" spans="1:15" s="315" customFormat="1" ht="12.75" customHeight="1">
      <c r="A214" s="284"/>
      <c r="B214" s="2936"/>
      <c r="C214" s="2936"/>
      <c r="D214" s="2936"/>
      <c r="E214" s="2936"/>
      <c r="F214" s="2936"/>
      <c r="G214" s="2936"/>
      <c r="H214" s="2936"/>
      <c r="I214" s="2936"/>
      <c r="J214" s="2936"/>
      <c r="K214" s="2936"/>
      <c r="L214" s="2936"/>
      <c r="M214" s="2936"/>
      <c r="N214" s="2936"/>
      <c r="O214" s="2944"/>
    </row>
    <row r="215" spans="1:15" s="315" customFormat="1">
      <c r="A215" s="284"/>
      <c r="B215" s="2936"/>
      <c r="C215" s="2936"/>
      <c r="D215" s="2936"/>
      <c r="E215" s="2936"/>
      <c r="F215" s="2936"/>
      <c r="G215" s="2936"/>
      <c r="H215" s="2936"/>
      <c r="I215" s="2936"/>
      <c r="J215" s="2936"/>
      <c r="K215" s="2936"/>
      <c r="L215" s="2936"/>
      <c r="M215" s="2936"/>
      <c r="N215" s="2936"/>
      <c r="O215" s="2937"/>
    </row>
    <row r="216" spans="1:15" s="315" customFormat="1">
      <c r="A216" s="284"/>
      <c r="B216" s="2936"/>
      <c r="C216" s="2936"/>
      <c r="D216" s="2936"/>
      <c r="E216" s="2936"/>
      <c r="F216" s="2936"/>
      <c r="G216" s="2936"/>
      <c r="H216" s="2936"/>
      <c r="I216" s="2936"/>
      <c r="J216" s="2936"/>
      <c r="K216" s="2936"/>
      <c r="L216" s="2936"/>
      <c r="M216" s="2936"/>
      <c r="N216" s="2936"/>
      <c r="O216" s="2937"/>
    </row>
    <row r="217" spans="1:15" s="315" customFormat="1">
      <c r="A217" s="284"/>
      <c r="B217" s="2936"/>
      <c r="C217" s="2936"/>
      <c r="D217" s="2936"/>
      <c r="E217" s="2936"/>
      <c r="F217" s="2936"/>
      <c r="G217" s="2936"/>
      <c r="H217" s="2936"/>
      <c r="I217" s="2936"/>
      <c r="J217" s="2936"/>
      <c r="K217" s="2936"/>
      <c r="L217" s="2936"/>
      <c r="M217" s="2936"/>
      <c r="N217" s="2936"/>
      <c r="O217" s="2937"/>
    </row>
    <row r="218" spans="1:15" s="315" customFormat="1" ht="11.25" customHeight="1">
      <c r="A218" s="284"/>
      <c r="B218" s="2936"/>
      <c r="C218" s="2936"/>
      <c r="D218" s="2936"/>
      <c r="E218" s="2936"/>
      <c r="F218" s="2936"/>
      <c r="G218" s="2936"/>
      <c r="H218" s="2936"/>
      <c r="I218" s="2936"/>
      <c r="J218" s="2936"/>
      <c r="K218" s="2936"/>
      <c r="L218" s="2936"/>
      <c r="M218" s="2936"/>
      <c r="N218" s="2936"/>
      <c r="O218" s="2937"/>
    </row>
    <row r="219" spans="1:15" s="315" customFormat="1" ht="12.75" customHeight="1">
      <c r="A219" s="284"/>
      <c r="B219" s="2936"/>
      <c r="C219" s="2936"/>
      <c r="D219" s="2936"/>
      <c r="E219" s="2936"/>
      <c r="F219" s="2936"/>
      <c r="G219" s="2936"/>
      <c r="H219" s="2936"/>
      <c r="I219" s="2936"/>
      <c r="J219" s="2936"/>
      <c r="K219" s="2936"/>
      <c r="L219" s="2936"/>
      <c r="M219" s="2936"/>
      <c r="N219" s="2936"/>
      <c r="O219" s="2937"/>
    </row>
    <row r="220" spans="1:15" s="315" customFormat="1" ht="12.75" customHeight="1">
      <c r="A220" s="284"/>
      <c r="B220" s="2936"/>
      <c r="C220" s="2936"/>
      <c r="D220" s="2936"/>
      <c r="E220" s="2936"/>
      <c r="F220" s="2936"/>
      <c r="G220" s="2936"/>
      <c r="H220" s="2936"/>
      <c r="I220" s="2936"/>
      <c r="J220" s="2936"/>
      <c r="K220" s="2936"/>
      <c r="L220" s="2936"/>
      <c r="M220" s="2936"/>
      <c r="N220" s="2936"/>
      <c r="O220" s="2937"/>
    </row>
    <row r="221" spans="1:15" s="315" customFormat="1">
      <c r="A221" s="284"/>
      <c r="B221" s="2936"/>
      <c r="C221" s="2936"/>
      <c r="D221" s="2936"/>
      <c r="E221" s="2936"/>
      <c r="F221" s="2936"/>
      <c r="G221" s="2936"/>
      <c r="H221" s="2936"/>
      <c r="I221" s="2936"/>
      <c r="J221" s="2936"/>
      <c r="K221" s="2936"/>
      <c r="L221" s="2936"/>
      <c r="M221" s="2936"/>
      <c r="N221" s="2936"/>
      <c r="O221" s="2937"/>
    </row>
    <row r="222" spans="1:15" s="315" customFormat="1">
      <c r="A222" s="284"/>
      <c r="B222" s="2936"/>
      <c r="C222" s="2936"/>
      <c r="D222" s="2936"/>
      <c r="E222" s="2936"/>
      <c r="F222" s="2936"/>
      <c r="G222" s="2936"/>
      <c r="H222" s="2936"/>
      <c r="I222" s="2936"/>
      <c r="J222" s="2936"/>
      <c r="K222" s="2936"/>
      <c r="L222" s="2936"/>
      <c r="M222" s="2936"/>
      <c r="N222" s="2936"/>
      <c r="O222" s="2937"/>
    </row>
    <row r="223" spans="1:15" s="315" customFormat="1">
      <c r="A223" s="284"/>
      <c r="B223" s="2936"/>
      <c r="C223" s="2936"/>
      <c r="D223" s="2936"/>
      <c r="E223" s="2936"/>
      <c r="F223" s="2936"/>
      <c r="G223" s="2936"/>
      <c r="H223" s="2936"/>
      <c r="I223" s="2936"/>
      <c r="J223" s="2936"/>
      <c r="K223" s="2936"/>
      <c r="L223" s="2936"/>
      <c r="M223" s="2936"/>
      <c r="N223" s="2936"/>
      <c r="O223" s="2937"/>
    </row>
    <row r="224" spans="1:15" s="315" customFormat="1">
      <c r="A224" s="284"/>
      <c r="B224" s="2936"/>
      <c r="C224" s="2936"/>
      <c r="D224" s="2936"/>
      <c r="E224" s="2936"/>
      <c r="F224" s="2936"/>
      <c r="G224" s="2936"/>
      <c r="H224" s="2936"/>
      <c r="I224" s="2936"/>
      <c r="J224" s="2936"/>
      <c r="K224" s="2936"/>
      <c r="L224" s="2936"/>
      <c r="M224" s="2936"/>
      <c r="N224" s="2936"/>
      <c r="O224" s="2937"/>
    </row>
    <row r="225" spans="1:15" s="1267" customFormat="1" ht="24.75" customHeight="1">
      <c r="A225" s="284"/>
      <c r="B225" s="2936"/>
      <c r="C225" s="2936"/>
      <c r="D225" s="2936"/>
      <c r="E225" s="2936"/>
      <c r="F225" s="2936"/>
      <c r="G225" s="2936"/>
      <c r="H225" s="2936"/>
      <c r="I225" s="2936"/>
      <c r="J225" s="2936"/>
      <c r="K225" s="2936"/>
      <c r="L225" s="2936"/>
      <c r="M225" s="2936"/>
      <c r="N225" s="2936"/>
      <c r="O225" s="2937"/>
    </row>
    <row r="226" spans="1:15" s="315" customFormat="1" ht="12.75" customHeight="1">
      <c r="A226" s="284"/>
      <c r="B226" s="2936"/>
      <c r="C226" s="2936"/>
      <c r="D226" s="2936"/>
      <c r="E226" s="2936"/>
      <c r="F226" s="2936"/>
      <c r="G226" s="2936"/>
      <c r="H226" s="2936"/>
      <c r="I226" s="2936"/>
      <c r="J226" s="2936"/>
      <c r="K226" s="2936"/>
      <c r="L226" s="2936"/>
      <c r="M226" s="2936"/>
      <c r="N226" s="2936"/>
      <c r="O226" s="2937"/>
    </row>
    <row r="227" spans="1:15" s="315" customFormat="1" ht="12.75" customHeight="1">
      <c r="A227" s="284"/>
      <c r="B227" s="2936"/>
      <c r="C227" s="2936"/>
      <c r="D227" s="2936"/>
      <c r="E227" s="2936"/>
      <c r="F227" s="2936"/>
      <c r="G227" s="2936"/>
      <c r="H227" s="2936"/>
      <c r="I227" s="2936"/>
      <c r="J227" s="2936"/>
      <c r="K227" s="2936"/>
      <c r="L227" s="2936"/>
      <c r="M227" s="2936"/>
      <c r="N227" s="2936"/>
      <c r="O227" s="2937"/>
    </row>
    <row r="228" spans="1:15" s="315" customFormat="1">
      <c r="A228" s="284"/>
      <c r="B228" s="2936"/>
      <c r="C228" s="2936"/>
      <c r="D228" s="2936"/>
      <c r="E228" s="2936"/>
      <c r="F228" s="2936"/>
      <c r="G228" s="2936"/>
      <c r="H228" s="2936"/>
      <c r="I228" s="2936"/>
      <c r="J228" s="2936"/>
      <c r="K228" s="2936"/>
      <c r="L228" s="2936"/>
      <c r="M228" s="2936"/>
      <c r="N228" s="2936"/>
      <c r="O228" s="2937"/>
    </row>
    <row r="229" spans="1:15" s="315" customFormat="1">
      <c r="A229" s="284"/>
      <c r="B229" s="2936"/>
      <c r="C229" s="2936"/>
      <c r="D229" s="2936"/>
      <c r="E229" s="2936"/>
      <c r="F229" s="2936"/>
      <c r="G229" s="2936"/>
      <c r="H229" s="2936"/>
      <c r="I229" s="2936"/>
      <c r="J229" s="2936"/>
      <c r="K229" s="2936"/>
      <c r="L229" s="2936"/>
      <c r="M229" s="2936"/>
      <c r="N229" s="2936"/>
      <c r="O229" s="2937"/>
    </row>
    <row r="230" spans="1:15" s="315" customFormat="1">
      <c r="A230" s="284"/>
      <c r="B230" s="2936"/>
      <c r="C230" s="2936"/>
      <c r="D230" s="2936"/>
      <c r="E230" s="2936"/>
      <c r="F230" s="2936"/>
      <c r="G230" s="2936"/>
      <c r="H230" s="2936"/>
      <c r="I230" s="2936"/>
      <c r="J230" s="2936"/>
      <c r="K230" s="2936"/>
      <c r="L230" s="2936"/>
      <c r="M230" s="2936"/>
      <c r="N230" s="2936"/>
      <c r="O230" s="2937"/>
    </row>
    <row r="231" spans="1:15" s="1267" customFormat="1" ht="23.25" customHeight="1">
      <c r="A231" s="284"/>
      <c r="B231" s="2936"/>
      <c r="C231" s="2936"/>
      <c r="D231" s="2936"/>
      <c r="E231" s="2936"/>
      <c r="F231" s="2936"/>
      <c r="G231" s="2936"/>
      <c r="H231" s="2936"/>
      <c r="I231" s="2936"/>
      <c r="J231" s="2936"/>
      <c r="K231" s="2936"/>
      <c r="L231" s="2936"/>
      <c r="M231" s="2936"/>
      <c r="N231" s="2936"/>
      <c r="O231" s="2937"/>
    </row>
    <row r="232" spans="1:15" s="315" customFormat="1" ht="15" customHeight="1">
      <c r="A232" s="284"/>
      <c r="B232" s="2936"/>
      <c r="C232" s="2936"/>
      <c r="D232" s="2936"/>
      <c r="E232" s="2936"/>
      <c r="F232" s="2936"/>
      <c r="G232" s="2936"/>
      <c r="H232" s="2936"/>
      <c r="I232" s="2936"/>
      <c r="J232" s="2936"/>
      <c r="K232" s="2936"/>
      <c r="L232" s="2936"/>
      <c r="M232" s="2936"/>
      <c r="N232" s="2936"/>
      <c r="O232" s="2937"/>
    </row>
    <row r="233" spans="1:15" s="315" customFormat="1" ht="12.75" customHeight="1">
      <c r="A233" s="284"/>
      <c r="B233" s="2936"/>
      <c r="C233" s="2936"/>
      <c r="D233" s="2936"/>
      <c r="E233" s="2936"/>
      <c r="F233" s="2936"/>
      <c r="G233" s="2936"/>
      <c r="H233" s="2936"/>
      <c r="I233" s="2936"/>
      <c r="J233" s="2936"/>
      <c r="K233" s="2936"/>
      <c r="L233" s="2936"/>
      <c r="M233" s="2936"/>
      <c r="N233" s="2936"/>
      <c r="O233" s="2937"/>
    </row>
    <row r="234" spans="1:15" s="315" customFormat="1">
      <c r="A234" s="284"/>
      <c r="B234" s="2936"/>
      <c r="C234" s="2936"/>
      <c r="D234" s="2936"/>
      <c r="E234" s="2936"/>
      <c r="F234" s="2936"/>
      <c r="G234" s="2936"/>
      <c r="H234" s="2936"/>
      <c r="I234" s="2936"/>
      <c r="J234" s="2936"/>
      <c r="K234" s="2936"/>
      <c r="L234" s="2936"/>
      <c r="M234" s="2936"/>
      <c r="N234" s="2936"/>
      <c r="O234" s="2937"/>
    </row>
    <row r="235" spans="1:15" s="315" customFormat="1">
      <c r="A235" s="284"/>
      <c r="B235" s="2936"/>
      <c r="C235" s="2936"/>
      <c r="D235" s="2936"/>
      <c r="E235" s="2936"/>
      <c r="F235" s="2936"/>
      <c r="G235" s="2936"/>
      <c r="H235" s="2936"/>
      <c r="I235" s="2936"/>
      <c r="J235" s="2936"/>
      <c r="K235" s="2936"/>
      <c r="L235" s="2936"/>
      <c r="M235" s="2936"/>
      <c r="N235" s="2936"/>
      <c r="O235" s="2937"/>
    </row>
    <row r="236" spans="1:15" s="1267" customFormat="1" ht="12.75" customHeight="1">
      <c r="A236" s="284"/>
      <c r="B236" s="2936"/>
      <c r="C236" s="2936"/>
      <c r="D236" s="2936"/>
      <c r="E236" s="2936"/>
      <c r="F236" s="2936"/>
      <c r="G236" s="2936"/>
      <c r="H236" s="2936"/>
      <c r="I236" s="2936"/>
      <c r="J236" s="2936"/>
      <c r="K236" s="2936"/>
      <c r="L236" s="2936"/>
      <c r="M236" s="2936"/>
      <c r="N236" s="2936"/>
      <c r="O236" s="2937"/>
    </row>
    <row r="237" spans="1:15" s="315" customFormat="1" ht="9.75" customHeight="1">
      <c r="A237" s="284"/>
      <c r="B237" s="2936"/>
      <c r="C237" s="2936"/>
      <c r="D237" s="2936"/>
      <c r="E237" s="2936"/>
      <c r="F237" s="2936"/>
      <c r="G237" s="2936"/>
      <c r="H237" s="2936"/>
      <c r="I237" s="2936"/>
      <c r="J237" s="2936"/>
      <c r="K237" s="2936"/>
      <c r="L237" s="2936"/>
      <c r="M237" s="2936"/>
      <c r="N237" s="2936"/>
      <c r="O237" s="2937"/>
    </row>
    <row r="238" spans="1:15" s="315" customFormat="1" ht="12.75" customHeight="1">
      <c r="A238" s="284"/>
      <c r="B238" s="2936"/>
      <c r="C238" s="2936"/>
      <c r="D238" s="2936"/>
      <c r="E238" s="2936"/>
      <c r="F238" s="2936"/>
      <c r="G238" s="2936"/>
      <c r="H238" s="2936"/>
      <c r="I238" s="2936"/>
      <c r="J238" s="2936"/>
      <c r="K238" s="2936"/>
      <c r="L238" s="2936"/>
      <c r="M238" s="2936"/>
      <c r="N238" s="2936"/>
      <c r="O238" s="2937"/>
    </row>
    <row r="239" spans="1:15" s="315" customFormat="1">
      <c r="A239" s="284"/>
      <c r="B239" s="2936"/>
      <c r="C239" s="2936"/>
      <c r="D239" s="2936"/>
      <c r="E239" s="2936"/>
      <c r="F239" s="2936"/>
      <c r="G239" s="2936"/>
      <c r="H239" s="2936"/>
      <c r="I239" s="2936"/>
      <c r="J239" s="2936"/>
      <c r="K239" s="2936"/>
      <c r="L239" s="2936"/>
      <c r="M239" s="2936"/>
      <c r="N239" s="2936"/>
      <c r="O239" s="2937"/>
    </row>
    <row r="240" spans="1:15" s="315" customFormat="1">
      <c r="A240" s="284"/>
      <c r="B240" s="2936"/>
      <c r="C240" s="2936"/>
      <c r="D240" s="2936"/>
      <c r="E240" s="2936"/>
      <c r="F240" s="2936"/>
      <c r="G240" s="2936"/>
      <c r="H240" s="2936"/>
      <c r="I240" s="2936"/>
      <c r="J240" s="2936"/>
      <c r="K240" s="2936"/>
      <c r="L240" s="2936"/>
      <c r="M240" s="2936"/>
      <c r="N240" s="2936"/>
      <c r="O240" s="2937"/>
    </row>
    <row r="241" spans="1:15" s="1269" customFormat="1" ht="24" customHeight="1">
      <c r="A241" s="284"/>
      <c r="B241" s="2936"/>
      <c r="C241" s="2936"/>
      <c r="D241" s="2936"/>
      <c r="E241" s="2936"/>
      <c r="F241" s="2936"/>
      <c r="G241" s="2936"/>
      <c r="H241" s="2936"/>
      <c r="I241" s="2936"/>
      <c r="J241" s="2936"/>
      <c r="K241" s="2936"/>
      <c r="L241" s="2936"/>
      <c r="M241" s="2936"/>
      <c r="N241" s="2936"/>
      <c r="O241" s="2937"/>
    </row>
    <row r="242" spans="1:15" s="315" customFormat="1" ht="11.25" customHeight="1">
      <c r="A242" s="284"/>
      <c r="B242" s="2936"/>
      <c r="C242" s="2936"/>
      <c r="D242" s="2936"/>
      <c r="E242" s="2936"/>
      <c r="F242" s="2936"/>
      <c r="G242" s="2936"/>
      <c r="H242" s="2936"/>
      <c r="I242" s="2936"/>
      <c r="J242" s="2936"/>
      <c r="K242" s="2936"/>
      <c r="L242" s="2936"/>
      <c r="M242" s="2936"/>
      <c r="N242" s="2936"/>
      <c r="O242" s="2937"/>
    </row>
    <row r="243" spans="1:15" s="315" customFormat="1" ht="12.75" customHeight="1">
      <c r="A243" s="284"/>
      <c r="B243" s="2936"/>
      <c r="C243" s="2936"/>
      <c r="D243" s="2936"/>
      <c r="E243" s="2936"/>
      <c r="F243" s="2936"/>
      <c r="G243" s="2936"/>
      <c r="H243" s="2936"/>
      <c r="I243" s="2936"/>
      <c r="J243" s="2936"/>
      <c r="K243" s="2936"/>
      <c r="L243" s="2936"/>
      <c r="M243" s="2936"/>
      <c r="N243" s="2936"/>
      <c r="O243" s="2937"/>
    </row>
    <row r="244" spans="1:15" s="315" customFormat="1">
      <c r="A244" s="284"/>
      <c r="B244" s="2936"/>
      <c r="C244" s="2936"/>
      <c r="D244" s="2936"/>
      <c r="E244" s="2936"/>
      <c r="F244" s="2936"/>
      <c r="G244" s="2936"/>
      <c r="H244" s="2936"/>
      <c r="I244" s="2936"/>
      <c r="J244" s="2936"/>
      <c r="K244" s="2936"/>
      <c r="L244" s="2936"/>
      <c r="M244" s="2936"/>
      <c r="N244" s="2936"/>
      <c r="O244" s="2937"/>
    </row>
    <row r="245" spans="1:15" s="315" customFormat="1">
      <c r="A245" s="284"/>
      <c r="B245" s="2936"/>
      <c r="C245" s="2936"/>
      <c r="D245" s="2936"/>
      <c r="E245" s="2936"/>
      <c r="F245" s="2936"/>
      <c r="G245" s="2936"/>
      <c r="H245" s="2936"/>
      <c r="I245" s="2936"/>
      <c r="J245" s="2936"/>
      <c r="K245" s="2936"/>
      <c r="L245" s="2936"/>
      <c r="M245" s="2936"/>
      <c r="N245" s="2936"/>
      <c r="O245" s="2937"/>
    </row>
    <row r="246" spans="1:15" s="315" customFormat="1">
      <c r="A246" s="284"/>
      <c r="B246" s="2936"/>
      <c r="C246" s="2936"/>
      <c r="D246" s="2936"/>
      <c r="E246" s="2936"/>
      <c r="F246" s="2936"/>
      <c r="G246" s="2936"/>
      <c r="H246" s="2936"/>
      <c r="I246" s="2936"/>
      <c r="J246" s="2936"/>
      <c r="K246" s="2936"/>
      <c r="L246" s="2936"/>
      <c r="M246" s="2936"/>
      <c r="N246" s="2936"/>
      <c r="O246" s="2937"/>
    </row>
    <row r="247" spans="1:15" s="315" customFormat="1">
      <c r="A247" s="284"/>
      <c r="B247" s="2936"/>
      <c r="C247" s="2936"/>
      <c r="D247" s="2936"/>
      <c r="E247" s="2936"/>
      <c r="F247" s="2936"/>
      <c r="G247" s="2936"/>
      <c r="H247" s="2936"/>
      <c r="I247" s="2936"/>
      <c r="J247" s="2936"/>
      <c r="K247" s="2936"/>
      <c r="L247" s="2936"/>
      <c r="M247" s="2936"/>
      <c r="N247" s="2936"/>
      <c r="O247" s="2937"/>
    </row>
    <row r="248" spans="1:15" s="315" customFormat="1" ht="12" customHeight="1" thickBot="1">
      <c r="A248" s="284"/>
      <c r="B248" s="2936"/>
      <c r="C248" s="2936"/>
      <c r="D248" s="2936"/>
      <c r="E248" s="2936"/>
      <c r="F248" s="2936"/>
      <c r="G248" s="2936"/>
      <c r="H248" s="2936"/>
      <c r="I248" s="2936"/>
      <c r="J248" s="2936"/>
      <c r="K248" s="2936"/>
      <c r="L248" s="2936"/>
      <c r="M248" s="2936"/>
      <c r="N248" s="2936"/>
      <c r="O248" s="2940"/>
    </row>
    <row r="249" spans="1:15" s="315" customFormat="1" ht="10.5" customHeight="1" thickBot="1">
      <c r="A249" s="284"/>
      <c r="B249" s="2936"/>
      <c r="C249" s="2936"/>
      <c r="D249" s="2936"/>
      <c r="E249" s="2936"/>
      <c r="F249" s="2936"/>
      <c r="G249" s="2936"/>
      <c r="H249" s="2936"/>
      <c r="I249" s="2936"/>
      <c r="J249" s="2936"/>
      <c r="K249" s="2936"/>
      <c r="L249" s="2936"/>
      <c r="M249" s="2936"/>
      <c r="N249" s="2936"/>
      <c r="O249" s="2942"/>
    </row>
    <row r="250" spans="1:15" s="315" customFormat="1" ht="13.5" thickBot="1">
      <c r="A250" s="284"/>
      <c r="B250" s="2936"/>
      <c r="C250" s="2936"/>
      <c r="D250" s="2936"/>
      <c r="E250" s="2936"/>
      <c r="F250" s="2936"/>
      <c r="G250" s="2936"/>
      <c r="H250" s="2936"/>
      <c r="I250" s="2936"/>
      <c r="J250" s="2936"/>
      <c r="K250" s="2936"/>
      <c r="L250" s="2936"/>
      <c r="M250" s="2936"/>
      <c r="N250" s="2936"/>
      <c r="O250" s="2942"/>
    </row>
    <row r="251" spans="1:15" s="315" customFormat="1" ht="13.5" thickBot="1">
      <c r="A251" s="284"/>
      <c r="B251" s="2936"/>
      <c r="C251" s="2936"/>
      <c r="D251" s="2936"/>
      <c r="E251" s="2936"/>
      <c r="F251" s="2936"/>
      <c r="G251" s="2936"/>
      <c r="H251" s="2936"/>
      <c r="I251" s="2936"/>
      <c r="J251" s="2936"/>
      <c r="K251" s="2936"/>
      <c r="L251" s="2936"/>
      <c r="M251" s="2936"/>
      <c r="N251" s="2936"/>
      <c r="O251" s="2942"/>
    </row>
    <row r="252" spans="1:15" s="315" customFormat="1" ht="13.5" thickBot="1">
      <c r="A252" s="284"/>
      <c r="B252" s="2936"/>
      <c r="C252" s="2936"/>
      <c r="D252" s="2936"/>
      <c r="E252" s="2936"/>
      <c r="F252" s="2936"/>
      <c r="G252" s="2936"/>
      <c r="H252" s="2936"/>
      <c r="I252" s="2936"/>
      <c r="J252" s="2936"/>
      <c r="K252" s="2936"/>
      <c r="L252" s="2936"/>
      <c r="M252" s="2936"/>
      <c r="N252" s="2936"/>
      <c r="O252" s="2942"/>
    </row>
    <row r="253" spans="1:15" s="315" customFormat="1" ht="13.5" thickBot="1">
      <c r="A253" s="284"/>
      <c r="B253" s="2936"/>
      <c r="C253" s="2936"/>
      <c r="D253" s="2936"/>
      <c r="E253" s="2936"/>
      <c r="F253" s="2936"/>
      <c r="G253" s="2936"/>
      <c r="H253" s="2936"/>
      <c r="I253" s="2936"/>
      <c r="J253" s="2936"/>
      <c r="K253" s="2936"/>
      <c r="L253" s="2936"/>
      <c r="M253" s="2936"/>
      <c r="N253" s="2936"/>
      <c r="O253" s="2942"/>
    </row>
    <row r="254" spans="1:15" s="315" customFormat="1" ht="13.5" thickBot="1">
      <c r="A254" s="284"/>
      <c r="B254" s="2936"/>
      <c r="C254" s="2936"/>
      <c r="D254" s="2936"/>
      <c r="E254" s="2936"/>
      <c r="F254" s="2936"/>
      <c r="G254" s="2936"/>
      <c r="H254" s="2936"/>
      <c r="I254" s="2936"/>
      <c r="J254" s="2936"/>
      <c r="K254" s="2936"/>
      <c r="L254" s="2936"/>
      <c r="M254" s="2936"/>
      <c r="N254" s="2936"/>
      <c r="O254" s="2942"/>
    </row>
    <row r="255" spans="1:15" s="315" customFormat="1" ht="32.25" customHeight="1" thickBot="1">
      <c r="A255" s="284"/>
      <c r="B255" s="2936"/>
      <c r="C255" s="2936"/>
      <c r="D255" s="2936"/>
      <c r="E255" s="2936"/>
      <c r="F255" s="2936"/>
      <c r="G255" s="2936"/>
      <c r="H255" s="2936"/>
      <c r="I255" s="2936"/>
      <c r="J255" s="2936"/>
      <c r="K255" s="2936"/>
      <c r="L255" s="2936"/>
      <c r="M255" s="2936"/>
      <c r="N255" s="2936"/>
      <c r="O255" s="2942"/>
    </row>
    <row r="256" spans="1:15" s="315" customFormat="1" ht="15" customHeight="1" thickBot="1">
      <c r="A256" s="284"/>
      <c r="B256" s="2936"/>
      <c r="C256" s="2936"/>
      <c r="D256" s="2936"/>
      <c r="E256" s="2936"/>
      <c r="F256" s="2936"/>
      <c r="G256" s="2936"/>
      <c r="H256" s="2936"/>
      <c r="I256" s="2936"/>
      <c r="J256" s="2936"/>
      <c r="K256" s="2936"/>
      <c r="L256" s="2936"/>
      <c r="M256" s="2936"/>
      <c r="N256" s="2936"/>
      <c r="O256" s="2942"/>
    </row>
    <row r="257" spans="1:15" s="315" customFormat="1" ht="12.75" customHeight="1" thickBot="1">
      <c r="A257" s="284"/>
      <c r="B257" s="2936"/>
      <c r="C257" s="2936"/>
      <c r="D257" s="2936"/>
      <c r="E257" s="2936"/>
      <c r="F257" s="2936"/>
      <c r="G257" s="2936"/>
      <c r="H257" s="2936"/>
      <c r="I257" s="2936"/>
      <c r="J257" s="2936"/>
      <c r="K257" s="2936"/>
      <c r="L257" s="2936"/>
      <c r="M257" s="2936"/>
      <c r="N257" s="2936"/>
      <c r="O257" s="2942"/>
    </row>
    <row r="258" spans="1:15" s="315" customFormat="1" ht="13.5" thickBot="1">
      <c r="A258" s="284"/>
      <c r="B258" s="2936"/>
      <c r="C258" s="2936"/>
      <c r="D258" s="2936"/>
      <c r="E258" s="2936"/>
      <c r="F258" s="2936"/>
      <c r="G258" s="2936"/>
      <c r="H258" s="2936"/>
      <c r="I258" s="2936"/>
      <c r="J258" s="2936"/>
      <c r="K258" s="2936"/>
      <c r="L258" s="2936"/>
      <c r="M258" s="2936"/>
      <c r="N258" s="2936"/>
      <c r="O258" s="2942"/>
    </row>
    <row r="259" spans="1:15" s="315" customFormat="1" ht="13.5" thickBot="1">
      <c r="A259" s="284"/>
      <c r="B259" s="2936"/>
      <c r="C259" s="2936"/>
      <c r="D259" s="2936"/>
      <c r="E259" s="2936"/>
      <c r="F259" s="2936"/>
      <c r="G259" s="2936"/>
      <c r="H259" s="2936"/>
      <c r="I259" s="2936"/>
      <c r="J259" s="2936"/>
      <c r="K259" s="2936"/>
      <c r="L259" s="2936"/>
      <c r="M259" s="2936"/>
      <c r="N259" s="2936"/>
      <c r="O259" s="3006"/>
    </row>
    <row r="260" spans="1:15" s="315" customFormat="1" ht="13.5" thickBot="1">
      <c r="A260" s="284"/>
      <c r="B260" s="2936"/>
      <c r="C260" s="2936"/>
      <c r="D260" s="2936"/>
      <c r="E260" s="2936"/>
      <c r="F260" s="2936"/>
      <c r="G260" s="2936"/>
      <c r="H260" s="2936"/>
      <c r="I260" s="2936"/>
      <c r="J260" s="2936"/>
      <c r="K260" s="2936"/>
      <c r="L260" s="2936"/>
      <c r="M260" s="2936"/>
      <c r="N260" s="2936"/>
      <c r="O260" s="3006"/>
    </row>
    <row r="261" spans="1:15" s="315" customFormat="1" ht="21.75" customHeight="1" thickBot="1">
      <c r="A261" s="284"/>
      <c r="B261" s="2936"/>
      <c r="C261" s="2936"/>
      <c r="D261" s="2936"/>
      <c r="E261" s="2936"/>
      <c r="F261" s="2936"/>
      <c r="G261" s="2936"/>
      <c r="H261" s="2936"/>
      <c r="I261" s="2936"/>
      <c r="J261" s="2936"/>
      <c r="K261" s="2936"/>
      <c r="L261" s="2936"/>
      <c r="M261" s="2936"/>
      <c r="N261" s="2936"/>
      <c r="O261" s="3006"/>
    </row>
    <row r="262" spans="1:15" s="315" customFormat="1" ht="12.75" customHeight="1">
      <c r="A262" s="284"/>
      <c r="B262" s="2936"/>
      <c r="C262" s="2936"/>
      <c r="D262" s="2936"/>
      <c r="E262" s="2936"/>
      <c r="F262" s="2936"/>
      <c r="G262" s="2936"/>
      <c r="H262" s="2936"/>
      <c r="I262" s="2936"/>
      <c r="J262" s="2936"/>
      <c r="K262" s="2936"/>
      <c r="L262" s="2936"/>
      <c r="M262" s="2936"/>
      <c r="N262" s="2936"/>
      <c r="O262" s="3007"/>
    </row>
    <row r="263" spans="1:15" s="315" customFormat="1" ht="12.75" customHeight="1">
      <c r="A263" s="284"/>
      <c r="B263" s="2936"/>
      <c r="C263" s="2936"/>
      <c r="D263" s="2936"/>
      <c r="E263" s="2936"/>
      <c r="F263" s="2936"/>
      <c r="G263" s="2936"/>
      <c r="H263" s="2936"/>
      <c r="I263" s="2936"/>
      <c r="J263" s="2936"/>
      <c r="K263" s="2936"/>
      <c r="L263" s="2936"/>
      <c r="M263" s="2936"/>
      <c r="N263" s="2936"/>
      <c r="O263" s="3008"/>
    </row>
    <row r="264" spans="1:15" s="315" customFormat="1">
      <c r="A264" s="284"/>
      <c r="B264" s="2936"/>
      <c r="C264" s="2936"/>
      <c r="D264" s="2936"/>
      <c r="E264" s="2936"/>
      <c r="F264" s="2936"/>
      <c r="G264" s="2936"/>
      <c r="H264" s="2936"/>
      <c r="I264" s="2936"/>
      <c r="J264" s="2936"/>
      <c r="K264" s="2936"/>
      <c r="L264" s="2936"/>
      <c r="M264" s="2936"/>
      <c r="N264" s="2936"/>
      <c r="O264" s="3008"/>
    </row>
    <row r="265" spans="1:15" s="315" customFormat="1">
      <c r="A265" s="284"/>
      <c r="B265" s="2936"/>
      <c r="C265" s="2936"/>
      <c r="D265" s="2936"/>
      <c r="E265" s="2936"/>
      <c r="F265" s="2936"/>
      <c r="G265" s="2936"/>
      <c r="H265" s="2936"/>
      <c r="I265" s="2936"/>
      <c r="J265" s="2936"/>
      <c r="K265" s="2936"/>
      <c r="L265" s="2936"/>
      <c r="M265" s="2936"/>
      <c r="N265" s="2936"/>
      <c r="O265" s="3008"/>
    </row>
    <row r="266" spans="1:15" s="315" customFormat="1">
      <c r="A266" s="284"/>
      <c r="B266" s="2936"/>
      <c r="C266" s="2936"/>
      <c r="D266" s="2936"/>
      <c r="E266" s="2936"/>
      <c r="F266" s="2936"/>
      <c r="G266" s="2936"/>
      <c r="H266" s="2936"/>
      <c r="I266" s="2936"/>
      <c r="J266" s="2936"/>
      <c r="K266" s="2936"/>
      <c r="L266" s="2936"/>
      <c r="M266" s="2936"/>
      <c r="N266" s="2936"/>
      <c r="O266" s="3008"/>
    </row>
    <row r="267" spans="1:15" s="315" customFormat="1">
      <c r="A267" s="284"/>
      <c r="B267" s="2936"/>
      <c r="C267" s="2936"/>
      <c r="D267" s="2936"/>
      <c r="E267" s="2936"/>
      <c r="F267" s="2936"/>
      <c r="G267" s="2936"/>
      <c r="H267" s="2936"/>
      <c r="I267" s="2936"/>
      <c r="J267" s="2936"/>
      <c r="K267" s="2936"/>
      <c r="L267" s="2936"/>
      <c r="M267" s="2936"/>
      <c r="N267" s="2936"/>
      <c r="O267" s="3008"/>
    </row>
    <row r="268" spans="1:15" s="1269" customFormat="1" ht="35.25" customHeight="1">
      <c r="A268" s="284"/>
      <c r="B268" s="2936"/>
      <c r="C268" s="2936"/>
      <c r="D268" s="2936"/>
      <c r="E268" s="2936"/>
      <c r="F268" s="2936"/>
      <c r="G268" s="2936"/>
      <c r="H268" s="2936"/>
      <c r="I268" s="2936"/>
      <c r="J268" s="2936"/>
      <c r="K268" s="2936"/>
      <c r="L268" s="2936"/>
      <c r="M268" s="2936"/>
      <c r="N268" s="2936"/>
      <c r="O268" s="3008"/>
    </row>
    <row r="269" spans="1:15" s="315" customFormat="1" ht="11.25" customHeight="1">
      <c r="A269" s="284"/>
      <c r="B269" s="2936"/>
      <c r="C269" s="2936"/>
      <c r="D269" s="2936"/>
      <c r="E269" s="2936"/>
      <c r="F269" s="2936"/>
      <c r="G269" s="2936"/>
      <c r="H269" s="2936"/>
      <c r="I269" s="2936"/>
      <c r="J269" s="2936"/>
      <c r="K269" s="2936"/>
      <c r="L269" s="2936"/>
      <c r="M269" s="2936"/>
      <c r="N269" s="2936"/>
      <c r="O269" s="3008"/>
    </row>
    <row r="270" spans="1:15" s="315" customFormat="1" ht="12.75" customHeight="1">
      <c r="A270" s="284"/>
      <c r="B270" s="2936"/>
      <c r="C270" s="2936"/>
      <c r="D270" s="2936"/>
      <c r="E270" s="2936"/>
      <c r="F270" s="2936"/>
      <c r="G270" s="2936"/>
      <c r="H270" s="2936"/>
      <c r="I270" s="2936"/>
      <c r="J270" s="2936"/>
      <c r="K270" s="2936"/>
      <c r="L270" s="2936"/>
      <c r="M270" s="2936"/>
      <c r="N270" s="2936"/>
      <c r="O270" s="3008"/>
    </row>
    <row r="271" spans="1:15" s="1269" customFormat="1" ht="14.25" customHeight="1">
      <c r="A271" s="284"/>
      <c r="B271" s="2936"/>
      <c r="C271" s="2936"/>
      <c r="D271" s="2936"/>
      <c r="E271" s="2936"/>
      <c r="F271" s="2936"/>
      <c r="G271" s="2936"/>
      <c r="H271" s="2936"/>
      <c r="I271" s="2936"/>
      <c r="J271" s="2936"/>
      <c r="K271" s="2936"/>
      <c r="L271" s="2936"/>
      <c r="M271" s="2936"/>
      <c r="N271" s="2936"/>
      <c r="O271" s="3008"/>
    </row>
    <row r="272" spans="1:15" s="315" customFormat="1" ht="11.25" customHeight="1">
      <c r="A272" s="284"/>
      <c r="B272" s="2936"/>
      <c r="C272" s="2936"/>
      <c r="D272" s="2936"/>
      <c r="E272" s="2936"/>
      <c r="F272" s="2936"/>
      <c r="G272" s="2936"/>
      <c r="H272" s="2936"/>
      <c r="I272" s="2936"/>
      <c r="J272" s="2936"/>
      <c r="K272" s="2936"/>
      <c r="L272" s="2936"/>
      <c r="M272" s="2936"/>
      <c r="N272" s="2936"/>
      <c r="O272" s="3008"/>
    </row>
    <row r="273" spans="1:17" s="315" customFormat="1" ht="12.75" customHeight="1">
      <c r="A273" s="284"/>
      <c r="B273" s="2936"/>
      <c r="C273" s="2936"/>
      <c r="D273" s="2936"/>
      <c r="E273" s="2936"/>
      <c r="F273" s="2936"/>
      <c r="G273" s="2936"/>
      <c r="H273" s="2936"/>
      <c r="I273" s="2936"/>
      <c r="J273" s="2936"/>
      <c r="K273" s="2936"/>
      <c r="L273" s="2936"/>
      <c r="M273" s="2936"/>
      <c r="N273" s="2936"/>
      <c r="O273" s="3008"/>
    </row>
    <row r="274" spans="1:17" s="1269" customFormat="1" ht="23.25" customHeight="1">
      <c r="A274" s="284"/>
      <c r="B274" s="2936"/>
      <c r="C274" s="2936"/>
      <c r="D274" s="2936"/>
      <c r="E274" s="2936"/>
      <c r="F274" s="2936"/>
      <c r="G274" s="2936"/>
      <c r="H274" s="2936"/>
      <c r="I274" s="2936"/>
      <c r="J274" s="2936"/>
      <c r="K274" s="2936"/>
      <c r="L274" s="2936"/>
      <c r="M274" s="2936"/>
      <c r="N274" s="2936"/>
      <c r="O274" s="3008"/>
    </row>
    <row r="275" spans="1:17" s="315" customFormat="1" ht="11.25" customHeight="1">
      <c r="A275" s="284"/>
      <c r="B275" s="2936"/>
      <c r="C275" s="2936"/>
      <c r="D275" s="2936"/>
      <c r="E275" s="2936"/>
      <c r="F275" s="2936"/>
      <c r="G275" s="2936"/>
      <c r="H275" s="2936"/>
      <c r="I275" s="2936"/>
      <c r="J275" s="2936"/>
      <c r="K275" s="2936"/>
      <c r="L275" s="2936"/>
      <c r="M275" s="2936"/>
      <c r="N275" s="2936"/>
      <c r="O275" s="3008"/>
    </row>
    <row r="276" spans="1:17" s="315" customFormat="1">
      <c r="A276" s="284"/>
      <c r="B276" s="2936"/>
      <c r="C276" s="2936"/>
      <c r="D276" s="2936"/>
      <c r="E276" s="2936"/>
      <c r="F276" s="2936"/>
      <c r="G276" s="2936"/>
      <c r="H276" s="2936"/>
      <c r="I276" s="2936"/>
      <c r="J276" s="2936"/>
      <c r="K276" s="2936"/>
      <c r="L276" s="2936"/>
      <c r="M276" s="2936"/>
      <c r="N276" s="2936"/>
      <c r="O276" s="3008"/>
    </row>
    <row r="277" spans="1:17" s="315" customFormat="1">
      <c r="A277" s="284"/>
      <c r="B277" s="2936"/>
      <c r="C277" s="2936"/>
      <c r="D277" s="2936"/>
      <c r="E277" s="2936"/>
      <c r="F277" s="2936"/>
      <c r="G277" s="2936"/>
      <c r="H277" s="2936"/>
      <c r="I277" s="2936"/>
      <c r="J277" s="2936"/>
      <c r="K277" s="2936"/>
      <c r="L277" s="2936"/>
      <c r="M277" s="2936"/>
      <c r="N277" s="2936"/>
      <c r="O277" s="3008"/>
    </row>
    <row r="278" spans="1:17" s="1269" customFormat="1" ht="23.25" customHeight="1">
      <c r="A278" s="284"/>
      <c r="B278" s="2936"/>
      <c r="C278" s="2936"/>
      <c r="D278" s="2936"/>
      <c r="E278" s="2936"/>
      <c r="F278" s="2936"/>
      <c r="G278" s="2936"/>
      <c r="H278" s="2936"/>
      <c r="I278" s="2936"/>
      <c r="J278" s="2936"/>
      <c r="K278" s="2936"/>
      <c r="L278" s="2936"/>
      <c r="M278" s="2936"/>
      <c r="N278" s="2936"/>
      <c r="O278" s="3008"/>
    </row>
    <row r="279" spans="1:17" s="315" customFormat="1" ht="11.25" customHeight="1">
      <c r="A279" s="284"/>
      <c r="B279" s="2936"/>
      <c r="C279" s="2936"/>
      <c r="D279" s="2936"/>
      <c r="E279" s="2936"/>
      <c r="F279" s="2936"/>
      <c r="G279" s="2936"/>
      <c r="H279" s="2936"/>
      <c r="I279" s="2936"/>
      <c r="J279" s="2936"/>
      <c r="K279" s="2936"/>
      <c r="L279" s="2936"/>
      <c r="M279" s="2936"/>
      <c r="N279" s="2936"/>
      <c r="O279" s="3008"/>
    </row>
    <row r="280" spans="1:17" s="315" customFormat="1">
      <c r="A280" s="284"/>
      <c r="B280" s="2936"/>
      <c r="C280" s="2936"/>
      <c r="D280" s="2936"/>
      <c r="E280" s="2936"/>
      <c r="F280" s="2936"/>
      <c r="G280" s="2936"/>
      <c r="H280" s="2936"/>
      <c r="I280" s="2936"/>
      <c r="J280" s="2936"/>
      <c r="K280" s="2936"/>
      <c r="L280" s="2936"/>
      <c r="M280" s="2936"/>
      <c r="N280" s="2936"/>
      <c r="O280" s="3008"/>
    </row>
    <row r="281" spans="1:17">
      <c r="B281" s="2936"/>
      <c r="C281" s="2936"/>
      <c r="D281" s="2936"/>
      <c r="E281" s="2936"/>
      <c r="F281" s="2936"/>
      <c r="G281" s="2936"/>
      <c r="H281" s="2936"/>
      <c r="I281" s="2936"/>
      <c r="J281" s="2936"/>
      <c r="K281" s="2936"/>
      <c r="L281" s="2936"/>
      <c r="M281" s="2936"/>
      <c r="N281" s="2936"/>
      <c r="O281" s="3008"/>
      <c r="P281" s="2959"/>
      <c r="Q281" s="2959"/>
    </row>
    <row r="282" spans="1:17">
      <c r="B282" s="2936"/>
      <c r="C282" s="2936"/>
      <c r="D282" s="2936"/>
      <c r="E282" s="2936"/>
      <c r="F282" s="2936"/>
      <c r="G282" s="2936"/>
      <c r="H282" s="2936"/>
      <c r="I282" s="2936"/>
      <c r="J282" s="2936"/>
      <c r="K282" s="2936"/>
      <c r="L282" s="2936"/>
      <c r="M282" s="2936"/>
      <c r="N282" s="2936"/>
      <c r="O282" s="3008"/>
      <c r="P282" s="2959"/>
      <c r="Q282" s="2959"/>
    </row>
    <row r="283" spans="1:17">
      <c r="B283" s="2936"/>
      <c r="C283" s="2936"/>
      <c r="D283" s="2936"/>
      <c r="E283" s="2936"/>
      <c r="F283" s="2936"/>
      <c r="G283" s="2936"/>
      <c r="H283" s="2936"/>
      <c r="I283" s="2936"/>
      <c r="J283" s="2936"/>
      <c r="K283" s="2936"/>
      <c r="L283" s="2936"/>
      <c r="M283" s="2936"/>
      <c r="N283" s="2936"/>
      <c r="O283" s="3008"/>
      <c r="P283" s="2959"/>
      <c r="Q283" s="2959"/>
    </row>
    <row r="284" spans="1:17">
      <c r="B284" s="2936"/>
      <c r="C284" s="2936"/>
      <c r="D284" s="2936"/>
      <c r="E284" s="2936"/>
      <c r="F284" s="2936"/>
      <c r="G284" s="2936"/>
      <c r="H284" s="2936"/>
      <c r="I284" s="2936"/>
      <c r="J284" s="2936"/>
      <c r="K284" s="2936"/>
      <c r="L284" s="2936"/>
      <c r="M284" s="2936"/>
      <c r="N284" s="2936"/>
      <c r="O284" s="3008"/>
      <c r="P284" s="2959"/>
      <c r="Q284" s="2959"/>
    </row>
    <row r="285" spans="1:17">
      <c r="B285" s="2936"/>
      <c r="C285" s="2936"/>
      <c r="D285" s="2936"/>
      <c r="E285" s="2936"/>
      <c r="F285" s="2936"/>
      <c r="G285" s="2936"/>
      <c r="H285" s="2936"/>
      <c r="I285" s="2936"/>
      <c r="J285" s="2936"/>
      <c r="K285" s="2936"/>
      <c r="L285" s="2936"/>
      <c r="M285" s="2936"/>
      <c r="N285" s="2936"/>
      <c r="O285" s="3008"/>
      <c r="P285" s="2959"/>
      <c r="Q285" s="2959"/>
    </row>
    <row r="286" spans="1:17">
      <c r="B286" s="2936"/>
      <c r="C286" s="2936"/>
      <c r="D286" s="2936"/>
      <c r="E286" s="2936"/>
      <c r="F286" s="2936"/>
      <c r="G286" s="2936"/>
      <c r="H286" s="2936"/>
      <c r="I286" s="2936"/>
      <c r="J286" s="2936"/>
      <c r="K286" s="2936"/>
      <c r="L286" s="2936"/>
      <c r="M286" s="2936"/>
      <c r="N286" s="2936"/>
      <c r="O286" s="3008"/>
      <c r="P286" s="2959"/>
      <c r="Q286" s="2959"/>
    </row>
    <row r="287" spans="1:17">
      <c r="B287" s="2936"/>
      <c r="C287" s="2936"/>
      <c r="D287" s="2936"/>
      <c r="E287" s="2936"/>
      <c r="F287" s="2936"/>
      <c r="G287" s="2936"/>
      <c r="H287" s="2936"/>
      <c r="I287" s="2936"/>
      <c r="J287" s="2936"/>
      <c r="K287" s="2936"/>
      <c r="L287" s="2936"/>
      <c r="M287" s="2936"/>
      <c r="N287" s="2936"/>
      <c r="O287" s="3008"/>
      <c r="P287" s="2959"/>
      <c r="Q287" s="2959"/>
    </row>
    <row r="288" spans="1:17">
      <c r="B288" s="2936"/>
      <c r="C288" s="2936"/>
      <c r="D288" s="2936"/>
      <c r="E288" s="2936"/>
      <c r="F288" s="2936"/>
      <c r="G288" s="2936"/>
      <c r="H288" s="2936"/>
      <c r="I288" s="2936"/>
      <c r="J288" s="2936"/>
      <c r="K288" s="2936"/>
      <c r="L288" s="2936"/>
      <c r="M288" s="2936"/>
      <c r="N288" s="2936"/>
      <c r="O288" s="2937"/>
      <c r="P288" s="2959"/>
      <c r="Q288" s="2959"/>
    </row>
    <row r="289" spans="2:17">
      <c r="B289" s="2936"/>
      <c r="C289" s="2936"/>
      <c r="D289" s="2936"/>
      <c r="E289" s="2936"/>
      <c r="F289" s="2936"/>
      <c r="G289" s="2936"/>
      <c r="H289" s="2936"/>
      <c r="I289" s="2936"/>
      <c r="J289" s="2936"/>
      <c r="K289" s="2936"/>
      <c r="L289" s="2936"/>
      <c r="M289" s="2936"/>
      <c r="N289" s="2936"/>
      <c r="O289" s="2937"/>
      <c r="P289" s="2959"/>
      <c r="Q289" s="2959"/>
    </row>
    <row r="290" spans="2:17">
      <c r="B290" s="2936"/>
      <c r="C290" s="2936"/>
      <c r="D290" s="2936"/>
      <c r="E290" s="2936"/>
      <c r="F290" s="2936"/>
      <c r="G290" s="2936"/>
      <c r="H290" s="2936"/>
      <c r="I290" s="2936"/>
      <c r="J290" s="2936"/>
      <c r="K290" s="2936"/>
      <c r="L290" s="2936"/>
      <c r="M290" s="2936"/>
      <c r="N290" s="2936"/>
      <c r="O290" s="2937"/>
      <c r="P290" s="2959"/>
      <c r="Q290" s="2959"/>
    </row>
    <row r="291" spans="2:17">
      <c r="B291" s="2936"/>
      <c r="C291" s="2936"/>
      <c r="D291" s="2936"/>
      <c r="E291" s="2936"/>
      <c r="F291" s="2936"/>
      <c r="G291" s="2936"/>
      <c r="H291" s="2936"/>
      <c r="I291" s="2936"/>
      <c r="J291" s="2936"/>
      <c r="K291" s="2936"/>
      <c r="L291" s="2936"/>
      <c r="M291" s="2936"/>
      <c r="N291" s="2936"/>
      <c r="O291" s="2937"/>
      <c r="P291" s="2959"/>
      <c r="Q291" s="2959"/>
    </row>
    <row r="292" spans="2:17">
      <c r="B292" s="2936"/>
      <c r="C292" s="2936"/>
      <c r="D292" s="2936"/>
      <c r="E292" s="2936"/>
      <c r="F292" s="2936"/>
      <c r="G292" s="2936"/>
      <c r="H292" s="2936"/>
      <c r="I292" s="2936"/>
      <c r="J292" s="2936"/>
      <c r="K292" s="2936"/>
      <c r="L292" s="2936"/>
      <c r="M292" s="2936"/>
      <c r="N292" s="2936"/>
      <c r="O292" s="2937"/>
      <c r="P292" s="2959"/>
      <c r="Q292" s="2959"/>
    </row>
    <row r="293" spans="2:17">
      <c r="B293" s="2936"/>
      <c r="C293" s="2936"/>
      <c r="D293" s="2936"/>
      <c r="E293" s="2936"/>
      <c r="F293" s="2936"/>
      <c r="G293" s="2936"/>
      <c r="H293" s="2936"/>
      <c r="I293" s="2936"/>
      <c r="J293" s="2936"/>
      <c r="K293" s="2936"/>
      <c r="L293" s="2936"/>
      <c r="M293" s="2936"/>
      <c r="N293" s="2936"/>
      <c r="O293" s="2937"/>
      <c r="P293" s="2959"/>
      <c r="Q293" s="2959"/>
    </row>
    <row r="294" spans="2:17">
      <c r="B294" s="2936"/>
      <c r="C294" s="2936"/>
      <c r="D294" s="2936"/>
      <c r="E294" s="2936"/>
      <c r="F294" s="2936"/>
      <c r="G294" s="2936"/>
      <c r="H294" s="2936"/>
      <c r="I294" s="2936"/>
      <c r="J294" s="2936"/>
      <c r="K294" s="2936"/>
      <c r="L294" s="2936"/>
      <c r="M294" s="2936"/>
      <c r="N294" s="2936"/>
      <c r="O294" s="2937"/>
      <c r="P294" s="2959"/>
      <c r="Q294" s="2959"/>
    </row>
    <row r="295" spans="2:17">
      <c r="B295" s="2936"/>
      <c r="C295" s="2936"/>
      <c r="D295" s="2936"/>
      <c r="E295" s="2936"/>
      <c r="F295" s="2936"/>
      <c r="G295" s="2936"/>
      <c r="H295" s="2936"/>
      <c r="I295" s="2936"/>
      <c r="J295" s="2936"/>
      <c r="K295" s="2936"/>
      <c r="L295" s="2936"/>
      <c r="M295" s="2936"/>
      <c r="N295" s="2936"/>
      <c r="O295" s="2937"/>
      <c r="P295" s="2959"/>
      <c r="Q295" s="2959"/>
    </row>
    <row r="296" spans="2:17">
      <c r="B296" s="2936"/>
      <c r="C296" s="2936"/>
      <c r="D296" s="2936"/>
      <c r="E296" s="2936"/>
      <c r="F296" s="2936"/>
      <c r="G296" s="2936"/>
      <c r="H296" s="2936"/>
      <c r="I296" s="2936"/>
      <c r="J296" s="2936"/>
      <c r="K296" s="2936"/>
      <c r="L296" s="2936"/>
      <c r="M296" s="2936"/>
      <c r="N296" s="2936"/>
      <c r="O296" s="2937"/>
      <c r="P296" s="2959"/>
      <c r="Q296" s="2959"/>
    </row>
    <row r="297" spans="2:17">
      <c r="B297" s="2936"/>
      <c r="C297" s="2936"/>
      <c r="D297" s="2936"/>
      <c r="E297" s="2936"/>
      <c r="F297" s="2936"/>
      <c r="G297" s="2936"/>
      <c r="H297" s="2936"/>
      <c r="I297" s="2936"/>
      <c r="J297" s="2936"/>
      <c r="K297" s="2936"/>
      <c r="L297" s="2936"/>
      <c r="M297" s="2936"/>
      <c r="N297" s="2936"/>
      <c r="O297" s="2937"/>
      <c r="P297" s="2959"/>
      <c r="Q297" s="2959"/>
    </row>
    <row r="298" spans="2:17">
      <c r="B298" s="2936"/>
      <c r="C298" s="2936"/>
      <c r="D298" s="2936"/>
      <c r="E298" s="2936"/>
      <c r="F298" s="2936"/>
      <c r="G298" s="2936"/>
      <c r="H298" s="2936"/>
      <c r="I298" s="2936"/>
      <c r="J298" s="2936"/>
      <c r="K298" s="2936"/>
      <c r="L298" s="2936"/>
      <c r="M298" s="2936"/>
      <c r="N298" s="2936"/>
      <c r="O298" s="2937"/>
      <c r="P298" s="2959"/>
      <c r="Q298" s="2959"/>
    </row>
    <row r="299" spans="2:17">
      <c r="B299" s="2936"/>
      <c r="C299" s="2936"/>
      <c r="D299" s="2936"/>
      <c r="E299" s="2936"/>
      <c r="F299" s="2936"/>
      <c r="G299" s="2936"/>
      <c r="H299" s="2936"/>
      <c r="I299" s="2936"/>
      <c r="J299" s="2936"/>
      <c r="K299" s="2936"/>
      <c r="L299" s="2936"/>
      <c r="M299" s="2936"/>
      <c r="N299" s="2936"/>
      <c r="O299" s="2937"/>
      <c r="P299" s="2959"/>
      <c r="Q299" s="2959"/>
    </row>
    <row r="300" spans="2:17">
      <c r="B300" s="2936"/>
      <c r="C300" s="2936"/>
      <c r="D300" s="2936"/>
      <c r="E300" s="2936"/>
      <c r="F300" s="2936"/>
      <c r="G300" s="2936"/>
      <c r="H300" s="2936"/>
      <c r="I300" s="2936"/>
      <c r="J300" s="2936"/>
      <c r="K300" s="2936"/>
      <c r="L300" s="2936"/>
      <c r="M300" s="2936"/>
      <c r="N300" s="2936"/>
      <c r="O300" s="2937"/>
      <c r="P300" s="2959"/>
      <c r="Q300" s="2959"/>
    </row>
    <row r="301" spans="2:17">
      <c r="B301" s="2936"/>
      <c r="C301" s="2936"/>
      <c r="D301" s="2936"/>
      <c r="E301" s="2936"/>
      <c r="F301" s="2936"/>
      <c r="G301" s="2936"/>
      <c r="H301" s="2936"/>
      <c r="I301" s="2936"/>
      <c r="J301" s="2936"/>
      <c r="K301" s="2936"/>
      <c r="L301" s="2936"/>
      <c r="M301" s="2936"/>
      <c r="N301" s="2936"/>
      <c r="O301" s="2937"/>
      <c r="P301" s="2959"/>
      <c r="Q301" s="2959"/>
    </row>
    <row r="302" spans="2:17">
      <c r="B302" s="2936"/>
      <c r="C302" s="2936"/>
      <c r="D302" s="2936"/>
      <c r="E302" s="2936"/>
      <c r="F302" s="2936"/>
      <c r="G302" s="2936"/>
      <c r="H302" s="2936"/>
      <c r="I302" s="2936"/>
      <c r="J302" s="2936"/>
      <c r="K302" s="2936"/>
      <c r="L302" s="2936"/>
      <c r="M302" s="2936"/>
      <c r="N302" s="2936"/>
      <c r="O302" s="2937"/>
      <c r="P302" s="2959"/>
      <c r="Q302" s="2959"/>
    </row>
    <row r="303" spans="2:17">
      <c r="B303" s="2936"/>
      <c r="C303" s="2936"/>
      <c r="D303" s="2936"/>
      <c r="E303" s="2936"/>
      <c r="F303" s="2936"/>
      <c r="G303" s="2936"/>
      <c r="H303" s="2936"/>
      <c r="I303" s="2936"/>
      <c r="J303" s="2936"/>
      <c r="K303" s="2936"/>
      <c r="L303" s="2936"/>
      <c r="M303" s="2936"/>
      <c r="N303" s="2936"/>
      <c r="O303" s="2937"/>
      <c r="P303" s="2959"/>
      <c r="Q303" s="2959"/>
    </row>
    <row r="304" spans="2:17">
      <c r="B304" s="2936"/>
      <c r="C304" s="2936"/>
      <c r="D304" s="2936"/>
      <c r="E304" s="2936"/>
      <c r="F304" s="2936"/>
      <c r="G304" s="2936"/>
      <c r="H304" s="2936"/>
      <c r="I304" s="2936"/>
      <c r="J304" s="2936"/>
      <c r="K304" s="2936"/>
      <c r="L304" s="2936"/>
      <c r="M304" s="2936"/>
      <c r="N304" s="2936"/>
      <c r="O304" s="2937"/>
      <c r="P304" s="2959"/>
      <c r="Q304" s="2959"/>
    </row>
    <row r="305" spans="2:17">
      <c r="B305" s="2936"/>
      <c r="C305" s="2936"/>
      <c r="D305" s="2936"/>
      <c r="E305" s="2936"/>
      <c r="F305" s="2936"/>
      <c r="G305" s="2936"/>
      <c r="H305" s="2936"/>
      <c r="I305" s="2936"/>
      <c r="J305" s="2936"/>
      <c r="K305" s="2936"/>
      <c r="L305" s="2936"/>
      <c r="M305" s="2936"/>
      <c r="N305" s="2936"/>
      <c r="O305" s="2937"/>
      <c r="P305" s="2959"/>
      <c r="Q305" s="2959"/>
    </row>
    <row r="306" spans="2:17">
      <c r="B306" s="2936"/>
      <c r="C306" s="2936"/>
      <c r="D306" s="2936"/>
      <c r="E306" s="2936"/>
      <c r="F306" s="2936"/>
      <c r="G306" s="2936"/>
      <c r="H306" s="2936"/>
      <c r="I306" s="2936"/>
      <c r="J306" s="2936"/>
      <c r="K306" s="2936"/>
      <c r="L306" s="2936"/>
      <c r="M306" s="2936"/>
      <c r="N306" s="2936"/>
      <c r="O306" s="2937"/>
      <c r="P306" s="2959"/>
      <c r="Q306" s="2959"/>
    </row>
    <row r="307" spans="2:17">
      <c r="B307" s="2936"/>
      <c r="C307" s="2936"/>
      <c r="D307" s="2936"/>
      <c r="E307" s="2936"/>
      <c r="F307" s="2936"/>
      <c r="G307" s="2936"/>
      <c r="H307" s="2936"/>
      <c r="I307" s="2936"/>
      <c r="J307" s="2936"/>
      <c r="K307" s="2936"/>
      <c r="L307" s="2936"/>
      <c r="M307" s="2936"/>
      <c r="N307" s="2936"/>
      <c r="O307" s="2937"/>
      <c r="P307" s="2959"/>
      <c r="Q307" s="2959"/>
    </row>
    <row r="308" spans="2:17">
      <c r="B308" s="2936"/>
      <c r="C308" s="2936"/>
      <c r="D308" s="2936"/>
      <c r="E308" s="2936"/>
      <c r="F308" s="2936"/>
      <c r="G308" s="2936"/>
      <c r="H308" s="2936"/>
      <c r="I308" s="2936"/>
      <c r="J308" s="2936"/>
      <c r="K308" s="2936"/>
      <c r="L308" s="2936"/>
      <c r="M308" s="2936"/>
      <c r="N308" s="2936"/>
      <c r="O308" s="2937"/>
      <c r="P308" s="2959"/>
      <c r="Q308" s="2959"/>
    </row>
    <row r="309" spans="2:17">
      <c r="B309" s="2936"/>
      <c r="C309" s="2936"/>
      <c r="D309" s="2936"/>
      <c r="E309" s="2936"/>
      <c r="F309" s="2936"/>
      <c r="G309" s="2936"/>
      <c r="H309" s="2936"/>
      <c r="I309" s="2936"/>
      <c r="J309" s="2936"/>
      <c r="K309" s="2936"/>
      <c r="L309" s="2936"/>
      <c r="M309" s="2936"/>
      <c r="N309" s="2936"/>
      <c r="O309" s="2937"/>
      <c r="P309" s="2959"/>
      <c r="Q309" s="2959"/>
    </row>
    <row r="310" spans="2:17">
      <c r="B310" s="2936"/>
      <c r="C310" s="2936"/>
      <c r="D310" s="2936"/>
      <c r="E310" s="2936"/>
      <c r="F310" s="2936"/>
      <c r="G310" s="2936"/>
      <c r="H310" s="2936"/>
      <c r="I310" s="2936"/>
      <c r="J310" s="2936"/>
      <c r="K310" s="2936"/>
      <c r="L310" s="2936"/>
      <c r="M310" s="2936"/>
      <c r="N310" s="2936"/>
      <c r="O310" s="2937"/>
      <c r="P310" s="2959"/>
      <c r="Q310" s="2959"/>
    </row>
    <row r="311" spans="2:17">
      <c r="B311" s="2936"/>
      <c r="C311" s="2936"/>
      <c r="D311" s="2936"/>
      <c r="E311" s="2936"/>
      <c r="F311" s="2936"/>
      <c r="G311" s="2936"/>
      <c r="H311" s="2936"/>
      <c r="I311" s="2936"/>
      <c r="J311" s="2936"/>
      <c r="K311" s="2936"/>
      <c r="L311" s="2936"/>
      <c r="M311" s="2936"/>
      <c r="N311" s="2936"/>
      <c r="O311" s="2937"/>
      <c r="P311" s="2959"/>
      <c r="Q311" s="2959"/>
    </row>
    <row r="312" spans="2:17">
      <c r="B312" s="2936"/>
      <c r="C312" s="2936"/>
      <c r="D312" s="2936"/>
      <c r="E312" s="2936"/>
      <c r="F312" s="2936"/>
      <c r="G312" s="2936"/>
      <c r="H312" s="2936"/>
      <c r="I312" s="2936"/>
      <c r="J312" s="2936"/>
      <c r="K312" s="2936"/>
      <c r="L312" s="2936"/>
      <c r="M312" s="2936"/>
      <c r="N312" s="2936"/>
      <c r="O312" s="2937"/>
      <c r="P312" s="2959"/>
      <c r="Q312" s="2959"/>
    </row>
    <row r="313" spans="2:17">
      <c r="B313" s="2936"/>
      <c r="C313" s="2936"/>
      <c r="D313" s="2936"/>
      <c r="E313" s="2936"/>
      <c r="F313" s="2936"/>
      <c r="G313" s="2936"/>
      <c r="H313" s="2936"/>
      <c r="I313" s="2936"/>
      <c r="J313" s="2936"/>
      <c r="K313" s="2936"/>
      <c r="L313" s="2936"/>
      <c r="M313" s="2936"/>
      <c r="N313" s="2936"/>
      <c r="O313" s="2937"/>
      <c r="P313" s="2959"/>
      <c r="Q313" s="2959"/>
    </row>
    <row r="314" spans="2:17">
      <c r="B314" s="2936"/>
      <c r="C314" s="2936"/>
      <c r="D314" s="2936"/>
      <c r="E314" s="2936"/>
      <c r="F314" s="2936"/>
      <c r="G314" s="2936"/>
      <c r="H314" s="2936"/>
      <c r="I314" s="2936"/>
      <c r="J314" s="2936"/>
      <c r="K314" s="2936"/>
      <c r="L314" s="2936"/>
      <c r="M314" s="2936"/>
      <c r="N314" s="2936"/>
      <c r="O314" s="2937"/>
      <c r="P314" s="2959"/>
      <c r="Q314" s="2959"/>
    </row>
    <row r="315" spans="2:17">
      <c r="B315" s="2936"/>
      <c r="C315" s="2936"/>
      <c r="D315" s="2936"/>
      <c r="E315" s="2936"/>
      <c r="F315" s="2936"/>
      <c r="G315" s="2936"/>
      <c r="H315" s="2936"/>
      <c r="I315" s="2936"/>
      <c r="J315" s="2936"/>
      <c r="K315" s="2936"/>
      <c r="L315" s="2936"/>
      <c r="M315" s="2936"/>
      <c r="N315" s="2936"/>
      <c r="O315" s="2937"/>
      <c r="P315" s="2959"/>
      <c r="Q315" s="2959"/>
    </row>
    <row r="316" spans="2:17">
      <c r="B316" s="2936"/>
      <c r="C316" s="2936"/>
      <c r="D316" s="2936"/>
      <c r="E316" s="2936"/>
      <c r="F316" s="2936"/>
      <c r="G316" s="2936"/>
      <c r="H316" s="2936"/>
      <c r="I316" s="2936"/>
      <c r="J316" s="2936"/>
      <c r="K316" s="2936"/>
      <c r="L316" s="2936"/>
      <c r="M316" s="2936"/>
      <c r="N316" s="2936"/>
      <c r="O316" s="2937"/>
      <c r="P316" s="2959"/>
      <c r="Q316" s="2959"/>
    </row>
    <row r="317" spans="2:17">
      <c r="B317" s="2936"/>
      <c r="C317" s="2936"/>
      <c r="D317" s="2936"/>
      <c r="E317" s="2936"/>
      <c r="F317" s="2936"/>
      <c r="G317" s="2936"/>
      <c r="H317" s="2936"/>
      <c r="I317" s="2936"/>
      <c r="J317" s="2936"/>
      <c r="K317" s="2936"/>
      <c r="L317" s="2936"/>
      <c r="M317" s="2936"/>
      <c r="N317" s="2936"/>
      <c r="O317" s="2937"/>
      <c r="P317" s="2959"/>
      <c r="Q317" s="2959"/>
    </row>
    <row r="318" spans="2:17">
      <c r="B318" s="2936"/>
      <c r="C318" s="2936"/>
      <c r="D318" s="2936"/>
      <c r="E318" s="2936"/>
      <c r="F318" s="2936"/>
      <c r="G318" s="2936"/>
      <c r="H318" s="2936"/>
      <c r="I318" s="2936"/>
      <c r="J318" s="2936"/>
      <c r="K318" s="2936"/>
      <c r="L318" s="2936"/>
      <c r="M318" s="2936"/>
      <c r="N318" s="2936"/>
      <c r="O318" s="2937"/>
      <c r="P318" s="2959"/>
      <c r="Q318" s="2959"/>
    </row>
    <row r="319" spans="2:17">
      <c r="B319" s="2936"/>
      <c r="C319" s="2936"/>
      <c r="D319" s="2936"/>
      <c r="E319" s="2936"/>
      <c r="F319" s="2936"/>
      <c r="G319" s="2936"/>
      <c r="H319" s="2936"/>
      <c r="I319" s="2936"/>
      <c r="J319" s="2936"/>
      <c r="K319" s="2936"/>
      <c r="L319" s="2936"/>
      <c r="M319" s="2936"/>
      <c r="N319" s="2936"/>
      <c r="O319" s="2937"/>
      <c r="P319" s="2959"/>
      <c r="Q319" s="2959"/>
    </row>
    <row r="320" spans="2:17">
      <c r="B320" s="2936"/>
      <c r="C320" s="2936"/>
      <c r="D320" s="2936"/>
      <c r="E320" s="2936"/>
      <c r="F320" s="2936"/>
      <c r="G320" s="2936"/>
      <c r="H320" s="2936"/>
      <c r="I320" s="2936"/>
      <c r="J320" s="2936"/>
      <c r="K320" s="2936"/>
      <c r="L320" s="2936"/>
      <c r="M320" s="2936"/>
      <c r="N320" s="2936"/>
      <c r="O320" s="2937"/>
      <c r="P320" s="2959"/>
      <c r="Q320" s="2959"/>
    </row>
    <row r="321" spans="2:17">
      <c r="B321" s="2936"/>
      <c r="C321" s="2936"/>
      <c r="D321" s="2936"/>
      <c r="E321" s="2936"/>
      <c r="F321" s="2936"/>
      <c r="G321" s="2936"/>
      <c r="H321" s="2936"/>
      <c r="I321" s="2936"/>
      <c r="J321" s="2936"/>
      <c r="K321" s="2936"/>
      <c r="L321" s="2936"/>
      <c r="M321" s="2936"/>
      <c r="N321" s="2936"/>
      <c r="O321" s="2937"/>
      <c r="P321" s="2959"/>
      <c r="Q321" s="2959"/>
    </row>
    <row r="322" spans="2:17">
      <c r="B322" s="2936"/>
      <c r="C322" s="2936"/>
      <c r="D322" s="2936"/>
      <c r="E322" s="2936"/>
      <c r="F322" s="2936"/>
      <c r="G322" s="2936"/>
      <c r="H322" s="2936"/>
      <c r="I322" s="2936"/>
      <c r="J322" s="2936"/>
      <c r="K322" s="2936"/>
      <c r="L322" s="2936"/>
      <c r="M322" s="2936"/>
      <c r="N322" s="2936"/>
      <c r="O322" s="2937"/>
      <c r="P322" s="2959"/>
      <c r="Q322" s="2959"/>
    </row>
    <row r="323" spans="2:17">
      <c r="B323" s="2936"/>
      <c r="C323" s="2936"/>
      <c r="D323" s="2936"/>
      <c r="E323" s="2936"/>
      <c r="F323" s="2936"/>
      <c r="G323" s="2936"/>
      <c r="H323" s="2936"/>
      <c r="I323" s="2936"/>
      <c r="J323" s="2936"/>
      <c r="K323" s="2936"/>
      <c r="L323" s="2936"/>
      <c r="M323" s="2936"/>
      <c r="N323" s="2936"/>
      <c r="O323" s="2937"/>
      <c r="P323" s="2959"/>
      <c r="Q323" s="2959"/>
    </row>
    <row r="324" spans="2:17">
      <c r="B324" s="2936"/>
      <c r="C324" s="2936"/>
      <c r="D324" s="2936"/>
      <c r="E324" s="2936"/>
      <c r="F324" s="2936"/>
      <c r="G324" s="2936"/>
      <c r="H324" s="2936"/>
      <c r="I324" s="2936"/>
      <c r="J324" s="2936"/>
      <c r="K324" s="2936"/>
      <c r="L324" s="2936"/>
      <c r="M324" s="2936"/>
      <c r="N324" s="2936"/>
      <c r="O324" s="2937"/>
      <c r="P324" s="2959"/>
      <c r="Q324" s="2959"/>
    </row>
    <row r="325" spans="2:17">
      <c r="B325" s="2936"/>
      <c r="C325" s="2936"/>
      <c r="D325" s="2936"/>
      <c r="E325" s="2936"/>
      <c r="F325" s="2936"/>
      <c r="G325" s="2936"/>
      <c r="H325" s="2936"/>
      <c r="I325" s="2936"/>
      <c r="J325" s="2936"/>
      <c r="K325" s="2936"/>
      <c r="L325" s="2936"/>
      <c r="M325" s="2936"/>
      <c r="N325" s="2936"/>
      <c r="O325" s="2937"/>
      <c r="P325" s="2959"/>
      <c r="Q325" s="2959"/>
    </row>
    <row r="326" spans="2:17">
      <c r="B326" s="2936"/>
      <c r="C326" s="2936"/>
      <c r="D326" s="2936"/>
      <c r="E326" s="2936"/>
      <c r="F326" s="2936"/>
      <c r="G326" s="2936"/>
      <c r="H326" s="2936"/>
      <c r="I326" s="2936"/>
      <c r="J326" s="2936"/>
      <c r="K326" s="2936"/>
      <c r="L326" s="2936"/>
      <c r="M326" s="2936"/>
      <c r="N326" s="2936"/>
      <c r="O326" s="2937"/>
      <c r="P326" s="2959"/>
      <c r="Q326" s="2959"/>
    </row>
    <row r="327" spans="2:17">
      <c r="B327" s="2936"/>
      <c r="C327" s="2936"/>
      <c r="D327" s="2936"/>
      <c r="E327" s="2936"/>
      <c r="F327" s="2936"/>
      <c r="G327" s="2936"/>
      <c r="H327" s="2936"/>
      <c r="I327" s="2936"/>
      <c r="J327" s="2936"/>
      <c r="K327" s="2936"/>
      <c r="L327" s="2936"/>
      <c r="M327" s="2936"/>
      <c r="N327" s="2936"/>
      <c r="O327" s="2937"/>
      <c r="P327" s="2959"/>
      <c r="Q327" s="2959"/>
    </row>
    <row r="328" spans="2:17">
      <c r="B328" s="2936"/>
      <c r="C328" s="2936"/>
      <c r="D328" s="2936"/>
      <c r="E328" s="2936"/>
      <c r="F328" s="2936"/>
      <c r="G328" s="2936"/>
      <c r="H328" s="2936"/>
      <c r="I328" s="2936"/>
      <c r="J328" s="2936"/>
      <c r="K328" s="2936"/>
      <c r="L328" s="2936"/>
      <c r="M328" s="2936"/>
      <c r="N328" s="2936"/>
      <c r="O328" s="2937"/>
      <c r="P328" s="2959"/>
      <c r="Q328" s="2959"/>
    </row>
    <row r="329" spans="2:17">
      <c r="B329" s="2936"/>
      <c r="C329" s="2936"/>
      <c r="D329" s="2936"/>
      <c r="E329" s="2936"/>
      <c r="F329" s="2936"/>
      <c r="G329" s="2936"/>
      <c r="H329" s="2936"/>
      <c r="I329" s="2936"/>
      <c r="J329" s="2936"/>
      <c r="K329" s="2936"/>
      <c r="L329" s="2936"/>
      <c r="M329" s="2936"/>
      <c r="N329" s="2936"/>
      <c r="O329" s="2937"/>
      <c r="P329" s="2959"/>
      <c r="Q329" s="2959"/>
    </row>
    <row r="330" spans="2:17">
      <c r="B330" s="2936"/>
      <c r="C330" s="2936"/>
      <c r="D330" s="2936"/>
      <c r="E330" s="2936"/>
      <c r="F330" s="2936"/>
      <c r="G330" s="2936"/>
      <c r="H330" s="2936"/>
      <c r="I330" s="2936"/>
      <c r="J330" s="2936"/>
      <c r="K330" s="2936"/>
      <c r="L330" s="2936"/>
      <c r="M330" s="2936"/>
      <c r="N330" s="2936"/>
      <c r="O330" s="2937"/>
      <c r="P330" s="2959"/>
      <c r="Q330" s="2959"/>
    </row>
    <row r="331" spans="2:17">
      <c r="B331" s="2936"/>
      <c r="C331" s="2936"/>
      <c r="D331" s="2936"/>
      <c r="E331" s="2936"/>
      <c r="F331" s="2936"/>
      <c r="G331" s="2936"/>
      <c r="H331" s="2936"/>
      <c r="I331" s="2936"/>
      <c r="J331" s="2936"/>
      <c r="K331" s="2936"/>
      <c r="L331" s="2936"/>
      <c r="M331" s="2936"/>
      <c r="N331" s="2936"/>
      <c r="O331" s="2937"/>
      <c r="P331" s="2959"/>
      <c r="Q331" s="2959"/>
    </row>
    <row r="332" spans="2:17">
      <c r="B332" s="2936"/>
      <c r="C332" s="2936"/>
      <c r="D332" s="2936"/>
      <c r="E332" s="2936"/>
      <c r="F332" s="2936"/>
      <c r="G332" s="2936"/>
      <c r="H332" s="2936"/>
      <c r="I332" s="2936"/>
      <c r="J332" s="2936"/>
      <c r="K332" s="2936"/>
      <c r="L332" s="2936"/>
      <c r="M332" s="2936"/>
      <c r="N332" s="2936"/>
      <c r="O332" s="2937"/>
      <c r="P332" s="2959"/>
      <c r="Q332" s="2959"/>
    </row>
    <row r="333" spans="2:17">
      <c r="B333" s="2936"/>
      <c r="C333" s="2936"/>
      <c r="D333" s="2936"/>
      <c r="E333" s="2936"/>
      <c r="F333" s="2936"/>
      <c r="G333" s="2936"/>
      <c r="H333" s="2936"/>
      <c r="I333" s="2936"/>
      <c r="J333" s="2936"/>
      <c r="K333" s="2936"/>
      <c r="L333" s="2936"/>
      <c r="M333" s="2936"/>
      <c r="N333" s="2936"/>
      <c r="O333" s="2937"/>
      <c r="P333" s="2959"/>
      <c r="Q333" s="2959"/>
    </row>
    <row r="334" spans="2:17">
      <c r="B334" s="2936"/>
      <c r="C334" s="2936"/>
      <c r="D334" s="2936"/>
      <c r="E334" s="2936"/>
      <c r="F334" s="2936"/>
      <c r="G334" s="2936"/>
      <c r="H334" s="2936"/>
      <c r="I334" s="2936"/>
      <c r="J334" s="2936"/>
      <c r="K334" s="2936"/>
      <c r="L334" s="2936"/>
      <c r="M334" s="2936"/>
      <c r="N334" s="2936"/>
      <c r="O334" s="2937"/>
      <c r="P334" s="2959"/>
      <c r="Q334" s="2959"/>
    </row>
    <row r="335" spans="2:17">
      <c r="B335" s="2936"/>
      <c r="C335" s="2936"/>
      <c r="D335" s="2936"/>
      <c r="E335" s="2936"/>
      <c r="F335" s="2936"/>
      <c r="G335" s="2936"/>
      <c r="H335" s="2936"/>
      <c r="I335" s="2936"/>
      <c r="J335" s="2936"/>
      <c r="K335" s="2936"/>
      <c r="L335" s="2936"/>
      <c r="M335" s="2936"/>
      <c r="N335" s="2936"/>
      <c r="O335" s="2937"/>
      <c r="P335" s="2959"/>
      <c r="Q335" s="2959"/>
    </row>
    <row r="336" spans="2:17">
      <c r="B336" s="2936"/>
      <c r="C336" s="2936"/>
      <c r="D336" s="2936"/>
      <c r="E336" s="2936"/>
      <c r="F336" s="2936"/>
      <c r="G336" s="2936"/>
      <c r="H336" s="2936"/>
      <c r="I336" s="2936"/>
      <c r="J336" s="2936"/>
      <c r="K336" s="2936"/>
      <c r="L336" s="2936"/>
      <c r="M336" s="2936"/>
      <c r="N336" s="2936"/>
      <c r="O336" s="2937"/>
      <c r="P336" s="2959"/>
      <c r="Q336" s="2959"/>
    </row>
    <row r="337" spans="2:17">
      <c r="B337" s="2936"/>
      <c r="C337" s="2936"/>
      <c r="D337" s="2936"/>
      <c r="E337" s="2936"/>
      <c r="F337" s="2936"/>
      <c r="G337" s="2936"/>
      <c r="H337" s="2936"/>
      <c r="I337" s="2936"/>
      <c r="J337" s="2936"/>
      <c r="K337" s="2936"/>
      <c r="L337" s="2936"/>
      <c r="M337" s="2936"/>
      <c r="N337" s="2936"/>
      <c r="O337" s="2937"/>
      <c r="P337" s="2959"/>
      <c r="Q337" s="2959"/>
    </row>
    <row r="338" spans="2:17">
      <c r="B338" s="2936"/>
      <c r="C338" s="2936"/>
      <c r="D338" s="2936"/>
      <c r="E338" s="2936"/>
      <c r="F338" s="2936"/>
      <c r="G338" s="2936"/>
      <c r="H338" s="2936"/>
      <c r="I338" s="2936"/>
      <c r="J338" s="2936"/>
      <c r="K338" s="2936"/>
      <c r="L338" s="2936"/>
      <c r="M338" s="2936"/>
      <c r="N338" s="2936"/>
      <c r="O338" s="2937"/>
      <c r="P338" s="2959"/>
      <c r="Q338" s="2959"/>
    </row>
    <row r="339" spans="2:17">
      <c r="B339" s="2936"/>
      <c r="C339" s="2936"/>
      <c r="D339" s="2936"/>
      <c r="E339" s="2936"/>
      <c r="F339" s="2936"/>
      <c r="G339" s="2936"/>
      <c r="H339" s="2936"/>
      <c r="I339" s="2936"/>
      <c r="J339" s="2936"/>
      <c r="K339" s="2936"/>
      <c r="L339" s="2936"/>
      <c r="M339" s="2936"/>
      <c r="N339" s="2936"/>
      <c r="O339" s="2937"/>
      <c r="P339" s="2959"/>
      <c r="Q339" s="2959"/>
    </row>
    <row r="340" spans="2:17">
      <c r="B340" s="2936"/>
      <c r="C340" s="2936"/>
      <c r="D340" s="2936"/>
      <c r="E340" s="2936"/>
      <c r="F340" s="2936"/>
      <c r="G340" s="2936"/>
      <c r="H340" s="2936"/>
      <c r="I340" s="2936"/>
      <c r="J340" s="2936"/>
      <c r="K340" s="2936"/>
      <c r="L340" s="2936"/>
      <c r="M340" s="2936"/>
      <c r="N340" s="2936"/>
      <c r="O340" s="2937"/>
      <c r="P340" s="2959"/>
      <c r="Q340" s="2959"/>
    </row>
    <row r="341" spans="2:17">
      <c r="B341" s="2936"/>
      <c r="C341" s="2936"/>
      <c r="D341" s="2936"/>
      <c r="E341" s="2936"/>
      <c r="F341" s="2936"/>
      <c r="G341" s="2936"/>
      <c r="H341" s="2936"/>
      <c r="I341" s="2936"/>
      <c r="J341" s="2936"/>
      <c r="K341" s="2936"/>
      <c r="L341" s="2936"/>
      <c r="M341" s="2936"/>
      <c r="N341" s="2936"/>
      <c r="O341" s="2937"/>
      <c r="P341" s="2959"/>
      <c r="Q341" s="2959"/>
    </row>
    <row r="342" spans="2:17">
      <c r="B342" s="2936"/>
      <c r="C342" s="2936"/>
      <c r="D342" s="2936"/>
      <c r="E342" s="2936"/>
      <c r="F342" s="2936"/>
      <c r="G342" s="2936"/>
      <c r="H342" s="2936"/>
      <c r="I342" s="2936"/>
      <c r="J342" s="2936"/>
      <c r="K342" s="2936"/>
      <c r="L342" s="2936"/>
      <c r="M342" s="2936"/>
      <c r="N342" s="2936"/>
      <c r="O342" s="2937"/>
      <c r="P342" s="2959"/>
      <c r="Q342" s="2959"/>
    </row>
    <row r="343" spans="2:17">
      <c r="B343" s="2936"/>
      <c r="C343" s="2936"/>
      <c r="D343" s="2936"/>
      <c r="E343" s="2936"/>
      <c r="F343" s="2936"/>
      <c r="G343" s="2936"/>
      <c r="H343" s="2936"/>
      <c r="I343" s="2936"/>
      <c r="J343" s="2936"/>
      <c r="K343" s="2936"/>
      <c r="L343" s="2936"/>
      <c r="M343" s="2936"/>
      <c r="N343" s="2936"/>
      <c r="O343" s="2937"/>
      <c r="P343" s="2959"/>
      <c r="Q343" s="2959"/>
    </row>
    <row r="344" spans="2:17">
      <c r="B344" s="2936"/>
      <c r="C344" s="2936"/>
      <c r="D344" s="2936"/>
      <c r="E344" s="2936"/>
      <c r="F344" s="2936"/>
      <c r="G344" s="2936"/>
      <c r="H344" s="2936"/>
      <c r="I344" s="2936"/>
      <c r="J344" s="2936"/>
      <c r="K344" s="2936"/>
      <c r="L344" s="2936"/>
      <c r="M344" s="2936"/>
      <c r="N344" s="2936"/>
      <c r="O344" s="2937"/>
      <c r="P344" s="2959"/>
      <c r="Q344" s="2959"/>
    </row>
    <row r="345" spans="2:17">
      <c r="B345" s="2936"/>
      <c r="C345" s="2936"/>
      <c r="D345" s="2936"/>
      <c r="E345" s="2936"/>
      <c r="F345" s="2936"/>
      <c r="G345" s="2936"/>
      <c r="H345" s="2936"/>
      <c r="I345" s="2936"/>
      <c r="J345" s="2936"/>
      <c r="K345" s="2936"/>
      <c r="L345" s="2936"/>
      <c r="M345" s="2936"/>
      <c r="N345" s="2936"/>
      <c r="O345" s="2937"/>
      <c r="P345" s="2959"/>
      <c r="Q345" s="2959"/>
    </row>
    <row r="346" spans="2:17">
      <c r="B346" s="2936"/>
      <c r="C346" s="2936"/>
      <c r="D346" s="2936"/>
      <c r="E346" s="2936"/>
      <c r="F346" s="2936"/>
      <c r="G346" s="2936"/>
      <c r="H346" s="2936"/>
      <c r="I346" s="2936"/>
      <c r="J346" s="2936"/>
      <c r="K346" s="2936"/>
      <c r="L346" s="2936"/>
      <c r="M346" s="2936"/>
      <c r="N346" s="2936"/>
      <c r="O346" s="2937"/>
      <c r="P346" s="2959"/>
      <c r="Q346" s="2959"/>
    </row>
    <row r="347" spans="2:17">
      <c r="B347" s="2936"/>
      <c r="C347" s="2936"/>
      <c r="D347" s="2936"/>
      <c r="E347" s="2936"/>
      <c r="F347" s="2936"/>
      <c r="G347" s="2936"/>
      <c r="H347" s="2936"/>
      <c r="I347" s="2936"/>
      <c r="J347" s="2936"/>
      <c r="K347" s="2936"/>
      <c r="L347" s="2936"/>
      <c r="M347" s="2936"/>
      <c r="N347" s="2936"/>
      <c r="O347" s="2937"/>
      <c r="P347" s="2959"/>
      <c r="Q347" s="2959"/>
    </row>
    <row r="348" spans="2:17">
      <c r="B348" s="2936"/>
      <c r="C348" s="2936"/>
      <c r="D348" s="2936"/>
      <c r="E348" s="2936"/>
      <c r="F348" s="2936"/>
      <c r="G348" s="2936"/>
      <c r="H348" s="2936"/>
      <c r="I348" s="2936"/>
      <c r="J348" s="2936"/>
      <c r="K348" s="2936"/>
      <c r="L348" s="2936"/>
      <c r="M348" s="2936"/>
      <c r="N348" s="2936"/>
      <c r="O348" s="2937"/>
      <c r="P348" s="2959"/>
      <c r="Q348" s="2959"/>
    </row>
    <row r="349" spans="2:17">
      <c r="B349" s="2936"/>
      <c r="C349" s="2936"/>
      <c r="D349" s="2936"/>
      <c r="E349" s="2936"/>
      <c r="F349" s="2936"/>
      <c r="G349" s="2936"/>
      <c r="H349" s="2936"/>
      <c r="I349" s="2936"/>
      <c r="J349" s="2936"/>
      <c r="K349" s="2936"/>
      <c r="L349" s="2936"/>
      <c r="M349" s="2936"/>
      <c r="N349" s="2936"/>
      <c r="O349" s="2937"/>
      <c r="P349" s="2959"/>
      <c r="Q349" s="2959"/>
    </row>
    <row r="350" spans="2:17">
      <c r="B350" s="2936"/>
      <c r="C350" s="2936"/>
      <c r="D350" s="2936"/>
      <c r="E350" s="2936"/>
      <c r="F350" s="2936"/>
      <c r="G350" s="2936"/>
      <c r="H350" s="2936"/>
      <c r="I350" s="2936"/>
      <c r="J350" s="2936"/>
      <c r="K350" s="2936"/>
      <c r="L350" s="2936"/>
      <c r="M350" s="2936"/>
      <c r="N350" s="2936"/>
      <c r="O350" s="2937"/>
      <c r="P350" s="2959"/>
      <c r="Q350" s="2959"/>
    </row>
    <row r="351" spans="2:17">
      <c r="B351" s="2936"/>
      <c r="C351" s="2936"/>
      <c r="D351" s="2936"/>
      <c r="E351" s="2936"/>
      <c r="F351" s="2936"/>
      <c r="G351" s="2936"/>
      <c r="H351" s="2936"/>
      <c r="I351" s="2936"/>
      <c r="J351" s="2936"/>
      <c r="K351" s="2936"/>
      <c r="L351" s="2936"/>
      <c r="M351" s="2936"/>
      <c r="N351" s="2936"/>
      <c r="O351" s="2937"/>
      <c r="P351" s="2959"/>
      <c r="Q351" s="2959"/>
    </row>
    <row r="352" spans="2:17">
      <c r="B352" s="2936"/>
      <c r="C352" s="2936"/>
      <c r="D352" s="2936"/>
      <c r="E352" s="2936"/>
      <c r="F352" s="2936"/>
      <c r="G352" s="2936"/>
      <c r="H352" s="2936"/>
      <c r="I352" s="2936"/>
      <c r="J352" s="2936"/>
      <c r="K352" s="2936"/>
      <c r="L352" s="2936"/>
      <c r="M352" s="2936"/>
      <c r="N352" s="2936"/>
      <c r="O352" s="2937"/>
      <c r="P352" s="2959"/>
      <c r="Q352" s="2959"/>
    </row>
    <row r="353" spans="2:17">
      <c r="B353" s="2936"/>
      <c r="C353" s="2936"/>
      <c r="D353" s="2936"/>
      <c r="E353" s="2936"/>
      <c r="F353" s="2936"/>
      <c r="G353" s="2936"/>
      <c r="H353" s="2936"/>
      <c r="I353" s="2936"/>
      <c r="J353" s="2936"/>
      <c r="K353" s="2936"/>
      <c r="L353" s="2936"/>
      <c r="M353" s="2936"/>
      <c r="N353" s="2936"/>
      <c r="O353" s="2937"/>
      <c r="P353" s="2959"/>
      <c r="Q353" s="2959"/>
    </row>
    <row r="354" spans="2:17">
      <c r="B354" s="2936"/>
      <c r="C354" s="2936"/>
      <c r="D354" s="2936"/>
      <c r="E354" s="2936"/>
      <c r="F354" s="2936"/>
      <c r="G354" s="2936"/>
      <c r="H354" s="2936"/>
      <c r="I354" s="2936"/>
      <c r="J354" s="2936"/>
      <c r="K354" s="2936"/>
      <c r="L354" s="2936"/>
      <c r="M354" s="2936"/>
      <c r="N354" s="2936"/>
      <c r="O354" s="2937"/>
      <c r="P354" s="2959"/>
      <c r="Q354" s="2959"/>
    </row>
    <row r="355" spans="2:17">
      <c r="B355" s="2936"/>
      <c r="C355" s="2936"/>
      <c r="D355" s="2936"/>
      <c r="E355" s="2936"/>
      <c r="F355" s="2936"/>
      <c r="G355" s="2936"/>
      <c r="H355" s="2936"/>
      <c r="I355" s="2936"/>
      <c r="J355" s="2936"/>
      <c r="K355" s="2936"/>
      <c r="L355" s="2936"/>
      <c r="M355" s="2936"/>
      <c r="N355" s="2936"/>
      <c r="O355" s="2937"/>
      <c r="P355" s="2959"/>
      <c r="Q355" s="2959"/>
    </row>
    <row r="356" spans="2:17">
      <c r="B356" s="2936"/>
      <c r="C356" s="2936"/>
      <c r="D356" s="2936"/>
      <c r="E356" s="2936"/>
      <c r="F356" s="2936"/>
      <c r="G356" s="2936"/>
      <c r="H356" s="2936"/>
      <c r="I356" s="2936"/>
      <c r="J356" s="2936"/>
      <c r="K356" s="2936"/>
      <c r="L356" s="2936"/>
      <c r="M356" s="2936"/>
      <c r="N356" s="2936"/>
      <c r="O356" s="2937"/>
      <c r="P356" s="2959"/>
      <c r="Q356" s="2959"/>
    </row>
    <row r="357" spans="2:17">
      <c r="B357" s="2936"/>
      <c r="C357" s="2936"/>
      <c r="D357" s="2936"/>
      <c r="E357" s="2936"/>
      <c r="F357" s="2936"/>
      <c r="G357" s="2936"/>
      <c r="H357" s="2936"/>
      <c r="I357" s="2936"/>
      <c r="J357" s="2936"/>
      <c r="K357" s="2936"/>
      <c r="L357" s="2936"/>
      <c r="M357" s="2936"/>
      <c r="N357" s="2936"/>
      <c r="O357" s="2937"/>
      <c r="P357" s="2959"/>
      <c r="Q357" s="2959"/>
    </row>
    <row r="358" spans="2:17">
      <c r="B358" s="2936"/>
      <c r="C358" s="2936"/>
      <c r="D358" s="2936"/>
      <c r="E358" s="2936"/>
      <c r="F358" s="2936"/>
      <c r="G358" s="2936"/>
      <c r="H358" s="2936"/>
      <c r="I358" s="2936"/>
      <c r="J358" s="2936"/>
      <c r="K358" s="2936"/>
      <c r="L358" s="2936"/>
      <c r="M358" s="2936"/>
      <c r="N358" s="2936"/>
      <c r="O358" s="2937"/>
      <c r="P358" s="2959"/>
      <c r="Q358" s="2959"/>
    </row>
    <row r="359" spans="2:17">
      <c r="B359" s="2936"/>
      <c r="C359" s="2936"/>
      <c r="D359" s="2936"/>
      <c r="E359" s="2936"/>
      <c r="F359" s="2936"/>
      <c r="G359" s="2936"/>
      <c r="H359" s="2936"/>
      <c r="I359" s="2936"/>
      <c r="J359" s="2936"/>
      <c r="K359" s="2936"/>
      <c r="L359" s="2936"/>
      <c r="M359" s="2936"/>
      <c r="N359" s="2936"/>
      <c r="O359" s="2937"/>
      <c r="P359" s="2959"/>
      <c r="Q359" s="2959"/>
    </row>
    <row r="360" spans="2:17">
      <c r="B360" s="2936"/>
      <c r="C360" s="2936"/>
      <c r="D360" s="2936"/>
      <c r="E360" s="2936"/>
      <c r="F360" s="2936"/>
      <c r="G360" s="2936"/>
      <c r="H360" s="2936"/>
      <c r="I360" s="2936"/>
      <c r="J360" s="2936"/>
      <c r="K360" s="2936"/>
      <c r="L360" s="2936"/>
      <c r="M360" s="2936"/>
      <c r="N360" s="2936"/>
      <c r="O360" s="2937"/>
      <c r="P360" s="2959"/>
      <c r="Q360" s="2959"/>
    </row>
    <row r="361" spans="2:17">
      <c r="B361" s="2936"/>
      <c r="C361" s="2936"/>
      <c r="D361" s="2936"/>
      <c r="E361" s="2936"/>
      <c r="F361" s="2936"/>
      <c r="G361" s="2936"/>
      <c r="H361" s="2936"/>
      <c r="I361" s="2936"/>
      <c r="J361" s="2936"/>
      <c r="K361" s="2936"/>
      <c r="L361" s="2936"/>
      <c r="M361" s="2936"/>
      <c r="N361" s="2936"/>
      <c r="O361" s="2937"/>
      <c r="P361" s="2959"/>
      <c r="Q361" s="2959"/>
    </row>
    <row r="362" spans="2:17">
      <c r="B362" s="2936"/>
      <c r="C362" s="2936"/>
      <c r="D362" s="2936"/>
      <c r="E362" s="2936"/>
      <c r="F362" s="2936"/>
      <c r="G362" s="2936"/>
      <c r="H362" s="2936"/>
      <c r="I362" s="2936"/>
      <c r="J362" s="2936"/>
      <c r="K362" s="2936"/>
      <c r="L362" s="2936"/>
      <c r="M362" s="2936"/>
      <c r="N362" s="2936"/>
      <c r="O362" s="2937"/>
      <c r="P362" s="2959"/>
      <c r="Q362" s="2959"/>
    </row>
    <row r="363" spans="2:17">
      <c r="B363" s="2936"/>
      <c r="C363" s="2936"/>
      <c r="D363" s="2936"/>
      <c r="E363" s="2936"/>
      <c r="F363" s="2936"/>
      <c r="G363" s="2936"/>
      <c r="H363" s="2936"/>
      <c r="I363" s="2936"/>
      <c r="J363" s="2936"/>
      <c r="K363" s="2936"/>
      <c r="L363" s="2936"/>
      <c r="M363" s="2936"/>
      <c r="N363" s="2936"/>
      <c r="O363" s="2937"/>
      <c r="P363" s="2959"/>
      <c r="Q363" s="2959"/>
    </row>
    <row r="364" spans="2:17">
      <c r="B364" s="2936"/>
      <c r="C364" s="2936"/>
      <c r="D364" s="2936"/>
      <c r="E364" s="2936"/>
      <c r="F364" s="2936"/>
      <c r="G364" s="2936"/>
      <c r="H364" s="2936"/>
      <c r="I364" s="2936"/>
      <c r="J364" s="2936"/>
      <c r="K364" s="2936"/>
      <c r="L364" s="2936"/>
      <c r="M364" s="2936"/>
      <c r="N364" s="2936"/>
      <c r="O364" s="2937"/>
      <c r="P364" s="2959"/>
      <c r="Q364" s="2959"/>
    </row>
    <row r="365" spans="2:17">
      <c r="B365" s="2936"/>
      <c r="C365" s="2936"/>
      <c r="D365" s="2936"/>
      <c r="E365" s="2936"/>
      <c r="F365" s="2936"/>
      <c r="G365" s="2936"/>
      <c r="H365" s="2936"/>
      <c r="I365" s="2936"/>
      <c r="J365" s="2936"/>
      <c r="K365" s="2936"/>
      <c r="L365" s="2936"/>
      <c r="M365" s="2936"/>
      <c r="N365" s="2936"/>
      <c r="O365" s="2937"/>
      <c r="P365" s="2959"/>
      <c r="Q365" s="2959"/>
    </row>
    <row r="366" spans="2:17">
      <c r="B366" s="2936"/>
      <c r="C366" s="2936"/>
      <c r="D366" s="2936"/>
      <c r="E366" s="2936"/>
      <c r="F366" s="2936"/>
      <c r="G366" s="2936"/>
      <c r="H366" s="2936"/>
      <c r="I366" s="2936"/>
      <c r="J366" s="2936"/>
      <c r="K366" s="2936"/>
      <c r="L366" s="2936"/>
      <c r="M366" s="2936"/>
      <c r="N366" s="2936"/>
      <c r="O366" s="2937"/>
      <c r="P366" s="2959"/>
      <c r="Q366" s="2959"/>
    </row>
    <row r="367" spans="2:17">
      <c r="B367" s="2936"/>
      <c r="C367" s="2936"/>
      <c r="D367" s="2936"/>
      <c r="E367" s="2936"/>
      <c r="F367" s="2936"/>
      <c r="G367" s="2936"/>
      <c r="H367" s="2936"/>
      <c r="I367" s="2936"/>
      <c r="J367" s="2936"/>
      <c r="K367" s="2936"/>
      <c r="L367" s="2936"/>
      <c r="M367" s="2936"/>
      <c r="N367" s="2936"/>
      <c r="O367" s="2937"/>
      <c r="P367" s="2959"/>
      <c r="Q367" s="2959"/>
    </row>
    <row r="368" spans="2:17">
      <c r="B368" s="2936"/>
      <c r="C368" s="2936"/>
      <c r="D368" s="2936"/>
      <c r="E368" s="2936"/>
      <c r="F368" s="2936"/>
      <c r="G368" s="2936"/>
      <c r="H368" s="2936"/>
      <c r="I368" s="2936"/>
      <c r="J368" s="2936"/>
      <c r="K368" s="2936"/>
      <c r="L368" s="2936"/>
      <c r="M368" s="2936"/>
      <c r="N368" s="2936"/>
      <c r="O368" s="2937"/>
      <c r="P368" s="2959"/>
      <c r="Q368" s="2959"/>
    </row>
    <row r="369" spans="2:17">
      <c r="B369" s="2936"/>
      <c r="C369" s="2936"/>
      <c r="D369" s="2936"/>
      <c r="E369" s="2936"/>
      <c r="F369" s="2936"/>
      <c r="G369" s="2936"/>
      <c r="H369" s="2936"/>
      <c r="I369" s="2936"/>
      <c r="J369" s="2936"/>
      <c r="K369" s="2936"/>
      <c r="L369" s="2936"/>
      <c r="M369" s="2936"/>
      <c r="N369" s="2936"/>
      <c r="O369" s="2937"/>
      <c r="P369" s="2959"/>
      <c r="Q369" s="2959"/>
    </row>
    <row r="370" spans="2:17">
      <c r="B370" s="2936"/>
      <c r="C370" s="2936"/>
      <c r="D370" s="2936"/>
      <c r="E370" s="2936"/>
      <c r="F370" s="2936"/>
      <c r="G370" s="2936"/>
      <c r="H370" s="2936"/>
      <c r="I370" s="2936"/>
      <c r="J370" s="2936"/>
      <c r="K370" s="2936"/>
      <c r="L370" s="2936"/>
      <c r="M370" s="2936"/>
      <c r="N370" s="2936"/>
      <c r="O370" s="2937"/>
      <c r="P370" s="2959"/>
      <c r="Q370" s="2959"/>
    </row>
    <row r="371" spans="2:17">
      <c r="B371" s="2936"/>
      <c r="C371" s="2936"/>
      <c r="D371" s="2936"/>
      <c r="E371" s="2936"/>
      <c r="F371" s="2936"/>
      <c r="G371" s="2936"/>
      <c r="H371" s="2936"/>
      <c r="I371" s="2936"/>
      <c r="J371" s="2936"/>
      <c r="K371" s="2936"/>
      <c r="L371" s="2936"/>
      <c r="M371" s="2936"/>
      <c r="N371" s="2936"/>
      <c r="O371" s="2937"/>
      <c r="P371" s="2959"/>
      <c r="Q371" s="2959"/>
    </row>
    <row r="372" spans="2:17">
      <c r="B372" s="2936"/>
      <c r="C372" s="2936"/>
      <c r="D372" s="2936"/>
      <c r="E372" s="2936"/>
      <c r="F372" s="2936"/>
      <c r="G372" s="2936"/>
      <c r="H372" s="2936"/>
      <c r="I372" s="2936"/>
      <c r="J372" s="2936"/>
      <c r="K372" s="2936"/>
      <c r="L372" s="2936"/>
      <c r="M372" s="2936"/>
      <c r="N372" s="2936"/>
      <c r="O372" s="2937"/>
      <c r="P372" s="2959"/>
      <c r="Q372" s="2959"/>
    </row>
    <row r="373" spans="2:17">
      <c r="B373" s="2936"/>
      <c r="C373" s="2936"/>
      <c r="D373" s="2936"/>
      <c r="E373" s="2936"/>
      <c r="F373" s="2936"/>
      <c r="G373" s="2936"/>
      <c r="H373" s="2936"/>
      <c r="I373" s="2936"/>
      <c r="J373" s="2936"/>
      <c r="K373" s="2936"/>
      <c r="L373" s="2936"/>
      <c r="M373" s="2936"/>
      <c r="N373" s="2936"/>
      <c r="O373" s="2937"/>
      <c r="P373" s="2959"/>
      <c r="Q373" s="2959"/>
    </row>
    <row r="374" spans="2:17">
      <c r="B374" s="2936"/>
      <c r="C374" s="2936"/>
      <c r="D374" s="2936"/>
      <c r="E374" s="2936"/>
      <c r="F374" s="2936"/>
      <c r="G374" s="2936"/>
      <c r="H374" s="2936"/>
      <c r="I374" s="2936"/>
      <c r="J374" s="2936"/>
      <c r="K374" s="2936"/>
      <c r="L374" s="2936"/>
      <c r="M374" s="2936"/>
      <c r="N374" s="2936"/>
      <c r="O374" s="2937"/>
      <c r="P374" s="2959"/>
      <c r="Q374" s="2959"/>
    </row>
    <row r="375" spans="2:17">
      <c r="B375" s="2936"/>
      <c r="C375" s="2936"/>
      <c r="D375" s="2936"/>
      <c r="E375" s="2936"/>
      <c r="F375" s="2936"/>
      <c r="G375" s="2936"/>
      <c r="H375" s="2936"/>
      <c r="I375" s="2936"/>
      <c r="J375" s="2936"/>
      <c r="K375" s="2936"/>
      <c r="L375" s="2936"/>
      <c r="M375" s="2936"/>
      <c r="N375" s="2936"/>
      <c r="O375" s="2937"/>
      <c r="P375" s="2959"/>
      <c r="Q375" s="2959"/>
    </row>
    <row r="376" spans="2:17">
      <c r="B376" s="2936"/>
      <c r="C376" s="2936"/>
      <c r="D376" s="2936"/>
      <c r="E376" s="2936"/>
      <c r="F376" s="2936"/>
      <c r="G376" s="2936"/>
      <c r="H376" s="2936"/>
      <c r="I376" s="2936"/>
      <c r="J376" s="2936"/>
      <c r="K376" s="2936"/>
      <c r="L376" s="2936"/>
      <c r="M376" s="2936"/>
      <c r="N376" s="2936"/>
      <c r="O376" s="2937"/>
      <c r="P376" s="2959"/>
      <c r="Q376" s="2959"/>
    </row>
    <row r="377" spans="2:17">
      <c r="B377" s="2936"/>
      <c r="C377" s="2936"/>
      <c r="D377" s="2936"/>
      <c r="E377" s="2936"/>
      <c r="F377" s="2936"/>
      <c r="G377" s="2936"/>
      <c r="H377" s="2936"/>
      <c r="I377" s="2936"/>
      <c r="J377" s="2936"/>
      <c r="K377" s="2936"/>
      <c r="L377" s="2936"/>
      <c r="M377" s="2936"/>
      <c r="N377" s="2936"/>
      <c r="O377" s="2937"/>
      <c r="P377" s="2959"/>
      <c r="Q377" s="2959"/>
    </row>
    <row r="378" spans="2:17">
      <c r="B378" s="2936"/>
      <c r="C378" s="2936"/>
      <c r="D378" s="2936"/>
      <c r="E378" s="2936"/>
      <c r="F378" s="2936"/>
      <c r="G378" s="2936"/>
      <c r="H378" s="2936"/>
      <c r="I378" s="2936"/>
      <c r="J378" s="2936"/>
      <c r="K378" s="2936"/>
      <c r="L378" s="2936"/>
      <c r="M378" s="2936"/>
      <c r="N378" s="2936"/>
      <c r="O378" s="2937"/>
      <c r="P378" s="2959"/>
      <c r="Q378" s="2959"/>
    </row>
    <row r="379" spans="2:17">
      <c r="B379" s="2936"/>
      <c r="C379" s="2936"/>
      <c r="D379" s="2936"/>
      <c r="E379" s="2936"/>
      <c r="F379" s="2936"/>
      <c r="G379" s="2936"/>
      <c r="H379" s="2936"/>
      <c r="I379" s="2936"/>
      <c r="J379" s="2936"/>
      <c r="K379" s="2936"/>
      <c r="L379" s="2936"/>
      <c r="M379" s="2936"/>
      <c r="N379" s="2936"/>
      <c r="O379" s="2937"/>
      <c r="P379" s="2959"/>
      <c r="Q379" s="2959"/>
    </row>
    <row r="380" spans="2:17">
      <c r="B380" s="2936"/>
      <c r="C380" s="2936"/>
      <c r="D380" s="2936"/>
      <c r="E380" s="2936"/>
      <c r="F380" s="2936"/>
      <c r="G380" s="2936"/>
      <c r="H380" s="2936"/>
      <c r="I380" s="2936"/>
      <c r="J380" s="2936"/>
      <c r="K380" s="2936"/>
      <c r="L380" s="2936"/>
      <c r="M380" s="2936"/>
      <c r="N380" s="2936"/>
      <c r="O380" s="2937"/>
      <c r="P380" s="2959"/>
      <c r="Q380" s="2959"/>
    </row>
    <row r="381" spans="2:17">
      <c r="B381" s="2936"/>
      <c r="C381" s="2936"/>
      <c r="D381" s="2936"/>
      <c r="E381" s="2936"/>
      <c r="F381" s="2936"/>
      <c r="G381" s="2936"/>
      <c r="H381" s="2936"/>
      <c r="I381" s="2936"/>
      <c r="J381" s="2936"/>
      <c r="K381" s="2936"/>
      <c r="L381" s="2936"/>
      <c r="M381" s="2936"/>
      <c r="N381" s="2936"/>
      <c r="O381" s="2937"/>
      <c r="P381" s="2959"/>
      <c r="Q381" s="2959"/>
    </row>
    <row r="382" spans="2:17">
      <c r="B382" s="2936"/>
      <c r="C382" s="2936"/>
      <c r="D382" s="2936"/>
      <c r="E382" s="2936"/>
      <c r="F382" s="2936"/>
      <c r="G382" s="2936"/>
      <c r="H382" s="2936"/>
      <c r="I382" s="2936"/>
      <c r="J382" s="2936"/>
      <c r="K382" s="2936"/>
      <c r="L382" s="2936"/>
      <c r="M382" s="2936"/>
      <c r="N382" s="2936"/>
      <c r="O382" s="2937"/>
      <c r="P382" s="2959"/>
      <c r="Q382" s="2959"/>
    </row>
    <row r="383" spans="2:17">
      <c r="B383" s="2936"/>
      <c r="C383" s="2936"/>
      <c r="D383" s="2936"/>
      <c r="E383" s="2936"/>
      <c r="F383" s="2936"/>
      <c r="G383" s="2936"/>
      <c r="H383" s="2936"/>
      <c r="I383" s="2936"/>
      <c r="J383" s="2936"/>
      <c r="K383" s="2936"/>
      <c r="L383" s="2936"/>
      <c r="M383" s="2936"/>
      <c r="N383" s="2936"/>
      <c r="O383" s="2937"/>
      <c r="P383" s="2959"/>
      <c r="Q383" s="2959"/>
    </row>
    <row r="384" spans="2:17">
      <c r="B384" s="2936"/>
      <c r="C384" s="2936"/>
      <c r="D384" s="2936"/>
      <c r="E384" s="2936"/>
      <c r="F384" s="2936"/>
      <c r="G384" s="2936"/>
      <c r="H384" s="2936"/>
      <c r="I384" s="2936"/>
      <c r="J384" s="2936"/>
      <c r="K384" s="2936"/>
      <c r="L384" s="2936"/>
      <c r="M384" s="2936"/>
      <c r="N384" s="2936"/>
      <c r="O384" s="2937"/>
      <c r="P384" s="2959"/>
      <c r="Q384" s="2959"/>
    </row>
    <row r="385" spans="2:17">
      <c r="B385" s="2936"/>
      <c r="C385" s="2936"/>
      <c r="D385" s="2936"/>
      <c r="E385" s="2936"/>
      <c r="F385" s="2936"/>
      <c r="G385" s="2936"/>
      <c r="H385" s="2936"/>
      <c r="I385" s="2936"/>
      <c r="J385" s="2936"/>
      <c r="K385" s="2936"/>
      <c r="L385" s="2936"/>
      <c r="M385" s="2936"/>
      <c r="N385" s="2936"/>
      <c r="O385" s="2937"/>
      <c r="P385" s="2959"/>
      <c r="Q385" s="2959"/>
    </row>
    <row r="386" spans="2:17">
      <c r="B386" s="2936"/>
      <c r="C386" s="2936"/>
      <c r="D386" s="2936"/>
      <c r="E386" s="2936"/>
      <c r="F386" s="2936"/>
      <c r="G386" s="2936"/>
      <c r="H386" s="2936"/>
      <c r="I386" s="2936"/>
      <c r="J386" s="2936"/>
      <c r="K386" s="2936"/>
      <c r="L386" s="2936"/>
      <c r="M386" s="2936"/>
      <c r="N386" s="2936"/>
      <c r="O386" s="2937"/>
      <c r="P386" s="2959"/>
      <c r="Q386" s="2959"/>
    </row>
    <row r="387" spans="2:17">
      <c r="B387" s="2936"/>
      <c r="C387" s="2936"/>
      <c r="D387" s="2936"/>
      <c r="E387" s="2936"/>
      <c r="F387" s="2936"/>
      <c r="G387" s="2936"/>
      <c r="H387" s="2936"/>
      <c r="I387" s="2936"/>
      <c r="J387" s="2936"/>
      <c r="K387" s="2936"/>
      <c r="L387" s="2936"/>
      <c r="M387" s="2936"/>
      <c r="N387" s="2936"/>
      <c r="O387" s="2937"/>
      <c r="P387" s="2959"/>
      <c r="Q387" s="2959"/>
    </row>
    <row r="388" spans="2:17">
      <c r="B388" s="2936"/>
      <c r="C388" s="2936"/>
      <c r="D388" s="2936"/>
      <c r="E388" s="2936"/>
      <c r="F388" s="2936"/>
      <c r="G388" s="2936"/>
      <c r="H388" s="2936"/>
      <c r="I388" s="2936"/>
      <c r="J388" s="2936"/>
      <c r="K388" s="2936"/>
      <c r="L388" s="2936"/>
      <c r="M388" s="2936"/>
      <c r="N388" s="2936"/>
      <c r="O388" s="2937"/>
      <c r="P388" s="2959"/>
      <c r="Q388" s="2959"/>
    </row>
    <row r="389" spans="2:17">
      <c r="B389" s="2936"/>
      <c r="C389" s="2936"/>
      <c r="D389" s="2936"/>
      <c r="E389" s="2936"/>
      <c r="F389" s="2936"/>
      <c r="G389" s="2936"/>
      <c r="H389" s="2936"/>
      <c r="I389" s="2936"/>
      <c r="J389" s="2936"/>
      <c r="K389" s="2936"/>
      <c r="L389" s="2936"/>
      <c r="M389" s="2936"/>
      <c r="N389" s="2936"/>
      <c r="O389" s="2937"/>
      <c r="P389" s="2959"/>
      <c r="Q389" s="2959"/>
    </row>
    <row r="390" spans="2:17">
      <c r="B390" s="2936"/>
      <c r="C390" s="2936"/>
      <c r="D390" s="2936"/>
      <c r="E390" s="2936"/>
      <c r="F390" s="2936"/>
      <c r="G390" s="2936"/>
      <c r="H390" s="2936"/>
      <c r="I390" s="2936"/>
      <c r="J390" s="2936"/>
      <c r="K390" s="2936"/>
      <c r="L390" s="2936"/>
      <c r="M390" s="2936"/>
      <c r="N390" s="2936"/>
      <c r="O390" s="2937"/>
      <c r="P390" s="2959"/>
      <c r="Q390" s="2959"/>
    </row>
    <row r="391" spans="2:17">
      <c r="B391" s="2936"/>
      <c r="C391" s="2936"/>
      <c r="D391" s="2936"/>
      <c r="E391" s="2936"/>
      <c r="F391" s="2936"/>
      <c r="G391" s="2936"/>
      <c r="H391" s="2936"/>
      <c r="I391" s="2936"/>
      <c r="J391" s="2936"/>
      <c r="K391" s="2936"/>
      <c r="L391" s="2936"/>
      <c r="M391" s="2936"/>
      <c r="N391" s="2936"/>
      <c r="O391" s="2937"/>
      <c r="P391" s="2959"/>
      <c r="Q391" s="2959"/>
    </row>
    <row r="392" spans="2:17">
      <c r="B392" s="2936"/>
      <c r="C392" s="2936"/>
      <c r="D392" s="2936"/>
      <c r="E392" s="2936"/>
      <c r="F392" s="2936"/>
      <c r="G392" s="2936"/>
      <c r="H392" s="2936"/>
      <c r="I392" s="2936"/>
      <c r="J392" s="2936"/>
      <c r="K392" s="2936"/>
      <c r="L392" s="2936"/>
      <c r="M392" s="2936"/>
      <c r="N392" s="2936"/>
      <c r="O392" s="2937"/>
      <c r="P392" s="2959"/>
      <c r="Q392" s="2959"/>
    </row>
    <row r="393" spans="2:17">
      <c r="B393" s="2936"/>
      <c r="C393" s="2936"/>
      <c r="D393" s="2936"/>
      <c r="E393" s="2936"/>
      <c r="F393" s="2936"/>
      <c r="G393" s="2936"/>
      <c r="H393" s="2936"/>
      <c r="I393" s="2936"/>
      <c r="J393" s="2936"/>
      <c r="K393" s="2936"/>
      <c r="L393" s="2936"/>
      <c r="M393" s="2936"/>
      <c r="N393" s="2936"/>
      <c r="O393" s="2937"/>
      <c r="P393" s="2959"/>
      <c r="Q393" s="2959"/>
    </row>
    <row r="394" spans="2:17">
      <c r="B394" s="2936"/>
      <c r="C394" s="2936"/>
      <c r="D394" s="2936"/>
      <c r="E394" s="2936"/>
      <c r="F394" s="2936"/>
      <c r="G394" s="2936"/>
      <c r="H394" s="2936"/>
      <c r="I394" s="2936"/>
      <c r="J394" s="2936"/>
      <c r="K394" s="2936"/>
      <c r="L394" s="2936"/>
      <c r="M394" s="2936"/>
      <c r="N394" s="2936"/>
      <c r="O394" s="2937"/>
      <c r="P394" s="2959"/>
      <c r="Q394" s="2959"/>
    </row>
    <row r="395" spans="2:17">
      <c r="B395" s="2936"/>
      <c r="C395" s="2936"/>
      <c r="D395" s="2936"/>
      <c r="E395" s="2936"/>
      <c r="F395" s="2936"/>
      <c r="G395" s="2936"/>
      <c r="H395" s="2936"/>
      <c r="I395" s="2936"/>
      <c r="J395" s="2936"/>
      <c r="K395" s="2936"/>
      <c r="L395" s="2936"/>
      <c r="M395" s="2936"/>
      <c r="N395" s="2936"/>
      <c r="O395" s="2937"/>
      <c r="P395" s="2959"/>
      <c r="Q395" s="2959"/>
    </row>
    <row r="396" spans="2:17">
      <c r="B396" s="2936"/>
      <c r="C396" s="2936"/>
      <c r="D396" s="2936"/>
      <c r="E396" s="2936"/>
      <c r="F396" s="2936"/>
      <c r="G396" s="2936"/>
      <c r="H396" s="2936"/>
      <c r="I396" s="2936"/>
      <c r="J396" s="2936"/>
      <c r="K396" s="2936"/>
      <c r="L396" s="2936"/>
      <c r="M396" s="2936"/>
      <c r="N396" s="2936"/>
      <c r="O396" s="2937"/>
      <c r="P396" s="2959"/>
      <c r="Q396" s="2959"/>
    </row>
    <row r="397" spans="2:17">
      <c r="B397" s="2936"/>
      <c r="C397" s="2936"/>
      <c r="D397" s="2936"/>
      <c r="E397" s="2936"/>
      <c r="F397" s="2936"/>
      <c r="G397" s="2936"/>
      <c r="H397" s="2936"/>
      <c r="I397" s="2936"/>
      <c r="J397" s="2936"/>
      <c r="K397" s="2936"/>
      <c r="L397" s="2936"/>
      <c r="M397" s="2936"/>
      <c r="N397" s="2936"/>
      <c r="O397" s="2937"/>
      <c r="P397" s="2959"/>
      <c r="Q397" s="2959"/>
    </row>
    <row r="398" spans="2:17">
      <c r="B398" s="2936"/>
      <c r="C398" s="2936"/>
      <c r="D398" s="2936"/>
      <c r="E398" s="2936"/>
      <c r="F398" s="2936"/>
      <c r="G398" s="2936"/>
      <c r="H398" s="2936"/>
      <c r="I398" s="2936"/>
      <c r="J398" s="2936"/>
      <c r="K398" s="2936"/>
      <c r="L398" s="2936"/>
      <c r="M398" s="2936"/>
      <c r="N398" s="2936"/>
      <c r="O398" s="2937"/>
      <c r="P398" s="2959"/>
      <c r="Q398" s="2959"/>
    </row>
    <row r="399" spans="2:17">
      <c r="B399" s="2936"/>
      <c r="C399" s="2936"/>
      <c r="D399" s="2936"/>
      <c r="E399" s="2936"/>
      <c r="F399" s="2936"/>
      <c r="G399" s="2936"/>
      <c r="H399" s="2936"/>
      <c r="I399" s="2936"/>
      <c r="J399" s="2936"/>
      <c r="K399" s="2936"/>
      <c r="L399" s="2936"/>
      <c r="M399" s="2936"/>
      <c r="N399" s="2936"/>
      <c r="O399" s="2937"/>
      <c r="P399" s="2959"/>
      <c r="Q399" s="2959"/>
    </row>
    <row r="400" spans="2:17">
      <c r="B400" s="2936"/>
      <c r="C400" s="2936"/>
      <c r="D400" s="2936"/>
      <c r="E400" s="2936"/>
      <c r="F400" s="2936"/>
      <c r="G400" s="2936"/>
      <c r="H400" s="2936"/>
      <c r="I400" s="2936"/>
      <c r="J400" s="2936"/>
      <c r="K400" s="2936"/>
      <c r="L400" s="2936"/>
      <c r="M400" s="2936"/>
      <c r="N400" s="2936"/>
      <c r="O400" s="2937"/>
      <c r="P400" s="2959"/>
      <c r="Q400" s="2959"/>
    </row>
    <row r="401" spans="1:17" ht="13.5" thickBot="1">
      <c r="A401" s="2091"/>
      <c r="B401" s="2936"/>
      <c r="C401" s="2936"/>
      <c r="D401" s="2936"/>
      <c r="E401" s="2936"/>
      <c r="F401" s="2936"/>
      <c r="G401" s="2936"/>
      <c r="H401" s="2936"/>
      <c r="I401" s="2936"/>
      <c r="J401" s="2936"/>
      <c r="K401" s="2936"/>
      <c r="L401" s="2936"/>
      <c r="M401" s="2936"/>
      <c r="N401" s="2936"/>
      <c r="O401" s="2937"/>
      <c r="P401" s="2959"/>
      <c r="Q401" s="2959"/>
    </row>
    <row r="402" spans="1:17" ht="13.5" thickBot="1">
      <c r="A402" s="2465"/>
      <c r="B402" s="2936"/>
      <c r="C402" s="2936"/>
      <c r="D402" s="2936"/>
      <c r="E402" s="2936"/>
      <c r="F402" s="2936"/>
      <c r="G402" s="2936"/>
      <c r="H402" s="2936"/>
      <c r="I402" s="2936"/>
      <c r="J402" s="2936"/>
      <c r="K402" s="2936"/>
      <c r="L402" s="2936"/>
      <c r="M402" s="2936"/>
      <c r="N402" s="2936"/>
      <c r="O402" s="2937"/>
      <c r="P402" s="2959"/>
      <c r="Q402" s="2959"/>
    </row>
    <row r="403" spans="1:17" ht="13.5" thickBot="1">
      <c r="A403" s="2465"/>
      <c r="B403" s="2936"/>
      <c r="C403" s="2936"/>
      <c r="D403" s="2936"/>
      <c r="E403" s="2936"/>
      <c r="F403" s="2936"/>
      <c r="G403" s="2936"/>
      <c r="H403" s="2936"/>
      <c r="I403" s="2936"/>
      <c r="J403" s="2936"/>
      <c r="K403" s="2936"/>
      <c r="L403" s="2936"/>
      <c r="M403" s="2936"/>
      <c r="N403" s="2936"/>
      <c r="O403" s="2937"/>
      <c r="P403" s="2959"/>
      <c r="Q403" s="2959"/>
    </row>
    <row r="404" spans="1:17" ht="13.5" thickBot="1">
      <c r="A404" s="2465"/>
      <c r="B404" s="2936"/>
      <c r="C404" s="2936"/>
      <c r="D404" s="2936"/>
      <c r="E404" s="2936"/>
      <c r="F404" s="2936"/>
      <c r="G404" s="2936"/>
      <c r="H404" s="2936"/>
      <c r="I404" s="2936"/>
      <c r="J404" s="2936"/>
      <c r="K404" s="2936"/>
      <c r="L404" s="2936"/>
      <c r="M404" s="2936"/>
      <c r="N404" s="2936"/>
      <c r="O404" s="2937"/>
      <c r="P404" s="2959"/>
      <c r="Q404" s="2959"/>
    </row>
    <row r="405" spans="1:17" ht="13.5" thickBot="1">
      <c r="A405" s="2465"/>
      <c r="B405" s="2936"/>
      <c r="C405" s="2936"/>
      <c r="D405" s="2936"/>
      <c r="E405" s="2936"/>
      <c r="F405" s="2936"/>
      <c r="G405" s="2936"/>
      <c r="H405" s="2936"/>
      <c r="I405" s="2936"/>
      <c r="J405" s="2936"/>
      <c r="K405" s="2936"/>
      <c r="L405" s="2936"/>
      <c r="M405" s="2936"/>
      <c r="N405" s="2936"/>
      <c r="O405" s="2937"/>
      <c r="P405" s="2959"/>
      <c r="Q405" s="2959"/>
    </row>
    <row r="406" spans="1:17" ht="13.5" thickBot="1">
      <c r="A406" s="2465"/>
      <c r="B406" s="2936"/>
      <c r="C406" s="2936"/>
      <c r="D406" s="2936"/>
      <c r="E406" s="2936"/>
      <c r="F406" s="2936"/>
      <c r="G406" s="2936"/>
      <c r="H406" s="2936"/>
      <c r="I406" s="2936"/>
      <c r="J406" s="2936"/>
      <c r="K406" s="2936"/>
      <c r="L406" s="2936"/>
      <c r="M406" s="2936"/>
      <c r="N406" s="2936"/>
      <c r="O406" s="2937"/>
      <c r="P406" s="2959"/>
      <c r="Q406" s="2959"/>
    </row>
    <row r="407" spans="1:17" ht="13.5" thickBot="1">
      <c r="A407" s="2465"/>
      <c r="B407" s="2936"/>
      <c r="C407" s="2936"/>
      <c r="D407" s="2936"/>
      <c r="E407" s="2936"/>
      <c r="F407" s="2936"/>
      <c r="G407" s="2936"/>
      <c r="H407" s="2936"/>
      <c r="I407" s="2936"/>
      <c r="J407" s="2936"/>
      <c r="K407" s="2936"/>
      <c r="L407" s="2936"/>
      <c r="M407" s="2936"/>
      <c r="N407" s="2939"/>
      <c r="O407" s="2940"/>
      <c r="P407" s="2959"/>
      <c r="Q407" s="2959"/>
    </row>
    <row r="408" spans="1:17" ht="13.5" thickBot="1">
      <c r="A408" s="2465"/>
      <c r="B408" s="2936"/>
      <c r="C408" s="2939"/>
      <c r="D408" s="2936"/>
      <c r="E408" s="2936"/>
      <c r="F408" s="2936"/>
      <c r="G408" s="2936"/>
      <c r="H408" s="2936"/>
      <c r="I408" s="2936"/>
      <c r="J408" s="2936"/>
      <c r="K408" s="2936"/>
      <c r="L408" s="2936"/>
      <c r="M408" s="2936"/>
      <c r="N408" s="2941"/>
      <c r="O408" s="2942"/>
      <c r="P408" s="2959"/>
      <c r="Q408" s="2959"/>
    </row>
    <row r="409" spans="1:17" ht="13.5" thickBot="1">
      <c r="A409" s="2465"/>
      <c r="B409" s="2936"/>
      <c r="C409" s="2941"/>
      <c r="D409" s="2939"/>
      <c r="E409" s="2939"/>
      <c r="F409" s="2939"/>
      <c r="G409" s="2939"/>
      <c r="H409" s="2939"/>
      <c r="I409" s="2939"/>
      <c r="J409" s="2939"/>
      <c r="K409" s="2939"/>
      <c r="L409" s="2939"/>
      <c r="M409" s="2936"/>
      <c r="N409" s="2941"/>
      <c r="O409" s="2942"/>
      <c r="P409" s="2959"/>
      <c r="Q409" s="2959"/>
    </row>
    <row r="410" spans="1:17" ht="13.5" thickBot="1">
      <c r="A410" s="2465"/>
      <c r="B410" s="2936"/>
      <c r="C410" s="2943"/>
      <c r="D410" s="2943"/>
      <c r="E410" s="2943"/>
      <c r="F410" s="2943"/>
      <c r="G410" s="2943"/>
      <c r="H410" s="2943"/>
      <c r="I410" s="2943"/>
      <c r="J410" s="2943"/>
      <c r="K410" s="2943"/>
      <c r="L410" s="2943"/>
      <c r="M410" s="2936"/>
      <c r="N410" s="2943"/>
      <c r="O410" s="2942"/>
      <c r="P410" s="2959"/>
      <c r="Q410" s="2959"/>
    </row>
    <row r="411" spans="1:17" ht="13.5" thickBot="1">
      <c r="A411" s="2465"/>
      <c r="B411" s="2936"/>
      <c r="C411" s="2936"/>
      <c r="D411" s="2936"/>
      <c r="E411" s="2936"/>
      <c r="F411" s="2936"/>
      <c r="G411" s="2936"/>
      <c r="H411" s="2936"/>
      <c r="I411" s="2936"/>
      <c r="J411" s="2936"/>
      <c r="K411" s="2936"/>
      <c r="L411" s="2936"/>
      <c r="M411" s="2936"/>
      <c r="N411" s="2936"/>
      <c r="O411" s="2942"/>
      <c r="P411" s="2959"/>
      <c r="Q411" s="2959"/>
    </row>
    <row r="412" spans="1:17" ht="13.5" thickBot="1">
      <c r="A412" s="2465"/>
      <c r="B412" s="2936"/>
      <c r="C412" s="2936"/>
      <c r="D412" s="2936"/>
      <c r="E412" s="2936"/>
      <c r="F412" s="2936"/>
      <c r="G412" s="2936"/>
      <c r="H412" s="2936"/>
      <c r="I412" s="2936"/>
      <c r="J412" s="2936"/>
      <c r="K412" s="2936"/>
      <c r="L412" s="2936"/>
      <c r="M412" s="2936"/>
      <c r="N412" s="2936"/>
      <c r="O412" s="2942"/>
      <c r="P412" s="2959"/>
      <c r="Q412" s="2959"/>
    </row>
    <row r="413" spans="1:17" ht="13.5" thickBot="1">
      <c r="A413" s="2465"/>
      <c r="B413" s="2936"/>
      <c r="C413" s="2936"/>
      <c r="D413" s="2936"/>
      <c r="E413" s="2936"/>
      <c r="F413" s="2936"/>
      <c r="G413" s="2936"/>
      <c r="H413" s="2936"/>
      <c r="I413" s="2936"/>
      <c r="J413" s="2936"/>
      <c r="K413" s="2936"/>
      <c r="L413" s="2936"/>
      <c r="M413" s="2936"/>
      <c r="N413" s="2936"/>
      <c r="O413" s="2942"/>
      <c r="P413" s="2959"/>
      <c r="Q413" s="2959"/>
    </row>
    <row r="414" spans="1:17" ht="13.5" thickBot="1">
      <c r="A414" s="2465"/>
      <c r="B414" s="2936"/>
      <c r="C414" s="2936"/>
      <c r="D414" s="2936"/>
      <c r="E414" s="2936"/>
      <c r="F414" s="2936"/>
      <c r="G414" s="2936"/>
      <c r="H414" s="2936"/>
      <c r="I414" s="2936"/>
      <c r="J414" s="2936"/>
      <c r="K414" s="2936"/>
      <c r="L414" s="2936"/>
      <c r="M414" s="2936"/>
      <c r="N414" s="2936"/>
      <c r="O414" s="2942"/>
      <c r="P414" s="2959"/>
      <c r="Q414" s="2959"/>
    </row>
    <row r="415" spans="1:17" ht="13.5" thickBot="1">
      <c r="A415" s="2465"/>
      <c r="B415" s="2936"/>
      <c r="C415" s="2936"/>
      <c r="D415" s="2936"/>
      <c r="E415" s="2936"/>
      <c r="F415" s="2936"/>
      <c r="G415" s="2936"/>
      <c r="H415" s="2936"/>
      <c r="I415" s="2936"/>
      <c r="J415" s="2936"/>
      <c r="K415" s="2936"/>
      <c r="L415" s="2936"/>
      <c r="M415" s="2936"/>
      <c r="N415" s="2936"/>
      <c r="O415" s="2944"/>
      <c r="P415" s="2959"/>
      <c r="Q415" s="2959"/>
    </row>
    <row r="416" spans="1:17" ht="13.5" thickBot="1">
      <c r="A416" s="2465"/>
      <c r="B416" s="2936"/>
      <c r="C416" s="2936"/>
      <c r="D416" s="2936"/>
      <c r="E416" s="2936"/>
      <c r="F416" s="2936"/>
      <c r="G416" s="2936"/>
      <c r="H416" s="2936"/>
      <c r="I416" s="2936"/>
      <c r="J416" s="2936"/>
      <c r="K416" s="2936"/>
      <c r="L416" s="2936"/>
      <c r="M416" s="2936"/>
      <c r="N416" s="2936"/>
      <c r="O416" s="2937"/>
      <c r="P416" s="2959"/>
      <c r="Q416" s="2959"/>
    </row>
    <row r="417" spans="1:17" ht="13.5" thickBot="1">
      <c r="A417" s="2465"/>
      <c r="B417" s="2936"/>
      <c r="C417" s="2936"/>
      <c r="D417" s="2936"/>
      <c r="E417" s="2936"/>
      <c r="F417" s="2936"/>
      <c r="G417" s="2936"/>
      <c r="H417" s="2936"/>
      <c r="I417" s="2936"/>
      <c r="J417" s="2936"/>
      <c r="K417" s="2936"/>
      <c r="L417" s="2936"/>
      <c r="M417" s="2936"/>
      <c r="N417" s="2936"/>
      <c r="O417" s="2937"/>
      <c r="P417" s="2959"/>
      <c r="Q417" s="2959"/>
    </row>
    <row r="418" spans="1:17">
      <c r="A418" s="2466"/>
      <c r="B418" s="2936"/>
      <c r="C418" s="2936"/>
      <c r="D418" s="2936"/>
      <c r="E418" s="2936"/>
      <c r="F418" s="2936"/>
      <c r="G418" s="2936"/>
      <c r="H418" s="2936"/>
      <c r="I418" s="2936"/>
      <c r="J418" s="2936"/>
      <c r="K418" s="2936"/>
      <c r="L418" s="2936"/>
      <c r="M418" s="2936"/>
      <c r="N418" s="2936"/>
      <c r="O418" s="2937"/>
      <c r="P418" s="2959"/>
      <c r="Q418" s="2959"/>
    </row>
    <row r="419" spans="1:17">
      <c r="B419" s="2936"/>
      <c r="C419" s="2936"/>
      <c r="D419" s="2936"/>
      <c r="E419" s="2936"/>
      <c r="F419" s="2936"/>
      <c r="G419" s="2936"/>
      <c r="H419" s="2936"/>
      <c r="I419" s="2936"/>
      <c r="J419" s="2936"/>
      <c r="K419" s="2936"/>
      <c r="L419" s="2936"/>
      <c r="M419" s="2936"/>
      <c r="N419" s="2936"/>
      <c r="O419" s="2937"/>
      <c r="P419" s="2959"/>
      <c r="Q419" s="2959"/>
    </row>
    <row r="420" spans="1:17">
      <c r="B420" s="2936"/>
      <c r="C420" s="2936"/>
      <c r="D420" s="2936"/>
      <c r="E420" s="2936"/>
      <c r="F420" s="2936"/>
      <c r="G420" s="2936"/>
      <c r="H420" s="2936"/>
      <c r="I420" s="2936"/>
      <c r="J420" s="2936"/>
      <c r="K420" s="2936"/>
      <c r="L420" s="2936"/>
      <c r="M420" s="2936"/>
      <c r="N420" s="2936"/>
      <c r="O420" s="2937"/>
      <c r="P420" s="2959"/>
      <c r="Q420" s="2959"/>
    </row>
    <row r="421" spans="1:17">
      <c r="B421" s="2936"/>
      <c r="C421" s="2936"/>
      <c r="D421" s="2936"/>
      <c r="E421" s="2936"/>
      <c r="F421" s="2936"/>
      <c r="G421" s="2936"/>
      <c r="H421" s="2936"/>
      <c r="I421" s="2936"/>
      <c r="J421" s="2936"/>
      <c r="K421" s="2936"/>
      <c r="L421" s="2936"/>
      <c r="M421" s="2936"/>
      <c r="N421" s="2936"/>
      <c r="O421" s="2937"/>
      <c r="P421" s="2959"/>
      <c r="Q421" s="2959"/>
    </row>
    <row r="422" spans="1:17">
      <c r="B422" s="2936"/>
      <c r="C422" s="2936"/>
      <c r="D422" s="2936"/>
      <c r="E422" s="2936"/>
      <c r="F422" s="2936"/>
      <c r="G422" s="2936"/>
      <c r="H422" s="2936"/>
      <c r="I422" s="2936"/>
      <c r="J422" s="2936"/>
      <c r="K422" s="2936"/>
      <c r="L422" s="2936"/>
      <c r="M422" s="2936"/>
      <c r="N422" s="2936"/>
      <c r="O422" s="2937"/>
      <c r="P422" s="2959"/>
      <c r="Q422" s="2959"/>
    </row>
    <row r="423" spans="1:17">
      <c r="B423" s="2936"/>
      <c r="C423" s="2936"/>
      <c r="D423" s="2936"/>
      <c r="E423" s="2936"/>
      <c r="F423" s="2936"/>
      <c r="G423" s="2936"/>
      <c r="H423" s="2936"/>
      <c r="I423" s="2936"/>
      <c r="J423" s="2936"/>
      <c r="K423" s="2936"/>
      <c r="L423" s="2936"/>
      <c r="M423" s="2936"/>
      <c r="N423" s="2936"/>
      <c r="O423" s="2937"/>
      <c r="P423" s="2959"/>
      <c r="Q423" s="2959"/>
    </row>
    <row r="424" spans="1:17">
      <c r="B424" s="2936"/>
      <c r="C424" s="2936"/>
      <c r="D424" s="2936"/>
      <c r="E424" s="2936"/>
      <c r="F424" s="2936"/>
      <c r="G424" s="2936"/>
      <c r="H424" s="2936"/>
      <c r="I424" s="2936"/>
      <c r="J424" s="2936"/>
      <c r="K424" s="2936"/>
      <c r="L424" s="2936"/>
      <c r="M424" s="2936"/>
      <c r="N424" s="2936"/>
      <c r="O424" s="2937"/>
      <c r="P424" s="2959"/>
      <c r="Q424" s="2959"/>
    </row>
    <row r="425" spans="1:17">
      <c r="B425" s="2936"/>
      <c r="C425" s="2936"/>
      <c r="D425" s="2936"/>
      <c r="E425" s="2936"/>
      <c r="F425" s="2936"/>
      <c r="G425" s="2936"/>
      <c r="H425" s="2936"/>
      <c r="I425" s="2936"/>
      <c r="J425" s="2936"/>
      <c r="K425" s="2936"/>
      <c r="L425" s="2936"/>
      <c r="M425" s="2936"/>
      <c r="N425" s="2936"/>
      <c r="O425" s="2937"/>
      <c r="P425" s="2959"/>
      <c r="Q425" s="2959"/>
    </row>
    <row r="426" spans="1:17">
      <c r="B426" s="2936"/>
      <c r="C426" s="2936"/>
      <c r="D426" s="2936"/>
      <c r="E426" s="2936"/>
      <c r="F426" s="2936"/>
      <c r="G426" s="2936"/>
      <c r="H426" s="2936"/>
      <c r="I426" s="2936"/>
      <c r="J426" s="2936"/>
      <c r="K426" s="2936"/>
      <c r="L426" s="2936"/>
      <c r="M426" s="2936"/>
      <c r="N426" s="2936"/>
      <c r="O426" s="2937"/>
      <c r="P426" s="2959"/>
      <c r="Q426" s="2959"/>
    </row>
    <row r="427" spans="1:17">
      <c r="B427" s="2936"/>
      <c r="C427" s="2936"/>
      <c r="D427" s="2936"/>
      <c r="E427" s="2936"/>
      <c r="F427" s="2936"/>
      <c r="G427" s="2936"/>
      <c r="H427" s="2936"/>
      <c r="I427" s="2936"/>
      <c r="J427" s="2936"/>
      <c r="K427" s="2936"/>
      <c r="L427" s="2936"/>
      <c r="M427" s="2936"/>
      <c r="N427" s="2936"/>
      <c r="O427" s="2937"/>
      <c r="P427" s="2959"/>
      <c r="Q427" s="2959"/>
    </row>
    <row r="428" spans="1:17">
      <c r="B428" s="2936"/>
      <c r="C428" s="2936"/>
      <c r="D428" s="2936"/>
      <c r="E428" s="2936"/>
      <c r="F428" s="2936"/>
      <c r="G428" s="2936"/>
      <c r="H428" s="2936"/>
      <c r="I428" s="2936"/>
      <c r="J428" s="2936"/>
      <c r="K428" s="2936"/>
      <c r="L428" s="2936"/>
      <c r="M428" s="2936"/>
      <c r="N428" s="2936"/>
      <c r="O428" s="2937"/>
      <c r="P428" s="2959"/>
      <c r="Q428" s="2959"/>
    </row>
    <row r="429" spans="1:17">
      <c r="B429" s="2936"/>
      <c r="C429" s="2936"/>
      <c r="D429" s="2936"/>
      <c r="E429" s="2936"/>
      <c r="F429" s="2936"/>
      <c r="G429" s="2936"/>
      <c r="H429" s="2936"/>
      <c r="I429" s="2936"/>
      <c r="J429" s="2936"/>
      <c r="K429" s="2936"/>
      <c r="L429" s="2936"/>
      <c r="M429" s="2936"/>
      <c r="N429" s="2936"/>
      <c r="O429" s="2937"/>
      <c r="P429" s="2959"/>
      <c r="Q429" s="2959"/>
    </row>
    <row r="430" spans="1:17">
      <c r="B430" s="2936"/>
      <c r="C430" s="2936"/>
      <c r="D430" s="2936"/>
      <c r="E430" s="2936"/>
      <c r="F430" s="2936"/>
      <c r="G430" s="2936"/>
      <c r="H430" s="2936"/>
      <c r="I430" s="2936"/>
      <c r="J430" s="2936"/>
      <c r="K430" s="2936"/>
      <c r="L430" s="2936"/>
      <c r="M430" s="2936"/>
      <c r="N430" s="2936"/>
      <c r="O430" s="2937"/>
      <c r="P430" s="2959"/>
      <c r="Q430" s="2959"/>
    </row>
    <row r="431" spans="1:17">
      <c r="B431" s="2936"/>
      <c r="C431" s="2936"/>
      <c r="D431" s="2936"/>
      <c r="E431" s="2936"/>
      <c r="F431" s="2936"/>
      <c r="G431" s="2936"/>
      <c r="H431" s="2936"/>
      <c r="I431" s="2936"/>
      <c r="J431" s="2936"/>
      <c r="K431" s="2936"/>
      <c r="L431" s="2936"/>
      <c r="M431" s="2936"/>
      <c r="N431" s="2936"/>
      <c r="O431" s="2937"/>
      <c r="P431" s="2959"/>
      <c r="Q431" s="2959"/>
    </row>
    <row r="432" spans="1:17">
      <c r="B432" s="2936"/>
      <c r="C432" s="2936"/>
      <c r="D432" s="2936"/>
      <c r="E432" s="2936"/>
      <c r="F432" s="2936"/>
      <c r="G432" s="2936"/>
      <c r="H432" s="2936"/>
      <c r="I432" s="2936"/>
      <c r="J432" s="2936"/>
      <c r="K432" s="2936"/>
      <c r="L432" s="2936"/>
      <c r="M432" s="2936"/>
      <c r="N432" s="2936"/>
      <c r="O432" s="2937"/>
      <c r="P432" s="2959"/>
      <c r="Q432" s="2959"/>
    </row>
    <row r="433" spans="2:17">
      <c r="B433" s="2936"/>
      <c r="C433" s="2936"/>
      <c r="D433" s="2936"/>
      <c r="E433" s="2936"/>
      <c r="F433" s="2936"/>
      <c r="G433" s="2936"/>
      <c r="H433" s="2936"/>
      <c r="I433" s="2936"/>
      <c r="J433" s="2936"/>
      <c r="K433" s="2936"/>
      <c r="L433" s="2936"/>
      <c r="M433" s="2936"/>
      <c r="N433" s="2936"/>
      <c r="O433" s="2937"/>
      <c r="P433" s="2959"/>
      <c r="Q433" s="2959"/>
    </row>
    <row r="434" spans="2:17">
      <c r="B434" s="2936"/>
      <c r="C434" s="2936"/>
      <c r="D434" s="2936"/>
      <c r="E434" s="2936"/>
      <c r="F434" s="2936"/>
      <c r="G434" s="2936"/>
      <c r="H434" s="2936"/>
      <c r="I434" s="2936"/>
      <c r="J434" s="2936"/>
      <c r="K434" s="2936"/>
      <c r="L434" s="2936"/>
      <c r="M434" s="2936"/>
      <c r="N434" s="2936"/>
      <c r="O434" s="2937"/>
      <c r="P434" s="2959"/>
      <c r="Q434" s="2959"/>
    </row>
    <row r="435" spans="2:17">
      <c r="B435" s="2936"/>
      <c r="C435" s="2936"/>
      <c r="D435" s="2936"/>
      <c r="E435" s="2936"/>
      <c r="F435" s="2936"/>
      <c r="G435" s="2936"/>
      <c r="H435" s="2936"/>
      <c r="I435" s="2936"/>
      <c r="J435" s="2936"/>
      <c r="K435" s="2936"/>
      <c r="L435" s="2936"/>
      <c r="M435" s="2936"/>
      <c r="N435" s="2936"/>
      <c r="O435" s="2937"/>
      <c r="P435" s="2959"/>
      <c r="Q435" s="2959"/>
    </row>
    <row r="436" spans="2:17">
      <c r="B436" s="2936"/>
      <c r="C436" s="2936"/>
      <c r="D436" s="2936"/>
      <c r="E436" s="2936"/>
      <c r="F436" s="2936"/>
      <c r="G436" s="2936"/>
      <c r="H436" s="2936"/>
      <c r="I436" s="2936"/>
      <c r="J436" s="2936"/>
      <c r="K436" s="2936"/>
      <c r="L436" s="2936"/>
      <c r="M436" s="2936"/>
      <c r="N436" s="2936"/>
      <c r="O436" s="2937"/>
      <c r="P436" s="2959"/>
      <c r="Q436" s="2959"/>
    </row>
    <row r="437" spans="2:17">
      <c r="B437" s="2936"/>
      <c r="C437" s="2936"/>
      <c r="D437" s="2936"/>
      <c r="E437" s="2936"/>
      <c r="F437" s="2936"/>
      <c r="G437" s="2936"/>
      <c r="H437" s="2936"/>
      <c r="I437" s="2936"/>
      <c r="J437" s="2936"/>
      <c r="K437" s="2936"/>
      <c r="L437" s="2936"/>
      <c r="M437" s="2936"/>
      <c r="N437" s="2936"/>
      <c r="O437" s="2937"/>
      <c r="P437" s="2959"/>
      <c r="Q437" s="2959"/>
    </row>
    <row r="438" spans="2:17">
      <c r="B438" s="2936"/>
      <c r="C438" s="2936"/>
      <c r="D438" s="2936"/>
      <c r="E438" s="2936"/>
      <c r="F438" s="2936"/>
      <c r="G438" s="2936"/>
      <c r="H438" s="2936"/>
      <c r="I438" s="2936"/>
      <c r="J438" s="2936"/>
      <c r="K438" s="2936"/>
      <c r="L438" s="2936"/>
      <c r="M438" s="2936"/>
      <c r="N438" s="2936"/>
      <c r="O438" s="2937"/>
      <c r="P438" s="2959"/>
      <c r="Q438" s="2959"/>
    </row>
    <row r="439" spans="2:17">
      <c r="B439" s="2936"/>
      <c r="C439" s="2936"/>
      <c r="D439" s="2936"/>
      <c r="E439" s="2936"/>
      <c r="F439" s="2936"/>
      <c r="G439" s="2936"/>
      <c r="H439" s="2936"/>
      <c r="I439" s="2936"/>
      <c r="J439" s="2936"/>
      <c r="K439" s="2936"/>
      <c r="L439" s="2936"/>
      <c r="M439" s="2936"/>
      <c r="N439" s="2936"/>
      <c r="O439" s="2937"/>
      <c r="P439" s="2959"/>
      <c r="Q439" s="2959"/>
    </row>
    <row r="440" spans="2:17">
      <c r="B440" s="2936"/>
      <c r="C440" s="2936"/>
      <c r="D440" s="2936"/>
      <c r="E440" s="2936"/>
      <c r="F440" s="2936"/>
      <c r="G440" s="2936"/>
      <c r="H440" s="2936"/>
      <c r="I440" s="2936"/>
      <c r="J440" s="2936"/>
      <c r="K440" s="2936"/>
      <c r="L440" s="2936"/>
      <c r="M440" s="2936"/>
      <c r="N440" s="2936"/>
      <c r="O440" s="2937"/>
      <c r="P440" s="2959"/>
      <c r="Q440" s="2959"/>
    </row>
    <row r="441" spans="2:17">
      <c r="B441" s="2936"/>
      <c r="C441" s="2936"/>
      <c r="D441" s="2936"/>
      <c r="E441" s="2936"/>
      <c r="F441" s="2936"/>
      <c r="G441" s="2936"/>
      <c r="H441" s="2936"/>
      <c r="I441" s="2936"/>
      <c r="J441" s="2936"/>
      <c r="K441" s="2936"/>
      <c r="L441" s="2936"/>
      <c r="M441" s="2936"/>
      <c r="N441" s="2936"/>
      <c r="O441" s="2937"/>
      <c r="P441" s="2959"/>
      <c r="Q441" s="2959"/>
    </row>
    <row r="442" spans="2:17">
      <c r="B442" s="2936"/>
      <c r="C442" s="2936"/>
      <c r="D442" s="2936"/>
      <c r="E442" s="2936"/>
      <c r="F442" s="2936"/>
      <c r="G442" s="2936"/>
      <c r="H442" s="2936"/>
      <c r="I442" s="2936"/>
      <c r="J442" s="2936"/>
      <c r="K442" s="2936"/>
      <c r="L442" s="2936"/>
      <c r="M442" s="2936"/>
      <c r="N442" s="2936"/>
      <c r="O442" s="2937"/>
      <c r="P442" s="2959"/>
      <c r="Q442" s="2959"/>
    </row>
    <row r="443" spans="2:17">
      <c r="B443" s="2936"/>
      <c r="C443" s="2936"/>
      <c r="D443" s="2936"/>
      <c r="E443" s="2936"/>
      <c r="F443" s="2936"/>
      <c r="G443" s="2936"/>
      <c r="H443" s="2936"/>
      <c r="I443" s="2936"/>
      <c r="J443" s="2936"/>
      <c r="K443" s="2936"/>
      <c r="L443" s="2936"/>
      <c r="M443" s="2936"/>
      <c r="N443" s="2936"/>
      <c r="O443" s="2937"/>
      <c r="P443" s="2959"/>
      <c r="Q443" s="2959"/>
    </row>
    <row r="444" spans="2:17">
      <c r="B444" s="2936"/>
      <c r="C444" s="2936"/>
      <c r="D444" s="2936"/>
      <c r="E444" s="2936"/>
      <c r="F444" s="2936"/>
      <c r="G444" s="2936"/>
      <c r="H444" s="2936"/>
      <c r="I444" s="2936"/>
      <c r="J444" s="2936"/>
      <c r="K444" s="2936"/>
      <c r="L444" s="2936"/>
      <c r="M444" s="2936"/>
      <c r="N444" s="2936"/>
      <c r="O444" s="2937"/>
      <c r="P444" s="2959"/>
      <c r="Q444" s="2959"/>
    </row>
    <row r="445" spans="2:17">
      <c r="B445" s="2936"/>
      <c r="C445" s="2936"/>
      <c r="D445" s="2936"/>
      <c r="E445" s="2936"/>
      <c r="F445" s="2936"/>
      <c r="G445" s="2936"/>
      <c r="H445" s="2936"/>
      <c r="I445" s="2936"/>
      <c r="J445" s="2936"/>
      <c r="K445" s="2936"/>
      <c r="L445" s="2936"/>
      <c r="M445" s="2936"/>
      <c r="N445" s="2936"/>
      <c r="O445" s="2937"/>
      <c r="P445" s="2959"/>
      <c r="Q445" s="2959"/>
    </row>
    <row r="446" spans="2:17">
      <c r="B446" s="2936"/>
      <c r="C446" s="2936"/>
      <c r="D446" s="2936"/>
      <c r="E446" s="2936"/>
      <c r="F446" s="2936"/>
      <c r="G446" s="2936"/>
      <c r="H446" s="2936"/>
      <c r="I446" s="2936"/>
      <c r="J446" s="2936"/>
      <c r="K446" s="2936"/>
      <c r="L446" s="2936"/>
      <c r="M446" s="2936"/>
      <c r="N446" s="2936"/>
      <c r="O446" s="2937"/>
      <c r="P446" s="2959"/>
      <c r="Q446" s="2959"/>
    </row>
    <row r="447" spans="2:17">
      <c r="B447" s="2936"/>
      <c r="C447" s="2936"/>
      <c r="D447" s="2936"/>
      <c r="E447" s="2936"/>
      <c r="F447" s="2936"/>
      <c r="G447" s="2936"/>
      <c r="H447" s="2936"/>
      <c r="I447" s="2936"/>
      <c r="J447" s="2936"/>
      <c r="K447" s="2936"/>
      <c r="L447" s="2936"/>
      <c r="M447" s="2936"/>
      <c r="N447" s="2936"/>
      <c r="O447" s="2937"/>
      <c r="P447" s="2959"/>
      <c r="Q447" s="2959"/>
    </row>
    <row r="448" spans="2:17">
      <c r="B448" s="2936"/>
      <c r="C448" s="2936"/>
      <c r="D448" s="2936"/>
      <c r="E448" s="2936"/>
      <c r="F448" s="2936"/>
      <c r="G448" s="2936"/>
      <c r="H448" s="2936"/>
      <c r="I448" s="2936"/>
      <c r="J448" s="2936"/>
      <c r="K448" s="2936"/>
      <c r="L448" s="2936"/>
      <c r="M448" s="2936"/>
      <c r="N448" s="2936"/>
      <c r="O448" s="2937"/>
      <c r="P448" s="2959"/>
      <c r="Q448" s="2959"/>
    </row>
    <row r="449" spans="2:17">
      <c r="B449" s="2936"/>
      <c r="C449" s="2936"/>
      <c r="D449" s="2936"/>
      <c r="E449" s="2936"/>
      <c r="F449" s="2936"/>
      <c r="G449" s="2936"/>
      <c r="H449" s="2936"/>
      <c r="I449" s="2936"/>
      <c r="J449" s="2936"/>
      <c r="K449" s="2936"/>
      <c r="L449" s="2936"/>
      <c r="M449" s="2936"/>
      <c r="N449" s="2936"/>
      <c r="O449" s="2937"/>
      <c r="P449" s="2959"/>
      <c r="Q449" s="2959"/>
    </row>
    <row r="450" spans="2:17">
      <c r="B450" s="2936"/>
      <c r="C450" s="2936"/>
      <c r="D450" s="2936"/>
      <c r="E450" s="2936"/>
      <c r="F450" s="2936"/>
      <c r="G450" s="2936"/>
      <c r="H450" s="2936"/>
      <c r="I450" s="2936"/>
      <c r="J450" s="2936"/>
      <c r="K450" s="2936"/>
      <c r="L450" s="2936"/>
      <c r="M450" s="2936"/>
      <c r="N450" s="2936"/>
      <c r="O450" s="2937"/>
      <c r="P450" s="2959"/>
      <c r="Q450" s="2959"/>
    </row>
    <row r="451" spans="2:17">
      <c r="B451" s="2936"/>
      <c r="C451" s="2936"/>
      <c r="D451" s="2936"/>
      <c r="E451" s="2936"/>
      <c r="F451" s="2936"/>
      <c r="G451" s="2936"/>
      <c r="H451" s="2936"/>
      <c r="I451" s="2936"/>
      <c r="J451" s="2936"/>
      <c r="K451" s="2936"/>
      <c r="L451" s="2936"/>
      <c r="M451" s="2936"/>
      <c r="N451" s="2936"/>
      <c r="O451" s="2937"/>
      <c r="P451" s="2959"/>
      <c r="Q451" s="2959"/>
    </row>
    <row r="452" spans="2:17">
      <c r="B452" s="2936"/>
      <c r="C452" s="2936"/>
      <c r="D452" s="2936"/>
      <c r="E452" s="2936"/>
      <c r="F452" s="2936"/>
      <c r="G452" s="2936"/>
      <c r="H452" s="2936"/>
      <c r="I452" s="2936"/>
      <c r="J452" s="2936"/>
      <c r="K452" s="2936"/>
      <c r="L452" s="2936"/>
      <c r="M452" s="2936"/>
      <c r="N452" s="2936"/>
      <c r="O452" s="2937"/>
      <c r="P452" s="2959"/>
      <c r="Q452" s="2959"/>
    </row>
    <row r="453" spans="2:17">
      <c r="B453" s="2936"/>
      <c r="C453" s="2936"/>
      <c r="D453" s="2936"/>
      <c r="E453" s="2936"/>
      <c r="F453" s="2936"/>
      <c r="G453" s="2936"/>
      <c r="H453" s="2936"/>
      <c r="I453" s="2936"/>
      <c r="J453" s="2936"/>
      <c r="K453" s="2936"/>
      <c r="L453" s="2936"/>
      <c r="M453" s="2936"/>
      <c r="N453" s="2936"/>
      <c r="O453" s="2937"/>
      <c r="P453" s="2959"/>
      <c r="Q453" s="2959"/>
    </row>
    <row r="454" spans="2:17">
      <c r="B454" s="2936"/>
      <c r="C454" s="2936"/>
      <c r="D454" s="2936"/>
      <c r="E454" s="2936"/>
      <c r="F454" s="2936"/>
      <c r="G454" s="2936"/>
      <c r="H454" s="2936"/>
      <c r="I454" s="2936"/>
      <c r="J454" s="2936"/>
      <c r="K454" s="2936"/>
      <c r="L454" s="2936"/>
      <c r="M454" s="2936"/>
      <c r="N454" s="2936"/>
      <c r="O454" s="2937"/>
      <c r="P454" s="2959"/>
      <c r="Q454" s="2959"/>
    </row>
    <row r="455" spans="2:17">
      <c r="B455" s="2936"/>
      <c r="C455" s="2936"/>
      <c r="D455" s="2936"/>
      <c r="E455" s="2936"/>
      <c r="F455" s="2936"/>
      <c r="G455" s="2936"/>
      <c r="H455" s="2936"/>
      <c r="I455" s="2936"/>
      <c r="J455" s="2936"/>
      <c r="K455" s="2936"/>
      <c r="L455" s="2936"/>
      <c r="M455" s="2936"/>
      <c r="N455" s="2936"/>
      <c r="O455" s="2937"/>
      <c r="P455" s="2959"/>
      <c r="Q455" s="2959"/>
    </row>
    <row r="456" spans="2:17">
      <c r="B456" s="2936"/>
      <c r="C456" s="2936"/>
      <c r="D456" s="2936"/>
      <c r="E456" s="2936"/>
      <c r="F456" s="2936"/>
      <c r="G456" s="2936"/>
      <c r="H456" s="2936"/>
      <c r="I456" s="2936"/>
      <c r="J456" s="2936"/>
      <c r="K456" s="2936"/>
      <c r="L456" s="2936"/>
      <c r="M456" s="2936"/>
      <c r="N456" s="2936"/>
      <c r="O456" s="2937"/>
      <c r="P456" s="2959"/>
      <c r="Q456" s="2959"/>
    </row>
    <row r="457" spans="2:17">
      <c r="B457" s="2936"/>
      <c r="C457" s="2936"/>
      <c r="D457" s="2936"/>
      <c r="E457" s="2936"/>
      <c r="F457" s="2936"/>
      <c r="G457" s="2936"/>
      <c r="H457" s="2936"/>
      <c r="I457" s="2936"/>
      <c r="J457" s="2936"/>
      <c r="K457" s="2936"/>
      <c r="L457" s="2936"/>
      <c r="M457" s="2936"/>
      <c r="N457" s="2936"/>
      <c r="O457" s="2937"/>
      <c r="P457" s="2959"/>
      <c r="Q457" s="2959"/>
    </row>
    <row r="458" spans="2:17">
      <c r="B458" s="2936"/>
      <c r="C458" s="2936"/>
      <c r="D458" s="2936"/>
      <c r="E458" s="2936"/>
      <c r="F458" s="2936"/>
      <c r="G458" s="2936"/>
      <c r="H458" s="2936"/>
      <c r="I458" s="2936"/>
      <c r="J458" s="2936"/>
      <c r="K458" s="2936"/>
      <c r="L458" s="2936"/>
      <c r="M458" s="2936"/>
      <c r="N458" s="2936"/>
      <c r="O458" s="2937"/>
      <c r="P458" s="2959"/>
      <c r="Q458" s="2959"/>
    </row>
    <row r="459" spans="2:17">
      <c r="B459" s="2936"/>
      <c r="C459" s="2936"/>
      <c r="D459" s="2936"/>
      <c r="E459" s="2936"/>
      <c r="F459" s="2936"/>
      <c r="G459" s="2936"/>
      <c r="H459" s="2936"/>
      <c r="I459" s="2936"/>
      <c r="J459" s="2936"/>
      <c r="K459" s="2936"/>
      <c r="L459" s="2936"/>
      <c r="M459" s="2936"/>
      <c r="N459" s="2936"/>
      <c r="O459" s="2937"/>
      <c r="P459" s="2959"/>
      <c r="Q459" s="2959"/>
    </row>
    <row r="460" spans="2:17">
      <c r="B460" s="2936"/>
      <c r="C460" s="2936"/>
      <c r="D460" s="2936"/>
      <c r="E460" s="2936"/>
      <c r="F460" s="2936"/>
      <c r="G460" s="2936"/>
      <c r="H460" s="2936"/>
      <c r="I460" s="2936"/>
      <c r="J460" s="2936"/>
      <c r="K460" s="2936"/>
      <c r="L460" s="2936"/>
      <c r="M460" s="2936"/>
      <c r="N460" s="2936"/>
      <c r="O460" s="2937"/>
      <c r="P460" s="2959"/>
      <c r="Q460" s="2959"/>
    </row>
    <row r="461" spans="2:17">
      <c r="B461" s="2936"/>
      <c r="C461" s="2936"/>
      <c r="D461" s="2936"/>
      <c r="E461" s="2936"/>
      <c r="F461" s="2936"/>
      <c r="G461" s="2936"/>
      <c r="H461" s="2936"/>
      <c r="I461" s="2936"/>
      <c r="J461" s="2936"/>
      <c r="K461" s="2936"/>
      <c r="L461" s="2936"/>
      <c r="M461" s="2936"/>
      <c r="N461" s="2936"/>
      <c r="O461" s="2937"/>
      <c r="P461" s="2959"/>
      <c r="Q461" s="2959"/>
    </row>
    <row r="462" spans="2:17">
      <c r="B462" s="2936"/>
      <c r="C462" s="2936"/>
      <c r="D462" s="2936"/>
      <c r="E462" s="2936"/>
      <c r="F462" s="2936"/>
      <c r="G462" s="2936"/>
      <c r="H462" s="2936"/>
      <c r="I462" s="2936"/>
      <c r="J462" s="2936"/>
      <c r="K462" s="2936"/>
      <c r="L462" s="2936"/>
      <c r="M462" s="2936"/>
      <c r="N462" s="2936"/>
      <c r="O462" s="2937"/>
      <c r="P462" s="2959"/>
      <c r="Q462" s="2959"/>
    </row>
    <row r="463" spans="2:17">
      <c r="B463" s="2936"/>
      <c r="C463" s="2936"/>
      <c r="D463" s="2936"/>
      <c r="E463" s="2936"/>
      <c r="F463" s="2936"/>
      <c r="G463" s="2936"/>
      <c r="H463" s="2936"/>
      <c r="I463" s="2936"/>
      <c r="J463" s="2936"/>
      <c r="K463" s="2936"/>
      <c r="L463" s="2936"/>
      <c r="M463" s="2936"/>
      <c r="N463" s="2936"/>
      <c r="O463" s="2937"/>
      <c r="P463" s="2959"/>
      <c r="Q463" s="2959"/>
    </row>
    <row r="464" spans="2:17">
      <c r="B464" s="2936"/>
      <c r="C464" s="2936"/>
      <c r="D464" s="2936"/>
      <c r="E464" s="2936"/>
      <c r="F464" s="2936"/>
      <c r="G464" s="2936"/>
      <c r="H464" s="2936"/>
      <c r="I464" s="2936"/>
      <c r="J464" s="2936"/>
      <c r="K464" s="2936"/>
      <c r="L464" s="2936"/>
      <c r="M464" s="2936"/>
      <c r="N464" s="2936"/>
      <c r="O464" s="2937"/>
      <c r="P464" s="2959"/>
      <c r="Q464" s="2959"/>
    </row>
    <row r="465" spans="2:17">
      <c r="B465" s="2936"/>
      <c r="C465" s="2936"/>
      <c r="D465" s="2936"/>
      <c r="E465" s="2936"/>
      <c r="F465" s="2936"/>
      <c r="G465" s="2936"/>
      <c r="H465" s="2936"/>
      <c r="I465" s="2936"/>
      <c r="J465" s="2936"/>
      <c r="K465" s="2936"/>
      <c r="L465" s="2936"/>
      <c r="M465" s="2936"/>
      <c r="N465" s="2936"/>
      <c r="O465" s="2937"/>
      <c r="P465" s="2959"/>
      <c r="Q465" s="2959"/>
    </row>
    <row r="466" spans="2:17">
      <c r="B466" s="2936"/>
      <c r="C466" s="2936"/>
      <c r="D466" s="2936"/>
      <c r="E466" s="2936"/>
      <c r="F466" s="2936"/>
      <c r="G466" s="2936"/>
      <c r="H466" s="2936"/>
      <c r="I466" s="2936"/>
      <c r="J466" s="2936"/>
      <c r="K466" s="2936"/>
      <c r="L466" s="2936"/>
      <c r="M466" s="2936"/>
      <c r="N466" s="2936"/>
      <c r="O466" s="2937"/>
      <c r="P466" s="2959"/>
      <c r="Q466" s="2959"/>
    </row>
    <row r="467" spans="2:17">
      <c r="B467" s="2936"/>
      <c r="C467" s="2936"/>
      <c r="D467" s="2936"/>
      <c r="E467" s="2936"/>
      <c r="F467" s="2936"/>
      <c r="G467" s="2936"/>
      <c r="H467" s="2936"/>
      <c r="I467" s="2936"/>
      <c r="J467" s="2936"/>
      <c r="K467" s="2936"/>
      <c r="L467" s="2936"/>
      <c r="M467" s="2936"/>
      <c r="N467" s="2936"/>
      <c r="O467" s="2937"/>
      <c r="P467" s="2959"/>
      <c r="Q467" s="2959"/>
    </row>
    <row r="468" spans="2:17">
      <c r="B468" s="2936"/>
      <c r="C468" s="2936"/>
      <c r="D468" s="2936"/>
      <c r="E468" s="2936"/>
      <c r="F468" s="2936"/>
      <c r="G468" s="2936"/>
      <c r="H468" s="2936"/>
      <c r="I468" s="2936"/>
      <c r="J468" s="2936"/>
      <c r="K468" s="2936"/>
      <c r="L468" s="2936"/>
      <c r="M468" s="2936"/>
      <c r="N468" s="2936"/>
      <c r="O468" s="2937"/>
      <c r="P468" s="2959"/>
      <c r="Q468" s="2959"/>
    </row>
    <row r="469" spans="2:17">
      <c r="B469" s="2936"/>
      <c r="C469" s="2936"/>
      <c r="D469" s="2936"/>
      <c r="E469" s="2936"/>
      <c r="F469" s="2936"/>
      <c r="G469" s="2936"/>
      <c r="H469" s="2936"/>
      <c r="I469" s="2936"/>
      <c r="J469" s="2936"/>
      <c r="K469" s="2936"/>
      <c r="L469" s="2936"/>
      <c r="M469" s="2936"/>
      <c r="N469" s="2936"/>
      <c r="O469" s="2937"/>
      <c r="P469" s="2959"/>
      <c r="Q469" s="2959"/>
    </row>
    <row r="470" spans="2:17">
      <c r="B470" s="2936"/>
      <c r="C470" s="2936"/>
      <c r="D470" s="2936"/>
      <c r="E470" s="2936"/>
      <c r="F470" s="2936"/>
      <c r="G470" s="2936"/>
      <c r="H470" s="2936"/>
      <c r="I470" s="2936"/>
      <c r="J470" s="2936"/>
      <c r="K470" s="2936"/>
      <c r="L470" s="2936"/>
      <c r="M470" s="2936"/>
      <c r="N470" s="2936"/>
      <c r="O470" s="2937"/>
      <c r="P470" s="2959"/>
      <c r="Q470" s="2959"/>
    </row>
    <row r="471" spans="2:17">
      <c r="B471" s="2936"/>
      <c r="C471" s="2936"/>
      <c r="D471" s="2936"/>
      <c r="E471" s="2936"/>
      <c r="F471" s="2936"/>
      <c r="G471" s="2936"/>
      <c r="H471" s="2936"/>
      <c r="I471" s="2936"/>
      <c r="J471" s="2936"/>
      <c r="K471" s="2936"/>
      <c r="L471" s="2936"/>
      <c r="M471" s="2936"/>
      <c r="N471" s="2936"/>
      <c r="O471" s="2937"/>
      <c r="P471" s="2959"/>
      <c r="Q471" s="2959"/>
    </row>
    <row r="472" spans="2:17">
      <c r="B472" s="2936"/>
      <c r="C472" s="2936"/>
      <c r="D472" s="2936"/>
      <c r="E472" s="2936"/>
      <c r="F472" s="2936"/>
      <c r="G472" s="2936"/>
      <c r="H472" s="2936"/>
      <c r="I472" s="2936"/>
      <c r="J472" s="2936"/>
      <c r="K472" s="2936"/>
      <c r="L472" s="2936"/>
      <c r="M472" s="2936"/>
      <c r="N472" s="2936"/>
      <c r="O472" s="2937"/>
      <c r="P472" s="2959"/>
      <c r="Q472" s="2959"/>
    </row>
    <row r="473" spans="2:17">
      <c r="B473" s="2936"/>
      <c r="C473" s="2936"/>
      <c r="D473" s="2936"/>
      <c r="E473" s="2936"/>
      <c r="F473" s="2936"/>
      <c r="G473" s="2936"/>
      <c r="H473" s="2936"/>
      <c r="I473" s="2936"/>
      <c r="J473" s="2936"/>
      <c r="K473" s="2936"/>
      <c r="L473" s="2936"/>
      <c r="M473" s="2936"/>
      <c r="N473" s="2936"/>
      <c r="O473" s="2937"/>
      <c r="P473" s="2959"/>
      <c r="Q473" s="2959"/>
    </row>
    <row r="474" spans="2:17">
      <c r="B474" s="2936"/>
      <c r="C474" s="2936"/>
      <c r="D474" s="2936"/>
      <c r="E474" s="2936"/>
      <c r="F474" s="2936"/>
      <c r="G474" s="2936"/>
      <c r="H474" s="2936"/>
      <c r="I474" s="2936"/>
      <c r="J474" s="2936"/>
      <c r="K474" s="2936"/>
      <c r="L474" s="2936"/>
      <c r="M474" s="2936"/>
      <c r="N474" s="2936"/>
      <c r="O474" s="2937"/>
      <c r="P474" s="2959"/>
      <c r="Q474" s="2959"/>
    </row>
    <row r="475" spans="2:17">
      <c r="B475" s="2936"/>
      <c r="C475" s="2936"/>
      <c r="D475" s="2936"/>
      <c r="E475" s="2936"/>
      <c r="F475" s="2936"/>
      <c r="G475" s="2936"/>
      <c r="H475" s="2936"/>
      <c r="I475" s="2936"/>
      <c r="J475" s="2936"/>
      <c r="K475" s="2936"/>
      <c r="L475" s="2936"/>
      <c r="M475" s="2936"/>
      <c r="N475" s="2936"/>
      <c r="O475" s="2937"/>
      <c r="P475" s="2959"/>
      <c r="Q475" s="2959"/>
    </row>
    <row r="476" spans="2:17">
      <c r="B476" s="2936"/>
      <c r="C476" s="2936"/>
      <c r="D476" s="2936"/>
      <c r="E476" s="2936"/>
      <c r="F476" s="2936"/>
      <c r="G476" s="2936"/>
      <c r="H476" s="2936"/>
      <c r="I476" s="2936"/>
      <c r="J476" s="2936"/>
      <c r="K476" s="2936"/>
      <c r="L476" s="2936"/>
      <c r="M476" s="2936"/>
      <c r="N476" s="2936"/>
      <c r="O476" s="2937"/>
      <c r="P476" s="2959"/>
      <c r="Q476" s="2959"/>
    </row>
    <row r="477" spans="2:17">
      <c r="B477" s="2936"/>
      <c r="C477" s="2936"/>
      <c r="D477" s="2936"/>
      <c r="E477" s="2936"/>
      <c r="F477" s="2936"/>
      <c r="G477" s="2936"/>
      <c r="H477" s="2936"/>
      <c r="I477" s="2936"/>
      <c r="J477" s="2936"/>
      <c r="K477" s="2936"/>
      <c r="L477" s="2936"/>
      <c r="M477" s="2936"/>
      <c r="N477" s="2936"/>
      <c r="O477" s="2937"/>
      <c r="P477" s="2959"/>
      <c r="Q477" s="2959"/>
    </row>
    <row r="478" spans="2:17">
      <c r="B478" s="2936"/>
      <c r="C478" s="2936"/>
      <c r="D478" s="2936"/>
      <c r="E478" s="2936"/>
      <c r="F478" s="2936"/>
      <c r="G478" s="2936"/>
      <c r="H478" s="2936"/>
      <c r="I478" s="2936"/>
      <c r="J478" s="2936"/>
      <c r="K478" s="2936"/>
      <c r="L478" s="2936"/>
      <c r="M478" s="2936"/>
      <c r="N478" s="2936"/>
      <c r="O478" s="2937"/>
      <c r="P478" s="2959"/>
      <c r="Q478" s="2959"/>
    </row>
    <row r="479" spans="2:17">
      <c r="B479" s="2936"/>
      <c r="C479" s="2936"/>
      <c r="D479" s="2936"/>
      <c r="E479" s="2936"/>
      <c r="F479" s="2936"/>
      <c r="G479" s="2936"/>
      <c r="H479" s="2936"/>
      <c r="I479" s="2936"/>
      <c r="J479" s="2936"/>
      <c r="K479" s="2936"/>
      <c r="L479" s="2936"/>
      <c r="M479" s="2936"/>
      <c r="N479" s="2936"/>
      <c r="O479" s="2937"/>
      <c r="P479" s="2959"/>
      <c r="Q479" s="2959"/>
    </row>
    <row r="480" spans="2:17">
      <c r="B480" s="2936"/>
      <c r="C480" s="2936"/>
      <c r="D480" s="2936"/>
      <c r="E480" s="2936"/>
      <c r="F480" s="2936"/>
      <c r="G480" s="2936"/>
      <c r="H480" s="2936"/>
      <c r="I480" s="2936"/>
      <c r="J480" s="2936"/>
      <c r="K480" s="2936"/>
      <c r="L480" s="2936"/>
      <c r="M480" s="2936"/>
      <c r="N480" s="2936"/>
      <c r="O480" s="2937"/>
      <c r="P480" s="2959"/>
      <c r="Q480" s="2959"/>
    </row>
    <row r="481" spans="2:17">
      <c r="B481" s="2936"/>
      <c r="C481" s="2936"/>
      <c r="D481" s="2936"/>
      <c r="E481" s="2936"/>
      <c r="F481" s="2936"/>
      <c r="G481" s="2936"/>
      <c r="H481" s="2936"/>
      <c r="I481" s="2936"/>
      <c r="J481" s="2936"/>
      <c r="K481" s="2936"/>
      <c r="L481" s="2936"/>
      <c r="M481" s="2936"/>
      <c r="N481" s="2936"/>
      <c r="O481" s="2937"/>
      <c r="P481" s="2959"/>
      <c r="Q481" s="2959"/>
    </row>
    <row r="482" spans="2:17">
      <c r="B482" s="2936"/>
      <c r="C482" s="2936"/>
      <c r="D482" s="2936"/>
      <c r="E482" s="2936"/>
      <c r="F482" s="2936"/>
      <c r="G482" s="2936"/>
      <c r="H482" s="2936"/>
      <c r="I482" s="2936"/>
      <c r="J482" s="2936"/>
      <c r="K482" s="2936"/>
      <c r="L482" s="2936"/>
      <c r="M482" s="2936"/>
      <c r="N482" s="2936"/>
      <c r="O482" s="2937"/>
      <c r="P482" s="2959"/>
      <c r="Q482" s="2959"/>
    </row>
    <row r="483" spans="2:17">
      <c r="B483" s="2936"/>
      <c r="C483" s="2936"/>
      <c r="D483" s="2936"/>
      <c r="E483" s="2936"/>
      <c r="F483" s="2936"/>
      <c r="G483" s="2936"/>
      <c r="H483" s="2936"/>
      <c r="I483" s="2936"/>
      <c r="J483" s="2936"/>
      <c r="K483" s="2936"/>
      <c r="L483" s="2936"/>
      <c r="M483" s="2936"/>
      <c r="N483" s="2936"/>
      <c r="O483" s="2937"/>
      <c r="P483" s="2959"/>
      <c r="Q483" s="2959"/>
    </row>
    <row r="484" spans="2:17">
      <c r="B484" s="2936"/>
      <c r="C484" s="2936"/>
      <c r="D484" s="2936"/>
      <c r="E484" s="2936"/>
      <c r="F484" s="2936"/>
      <c r="G484" s="2936"/>
      <c r="H484" s="2936"/>
      <c r="I484" s="2936"/>
      <c r="J484" s="2936"/>
      <c r="K484" s="2936"/>
      <c r="L484" s="2936"/>
      <c r="M484" s="2936"/>
      <c r="N484" s="2936"/>
      <c r="O484" s="2937"/>
      <c r="P484" s="2959"/>
      <c r="Q484" s="2959"/>
    </row>
    <row r="485" spans="2:17">
      <c r="B485" s="2936"/>
      <c r="C485" s="2936"/>
      <c r="D485" s="2936"/>
      <c r="E485" s="2936"/>
      <c r="F485" s="2936"/>
      <c r="G485" s="2936"/>
      <c r="H485" s="2936"/>
      <c r="I485" s="2936"/>
      <c r="J485" s="2936"/>
      <c r="K485" s="2936"/>
      <c r="L485" s="2936"/>
      <c r="M485" s="2936"/>
      <c r="N485" s="2936"/>
      <c r="O485" s="2937"/>
      <c r="P485" s="2959"/>
      <c r="Q485" s="2959"/>
    </row>
    <row r="486" spans="2:17">
      <c r="B486" s="2936"/>
      <c r="C486" s="2936"/>
      <c r="D486" s="2936"/>
      <c r="E486" s="2936"/>
      <c r="F486" s="2936"/>
      <c r="G486" s="2936"/>
      <c r="H486" s="2936"/>
      <c r="I486" s="2936"/>
      <c r="J486" s="2936"/>
      <c r="K486" s="2936"/>
      <c r="L486" s="2936"/>
      <c r="M486" s="2936"/>
      <c r="N486" s="2936"/>
      <c r="O486" s="2937"/>
      <c r="P486" s="2959"/>
      <c r="Q486" s="2959"/>
    </row>
    <row r="487" spans="2:17">
      <c r="B487" s="2936"/>
      <c r="C487" s="2936"/>
      <c r="D487" s="2936"/>
      <c r="E487" s="2936"/>
      <c r="F487" s="2936"/>
      <c r="G487" s="2936"/>
      <c r="H487" s="2936"/>
      <c r="I487" s="2936"/>
      <c r="J487" s="2936"/>
      <c r="K487" s="2936"/>
      <c r="L487" s="2936"/>
      <c r="M487" s="2936"/>
      <c r="N487" s="2936"/>
      <c r="O487" s="2937"/>
      <c r="P487" s="2959"/>
      <c r="Q487" s="2959"/>
    </row>
    <row r="488" spans="2:17">
      <c r="B488" s="2936"/>
      <c r="C488" s="2936"/>
      <c r="D488" s="2936"/>
      <c r="E488" s="2936"/>
      <c r="F488" s="2936"/>
      <c r="G488" s="2936"/>
      <c r="H488" s="2936"/>
      <c r="I488" s="2936"/>
      <c r="J488" s="2936"/>
      <c r="K488" s="2936"/>
      <c r="L488" s="2936"/>
      <c r="M488" s="2936"/>
      <c r="N488" s="2936"/>
      <c r="O488" s="2937"/>
      <c r="P488" s="2959"/>
      <c r="Q488" s="2959"/>
    </row>
    <row r="489" spans="2:17">
      <c r="B489" s="2936"/>
      <c r="C489" s="2936"/>
      <c r="D489" s="2936"/>
      <c r="E489" s="2936"/>
      <c r="F489" s="2936"/>
      <c r="G489" s="2936"/>
      <c r="H489" s="2936"/>
      <c r="I489" s="2936"/>
      <c r="J489" s="2936"/>
      <c r="K489" s="2936"/>
      <c r="L489" s="2936"/>
      <c r="M489" s="2936"/>
      <c r="N489" s="2936"/>
      <c r="O489" s="2937"/>
      <c r="P489" s="2959"/>
      <c r="Q489" s="2959"/>
    </row>
    <row r="490" spans="2:17">
      <c r="B490" s="2936"/>
      <c r="C490" s="2936"/>
      <c r="D490" s="2936"/>
      <c r="E490" s="2936"/>
      <c r="F490" s="2936"/>
      <c r="G490" s="2936"/>
      <c r="H490" s="2936"/>
      <c r="I490" s="2936"/>
      <c r="J490" s="2936"/>
      <c r="K490" s="2936"/>
      <c r="L490" s="2936"/>
      <c r="M490" s="2936"/>
      <c r="N490" s="2936"/>
      <c r="O490" s="2937"/>
      <c r="P490" s="2959"/>
      <c r="Q490" s="2959"/>
    </row>
    <row r="491" spans="2:17">
      <c r="B491" s="2936"/>
      <c r="C491" s="2936"/>
      <c r="D491" s="2936"/>
      <c r="E491" s="2936"/>
      <c r="F491" s="2936"/>
      <c r="G491" s="2936"/>
      <c r="H491" s="2936"/>
      <c r="I491" s="2936"/>
      <c r="J491" s="2936"/>
      <c r="K491" s="2936"/>
      <c r="L491" s="2936"/>
      <c r="M491" s="2936"/>
      <c r="N491" s="2936"/>
      <c r="O491" s="2937"/>
      <c r="P491" s="2959"/>
      <c r="Q491" s="2959"/>
    </row>
    <row r="492" spans="2:17">
      <c r="B492" s="2936"/>
      <c r="C492" s="2936"/>
      <c r="D492" s="2936"/>
      <c r="E492" s="2936"/>
      <c r="F492" s="2936"/>
      <c r="G492" s="2936"/>
      <c r="H492" s="2936"/>
      <c r="I492" s="2936"/>
      <c r="J492" s="2936"/>
      <c r="K492" s="2936"/>
      <c r="L492" s="2936"/>
      <c r="M492" s="2936"/>
      <c r="N492" s="2936"/>
      <c r="O492" s="2937"/>
      <c r="P492" s="2959"/>
      <c r="Q492" s="2959"/>
    </row>
    <row r="493" spans="2:17">
      <c r="B493" s="2936"/>
      <c r="C493" s="2936"/>
      <c r="D493" s="2936"/>
      <c r="E493" s="2936"/>
      <c r="F493" s="2936"/>
      <c r="G493" s="2936"/>
      <c r="H493" s="2936"/>
      <c r="I493" s="2936"/>
      <c r="J493" s="2936"/>
      <c r="K493" s="2936"/>
      <c r="L493" s="2936"/>
      <c r="M493" s="2936"/>
      <c r="N493" s="2936"/>
      <c r="O493" s="2937"/>
      <c r="P493" s="2959"/>
      <c r="Q493" s="2959"/>
    </row>
    <row r="494" spans="2:17">
      <c r="B494" s="2936"/>
      <c r="C494" s="2936"/>
      <c r="D494" s="2936"/>
      <c r="E494" s="2936"/>
      <c r="F494" s="2936"/>
      <c r="G494" s="2936"/>
      <c r="H494" s="2936"/>
      <c r="I494" s="2936"/>
      <c r="J494" s="2936"/>
      <c r="K494" s="2936"/>
      <c r="L494" s="2936"/>
      <c r="M494" s="2936"/>
      <c r="N494" s="2936"/>
      <c r="O494" s="2937"/>
      <c r="P494" s="2959"/>
      <c r="Q494" s="2959"/>
    </row>
    <row r="495" spans="2:17">
      <c r="B495" s="2936"/>
      <c r="C495" s="2936"/>
      <c r="D495" s="2936"/>
      <c r="E495" s="2936"/>
      <c r="F495" s="2936"/>
      <c r="G495" s="2936"/>
      <c r="H495" s="2936"/>
      <c r="I495" s="2936"/>
      <c r="J495" s="2936"/>
      <c r="K495" s="2936"/>
      <c r="L495" s="2936"/>
      <c r="M495" s="2936"/>
      <c r="N495" s="2936"/>
      <c r="O495" s="2937"/>
      <c r="P495" s="2959"/>
      <c r="Q495" s="2959"/>
    </row>
    <row r="496" spans="2:17">
      <c r="B496" s="2936"/>
      <c r="C496" s="2936"/>
      <c r="D496" s="2936"/>
      <c r="E496" s="2936"/>
      <c r="F496" s="2936"/>
      <c r="G496" s="2936"/>
      <c r="H496" s="2936"/>
      <c r="I496" s="2936"/>
      <c r="J496" s="2936"/>
      <c r="K496" s="2936"/>
      <c r="L496" s="2936"/>
      <c r="M496" s="2936"/>
      <c r="N496" s="2936"/>
      <c r="O496" s="2937"/>
      <c r="P496" s="2959"/>
      <c r="Q496" s="2959"/>
    </row>
    <row r="497" spans="1:17">
      <c r="B497" s="2936"/>
      <c r="C497" s="2936"/>
      <c r="D497" s="2936"/>
      <c r="E497" s="2936"/>
      <c r="F497" s="2936"/>
      <c r="G497" s="2936"/>
      <c r="H497" s="2936"/>
      <c r="I497" s="2936"/>
      <c r="J497" s="2936"/>
      <c r="K497" s="2936"/>
      <c r="L497" s="2936"/>
      <c r="M497" s="2936"/>
      <c r="N497" s="2936"/>
      <c r="O497" s="2937"/>
      <c r="P497" s="2959"/>
      <c r="Q497" s="2959"/>
    </row>
    <row r="498" spans="1:17">
      <c r="B498" s="2936"/>
      <c r="C498" s="2936"/>
      <c r="D498" s="2936"/>
      <c r="E498" s="2936"/>
      <c r="F498" s="2936"/>
      <c r="G498" s="2936"/>
      <c r="H498" s="2936"/>
      <c r="I498" s="2936"/>
      <c r="J498" s="2936"/>
      <c r="K498" s="2936"/>
      <c r="L498" s="2936"/>
      <c r="M498" s="2936"/>
      <c r="N498" s="2936"/>
      <c r="O498" s="2937"/>
      <c r="P498" s="2959"/>
      <c r="Q498" s="2959"/>
    </row>
    <row r="499" spans="1:17">
      <c r="B499" s="2936"/>
      <c r="C499" s="2936"/>
      <c r="D499" s="2936"/>
      <c r="E499" s="2936"/>
      <c r="F499" s="2936"/>
      <c r="G499" s="2936"/>
      <c r="H499" s="2936"/>
      <c r="I499" s="2936"/>
      <c r="J499" s="2936"/>
      <c r="K499" s="2936"/>
      <c r="L499" s="2936"/>
      <c r="M499" s="2936"/>
      <c r="N499" s="2936"/>
      <c r="O499" s="2937"/>
      <c r="P499" s="2959"/>
      <c r="Q499" s="2959"/>
    </row>
    <row r="500" spans="1:17">
      <c r="B500" s="2936"/>
      <c r="C500" s="2936"/>
      <c r="D500" s="2936"/>
      <c r="E500" s="2936"/>
      <c r="F500" s="2936"/>
      <c r="G500" s="2936"/>
      <c r="H500" s="2936"/>
      <c r="I500" s="2936"/>
      <c r="J500" s="2936"/>
      <c r="K500" s="2936"/>
      <c r="L500" s="2936"/>
      <c r="M500" s="2936"/>
      <c r="N500" s="2936"/>
      <c r="O500" s="2937"/>
      <c r="P500" s="2959"/>
      <c r="Q500" s="2959"/>
    </row>
    <row r="501" spans="1:17">
      <c r="B501" s="2936"/>
      <c r="C501" s="2936"/>
      <c r="D501" s="2936"/>
      <c r="E501" s="2936"/>
      <c r="F501" s="2936"/>
      <c r="G501" s="2936"/>
      <c r="H501" s="2936"/>
      <c r="I501" s="2936"/>
      <c r="J501" s="2936"/>
      <c r="K501" s="2936"/>
      <c r="L501" s="2936"/>
      <c r="M501" s="2936"/>
      <c r="N501" s="2936"/>
      <c r="O501" s="2937"/>
      <c r="P501" s="2959"/>
      <c r="Q501" s="2959"/>
    </row>
    <row r="502" spans="1:17" ht="13.5" thickBot="1">
      <c r="B502" s="2936"/>
      <c r="C502" s="2936"/>
      <c r="D502" s="2936"/>
      <c r="E502" s="2936"/>
      <c r="F502" s="2936"/>
      <c r="G502" s="2936"/>
      <c r="H502" s="2936"/>
      <c r="I502" s="2936"/>
      <c r="J502" s="2936"/>
      <c r="K502" s="2936"/>
      <c r="L502" s="2936"/>
      <c r="M502" s="2936"/>
      <c r="N502" s="2936"/>
      <c r="O502" s="2937"/>
      <c r="P502" s="2959"/>
      <c r="Q502" s="2959"/>
    </row>
    <row r="503" spans="1:17" ht="33.75">
      <c r="A503" s="352"/>
      <c r="B503" s="353" t="s">
        <v>61</v>
      </c>
      <c r="C503" s="353"/>
      <c r="D503" s="2943"/>
      <c r="E503" s="2943"/>
      <c r="F503" s="2943"/>
      <c r="G503" s="2943"/>
      <c r="H503" s="2943"/>
      <c r="I503" s="2943"/>
      <c r="J503" s="2943"/>
      <c r="K503" s="2943"/>
      <c r="L503" s="2943"/>
      <c r="M503" s="2943"/>
      <c r="N503" s="2943"/>
      <c r="O503" s="3009"/>
      <c r="P503" s="2959"/>
      <c r="Q503" s="2959"/>
    </row>
    <row r="504" spans="1:17">
      <c r="A504" s="354"/>
      <c r="B504" s="2936"/>
      <c r="C504" s="2936"/>
      <c r="D504" s="2936"/>
      <c r="E504" s="2936"/>
      <c r="F504" s="2936"/>
      <c r="G504" s="2936"/>
      <c r="H504" s="2936"/>
      <c r="I504" s="2936"/>
      <c r="J504" s="2936"/>
      <c r="K504" s="2936"/>
      <c r="L504" s="2936"/>
      <c r="M504" s="2936"/>
      <c r="N504" s="2936"/>
      <c r="O504" s="3010"/>
      <c r="P504" s="2959"/>
      <c r="Q504" s="2959"/>
    </row>
    <row r="505" spans="1:17">
      <c r="A505" s="354"/>
      <c r="B505" s="2936"/>
      <c r="C505" s="2936"/>
      <c r="D505" s="2936"/>
      <c r="E505" s="2936"/>
      <c r="F505" s="2936"/>
      <c r="G505" s="2936"/>
      <c r="H505" s="2936"/>
      <c r="I505" s="2936"/>
      <c r="J505" s="2936"/>
      <c r="K505" s="2936"/>
      <c r="L505" s="2936"/>
      <c r="M505" s="2936"/>
      <c r="N505" s="2936"/>
      <c r="O505" s="3010"/>
      <c r="P505" s="2959"/>
      <c r="Q505" s="2959"/>
    </row>
    <row r="506" spans="1:17">
      <c r="A506" s="354"/>
      <c r="B506" s="2936"/>
      <c r="C506" s="2936"/>
      <c r="D506" s="2936"/>
      <c r="E506" s="2936"/>
      <c r="F506" s="2936"/>
      <c r="G506" s="2936"/>
      <c r="H506" s="2936"/>
      <c r="I506" s="2936"/>
      <c r="J506" s="2936"/>
      <c r="K506" s="2936"/>
      <c r="L506" s="2936"/>
      <c r="M506" s="2936"/>
      <c r="N506" s="2936"/>
      <c r="O506" s="3010"/>
      <c r="P506" s="2959"/>
      <c r="Q506" s="2959"/>
    </row>
    <row r="507" spans="1:17">
      <c r="A507" s="354"/>
      <c r="B507" s="2936"/>
      <c r="C507" s="2936"/>
      <c r="D507" s="2936"/>
      <c r="E507" s="2936"/>
      <c r="F507" s="2936"/>
      <c r="G507" s="2936"/>
      <c r="H507" s="2936"/>
      <c r="I507" s="2936"/>
      <c r="J507" s="2936"/>
      <c r="K507" s="2936"/>
      <c r="L507" s="2936"/>
      <c r="M507" s="2936"/>
      <c r="N507" s="2936"/>
      <c r="O507" s="3010"/>
      <c r="P507" s="2959"/>
      <c r="Q507" s="2959"/>
    </row>
    <row r="508" spans="1:17">
      <c r="A508" s="354"/>
      <c r="B508" s="2936"/>
      <c r="C508" s="2936"/>
      <c r="D508" s="2936"/>
      <c r="E508" s="2936"/>
      <c r="F508" s="2936"/>
      <c r="G508" s="2936"/>
      <c r="H508" s="2936"/>
      <c r="I508" s="2936"/>
      <c r="J508" s="2936"/>
      <c r="K508" s="2936"/>
      <c r="L508" s="2936"/>
      <c r="M508" s="2936"/>
      <c r="N508" s="2936"/>
      <c r="O508" s="3010"/>
      <c r="P508" s="2959"/>
      <c r="Q508" s="2959"/>
    </row>
    <row r="509" spans="1:17">
      <c r="A509" s="354"/>
      <c r="B509" s="2936"/>
      <c r="C509" s="2936"/>
      <c r="D509" s="2936"/>
      <c r="E509" s="2936"/>
      <c r="F509" s="2936"/>
      <c r="G509" s="2936"/>
      <c r="H509" s="2936"/>
      <c r="I509" s="2936"/>
      <c r="J509" s="2936"/>
      <c r="K509" s="2936"/>
      <c r="L509" s="2936"/>
      <c r="M509" s="2936"/>
      <c r="N509" s="2936"/>
      <c r="O509" s="3010"/>
      <c r="P509" s="2959"/>
      <c r="Q509" s="2959"/>
    </row>
    <row r="510" spans="1:17">
      <c r="A510" s="354"/>
      <c r="B510" s="2936"/>
      <c r="C510" s="2936"/>
      <c r="D510" s="2936"/>
      <c r="E510" s="2936"/>
      <c r="F510" s="2936"/>
      <c r="G510" s="2936"/>
      <c r="H510" s="2936"/>
      <c r="I510" s="2936"/>
      <c r="J510" s="2936"/>
      <c r="K510" s="2936"/>
      <c r="L510" s="2936"/>
      <c r="M510" s="2936"/>
      <c r="N510" s="2936"/>
      <c r="O510" s="3010"/>
      <c r="P510" s="2959"/>
      <c r="Q510" s="2959"/>
    </row>
    <row r="511" spans="1:17">
      <c r="A511" s="354"/>
      <c r="B511" s="2936"/>
      <c r="C511" s="2936"/>
      <c r="D511" s="2936"/>
      <c r="E511" s="2936"/>
      <c r="F511" s="2936"/>
      <c r="G511" s="2936"/>
      <c r="H511" s="2936"/>
      <c r="I511" s="2936"/>
      <c r="J511" s="2936"/>
      <c r="K511" s="2936"/>
      <c r="L511" s="2936"/>
      <c r="M511" s="2936"/>
      <c r="N511" s="2936"/>
      <c r="O511" s="3010"/>
      <c r="P511" s="2959"/>
      <c r="Q511" s="2959"/>
    </row>
    <row r="512" spans="1:17">
      <c r="A512" s="354"/>
      <c r="B512" s="2936"/>
      <c r="C512" s="2936"/>
      <c r="D512" s="2936"/>
      <c r="E512" s="2936"/>
      <c r="F512" s="2936"/>
      <c r="G512" s="2936"/>
      <c r="H512" s="2936"/>
      <c r="I512" s="2936"/>
      <c r="J512" s="2936"/>
      <c r="K512" s="2936"/>
      <c r="L512" s="2936"/>
      <c r="M512" s="2936"/>
      <c r="N512" s="2936"/>
      <c r="O512" s="3010"/>
      <c r="P512" s="2959"/>
      <c r="Q512" s="2959"/>
    </row>
    <row r="513" spans="1:17">
      <c r="A513" s="354"/>
      <c r="B513" s="2936"/>
      <c r="C513" s="2936"/>
      <c r="D513" s="2936"/>
      <c r="E513" s="2936"/>
      <c r="F513" s="2936"/>
      <c r="G513" s="2936"/>
      <c r="H513" s="2936"/>
      <c r="I513" s="2936"/>
      <c r="J513" s="2936"/>
      <c r="K513" s="2936"/>
      <c r="L513" s="2936"/>
      <c r="M513" s="2936"/>
      <c r="N513" s="2936"/>
      <c r="O513" s="3010"/>
      <c r="P513" s="2959"/>
      <c r="Q513" s="2959"/>
    </row>
    <row r="514" spans="1:17" ht="13.5" thickBot="1">
      <c r="A514" s="355"/>
      <c r="B514" s="2939"/>
      <c r="C514" s="2939"/>
      <c r="D514" s="2939"/>
      <c r="E514" s="2939"/>
      <c r="F514" s="2939"/>
      <c r="G514" s="2939"/>
      <c r="H514" s="2939"/>
      <c r="I514" s="2939"/>
      <c r="J514" s="2939"/>
      <c r="K514" s="2939"/>
      <c r="L514" s="2939"/>
      <c r="M514" s="2939"/>
      <c r="N514" s="2939"/>
      <c r="O514" s="3011"/>
      <c r="P514" s="2959"/>
      <c r="Q514" s="2959"/>
    </row>
    <row r="515" spans="1:17">
      <c r="B515" s="2936"/>
      <c r="C515" s="2936"/>
      <c r="D515" s="2936"/>
      <c r="E515" s="2936"/>
      <c r="F515" s="2936"/>
      <c r="G515" s="2936"/>
      <c r="H515" s="2936"/>
      <c r="I515" s="2936"/>
      <c r="J515" s="2936"/>
      <c r="K515" s="2936"/>
      <c r="L515" s="2936"/>
      <c r="M515" s="2936"/>
      <c r="N515" s="2936"/>
      <c r="O515" s="2937"/>
      <c r="P515" s="2959"/>
      <c r="Q515" s="2959"/>
    </row>
    <row r="516" spans="1:17" ht="13.5" thickBot="1">
      <c r="B516" s="2936"/>
      <c r="C516" s="2936"/>
      <c r="D516" s="2936"/>
      <c r="E516" s="2936"/>
      <c r="F516" s="2936"/>
      <c r="G516" s="2936"/>
      <c r="H516" s="2936"/>
      <c r="I516" s="2936"/>
      <c r="J516" s="2936"/>
      <c r="K516" s="2936"/>
      <c r="L516" s="2936"/>
      <c r="M516" s="2936"/>
      <c r="N516" s="2936"/>
      <c r="O516" s="2940"/>
      <c r="P516" s="2959"/>
      <c r="Q516" s="2959"/>
    </row>
    <row r="517" spans="1:17" ht="13.5" thickBot="1">
      <c r="B517" s="2936"/>
      <c r="C517" s="2936"/>
      <c r="D517" s="2936"/>
      <c r="E517" s="2936"/>
      <c r="F517" s="2936"/>
      <c r="G517" s="2936"/>
      <c r="H517" s="2936"/>
      <c r="I517" s="2936"/>
      <c r="J517" s="2936"/>
      <c r="K517" s="2936"/>
      <c r="L517" s="2936"/>
      <c r="M517" s="2936"/>
      <c r="N517" s="2936"/>
      <c r="O517" s="2942"/>
      <c r="P517" s="2959"/>
      <c r="Q517" s="2959"/>
    </row>
    <row r="518" spans="1:17" ht="13.5" thickBot="1">
      <c r="B518" s="2936"/>
      <c r="C518" s="2936"/>
      <c r="D518" s="2936"/>
      <c r="E518" s="2936"/>
      <c r="F518" s="2936"/>
      <c r="G518" s="2936"/>
      <c r="H518" s="2936"/>
      <c r="I518" s="2936"/>
      <c r="J518" s="2936"/>
      <c r="K518" s="2936"/>
      <c r="L518" s="2936"/>
      <c r="M518" s="2936"/>
      <c r="N518" s="2936"/>
      <c r="O518" s="2942"/>
      <c r="P518" s="2959"/>
      <c r="Q518" s="2959"/>
    </row>
    <row r="519" spans="1:17" ht="13.5" thickBot="1">
      <c r="B519" s="2936"/>
      <c r="C519" s="2936"/>
      <c r="D519" s="2936"/>
      <c r="E519" s="2936"/>
      <c r="F519" s="2936"/>
      <c r="G519" s="2936"/>
      <c r="H519" s="2936"/>
      <c r="I519" s="2936"/>
      <c r="J519" s="2936"/>
      <c r="K519" s="2936"/>
      <c r="L519" s="2936"/>
      <c r="M519" s="2936"/>
      <c r="N519" s="2936"/>
      <c r="O519" s="2942"/>
      <c r="P519" s="2959"/>
      <c r="Q519" s="2959"/>
    </row>
    <row r="520" spans="1:17" ht="13.5" thickBot="1">
      <c r="B520" s="2936"/>
      <c r="C520" s="2936"/>
      <c r="D520" s="2936"/>
      <c r="E520" s="2936"/>
      <c r="F520" s="2936"/>
      <c r="G520" s="2936"/>
      <c r="H520" s="2936"/>
      <c r="I520" s="2936"/>
      <c r="J520" s="2936"/>
      <c r="K520" s="2936"/>
      <c r="L520" s="2936"/>
      <c r="M520" s="2936"/>
      <c r="N520" s="2939"/>
      <c r="O520" s="2942"/>
      <c r="P520" s="2959"/>
      <c r="Q520" s="2959"/>
    </row>
    <row r="521" spans="1:17" ht="13.5" thickBot="1">
      <c r="B521" s="2936"/>
      <c r="C521" s="2936"/>
      <c r="D521" s="2936"/>
      <c r="E521" s="2936"/>
      <c r="F521" s="2936"/>
      <c r="G521" s="2936"/>
      <c r="H521" s="2936"/>
      <c r="I521" s="2936"/>
      <c r="J521" s="2936"/>
      <c r="K521" s="2936"/>
      <c r="L521" s="2936"/>
      <c r="M521" s="2936"/>
      <c r="N521" s="2941"/>
      <c r="O521" s="2942"/>
      <c r="P521" s="2959"/>
      <c r="Q521" s="2959"/>
    </row>
    <row r="522" spans="1:17" ht="13.5" thickBot="1">
      <c r="B522" s="2936"/>
      <c r="C522" s="2936"/>
      <c r="D522" s="2936"/>
      <c r="E522" s="2936"/>
      <c r="F522" s="2936"/>
      <c r="G522" s="2936"/>
      <c r="H522" s="2936"/>
      <c r="I522" s="2936"/>
      <c r="J522" s="2936"/>
      <c r="K522" s="2936"/>
      <c r="L522" s="2936"/>
      <c r="M522" s="2936"/>
      <c r="N522" s="2941"/>
      <c r="O522" s="2942"/>
      <c r="P522" s="2959"/>
      <c r="Q522" s="2959"/>
    </row>
    <row r="523" spans="1:17" ht="13.5" thickBot="1">
      <c r="B523" s="2936"/>
      <c r="C523" s="2936"/>
      <c r="D523" s="2936"/>
      <c r="E523" s="2936"/>
      <c r="F523" s="2936"/>
      <c r="G523" s="2936"/>
      <c r="H523" s="2936"/>
      <c r="I523" s="2936"/>
      <c r="J523" s="2936"/>
      <c r="K523" s="2936"/>
      <c r="L523" s="2936"/>
      <c r="M523" s="2936"/>
      <c r="N523" s="2941"/>
      <c r="O523" s="2942"/>
      <c r="P523" s="2959"/>
      <c r="Q523" s="2959"/>
    </row>
    <row r="524" spans="1:17" ht="13.5" thickBot="1">
      <c r="B524" s="2936"/>
      <c r="C524" s="2936"/>
      <c r="D524" s="2936"/>
      <c r="E524" s="2936"/>
      <c r="F524" s="2936"/>
      <c r="G524" s="2936"/>
      <c r="H524" s="2936"/>
      <c r="I524" s="2936"/>
      <c r="J524" s="2936"/>
      <c r="K524" s="2936"/>
      <c r="L524" s="2936"/>
      <c r="M524" s="2936"/>
      <c r="N524" s="2941"/>
      <c r="O524" s="2942"/>
      <c r="P524" s="2959"/>
      <c r="Q524" s="2959"/>
    </row>
    <row r="525" spans="1:17" ht="13.5" thickBot="1">
      <c r="A525" s="2091"/>
      <c r="B525" s="2939"/>
      <c r="C525" s="2939"/>
      <c r="D525" s="2939"/>
      <c r="E525" s="2939"/>
      <c r="F525" s="2939"/>
      <c r="G525" s="2939"/>
      <c r="H525" s="2939"/>
      <c r="I525" s="2939"/>
      <c r="J525" s="2939"/>
      <c r="K525" s="2939"/>
      <c r="L525" s="2939"/>
      <c r="M525" s="2936"/>
      <c r="N525" s="2941"/>
      <c r="O525" s="2942"/>
      <c r="P525" s="2959"/>
      <c r="Q525" s="2959"/>
    </row>
    <row r="526" spans="1:17" ht="13.5" thickBot="1">
      <c r="A526" s="2465"/>
      <c r="B526" s="2943"/>
      <c r="C526" s="2943"/>
      <c r="D526" s="2943"/>
      <c r="E526" s="2943"/>
      <c r="F526" s="2943"/>
      <c r="G526" s="2943"/>
      <c r="H526" s="2943"/>
      <c r="I526" s="2943"/>
      <c r="J526" s="2943"/>
      <c r="K526" s="2943"/>
      <c r="L526" s="2943"/>
      <c r="M526" s="2936"/>
      <c r="N526" s="2943"/>
      <c r="O526" s="2942"/>
      <c r="P526" s="2959"/>
      <c r="Q526" s="2959"/>
    </row>
    <row r="527" spans="1:17" ht="13.5" thickBot="1">
      <c r="A527" s="2465"/>
      <c r="B527" s="2936"/>
      <c r="C527" s="2936"/>
      <c r="D527" s="2936"/>
      <c r="E527" s="2936"/>
      <c r="F527" s="2936"/>
      <c r="G527" s="2936"/>
      <c r="H527" s="2936"/>
      <c r="I527" s="2936"/>
      <c r="J527" s="2936"/>
      <c r="K527" s="2936"/>
      <c r="L527" s="2936"/>
      <c r="M527" s="2936"/>
      <c r="N527" s="2936"/>
      <c r="O527" s="2942"/>
      <c r="P527" s="2959"/>
      <c r="Q527" s="2959"/>
    </row>
    <row r="528" spans="1:17" ht="13.5" thickBot="1">
      <c r="A528" s="2465"/>
      <c r="B528" s="2936"/>
      <c r="C528" s="2936"/>
      <c r="D528" s="2936"/>
      <c r="E528" s="2936"/>
      <c r="F528" s="2936"/>
      <c r="G528" s="2936"/>
      <c r="H528" s="2936"/>
      <c r="I528" s="2936"/>
      <c r="J528" s="2936"/>
      <c r="K528" s="2936"/>
      <c r="L528" s="2936"/>
      <c r="M528" s="2936"/>
      <c r="N528" s="2936"/>
      <c r="O528" s="2942"/>
      <c r="P528" s="2959"/>
      <c r="Q528" s="2959"/>
    </row>
    <row r="529" spans="1:17" ht="13.5" thickBot="1">
      <c r="A529" s="2465"/>
      <c r="B529" s="2936"/>
      <c r="C529" s="2936"/>
      <c r="D529" s="2936"/>
      <c r="E529" s="2936"/>
      <c r="F529" s="2936"/>
      <c r="G529" s="2936"/>
      <c r="H529" s="2936"/>
      <c r="I529" s="2936"/>
      <c r="J529" s="2936"/>
      <c r="K529" s="2936"/>
      <c r="L529" s="2936"/>
      <c r="M529" s="2936"/>
      <c r="N529" s="2936"/>
      <c r="O529" s="2942"/>
      <c r="P529" s="2959"/>
      <c r="Q529" s="2959"/>
    </row>
    <row r="530" spans="1:17" ht="13.5" thickBot="1">
      <c r="A530" s="2465"/>
      <c r="B530" s="2936"/>
      <c r="C530" s="2936"/>
      <c r="D530" s="2936"/>
      <c r="E530" s="2936"/>
      <c r="F530" s="2936"/>
      <c r="G530" s="2936"/>
      <c r="H530" s="2936"/>
      <c r="I530" s="2936"/>
      <c r="J530" s="2936"/>
      <c r="K530" s="2936"/>
      <c r="L530" s="2936"/>
      <c r="M530" s="2936"/>
      <c r="N530" s="2936"/>
      <c r="O530" s="2942"/>
      <c r="P530" s="2959"/>
      <c r="Q530" s="2959"/>
    </row>
    <row r="531" spans="1:17" ht="13.5" thickBot="1">
      <c r="A531" s="2465"/>
      <c r="B531" s="2936"/>
      <c r="C531" s="2936"/>
      <c r="D531" s="2936"/>
      <c r="E531" s="2936"/>
      <c r="F531" s="2936"/>
      <c r="G531" s="2936"/>
      <c r="H531" s="2936"/>
      <c r="I531" s="2936"/>
      <c r="J531" s="2936"/>
      <c r="K531" s="2936"/>
      <c r="L531" s="2936"/>
      <c r="M531" s="2936"/>
      <c r="N531" s="2936"/>
      <c r="O531" s="2942"/>
      <c r="P531" s="2959"/>
      <c r="Q531" s="2959"/>
    </row>
    <row r="532" spans="1:17" ht="13.5" thickBot="1">
      <c r="A532" s="2465"/>
      <c r="B532" s="2936"/>
      <c r="C532" s="2936"/>
      <c r="D532" s="2936"/>
      <c r="E532" s="2936"/>
      <c r="F532" s="2936"/>
      <c r="G532" s="2936"/>
      <c r="H532" s="2936"/>
      <c r="I532" s="2936"/>
      <c r="J532" s="2936"/>
      <c r="K532" s="2936"/>
      <c r="L532" s="2936"/>
      <c r="M532" s="2936"/>
      <c r="N532" s="2936"/>
      <c r="O532" s="2942"/>
      <c r="P532" s="2959"/>
      <c r="Q532" s="2959"/>
    </row>
    <row r="533" spans="1:17">
      <c r="A533" s="2466"/>
      <c r="B533" s="2936"/>
      <c r="C533" s="2936"/>
      <c r="D533" s="2936"/>
      <c r="E533" s="2936"/>
      <c r="F533" s="2936"/>
      <c r="G533" s="2936"/>
      <c r="H533" s="2936"/>
      <c r="I533" s="2936"/>
      <c r="J533" s="2936"/>
      <c r="K533" s="2936"/>
      <c r="L533" s="2936"/>
      <c r="M533" s="2936"/>
      <c r="N533" s="2936"/>
      <c r="O533" s="2944"/>
      <c r="P533" s="2959"/>
      <c r="Q533" s="2959"/>
    </row>
  </sheetData>
  <mergeCells count="66">
    <mergeCell ref="O34:O40"/>
    <mergeCell ref="O41:O45"/>
    <mergeCell ref="A2:O2"/>
    <mergeCell ref="N16:N20"/>
    <mergeCell ref="A21:A33"/>
    <mergeCell ref="C23:C28"/>
    <mergeCell ref="M29:M31"/>
    <mergeCell ref="N29:N31"/>
    <mergeCell ref="C30:C33"/>
    <mergeCell ref="M16:M20"/>
    <mergeCell ref="O21:O28"/>
    <mergeCell ref="O29:O33"/>
    <mergeCell ref="A34:A45"/>
    <mergeCell ref="C36:C40"/>
    <mergeCell ref="M41:M43"/>
    <mergeCell ref="N41:N43"/>
    <mergeCell ref="A46:E46"/>
    <mergeCell ref="C47:C49"/>
    <mergeCell ref="D47:D49"/>
    <mergeCell ref="E47:E49"/>
    <mergeCell ref="C42:C45"/>
    <mergeCell ref="N64:N69"/>
    <mergeCell ref="G47:L47"/>
    <mergeCell ref="K48:K49"/>
    <mergeCell ref="A105:O105"/>
    <mergeCell ref="A102:O102"/>
    <mergeCell ref="A104:I104"/>
    <mergeCell ref="A103:L103"/>
    <mergeCell ref="C90:C92"/>
    <mergeCell ref="A88:A92"/>
    <mergeCell ref="A93:A97"/>
    <mergeCell ref="A98:A101"/>
    <mergeCell ref="O98:O101"/>
    <mergeCell ref="C100:C101"/>
    <mergeCell ref="O93:O97"/>
    <mergeCell ref="C95:C97"/>
    <mergeCell ref="O88:O92"/>
    <mergeCell ref="G48:G49"/>
    <mergeCell ref="H48:H49"/>
    <mergeCell ref="I48:I49"/>
    <mergeCell ref="J48:J49"/>
    <mergeCell ref="O47:O49"/>
    <mergeCell ref="N47:N49"/>
    <mergeCell ref="Q70:S80"/>
    <mergeCell ref="C72:C77"/>
    <mergeCell ref="C80:C82"/>
    <mergeCell ref="N79:N82"/>
    <mergeCell ref="A70:A82"/>
    <mergeCell ref="O70:O82"/>
    <mergeCell ref="M79:M82"/>
    <mergeCell ref="A83:A87"/>
    <mergeCell ref="G3:L3"/>
    <mergeCell ref="M3:M4"/>
    <mergeCell ref="N3:N4"/>
    <mergeCell ref="O3:O4"/>
    <mergeCell ref="A3:A4"/>
    <mergeCell ref="B3:B4"/>
    <mergeCell ref="C3:C4"/>
    <mergeCell ref="D3:D4"/>
    <mergeCell ref="F3:F4"/>
    <mergeCell ref="O83:O87"/>
    <mergeCell ref="C85:C87"/>
    <mergeCell ref="L48:L49"/>
    <mergeCell ref="M47:M49"/>
    <mergeCell ref="M64:M69"/>
    <mergeCell ref="F47:F49"/>
  </mergeCells>
  <printOptions horizontalCentered="1"/>
  <pageMargins left="7.874015748031496E-2" right="0.15748031496062992" top="0.51181102362204722" bottom="0.31496062992125984" header="0.15748031496062992" footer="0.15748031496062992"/>
  <pageSetup paperSize="9" scale="70" firstPageNumber="41" orientation="landscape" useFirstPageNumber="1" r:id="rId1"/>
  <headerFooter alignWithMargins="0">
    <oddHeader>&amp;C&amp;"Arial,Kursywa"Wieloletnia prognoza finansowa Województwa Zachodniopomorskiego
&amp;"Arial,Normalny"_________________________________________________________________________________________________________________________________</oddHeader>
    <oddFooter>&amp;C&amp;8&amp;P</oddFooter>
  </headerFooter>
  <rowBreaks count="1" manualBreakCount="1">
    <brk id="45" max="14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00B050"/>
  </sheetPr>
  <dimension ref="A1:DE533"/>
  <sheetViews>
    <sheetView showGridLines="0" view="pageBreakPreview" zoomScale="110" zoomScaleSheetLayoutView="110" workbookViewId="0">
      <pane ySplit="8" topLeftCell="A9" activePane="bottomLeft" state="frozen"/>
      <selection activeCell="A4" sqref="A1:XFD1048576"/>
      <selection pane="bottomLeft" activeCell="A9" sqref="A9"/>
    </sheetView>
  </sheetViews>
  <sheetFormatPr defaultColWidth="9.140625" defaultRowHeight="11.25"/>
  <cols>
    <col min="1" max="1" width="2.85546875" style="1457" customWidth="1"/>
    <col min="2" max="2" width="57.140625" style="1458" customWidth="1"/>
    <col min="3" max="3" width="10" style="1458" customWidth="1"/>
    <col min="4" max="4" width="13.85546875" style="1458" customWidth="1"/>
    <col min="5" max="5" width="12" style="1458" customWidth="1"/>
    <col min="6" max="6" width="10.42578125" style="1458" customWidth="1"/>
    <col min="7" max="7" width="10.140625" style="1458" customWidth="1"/>
    <col min="8" max="8" width="9.28515625" style="1458" customWidth="1"/>
    <col min="9" max="12" width="9.5703125" style="1458" customWidth="1"/>
    <col min="13" max="13" width="10.5703125" style="1458" hidden="1" customWidth="1"/>
    <col min="14" max="14" width="11.28515625" style="1458" customWidth="1"/>
    <col min="15" max="15" width="15.7109375" style="1590" customWidth="1"/>
    <col min="16" max="25" width="0" style="1458" hidden="1" customWidth="1"/>
    <col min="26" max="16384" width="9.140625" style="1458"/>
  </cols>
  <sheetData>
    <row r="1" spans="1:15" ht="18" customHeight="1">
      <c r="H1" s="1459" t="s">
        <v>119</v>
      </c>
      <c r="I1" s="1459"/>
      <c r="J1" s="1459"/>
      <c r="K1" s="1459"/>
      <c r="L1" s="1459"/>
      <c r="M1" s="1460"/>
      <c r="N1" s="1460"/>
      <c r="O1" s="1461"/>
    </row>
    <row r="2" spans="1:15" ht="7.5" customHeight="1">
      <c r="I2" s="1460"/>
      <c r="J2" s="1460"/>
      <c r="K2" s="1460"/>
      <c r="L2" s="1460"/>
      <c r="M2" s="1460"/>
      <c r="N2" s="1460"/>
      <c r="O2" s="1461"/>
    </row>
    <row r="3" spans="1:15" ht="14.25" hidden="1" customHeight="1">
      <c r="F3" s="1462"/>
      <c r="G3" s="1462"/>
      <c r="H3" s="1462"/>
      <c r="I3" s="1460"/>
      <c r="J3" s="1460"/>
      <c r="K3" s="1460"/>
      <c r="L3" s="1460"/>
      <c r="M3" s="1460"/>
      <c r="N3" s="1460"/>
      <c r="O3" s="1461"/>
    </row>
    <row r="4" spans="1:15" ht="9" customHeight="1">
      <c r="F4" s="1462"/>
      <c r="G4" s="1462"/>
      <c r="H4" s="1462"/>
      <c r="I4" s="1460"/>
      <c r="J4" s="1460"/>
      <c r="K4" s="1460"/>
      <c r="L4" s="1460"/>
      <c r="M4" s="1460"/>
      <c r="N4" s="1460"/>
      <c r="O4" s="1461"/>
    </row>
    <row r="5" spans="1:15" ht="38.25" customHeight="1" thickBot="1">
      <c r="A5" s="3897" t="s">
        <v>120</v>
      </c>
      <c r="B5" s="3897"/>
      <c r="C5" s="3897"/>
      <c r="D5" s="3897"/>
      <c r="E5" s="3897"/>
      <c r="F5" s="3897"/>
      <c r="G5" s="3897"/>
      <c r="H5" s="3897"/>
      <c r="I5" s="3897"/>
      <c r="J5" s="3897"/>
      <c r="K5" s="3897"/>
      <c r="L5" s="3897"/>
      <c r="M5" s="3897"/>
      <c r="N5" s="3897"/>
      <c r="O5" s="3897"/>
    </row>
    <row r="6" spans="1:15" s="3156" customFormat="1" ht="33.75" customHeight="1">
      <c r="A6" s="1463"/>
      <c r="B6" s="3906" t="s">
        <v>67</v>
      </c>
      <c r="C6" s="3909" t="s">
        <v>63</v>
      </c>
      <c r="D6" s="3912" t="s">
        <v>121</v>
      </c>
      <c r="E6" s="3921" t="s">
        <v>379</v>
      </c>
      <c r="F6" s="3924" t="s">
        <v>420</v>
      </c>
      <c r="G6" s="3927" t="s">
        <v>376</v>
      </c>
      <c r="H6" s="3928"/>
      <c r="I6" s="3928"/>
      <c r="J6" s="3928"/>
      <c r="K6" s="3928"/>
      <c r="L6" s="3929"/>
      <c r="M6" s="3918" t="s">
        <v>390</v>
      </c>
      <c r="N6" s="3918" t="s">
        <v>377</v>
      </c>
      <c r="O6" s="3915" t="s">
        <v>65</v>
      </c>
    </row>
    <row r="7" spans="1:15" s="3156" customFormat="1" ht="25.5" customHeight="1">
      <c r="A7" s="1464" t="s">
        <v>66</v>
      </c>
      <c r="B7" s="3907"/>
      <c r="C7" s="3910"/>
      <c r="D7" s="3913"/>
      <c r="E7" s="3922"/>
      <c r="F7" s="3925"/>
      <c r="G7" s="3930" t="s">
        <v>6</v>
      </c>
      <c r="H7" s="3930" t="s">
        <v>170</v>
      </c>
      <c r="I7" s="3930" t="s">
        <v>172</v>
      </c>
      <c r="J7" s="3930" t="s">
        <v>212</v>
      </c>
      <c r="K7" s="3930" t="s">
        <v>213</v>
      </c>
      <c r="L7" s="3930" t="s">
        <v>211</v>
      </c>
      <c r="M7" s="3919"/>
      <c r="N7" s="3919"/>
      <c r="O7" s="3916"/>
    </row>
    <row r="8" spans="1:15" s="3156" customFormat="1" ht="20.25" customHeight="1" thickBot="1">
      <c r="A8" s="1464"/>
      <c r="B8" s="3908"/>
      <c r="C8" s="3911"/>
      <c r="D8" s="3914"/>
      <c r="E8" s="3923"/>
      <c r="F8" s="3926"/>
      <c r="G8" s="3931"/>
      <c r="H8" s="3931"/>
      <c r="I8" s="3931"/>
      <c r="J8" s="3931"/>
      <c r="K8" s="3931"/>
      <c r="L8" s="3931"/>
      <c r="M8" s="3920"/>
      <c r="N8" s="3920"/>
      <c r="O8" s="3917"/>
    </row>
    <row r="9" spans="1:15" s="3156" customFormat="1" ht="12.75" customHeight="1">
      <c r="A9" s="1609">
        <v>1</v>
      </c>
      <c r="B9" s="1610">
        <v>2</v>
      </c>
      <c r="C9" s="1611" t="s">
        <v>109</v>
      </c>
      <c r="D9" s="1611" t="s">
        <v>110</v>
      </c>
      <c r="E9" s="1611">
        <v>5</v>
      </c>
      <c r="F9" s="1611">
        <v>6</v>
      </c>
      <c r="G9" s="1611">
        <v>7</v>
      </c>
      <c r="H9" s="1611">
        <v>8</v>
      </c>
      <c r="I9" s="1611">
        <v>9</v>
      </c>
      <c r="J9" s="1611">
        <v>10</v>
      </c>
      <c r="K9" s="1611">
        <v>11</v>
      </c>
      <c r="L9" s="1611">
        <v>12</v>
      </c>
      <c r="M9" s="1613">
        <v>13</v>
      </c>
      <c r="N9" s="1613">
        <v>13</v>
      </c>
      <c r="O9" s="1612">
        <v>14</v>
      </c>
    </row>
    <row r="10" spans="1:15" s="3156" customFormat="1" ht="17.25" customHeight="1">
      <c r="A10" s="1465"/>
      <c r="B10" s="1466" t="s">
        <v>68</v>
      </c>
      <c r="C10" s="1467"/>
      <c r="D10" s="215">
        <f>+D11+D12</f>
        <v>1658272</v>
      </c>
      <c r="E10" s="215">
        <f t="shared" ref="E10" si="0">+E11+E12</f>
        <v>594690</v>
      </c>
      <c r="F10" s="215">
        <f t="shared" ref="F10:G10" si="1">+F11+F12</f>
        <v>164817</v>
      </c>
      <c r="G10" s="215">
        <f t="shared" si="1"/>
        <v>453309</v>
      </c>
      <c r="H10" s="215">
        <f t="shared" ref="H10:L10" si="2">+H11+H12</f>
        <v>246376</v>
      </c>
      <c r="I10" s="215">
        <f t="shared" si="2"/>
        <v>199080</v>
      </c>
      <c r="J10" s="215">
        <f t="shared" si="2"/>
        <v>0</v>
      </c>
      <c r="K10" s="215">
        <f t="shared" si="2"/>
        <v>0</v>
      </c>
      <c r="L10" s="215">
        <f t="shared" si="2"/>
        <v>0</v>
      </c>
      <c r="M10" s="145">
        <f>+M11+M12</f>
        <v>1063582</v>
      </c>
      <c r="N10" s="145">
        <f>+N11+N12</f>
        <v>898765</v>
      </c>
      <c r="O10" s="1469"/>
    </row>
    <row r="11" spans="1:15" s="3156" customFormat="1" ht="13.5" customHeight="1">
      <c r="A11" s="1465"/>
      <c r="B11" s="1470" t="s">
        <v>69</v>
      </c>
      <c r="C11" s="1471"/>
      <c r="D11" s="207">
        <f t="shared" ref="D11:L11" si="3">+D27+D38+D49+D56+D63+D70+D77</f>
        <v>1658272</v>
      </c>
      <c r="E11" s="207">
        <f>+E27+E38+E49+E56+E63+E70+E77</f>
        <v>594690</v>
      </c>
      <c r="F11" s="207">
        <f t="shared" si="3"/>
        <v>164817</v>
      </c>
      <c r="G11" s="207">
        <f t="shared" si="3"/>
        <v>453309</v>
      </c>
      <c r="H11" s="207">
        <f t="shared" si="3"/>
        <v>246376</v>
      </c>
      <c r="I11" s="207">
        <f t="shared" si="3"/>
        <v>199080</v>
      </c>
      <c r="J11" s="207">
        <f t="shared" si="3"/>
        <v>0</v>
      </c>
      <c r="K11" s="207">
        <f t="shared" si="3"/>
        <v>0</v>
      </c>
      <c r="L11" s="207">
        <f t="shared" si="3"/>
        <v>0</v>
      </c>
      <c r="M11" s="18">
        <f>SUM(F11:K11)</f>
        <v>1063582</v>
      </c>
      <c r="N11" s="18">
        <f>SUM(G11:L11)</f>
        <v>898765</v>
      </c>
      <c r="O11" s="1469"/>
    </row>
    <row r="12" spans="1:15" s="3156" customFormat="1" ht="13.5" customHeight="1" thickBot="1">
      <c r="A12" s="1465"/>
      <c r="B12" s="1473" t="s">
        <v>9</v>
      </c>
      <c r="C12" s="1471"/>
      <c r="D12" s="207">
        <v>0</v>
      </c>
      <c r="E12" s="207">
        <v>0</v>
      </c>
      <c r="F12" s="207">
        <v>0</v>
      </c>
      <c r="G12" s="207">
        <v>0</v>
      </c>
      <c r="H12" s="207">
        <v>0</v>
      </c>
      <c r="I12" s="207">
        <v>0</v>
      </c>
      <c r="J12" s="207">
        <v>0</v>
      </c>
      <c r="K12" s="207">
        <v>0</v>
      </c>
      <c r="L12" s="207">
        <v>0</v>
      </c>
      <c r="M12" s="18">
        <f>SUM(E12:K12)</f>
        <v>0</v>
      </c>
      <c r="N12" s="18">
        <f>SUM(F12:L12)</f>
        <v>0</v>
      </c>
      <c r="O12" s="1469"/>
    </row>
    <row r="13" spans="1:15" ht="14.25" customHeight="1">
      <c r="A13" s="1474"/>
      <c r="B13" s="1475" t="s">
        <v>10</v>
      </c>
      <c r="C13" s="1476"/>
      <c r="D13" s="151">
        <f>+D14+D17</f>
        <v>1658272</v>
      </c>
      <c r="E13" s="151">
        <f t="shared" ref="E13" si="4">+E14+E17</f>
        <v>594690</v>
      </c>
      <c r="F13" s="151">
        <f t="shared" ref="F13" si="5">+F14+F17</f>
        <v>164817</v>
      </c>
      <c r="G13" s="151">
        <f t="shared" ref="G13:N13" si="6">+G14+G17</f>
        <v>453309</v>
      </c>
      <c r="H13" s="151">
        <f t="shared" si="6"/>
        <v>246376</v>
      </c>
      <c r="I13" s="151">
        <f t="shared" si="6"/>
        <v>199080</v>
      </c>
      <c r="J13" s="151">
        <f t="shared" si="6"/>
        <v>0</v>
      </c>
      <c r="K13" s="151">
        <f t="shared" si="6"/>
        <v>0</v>
      </c>
      <c r="L13" s="151">
        <f t="shared" si="6"/>
        <v>0</v>
      </c>
      <c r="M13" s="185">
        <f t="shared" ref="M13" si="7">+M14+M17</f>
        <v>813582</v>
      </c>
      <c r="N13" s="185">
        <f t="shared" si="6"/>
        <v>898765</v>
      </c>
      <c r="O13" s="1469"/>
    </row>
    <row r="14" spans="1:15" ht="14.25" customHeight="1">
      <c r="A14" s="1465"/>
      <c r="B14" s="1477" t="s">
        <v>11</v>
      </c>
      <c r="C14" s="1478"/>
      <c r="D14" s="1593">
        <f>SUM(D15:D16)</f>
        <v>679652</v>
      </c>
      <c r="E14" s="1593">
        <f>SUM(E15:E16)</f>
        <v>274500</v>
      </c>
      <c r="F14" s="1593">
        <f>SUM(F15:F16)</f>
        <v>67232</v>
      </c>
      <c r="G14" s="1593">
        <f>SUM(G15:G16)</f>
        <v>134846</v>
      </c>
      <c r="H14" s="1593">
        <f t="shared" ref="H14:L14" si="8">SUM(H15:H16)</f>
        <v>103534</v>
      </c>
      <c r="I14" s="1593">
        <f t="shared" si="8"/>
        <v>99540</v>
      </c>
      <c r="J14" s="1593">
        <f t="shared" si="8"/>
        <v>0</v>
      </c>
      <c r="K14" s="1593">
        <f t="shared" si="8"/>
        <v>0</v>
      </c>
      <c r="L14" s="1593">
        <f t="shared" si="8"/>
        <v>0</v>
      </c>
      <c r="M14" s="1594">
        <f>+M15</f>
        <v>365852</v>
      </c>
      <c r="N14" s="1328">
        <f>SUM(N15:N16)</f>
        <v>337920</v>
      </c>
      <c r="O14" s="1479"/>
    </row>
    <row r="15" spans="1:15" ht="12">
      <c r="A15" s="1480"/>
      <c r="B15" s="1481" t="s">
        <v>12</v>
      </c>
      <c r="C15" s="1482"/>
      <c r="D15" s="1595">
        <f>+D29+D40</f>
        <v>640352</v>
      </c>
      <c r="E15" s="1595">
        <f t="shared" ref="E15" si="9">+E29+E40</f>
        <v>274500</v>
      </c>
      <c r="F15" s="1595">
        <f t="shared" ref="F15" si="10">+F29+F40</f>
        <v>67232</v>
      </c>
      <c r="G15" s="1595">
        <f>+G29+G40</f>
        <v>99540</v>
      </c>
      <c r="H15" s="1595">
        <f t="shared" ref="H15:L15" si="11">+H29+H40</f>
        <v>99540</v>
      </c>
      <c r="I15" s="1595">
        <f t="shared" si="11"/>
        <v>99540</v>
      </c>
      <c r="J15" s="1595">
        <f t="shared" si="11"/>
        <v>0</v>
      </c>
      <c r="K15" s="1595">
        <f t="shared" si="11"/>
        <v>0</v>
      </c>
      <c r="L15" s="1595">
        <f t="shared" si="11"/>
        <v>0</v>
      </c>
      <c r="M15" s="1438">
        <f>+H15+G15+F15+I15+J15+K15</f>
        <v>365852</v>
      </c>
      <c r="N15" s="1438">
        <f>+I15+H15+G15+J15+K15+L15</f>
        <v>298620</v>
      </c>
      <c r="O15" s="1469"/>
    </row>
    <row r="16" spans="1:15" ht="12">
      <c r="A16" s="1480"/>
      <c r="B16" s="308" t="s">
        <v>13</v>
      </c>
      <c r="C16" s="2174"/>
      <c r="D16" s="310">
        <f>+D79</f>
        <v>39300</v>
      </c>
      <c r="E16" s="310">
        <f t="shared" ref="E16:L16" si="12">+E79</f>
        <v>0</v>
      </c>
      <c r="F16" s="310">
        <f t="shared" si="12"/>
        <v>0</v>
      </c>
      <c r="G16" s="310">
        <f t="shared" si="12"/>
        <v>35306</v>
      </c>
      <c r="H16" s="310">
        <f t="shared" si="12"/>
        <v>3994</v>
      </c>
      <c r="I16" s="310">
        <f t="shared" si="12"/>
        <v>0</v>
      </c>
      <c r="J16" s="310">
        <f t="shared" si="12"/>
        <v>0</v>
      </c>
      <c r="K16" s="310">
        <f t="shared" si="12"/>
        <v>0</v>
      </c>
      <c r="L16" s="310">
        <f t="shared" si="12"/>
        <v>0</v>
      </c>
      <c r="M16" s="2173"/>
      <c r="N16" s="1438">
        <f>+I16+H16+G16+J16+K16+L16</f>
        <v>39300</v>
      </c>
      <c r="O16" s="1469"/>
    </row>
    <row r="17" spans="1:16" ht="14.25" customHeight="1">
      <c r="A17" s="1465"/>
      <c r="B17" s="1483" t="s">
        <v>18</v>
      </c>
      <c r="C17" s="1484"/>
      <c r="D17" s="159">
        <f t="shared" ref="D17:L17" si="13">SUM(D18:D19)</f>
        <v>978620</v>
      </c>
      <c r="E17" s="159">
        <f t="shared" si="13"/>
        <v>320190</v>
      </c>
      <c r="F17" s="159">
        <f t="shared" si="13"/>
        <v>97585</v>
      </c>
      <c r="G17" s="159">
        <f t="shared" si="13"/>
        <v>318463</v>
      </c>
      <c r="H17" s="159">
        <f t="shared" si="13"/>
        <v>142842</v>
      </c>
      <c r="I17" s="159">
        <f t="shared" si="13"/>
        <v>99540</v>
      </c>
      <c r="J17" s="159">
        <f t="shared" si="13"/>
        <v>0</v>
      </c>
      <c r="K17" s="159">
        <f t="shared" si="13"/>
        <v>0</v>
      </c>
      <c r="L17" s="159">
        <f t="shared" si="13"/>
        <v>0</v>
      </c>
      <c r="M17" s="1594">
        <f t="shared" ref="M17" si="14">SUM(M19)</f>
        <v>447730</v>
      </c>
      <c r="N17" s="1328">
        <f>SUM(N18:N19)</f>
        <v>560845</v>
      </c>
      <c r="O17" s="1479"/>
    </row>
    <row r="18" spans="1:16" ht="12">
      <c r="A18" s="1465"/>
      <c r="B18" s="312" t="s">
        <v>20</v>
      </c>
      <c r="C18" s="2175"/>
      <c r="D18" s="2178">
        <f t="shared" ref="D18:L18" si="15">+D81</f>
        <v>210700</v>
      </c>
      <c r="E18" s="2178">
        <f t="shared" si="15"/>
        <v>0</v>
      </c>
      <c r="F18" s="2178">
        <f t="shared" si="15"/>
        <v>0</v>
      </c>
      <c r="G18" s="2178">
        <f t="shared" si="15"/>
        <v>189284</v>
      </c>
      <c r="H18" s="2178">
        <f t="shared" si="15"/>
        <v>21416</v>
      </c>
      <c r="I18" s="2178">
        <f t="shared" si="15"/>
        <v>0</v>
      </c>
      <c r="J18" s="2178">
        <f t="shared" si="15"/>
        <v>0</v>
      </c>
      <c r="K18" s="2178">
        <f t="shared" si="15"/>
        <v>0</v>
      </c>
      <c r="L18" s="2178">
        <f t="shared" si="15"/>
        <v>0</v>
      </c>
      <c r="M18" s="2177"/>
      <c r="N18" s="1438">
        <f>+I18+H18+G18+J18+K18+L18</f>
        <v>210700</v>
      </c>
      <c r="O18" s="1479"/>
    </row>
    <row r="19" spans="1:16" ht="12" customHeight="1">
      <c r="A19" s="1485"/>
      <c r="B19" s="1486" t="s">
        <v>19</v>
      </c>
      <c r="C19" s="1487"/>
      <c r="D19" s="1595">
        <f>+D31+D42+D51+D58+D65+D72</f>
        <v>767920</v>
      </c>
      <c r="E19" s="1595">
        <f t="shared" ref="E19" si="16">+E31+E42+E51+E58+E65+E72</f>
        <v>320190</v>
      </c>
      <c r="F19" s="1595">
        <f t="shared" ref="F19:L19" si="17">+F31+F42+F51+F58+F65+F72</f>
        <v>97585</v>
      </c>
      <c r="G19" s="1595">
        <f t="shared" si="17"/>
        <v>129179</v>
      </c>
      <c r="H19" s="1595">
        <f t="shared" si="17"/>
        <v>121426</v>
      </c>
      <c r="I19" s="1595">
        <f t="shared" si="17"/>
        <v>99540</v>
      </c>
      <c r="J19" s="1595">
        <f t="shared" si="17"/>
        <v>0</v>
      </c>
      <c r="K19" s="1595">
        <f t="shared" si="17"/>
        <v>0</v>
      </c>
      <c r="L19" s="1595">
        <f t="shared" si="17"/>
        <v>0</v>
      </c>
      <c r="M19" s="1438">
        <f>+H19+G19+F19+I19+J19+K19</f>
        <v>447730</v>
      </c>
      <c r="N19" s="1438">
        <f>+I19+H19+G19+J19+K19+L19</f>
        <v>350145</v>
      </c>
      <c r="O19" s="1488"/>
    </row>
    <row r="20" spans="1:16" s="1492" customFormat="1" ht="14.25" customHeight="1">
      <c r="A20" s="1465"/>
      <c r="B20" s="1489" t="s">
        <v>21</v>
      </c>
      <c r="C20" s="1490"/>
      <c r="D20" s="365">
        <f>+D21+D23</f>
        <v>1017920</v>
      </c>
      <c r="E20" s="365">
        <f t="shared" ref="E20:L20" si="18">+E21+E23</f>
        <v>292115</v>
      </c>
      <c r="F20" s="365">
        <f t="shared" si="18"/>
        <v>107202</v>
      </c>
      <c r="G20" s="365">
        <f t="shared" si="18"/>
        <v>342369</v>
      </c>
      <c r="H20" s="365">
        <f t="shared" si="18"/>
        <v>146832</v>
      </c>
      <c r="I20" s="365">
        <f t="shared" si="18"/>
        <v>99540</v>
      </c>
      <c r="J20" s="365">
        <f t="shared" si="18"/>
        <v>29862</v>
      </c>
      <c r="K20" s="365">
        <f t="shared" si="18"/>
        <v>0</v>
      </c>
      <c r="L20" s="365">
        <f t="shared" si="18"/>
        <v>0</v>
      </c>
      <c r="M20" s="3857" t="s">
        <v>53</v>
      </c>
      <c r="N20" s="3857" t="s">
        <v>53</v>
      </c>
      <c r="O20" s="1491"/>
    </row>
    <row r="21" spans="1:16" s="1492" customFormat="1" ht="14.25" customHeight="1">
      <c r="A21" s="1465"/>
      <c r="B21" s="152" t="s">
        <v>11</v>
      </c>
      <c r="C21" s="1484"/>
      <c r="D21" s="2176">
        <f>+D22</f>
        <v>39300</v>
      </c>
      <c r="E21" s="2182">
        <f t="shared" ref="E21:L21" si="19">+E22</f>
        <v>0</v>
      </c>
      <c r="F21" s="2182">
        <f t="shared" si="19"/>
        <v>0</v>
      </c>
      <c r="G21" s="2182">
        <f t="shared" si="19"/>
        <v>35306</v>
      </c>
      <c r="H21" s="2182">
        <f t="shared" si="19"/>
        <v>3994</v>
      </c>
      <c r="I21" s="2182">
        <f t="shared" si="19"/>
        <v>0</v>
      </c>
      <c r="J21" s="2182">
        <f t="shared" si="19"/>
        <v>0</v>
      </c>
      <c r="K21" s="2182">
        <f t="shared" si="19"/>
        <v>0</v>
      </c>
      <c r="L21" s="2182">
        <f t="shared" si="19"/>
        <v>0</v>
      </c>
      <c r="M21" s="3858"/>
      <c r="N21" s="3858"/>
      <c r="O21" s="1491"/>
    </row>
    <row r="22" spans="1:16" s="1492" customFormat="1" ht="12">
      <c r="A22" s="1465"/>
      <c r="B22" s="308" t="s">
        <v>13</v>
      </c>
      <c r="C22" s="2175"/>
      <c r="D22" s="2183">
        <f>+D84</f>
        <v>39300</v>
      </c>
      <c r="E22" s="2184">
        <f t="shared" ref="E22:L22" si="20">+E84</f>
        <v>0</v>
      </c>
      <c r="F22" s="2184">
        <f t="shared" si="20"/>
        <v>0</v>
      </c>
      <c r="G22" s="2184">
        <f t="shared" si="20"/>
        <v>35306</v>
      </c>
      <c r="H22" s="2184">
        <f t="shared" si="20"/>
        <v>3994</v>
      </c>
      <c r="I22" s="2184">
        <f t="shared" si="20"/>
        <v>0</v>
      </c>
      <c r="J22" s="2184">
        <f t="shared" si="20"/>
        <v>0</v>
      </c>
      <c r="K22" s="2184">
        <f t="shared" si="20"/>
        <v>0</v>
      </c>
      <c r="L22" s="2184">
        <f t="shared" si="20"/>
        <v>0</v>
      </c>
      <c r="M22" s="3858"/>
      <c r="N22" s="3858"/>
      <c r="O22" s="1491"/>
    </row>
    <row r="23" spans="1:16" s="1492" customFormat="1" ht="14.25" customHeight="1">
      <c r="A23" s="1465"/>
      <c r="B23" s="1483" t="s">
        <v>18</v>
      </c>
      <c r="C23" s="1484"/>
      <c r="D23" s="2176">
        <f t="shared" ref="D23:J23" si="21">SUM(D24:D25)</f>
        <v>978620</v>
      </c>
      <c r="E23" s="2182">
        <f t="shared" si="21"/>
        <v>292115</v>
      </c>
      <c r="F23" s="2182">
        <f t="shared" si="21"/>
        <v>107202</v>
      </c>
      <c r="G23" s="2182">
        <f t="shared" si="21"/>
        <v>307063</v>
      </c>
      <c r="H23" s="2182">
        <f t="shared" si="21"/>
        <v>142838</v>
      </c>
      <c r="I23" s="2182">
        <f t="shared" si="21"/>
        <v>99540</v>
      </c>
      <c r="J23" s="2182">
        <f t="shared" si="21"/>
        <v>29862</v>
      </c>
      <c r="K23" s="2176">
        <f t="shared" ref="K23:L23" si="22">+K25</f>
        <v>0</v>
      </c>
      <c r="L23" s="2176">
        <f t="shared" si="22"/>
        <v>0</v>
      </c>
      <c r="M23" s="3858"/>
      <c r="N23" s="3858"/>
      <c r="O23" s="1479"/>
    </row>
    <row r="24" spans="1:16" s="1492" customFormat="1" ht="12">
      <c r="A24" s="1465"/>
      <c r="B24" s="312" t="s">
        <v>20</v>
      </c>
      <c r="C24" s="2175"/>
      <c r="D24" s="2183">
        <f t="shared" ref="D24:L24" si="23">+D85</f>
        <v>210700</v>
      </c>
      <c r="E24" s="2184">
        <f t="shared" si="23"/>
        <v>0</v>
      </c>
      <c r="F24" s="2184">
        <f t="shared" si="23"/>
        <v>0</v>
      </c>
      <c r="G24" s="2184">
        <f t="shared" si="23"/>
        <v>189284</v>
      </c>
      <c r="H24" s="2184">
        <f t="shared" si="23"/>
        <v>21416</v>
      </c>
      <c r="I24" s="2184">
        <f t="shared" si="23"/>
        <v>0</v>
      </c>
      <c r="J24" s="2184">
        <f t="shared" si="23"/>
        <v>0</v>
      </c>
      <c r="K24" s="2184">
        <f t="shared" si="23"/>
        <v>0</v>
      </c>
      <c r="L24" s="2184">
        <f t="shared" si="23"/>
        <v>0</v>
      </c>
      <c r="M24" s="3858"/>
      <c r="N24" s="3858"/>
      <c r="O24" s="1479"/>
    </row>
    <row r="25" spans="1:16" s="2181" customFormat="1" ht="12.75" customHeight="1" thickBot="1">
      <c r="A25" s="2179"/>
      <c r="B25" s="312" t="s">
        <v>19</v>
      </c>
      <c r="C25" s="2175"/>
      <c r="D25" s="2185">
        <f>+D36+D47+D54+D61+D68+D75</f>
        <v>767920</v>
      </c>
      <c r="E25" s="2186">
        <f t="shared" ref="E25" si="24">+E36+E47+E54+E61+E68+E75</f>
        <v>292115</v>
      </c>
      <c r="F25" s="2186">
        <f t="shared" ref="F25:L25" si="25">+F36+F47+F54+F61+F68+F75</f>
        <v>107202</v>
      </c>
      <c r="G25" s="2185">
        <f t="shared" si="25"/>
        <v>117779</v>
      </c>
      <c r="H25" s="2185">
        <f t="shared" si="25"/>
        <v>121422</v>
      </c>
      <c r="I25" s="2185">
        <f t="shared" si="25"/>
        <v>99540</v>
      </c>
      <c r="J25" s="2185">
        <f t="shared" si="25"/>
        <v>29862</v>
      </c>
      <c r="K25" s="2185">
        <f t="shared" si="25"/>
        <v>0</v>
      </c>
      <c r="L25" s="2185">
        <f t="shared" si="25"/>
        <v>0</v>
      </c>
      <c r="M25" s="3859"/>
      <c r="N25" s="3859"/>
      <c r="O25" s="2180"/>
      <c r="P25" s="2181">
        <f>D25-D19</f>
        <v>0</v>
      </c>
    </row>
    <row r="26" spans="1:16" ht="39" hidden="1" customHeight="1">
      <c r="A26" s="3871" t="s">
        <v>55</v>
      </c>
      <c r="B26" s="1493" t="s">
        <v>194</v>
      </c>
      <c r="C26" s="1494" t="s">
        <v>100</v>
      </c>
      <c r="D26" s="1596"/>
      <c r="E26" s="1597"/>
      <c r="F26" s="1597"/>
      <c r="G26" s="1597"/>
      <c r="H26" s="1597"/>
      <c r="I26" s="1597"/>
      <c r="J26" s="1597"/>
      <c r="K26" s="1597"/>
      <c r="L26" s="1597"/>
      <c r="M26" s="1598"/>
      <c r="N26" s="1598"/>
      <c r="O26" s="3932"/>
    </row>
    <row r="27" spans="1:16" ht="15" hidden="1" customHeight="1">
      <c r="A27" s="3872"/>
      <c r="B27" s="1496" t="s">
        <v>10</v>
      </c>
      <c r="C27" s="1497"/>
      <c r="D27" s="1319"/>
      <c r="E27" s="1319">
        <f t="shared" ref="E27" si="26">+E28+E30</f>
        <v>0</v>
      </c>
      <c r="F27" s="1319">
        <f>+F28+F30</f>
        <v>0</v>
      </c>
      <c r="G27" s="1319">
        <f>+G28+G30</f>
        <v>0</v>
      </c>
      <c r="H27" s="1319">
        <f>+H28+H30</f>
        <v>0</v>
      </c>
      <c r="I27" s="1319">
        <f>+I28+I30</f>
        <v>0</v>
      </c>
      <c r="J27" s="1319"/>
      <c r="K27" s="1319"/>
      <c r="L27" s="1319"/>
      <c r="M27" s="1450">
        <f>M28+M30</f>
        <v>0</v>
      </c>
      <c r="N27" s="1450" t="e">
        <f>N28+N30</f>
        <v>#REF!</v>
      </c>
      <c r="O27" s="3933"/>
    </row>
    <row r="28" spans="1:16" ht="12.75" hidden="1" customHeight="1">
      <c r="A28" s="3872"/>
      <c r="B28" s="1498" t="s">
        <v>23</v>
      </c>
      <c r="C28" s="3892" t="s">
        <v>123</v>
      </c>
      <c r="D28" s="1309"/>
      <c r="E28" s="1309">
        <f t="shared" ref="E28:I28" si="27">+E29</f>
        <v>0</v>
      </c>
      <c r="F28" s="1309">
        <f t="shared" si="27"/>
        <v>0</v>
      </c>
      <c r="G28" s="1309">
        <f t="shared" si="27"/>
        <v>0</v>
      </c>
      <c r="H28" s="1309">
        <f t="shared" si="27"/>
        <v>0</v>
      </c>
      <c r="I28" s="1309">
        <f t="shared" si="27"/>
        <v>0</v>
      </c>
      <c r="J28" s="1309"/>
      <c r="K28" s="1309"/>
      <c r="L28" s="1309"/>
      <c r="M28" s="1310">
        <f>+M29</f>
        <v>0</v>
      </c>
      <c r="N28" s="1310" t="e">
        <f>+N29</f>
        <v>#REF!</v>
      </c>
      <c r="O28" s="3933"/>
    </row>
    <row r="29" spans="1:16" ht="12.75" hidden="1" customHeight="1">
      <c r="A29" s="3872"/>
      <c r="B29" s="1499" t="s">
        <v>12</v>
      </c>
      <c r="C29" s="3893"/>
      <c r="D29" s="1312"/>
      <c r="E29" s="1312">
        <v>0</v>
      </c>
      <c r="F29" s="168">
        <v>0</v>
      </c>
      <c r="G29" s="168">
        <v>0</v>
      </c>
      <c r="H29" s="168">
        <v>0</v>
      </c>
      <c r="I29" s="168">
        <v>0</v>
      </c>
      <c r="J29" s="168"/>
      <c r="K29" s="168"/>
      <c r="L29" s="168"/>
      <c r="M29" s="1599">
        <f>SUM(F29:K29)</f>
        <v>0</v>
      </c>
      <c r="N29" s="1599" t="e">
        <f>+#REF!+I29+H29+G29+F29+#REF!</f>
        <v>#REF!</v>
      </c>
      <c r="O29" s="3933"/>
    </row>
    <row r="30" spans="1:16" ht="12.75" hidden="1" customHeight="1">
      <c r="A30" s="3872"/>
      <c r="B30" s="1501" t="s">
        <v>18</v>
      </c>
      <c r="C30" s="3893"/>
      <c r="D30" s="1314"/>
      <c r="E30" s="1314">
        <f t="shared" ref="E30:I30" si="28">E31</f>
        <v>0</v>
      </c>
      <c r="F30" s="1314">
        <f t="shared" si="28"/>
        <v>0</v>
      </c>
      <c r="G30" s="1314">
        <f t="shared" si="28"/>
        <v>0</v>
      </c>
      <c r="H30" s="1314">
        <f t="shared" si="28"/>
        <v>0</v>
      </c>
      <c r="I30" s="1314">
        <f t="shared" si="28"/>
        <v>0</v>
      </c>
      <c r="J30" s="1314"/>
      <c r="K30" s="1314"/>
      <c r="L30" s="1314"/>
      <c r="M30" s="1310">
        <f>+M31</f>
        <v>0</v>
      </c>
      <c r="N30" s="1310" t="e">
        <f>+N31</f>
        <v>#REF!</v>
      </c>
      <c r="O30" s="3933"/>
    </row>
    <row r="31" spans="1:16" ht="12" hidden="1">
      <c r="A31" s="3872"/>
      <c r="B31" s="1502" t="s">
        <v>19</v>
      </c>
      <c r="C31" s="3875"/>
      <c r="D31" s="1600"/>
      <c r="E31" s="1601">
        <v>0</v>
      </c>
      <c r="F31" s="130">
        <v>0</v>
      </c>
      <c r="G31" s="130">
        <v>0</v>
      </c>
      <c r="H31" s="130">
        <v>0</v>
      </c>
      <c r="I31" s="130">
        <v>0</v>
      </c>
      <c r="J31" s="130"/>
      <c r="K31" s="130"/>
      <c r="L31" s="130"/>
      <c r="M31" s="1599">
        <f>SUM(F31:K31)</f>
        <v>0</v>
      </c>
      <c r="N31" s="1599" t="e">
        <f>+#REF!+I31+H31+G31+F31+#REF!</f>
        <v>#REF!</v>
      </c>
      <c r="O31" s="3933"/>
    </row>
    <row r="32" spans="1:16" ht="12.75" hidden="1" customHeight="1">
      <c r="A32" s="3891"/>
      <c r="B32" s="1496" t="s">
        <v>21</v>
      </c>
      <c r="C32" s="1503"/>
      <c r="D32" s="1319"/>
      <c r="E32" s="1319">
        <f t="shared" ref="E32" si="29">E33+E35</f>
        <v>0</v>
      </c>
      <c r="F32" s="1319">
        <f>F33+F35</f>
        <v>0</v>
      </c>
      <c r="G32" s="1353">
        <f>G33+G35</f>
        <v>0</v>
      </c>
      <c r="H32" s="1353">
        <f>H33+H35</f>
        <v>0</v>
      </c>
      <c r="I32" s="1353">
        <f>I33+I35</f>
        <v>0</v>
      </c>
      <c r="J32" s="1602"/>
      <c r="K32" s="1602"/>
      <c r="L32" s="1602"/>
      <c r="M32" s="3860" t="s">
        <v>53</v>
      </c>
      <c r="N32" s="3860" t="s">
        <v>53</v>
      </c>
      <c r="O32" s="3933"/>
    </row>
    <row r="33" spans="1:15" ht="12" hidden="1" customHeight="1">
      <c r="A33" s="3891"/>
      <c r="B33" s="1504" t="s">
        <v>23</v>
      </c>
      <c r="C33" s="3892" t="s">
        <v>123</v>
      </c>
      <c r="D33" s="1309"/>
      <c r="E33" s="1309"/>
      <c r="F33" s="1309">
        <f t="shared" ref="F33:I33" si="30">F34</f>
        <v>0</v>
      </c>
      <c r="G33" s="1354">
        <f t="shared" si="30"/>
        <v>0</v>
      </c>
      <c r="H33" s="1354">
        <f t="shared" si="30"/>
        <v>0</v>
      </c>
      <c r="I33" s="1354">
        <f t="shared" si="30"/>
        <v>0</v>
      </c>
      <c r="J33" s="1603"/>
      <c r="K33" s="1603"/>
      <c r="L33" s="1603"/>
      <c r="M33" s="3861"/>
      <c r="N33" s="3861"/>
      <c r="O33" s="3933"/>
    </row>
    <row r="34" spans="1:15" ht="12" hidden="1" customHeight="1">
      <c r="A34" s="3891"/>
      <c r="B34" s="1505" t="s">
        <v>13</v>
      </c>
      <c r="C34" s="3893"/>
      <c r="D34" s="1312"/>
      <c r="E34" s="1321"/>
      <c r="F34" s="1321">
        <v>0</v>
      </c>
      <c r="G34" s="1321">
        <v>0</v>
      </c>
      <c r="H34" s="1321">
        <v>0</v>
      </c>
      <c r="I34" s="1321">
        <v>0</v>
      </c>
      <c r="J34" s="221"/>
      <c r="K34" s="221"/>
      <c r="L34" s="221"/>
      <c r="M34" s="3861"/>
      <c r="N34" s="3861"/>
      <c r="O34" s="3933"/>
    </row>
    <row r="35" spans="1:15" ht="13.5" hidden="1" customHeight="1">
      <c r="A35" s="3891"/>
      <c r="B35" s="1507" t="s">
        <v>18</v>
      </c>
      <c r="C35" s="3893"/>
      <c r="D35" s="1314"/>
      <c r="E35" s="1314">
        <f t="shared" ref="E35:I35" si="31">E36</f>
        <v>0</v>
      </c>
      <c r="F35" s="1314">
        <f t="shared" si="31"/>
        <v>0</v>
      </c>
      <c r="G35" s="1338">
        <f t="shared" si="31"/>
        <v>0</v>
      </c>
      <c r="H35" s="1338">
        <f t="shared" si="31"/>
        <v>0</v>
      </c>
      <c r="I35" s="1338">
        <f t="shared" si="31"/>
        <v>0</v>
      </c>
      <c r="J35" s="549"/>
      <c r="K35" s="549"/>
      <c r="L35" s="549"/>
      <c r="M35" s="3861"/>
      <c r="N35" s="3861"/>
      <c r="O35" s="3933"/>
    </row>
    <row r="36" spans="1:15" ht="13.5" hidden="1" customHeight="1" thickBot="1">
      <c r="A36" s="3873"/>
      <c r="B36" s="1508" t="s">
        <v>19</v>
      </c>
      <c r="C36" s="3876"/>
      <c r="D36" s="1604"/>
      <c r="E36" s="1605">
        <v>0</v>
      </c>
      <c r="F36" s="1605">
        <v>0</v>
      </c>
      <c r="G36" s="1605">
        <v>0</v>
      </c>
      <c r="H36" s="1605">
        <v>0</v>
      </c>
      <c r="I36" s="1605">
        <v>0</v>
      </c>
      <c r="J36" s="109"/>
      <c r="K36" s="109"/>
      <c r="L36" s="109"/>
      <c r="M36" s="3862"/>
      <c r="N36" s="3862"/>
      <c r="O36" s="3934"/>
    </row>
    <row r="37" spans="1:15" ht="24.75" customHeight="1">
      <c r="A37" s="3871" t="s">
        <v>55</v>
      </c>
      <c r="B37" s="1493" t="s">
        <v>454</v>
      </c>
      <c r="C37" s="1494" t="s">
        <v>100</v>
      </c>
      <c r="D37" s="181"/>
      <c r="E37" s="358"/>
      <c r="F37" s="358"/>
      <c r="G37" s="358"/>
      <c r="H37" s="358"/>
      <c r="I37" s="358"/>
      <c r="J37" s="358"/>
      <c r="K37" s="358"/>
      <c r="L37" s="2384"/>
      <c r="M37" s="1598"/>
      <c r="N37" s="1598"/>
      <c r="O37" s="3932" t="s">
        <v>122</v>
      </c>
    </row>
    <row r="38" spans="1:15" ht="13.5" customHeight="1">
      <c r="A38" s="3872"/>
      <c r="B38" s="1496" t="s">
        <v>10</v>
      </c>
      <c r="C38" s="1497"/>
      <c r="D38" s="1319">
        <f>+D39+D41</f>
        <v>1335657</v>
      </c>
      <c r="E38" s="1319">
        <f t="shared" ref="E38" si="32">+E39+E41</f>
        <v>593887</v>
      </c>
      <c r="F38" s="1319">
        <f t="shared" ref="F38" si="33">+F39+F41</f>
        <v>144526</v>
      </c>
      <c r="G38" s="1319">
        <f t="shared" ref="G38:L38" si="34">+G39+G41</f>
        <v>199080</v>
      </c>
      <c r="H38" s="2236">
        <f t="shared" si="34"/>
        <v>199084</v>
      </c>
      <c r="I38" s="2236">
        <f t="shared" si="34"/>
        <v>199080</v>
      </c>
      <c r="J38" s="2236">
        <f t="shared" si="34"/>
        <v>0</v>
      </c>
      <c r="K38" s="2236">
        <f t="shared" si="34"/>
        <v>0</v>
      </c>
      <c r="L38" s="2236">
        <f t="shared" si="34"/>
        <v>0</v>
      </c>
      <c r="M38" s="1450">
        <f>M39+M41</f>
        <v>741770</v>
      </c>
      <c r="N38" s="1450">
        <f>N39+N41</f>
        <v>597244</v>
      </c>
      <c r="O38" s="3933"/>
    </row>
    <row r="39" spans="1:15" ht="11.25" customHeight="1">
      <c r="A39" s="3872"/>
      <c r="B39" s="1498" t="s">
        <v>23</v>
      </c>
      <c r="C39" s="3892" t="s">
        <v>123</v>
      </c>
      <c r="D39" s="1309">
        <f>+D40</f>
        <v>640352</v>
      </c>
      <c r="E39" s="1309">
        <f t="shared" ref="E39:L39" si="35">+E40</f>
        <v>274500</v>
      </c>
      <c r="F39" s="1309">
        <f t="shared" si="35"/>
        <v>67232</v>
      </c>
      <c r="G39" s="1309">
        <f t="shared" si="35"/>
        <v>99540</v>
      </c>
      <c r="H39" s="2237">
        <f t="shared" si="35"/>
        <v>99540</v>
      </c>
      <c r="I39" s="2237">
        <f t="shared" si="35"/>
        <v>99540</v>
      </c>
      <c r="J39" s="2237">
        <f t="shared" si="35"/>
        <v>0</v>
      </c>
      <c r="K39" s="2237">
        <f t="shared" si="35"/>
        <v>0</v>
      </c>
      <c r="L39" s="2237">
        <f t="shared" si="35"/>
        <v>0</v>
      </c>
      <c r="M39" s="1310">
        <f>+M40</f>
        <v>365852</v>
      </c>
      <c r="N39" s="1310">
        <f>+N40</f>
        <v>298620</v>
      </c>
      <c r="O39" s="3933"/>
    </row>
    <row r="40" spans="1:15" ht="13.5" customHeight="1">
      <c r="A40" s="3872"/>
      <c r="B40" s="1499" t="s">
        <v>12</v>
      </c>
      <c r="C40" s="3893"/>
      <c r="D40" s="785">
        <f>E40+F40+G40+H40+I40+J40+K40+L40</f>
        <v>640352</v>
      </c>
      <c r="E40" s="1606">
        <f>274500</f>
        <v>274500</v>
      </c>
      <c r="F40" s="168">
        <f>69883+5032-7683</f>
        <v>67232</v>
      </c>
      <c r="G40" s="168">
        <v>99540</v>
      </c>
      <c r="H40" s="2238">
        <v>99540</v>
      </c>
      <c r="I40" s="2238">
        <v>99540</v>
      </c>
      <c r="J40" s="2238">
        <v>0</v>
      </c>
      <c r="K40" s="2238">
        <v>0</v>
      </c>
      <c r="L40" s="2238">
        <v>0</v>
      </c>
      <c r="M40" s="1599">
        <f>SUM(F40:K40)</f>
        <v>365852</v>
      </c>
      <c r="N40" s="1599">
        <f>SUM(G40:L40)</f>
        <v>298620</v>
      </c>
      <c r="O40" s="3933"/>
    </row>
    <row r="41" spans="1:15" ht="13.5" customHeight="1">
      <c r="A41" s="3872"/>
      <c r="B41" s="1501" t="s">
        <v>18</v>
      </c>
      <c r="C41" s="3893"/>
      <c r="D41" s="1314">
        <f>+D42</f>
        <v>695305</v>
      </c>
      <c r="E41" s="1314">
        <f t="shared" ref="E41:L41" si="36">E42</f>
        <v>319387</v>
      </c>
      <c r="F41" s="1314">
        <f t="shared" si="36"/>
        <v>77294</v>
      </c>
      <c r="G41" s="1314">
        <f t="shared" si="36"/>
        <v>99540</v>
      </c>
      <c r="H41" s="2239">
        <f t="shared" si="36"/>
        <v>99544</v>
      </c>
      <c r="I41" s="2239">
        <f t="shared" si="36"/>
        <v>99540</v>
      </c>
      <c r="J41" s="2239">
        <f t="shared" si="36"/>
        <v>0</v>
      </c>
      <c r="K41" s="2239">
        <f t="shared" si="36"/>
        <v>0</v>
      </c>
      <c r="L41" s="2239">
        <f t="shared" si="36"/>
        <v>0</v>
      </c>
      <c r="M41" s="1310">
        <f>+M42</f>
        <v>375918</v>
      </c>
      <c r="N41" s="1310">
        <f>+N42</f>
        <v>298624</v>
      </c>
      <c r="O41" s="3933"/>
    </row>
    <row r="42" spans="1:15" ht="12">
      <c r="A42" s="3872"/>
      <c r="B42" s="1502" t="s">
        <v>19</v>
      </c>
      <c r="C42" s="3875"/>
      <c r="D42" s="785">
        <f>E42+F42+G42+H42+I42+J42+K42+L42</f>
        <v>695305</v>
      </c>
      <c r="E42" s="1606">
        <f>319387</f>
        <v>319387</v>
      </c>
      <c r="F42" s="130">
        <f>75707+1591-4</f>
        <v>77294</v>
      </c>
      <c r="G42" s="130">
        <v>99540</v>
      </c>
      <c r="H42" s="2240">
        <f>99540+4</f>
        <v>99544</v>
      </c>
      <c r="I42" s="2240">
        <v>99540</v>
      </c>
      <c r="J42" s="2240">
        <v>0</v>
      </c>
      <c r="K42" s="2240">
        <v>0</v>
      </c>
      <c r="L42" s="2240">
        <v>0</v>
      </c>
      <c r="M42" s="1599">
        <f>SUM(F42:K42)</f>
        <v>375918</v>
      </c>
      <c r="N42" s="1599">
        <f>SUM(G42:L42)</f>
        <v>298624</v>
      </c>
      <c r="O42" s="3933"/>
    </row>
    <row r="43" spans="1:15" ht="13.5" customHeight="1">
      <c r="A43" s="3891"/>
      <c r="B43" s="1496" t="s">
        <v>21</v>
      </c>
      <c r="C43" s="1503"/>
      <c r="D43" s="1319">
        <f>+D46</f>
        <v>695305</v>
      </c>
      <c r="E43" s="1319">
        <f t="shared" ref="E43" si="37">E44+E46</f>
        <v>291312</v>
      </c>
      <c r="F43" s="1319">
        <f t="shared" ref="F43:L43" si="38">F44+F46</f>
        <v>79154</v>
      </c>
      <c r="G43" s="1319">
        <f t="shared" si="38"/>
        <v>95897</v>
      </c>
      <c r="H43" s="2236">
        <f t="shared" si="38"/>
        <v>99540</v>
      </c>
      <c r="I43" s="2236">
        <f t="shared" si="38"/>
        <v>99540</v>
      </c>
      <c r="J43" s="2236">
        <f t="shared" si="38"/>
        <v>29862</v>
      </c>
      <c r="K43" s="2236">
        <f t="shared" si="38"/>
        <v>0</v>
      </c>
      <c r="L43" s="2236">
        <f t="shared" si="38"/>
        <v>0</v>
      </c>
      <c r="M43" s="3860" t="s">
        <v>53</v>
      </c>
      <c r="N43" s="3860" t="s">
        <v>53</v>
      </c>
      <c r="O43" s="3933"/>
    </row>
    <row r="44" spans="1:15" ht="12" hidden="1" customHeight="1">
      <c r="A44" s="3891"/>
      <c r="B44" s="1504" t="s">
        <v>23</v>
      </c>
      <c r="C44" s="3892" t="s">
        <v>123</v>
      </c>
      <c r="D44" s="1309">
        <f t="shared" ref="D44:G44" si="39">D45</f>
        <v>0</v>
      </c>
      <c r="E44" s="1309">
        <f t="shared" si="39"/>
        <v>0</v>
      </c>
      <c r="F44" s="1309">
        <f t="shared" si="39"/>
        <v>0</v>
      </c>
      <c r="G44" s="1309">
        <f t="shared" si="39"/>
        <v>0</v>
      </c>
      <c r="H44" s="2237"/>
      <c r="I44" s="2237"/>
      <c r="J44" s="2237"/>
      <c r="K44" s="2237"/>
      <c r="L44" s="2237"/>
      <c r="M44" s="3861"/>
      <c r="N44" s="3861"/>
      <c r="O44" s="3933"/>
    </row>
    <row r="45" spans="1:15" ht="12" hidden="1" customHeight="1">
      <c r="A45" s="3891"/>
      <c r="B45" s="1505" t="s">
        <v>13</v>
      </c>
      <c r="C45" s="3893"/>
      <c r="D45" s="785">
        <f>E45+F45+G45+H45+I45+J45+K45+L45</f>
        <v>0</v>
      </c>
      <c r="E45" s="1321"/>
      <c r="F45" s="1321">
        <v>0</v>
      </c>
      <c r="G45" s="168">
        <v>0</v>
      </c>
      <c r="H45" s="2238"/>
      <c r="I45" s="2238"/>
      <c r="J45" s="2238"/>
      <c r="K45" s="2238"/>
      <c r="L45" s="2238"/>
      <c r="M45" s="3861"/>
      <c r="N45" s="3861"/>
      <c r="O45" s="3933"/>
    </row>
    <row r="46" spans="1:15" ht="13.5" customHeight="1">
      <c r="A46" s="3891"/>
      <c r="B46" s="1507" t="s">
        <v>18</v>
      </c>
      <c r="C46" s="3893"/>
      <c r="D46" s="1314">
        <f>+D47</f>
        <v>695305</v>
      </c>
      <c r="E46" s="1314">
        <f t="shared" ref="E46:L46" si="40">E47</f>
        <v>291312</v>
      </c>
      <c r="F46" s="1314">
        <f t="shared" si="40"/>
        <v>79154</v>
      </c>
      <c r="G46" s="1314">
        <f t="shared" si="40"/>
        <v>95897</v>
      </c>
      <c r="H46" s="2239">
        <f t="shared" si="40"/>
        <v>99540</v>
      </c>
      <c r="I46" s="2239">
        <f t="shared" si="40"/>
        <v>99540</v>
      </c>
      <c r="J46" s="2239">
        <f t="shared" si="40"/>
        <v>29862</v>
      </c>
      <c r="K46" s="2239">
        <f t="shared" si="40"/>
        <v>0</v>
      </c>
      <c r="L46" s="2239">
        <f t="shared" si="40"/>
        <v>0</v>
      </c>
      <c r="M46" s="3861"/>
      <c r="N46" s="3861"/>
      <c r="O46" s="3933"/>
    </row>
    <row r="47" spans="1:15" ht="12.75" customHeight="1" thickBot="1">
      <c r="A47" s="3873"/>
      <c r="B47" s="1508" t="s">
        <v>19</v>
      </c>
      <c r="C47" s="3876"/>
      <c r="D47" s="785">
        <f>E47+F47+G47+H47+I47+J47+K47+L47</f>
        <v>695305</v>
      </c>
      <c r="E47" s="1606">
        <f>291312</f>
        <v>291312</v>
      </c>
      <c r="F47" s="1605">
        <f>79186+1110-1142</f>
        <v>79154</v>
      </c>
      <c r="G47" s="1605">
        <f>24105-909+1881+69678+1142</f>
        <v>95897</v>
      </c>
      <c r="H47" s="2241">
        <v>99540</v>
      </c>
      <c r="I47" s="2241">
        <v>99540</v>
      </c>
      <c r="J47" s="2241">
        <v>29862</v>
      </c>
      <c r="K47" s="2241">
        <v>0</v>
      </c>
      <c r="L47" s="2241">
        <v>0</v>
      </c>
      <c r="M47" s="3862"/>
      <c r="N47" s="3862"/>
      <c r="O47" s="3934"/>
    </row>
    <row r="48" spans="1:15" ht="36" hidden="1" customHeight="1">
      <c r="A48" s="3871" t="s">
        <v>56</v>
      </c>
      <c r="B48" s="1493" t="s">
        <v>254</v>
      </c>
      <c r="C48" s="1494" t="s">
        <v>100</v>
      </c>
      <c r="D48" s="1596"/>
      <c r="E48" s="1597"/>
      <c r="F48" s="1597"/>
      <c r="G48" s="1597"/>
      <c r="H48" s="1597"/>
      <c r="I48" s="1597"/>
      <c r="J48" s="1597"/>
      <c r="K48" s="1597"/>
      <c r="L48" s="1597"/>
      <c r="M48" s="1598"/>
      <c r="N48" s="1598"/>
      <c r="O48" s="3866" t="s">
        <v>124</v>
      </c>
    </row>
    <row r="49" spans="1:15" ht="15" hidden="1" customHeight="1">
      <c r="A49" s="3872"/>
      <c r="B49" s="1496" t="s">
        <v>10</v>
      </c>
      <c r="C49" s="1497"/>
      <c r="D49" s="1319"/>
      <c r="E49" s="1319">
        <v>0</v>
      </c>
      <c r="F49" s="1319">
        <f t="shared" ref="F49:J50" si="41">F50</f>
        <v>0</v>
      </c>
      <c r="G49" s="1319">
        <f t="shared" ref="G49:L49" si="42">+G50+G52</f>
        <v>0</v>
      </c>
      <c r="H49" s="1319">
        <f t="shared" si="42"/>
        <v>0</v>
      </c>
      <c r="I49" s="1319">
        <f t="shared" si="42"/>
        <v>0</v>
      </c>
      <c r="J49" s="1319">
        <f t="shared" si="42"/>
        <v>0</v>
      </c>
      <c r="K49" s="1319">
        <f t="shared" si="42"/>
        <v>0</v>
      </c>
      <c r="L49" s="1319">
        <f t="shared" si="42"/>
        <v>0</v>
      </c>
      <c r="M49" s="1450">
        <f>M50</f>
        <v>0</v>
      </c>
      <c r="N49" s="1450" t="e">
        <f>N50</f>
        <v>#REF!</v>
      </c>
      <c r="O49" s="3867"/>
    </row>
    <row r="50" spans="1:15" ht="12" hidden="1">
      <c r="A50" s="3872"/>
      <c r="B50" s="1509" t="s">
        <v>18</v>
      </c>
      <c r="C50" s="3874" t="s">
        <v>125</v>
      </c>
      <c r="D50" s="1314"/>
      <c r="E50" s="1314">
        <v>0</v>
      </c>
      <c r="F50" s="1314">
        <f t="shared" si="41"/>
        <v>0</v>
      </c>
      <c r="G50" s="1314">
        <f t="shared" si="41"/>
        <v>0</v>
      </c>
      <c r="H50" s="1314">
        <f t="shared" si="41"/>
        <v>0</v>
      </c>
      <c r="I50" s="1314">
        <f t="shared" si="41"/>
        <v>0</v>
      </c>
      <c r="J50" s="1314">
        <f t="shared" si="41"/>
        <v>0</v>
      </c>
      <c r="K50" s="1314">
        <f>K51</f>
        <v>0</v>
      </c>
      <c r="L50" s="1314">
        <f>L51</f>
        <v>0</v>
      </c>
      <c r="M50" s="1310">
        <f>+M51</f>
        <v>0</v>
      </c>
      <c r="N50" s="1310" t="e">
        <f>+N51</f>
        <v>#REF!</v>
      </c>
      <c r="O50" s="3867"/>
    </row>
    <row r="51" spans="1:15" ht="12" hidden="1">
      <c r="A51" s="3872"/>
      <c r="B51" s="1510" t="s">
        <v>19</v>
      </c>
      <c r="C51" s="3875"/>
      <c r="D51" s="1312"/>
      <c r="E51" s="1312">
        <v>0</v>
      </c>
      <c r="F51" s="130">
        <v>0</v>
      </c>
      <c r="G51" s="130">
        <v>0</v>
      </c>
      <c r="H51" s="130">
        <v>0</v>
      </c>
      <c r="I51" s="130">
        <v>0</v>
      </c>
      <c r="J51" s="130">
        <v>0</v>
      </c>
      <c r="K51" s="130">
        <v>0</v>
      </c>
      <c r="L51" s="130">
        <v>0</v>
      </c>
      <c r="M51" s="1599">
        <f>SUM(F51:K51)</f>
        <v>0</v>
      </c>
      <c r="N51" s="1599" t="e">
        <f>+I51+H51+G51+F51+#REF!</f>
        <v>#REF!</v>
      </c>
      <c r="O51" s="3867"/>
    </row>
    <row r="52" spans="1:15" ht="15" hidden="1" customHeight="1">
      <c r="A52" s="3872"/>
      <c r="B52" s="1511" t="s">
        <v>21</v>
      </c>
      <c r="C52" s="1512"/>
      <c r="D52" s="1319"/>
      <c r="E52" s="1319">
        <v>0</v>
      </c>
      <c r="F52" s="1319">
        <f t="shared" ref="F52:L52" si="43">F53+F99</f>
        <v>0</v>
      </c>
      <c r="G52" s="1319">
        <f t="shared" si="43"/>
        <v>0</v>
      </c>
      <c r="H52" s="1319">
        <f t="shared" si="43"/>
        <v>0</v>
      </c>
      <c r="I52" s="1319">
        <f t="shared" si="43"/>
        <v>0</v>
      </c>
      <c r="J52" s="1319">
        <f t="shared" si="43"/>
        <v>0</v>
      </c>
      <c r="K52" s="1319">
        <f t="shared" si="43"/>
        <v>0</v>
      </c>
      <c r="L52" s="1319">
        <f t="shared" si="43"/>
        <v>0</v>
      </c>
      <c r="M52" s="3860" t="s">
        <v>53</v>
      </c>
      <c r="N52" s="3860" t="s">
        <v>53</v>
      </c>
      <c r="O52" s="3867"/>
    </row>
    <row r="53" spans="1:15" ht="12" hidden="1">
      <c r="A53" s="3872"/>
      <c r="B53" s="1509" t="s">
        <v>18</v>
      </c>
      <c r="C53" s="3874" t="s">
        <v>125</v>
      </c>
      <c r="D53" s="1314"/>
      <c r="E53" s="1314">
        <v>0</v>
      </c>
      <c r="F53" s="1314">
        <f t="shared" ref="F53:L53" si="44">F54</f>
        <v>0</v>
      </c>
      <c r="G53" s="1314">
        <f t="shared" si="44"/>
        <v>0</v>
      </c>
      <c r="H53" s="1314">
        <f t="shared" si="44"/>
        <v>0</v>
      </c>
      <c r="I53" s="1314">
        <f t="shared" si="44"/>
        <v>0</v>
      </c>
      <c r="J53" s="1314">
        <f t="shared" si="44"/>
        <v>0</v>
      </c>
      <c r="K53" s="1314">
        <f t="shared" si="44"/>
        <v>0</v>
      </c>
      <c r="L53" s="1314">
        <f t="shared" si="44"/>
        <v>0</v>
      </c>
      <c r="M53" s="3861"/>
      <c r="N53" s="3861"/>
      <c r="O53" s="3867"/>
    </row>
    <row r="54" spans="1:15" ht="12.75" hidden="1" thickBot="1">
      <c r="A54" s="3873"/>
      <c r="B54" s="1513" t="s">
        <v>19</v>
      </c>
      <c r="C54" s="3876"/>
      <c r="D54" s="1312"/>
      <c r="E54" s="1312">
        <v>0</v>
      </c>
      <c r="F54" s="1605">
        <v>0</v>
      </c>
      <c r="G54" s="1605">
        <v>0</v>
      </c>
      <c r="H54" s="1605">
        <v>0</v>
      </c>
      <c r="I54" s="1605">
        <v>0</v>
      </c>
      <c r="J54" s="1605">
        <v>0</v>
      </c>
      <c r="K54" s="1605">
        <v>0</v>
      </c>
      <c r="L54" s="1605">
        <v>0</v>
      </c>
      <c r="M54" s="3862"/>
      <c r="N54" s="3862"/>
      <c r="O54" s="3868"/>
    </row>
    <row r="55" spans="1:15" ht="42.75" hidden="1" customHeight="1">
      <c r="A55" s="3871" t="s">
        <v>56</v>
      </c>
      <c r="B55" s="1493" t="s">
        <v>419</v>
      </c>
      <c r="C55" s="1494" t="s">
        <v>100</v>
      </c>
      <c r="D55" s="1596"/>
      <c r="E55" s="1597"/>
      <c r="F55" s="1597"/>
      <c r="G55" s="1597"/>
      <c r="H55" s="1597"/>
      <c r="I55" s="1597"/>
      <c r="J55" s="1597"/>
      <c r="K55" s="1597"/>
      <c r="L55" s="1597"/>
      <c r="M55" s="1598"/>
      <c r="N55" s="1598"/>
      <c r="O55" s="3866" t="s">
        <v>124</v>
      </c>
    </row>
    <row r="56" spans="1:15" ht="15" hidden="1" customHeight="1">
      <c r="A56" s="3872"/>
      <c r="B56" s="1496" t="s">
        <v>10</v>
      </c>
      <c r="C56" s="1497"/>
      <c r="D56" s="1319">
        <f>D57</f>
        <v>0</v>
      </c>
      <c r="E56" s="1319">
        <f t="shared" ref="E56:J57" si="45">E57</f>
        <v>0</v>
      </c>
      <c r="F56" s="1319">
        <f t="shared" si="45"/>
        <v>0</v>
      </c>
      <c r="G56" s="1319">
        <f t="shared" ref="G56:L56" si="46">+G57+G59</f>
        <v>0</v>
      </c>
      <c r="H56" s="1319">
        <f t="shared" si="46"/>
        <v>0</v>
      </c>
      <c r="I56" s="1319">
        <f t="shared" si="46"/>
        <v>0</v>
      </c>
      <c r="J56" s="1319">
        <f t="shared" si="46"/>
        <v>0</v>
      </c>
      <c r="K56" s="1319">
        <f t="shared" si="46"/>
        <v>0</v>
      </c>
      <c r="L56" s="1319">
        <f t="shared" si="46"/>
        <v>0</v>
      </c>
      <c r="M56" s="1450">
        <f>M57</f>
        <v>0</v>
      </c>
      <c r="N56" s="1450">
        <f>N57</f>
        <v>0</v>
      </c>
      <c r="O56" s="3867"/>
    </row>
    <row r="57" spans="1:15" ht="12" hidden="1">
      <c r="A57" s="3872"/>
      <c r="B57" s="1509" t="s">
        <v>18</v>
      </c>
      <c r="C57" s="3874" t="s">
        <v>125</v>
      </c>
      <c r="D57" s="1314">
        <f>+D58</f>
        <v>0</v>
      </c>
      <c r="E57" s="1314">
        <f t="shared" si="45"/>
        <v>0</v>
      </c>
      <c r="F57" s="1314">
        <f t="shared" si="45"/>
        <v>0</v>
      </c>
      <c r="G57" s="1314">
        <f t="shared" si="45"/>
        <v>0</v>
      </c>
      <c r="H57" s="1314">
        <f t="shared" si="45"/>
        <v>0</v>
      </c>
      <c r="I57" s="1314">
        <f t="shared" si="45"/>
        <v>0</v>
      </c>
      <c r="J57" s="1314">
        <f t="shared" si="45"/>
        <v>0</v>
      </c>
      <c r="K57" s="1314">
        <f>K58</f>
        <v>0</v>
      </c>
      <c r="L57" s="1314">
        <f>L58</f>
        <v>0</v>
      </c>
      <c r="M57" s="1310">
        <f>+M58</f>
        <v>0</v>
      </c>
      <c r="N57" s="1310">
        <f>+N58</f>
        <v>0</v>
      </c>
      <c r="O57" s="3867"/>
    </row>
    <row r="58" spans="1:15" ht="12" hidden="1">
      <c r="A58" s="3872"/>
      <c r="B58" s="1510" t="s">
        <v>19</v>
      </c>
      <c r="C58" s="3875"/>
      <c r="D58" s="785">
        <v>0</v>
      </c>
      <c r="E58" s="1606">
        <v>0</v>
      </c>
      <c r="F58" s="130">
        <v>0</v>
      </c>
      <c r="G58" s="130">
        <v>0</v>
      </c>
      <c r="H58" s="130">
        <v>0</v>
      </c>
      <c r="I58" s="130">
        <v>0</v>
      </c>
      <c r="J58" s="130">
        <v>0</v>
      </c>
      <c r="K58" s="130">
        <v>0</v>
      </c>
      <c r="L58" s="130">
        <v>0</v>
      </c>
      <c r="M58" s="1599">
        <f>SUM(F58:K58)</f>
        <v>0</v>
      </c>
      <c r="N58" s="1599">
        <f>SUM(G58:L58)</f>
        <v>0</v>
      </c>
      <c r="O58" s="3867"/>
    </row>
    <row r="59" spans="1:15" ht="15" hidden="1" customHeight="1">
      <c r="A59" s="3872"/>
      <c r="B59" s="1511" t="s">
        <v>21</v>
      </c>
      <c r="C59" s="1512"/>
      <c r="D59" s="1319">
        <f>+D60</f>
        <v>0</v>
      </c>
      <c r="E59" s="1319">
        <f t="shared" ref="E59" si="47">+E60</f>
        <v>0</v>
      </c>
      <c r="F59" s="1319">
        <f t="shared" ref="F59:I59" si="48">F60</f>
        <v>0</v>
      </c>
      <c r="G59" s="1319">
        <f t="shared" si="48"/>
        <v>0</v>
      </c>
      <c r="H59" s="1319">
        <f t="shared" si="48"/>
        <v>0</v>
      </c>
      <c r="I59" s="1319">
        <f t="shared" si="48"/>
        <v>0</v>
      </c>
      <c r="J59" s="1319"/>
      <c r="K59" s="1319"/>
      <c r="L59" s="1319"/>
      <c r="M59" s="3860" t="s">
        <v>53</v>
      </c>
      <c r="N59" s="3860" t="s">
        <v>53</v>
      </c>
      <c r="O59" s="3867"/>
    </row>
    <row r="60" spans="1:15" ht="12" hidden="1">
      <c r="A60" s="3872"/>
      <c r="B60" s="1509" t="s">
        <v>18</v>
      </c>
      <c r="C60" s="3874" t="s">
        <v>125</v>
      </c>
      <c r="D60" s="1314">
        <f>+D61</f>
        <v>0</v>
      </c>
      <c r="E60" s="1314">
        <f t="shared" ref="E60:L60" si="49">E61</f>
        <v>0</v>
      </c>
      <c r="F60" s="1314">
        <f t="shared" si="49"/>
        <v>0</v>
      </c>
      <c r="G60" s="1314">
        <f t="shared" si="49"/>
        <v>0</v>
      </c>
      <c r="H60" s="1314">
        <f t="shared" si="49"/>
        <v>0</v>
      </c>
      <c r="I60" s="1314">
        <f t="shared" si="49"/>
        <v>0</v>
      </c>
      <c r="J60" s="1314">
        <f t="shared" si="49"/>
        <v>0</v>
      </c>
      <c r="K60" s="1314">
        <f t="shared" si="49"/>
        <v>0</v>
      </c>
      <c r="L60" s="1314">
        <f t="shared" si="49"/>
        <v>0</v>
      </c>
      <c r="M60" s="3861"/>
      <c r="N60" s="3861"/>
      <c r="O60" s="3867"/>
    </row>
    <row r="61" spans="1:15" ht="12.75" hidden="1" thickBot="1">
      <c r="A61" s="3873"/>
      <c r="B61" s="1513" t="s">
        <v>19</v>
      </c>
      <c r="C61" s="3876"/>
      <c r="D61" s="785">
        <f>E61+F61+G61+H61+I61+J61+K61+L61</f>
        <v>0</v>
      </c>
      <c r="E61" s="1606">
        <v>0</v>
      </c>
      <c r="F61" s="1605">
        <v>0</v>
      </c>
      <c r="G61" s="1605">
        <v>0</v>
      </c>
      <c r="H61" s="1605">
        <v>0</v>
      </c>
      <c r="I61" s="1605">
        <v>0</v>
      </c>
      <c r="J61" s="1605">
        <v>0</v>
      </c>
      <c r="K61" s="1605">
        <v>0</v>
      </c>
      <c r="L61" s="1605">
        <v>0</v>
      </c>
      <c r="M61" s="3862"/>
      <c r="N61" s="3862"/>
      <c r="O61" s="3868"/>
    </row>
    <row r="62" spans="1:15" ht="26.25" hidden="1" customHeight="1">
      <c r="A62" s="3871" t="s">
        <v>57</v>
      </c>
      <c r="B62" s="1493" t="s">
        <v>299</v>
      </c>
      <c r="C62" s="1494" t="s">
        <v>100</v>
      </c>
      <c r="D62" s="1596"/>
      <c r="E62" s="1597"/>
      <c r="F62" s="1597"/>
      <c r="G62" s="1597"/>
      <c r="H62" s="1597"/>
      <c r="I62" s="1597"/>
      <c r="J62" s="1597"/>
      <c r="K62" s="1597"/>
      <c r="L62" s="1597"/>
      <c r="M62" s="1598"/>
      <c r="N62" s="1598"/>
      <c r="O62" s="3866" t="s">
        <v>219</v>
      </c>
    </row>
    <row r="63" spans="1:15" ht="15" hidden="1" customHeight="1">
      <c r="A63" s="3872"/>
      <c r="B63" s="1496" t="s">
        <v>10</v>
      </c>
      <c r="C63" s="1497"/>
      <c r="D63" s="1319"/>
      <c r="E63" s="1319">
        <v>0</v>
      </c>
      <c r="F63" s="1319">
        <f t="shared" ref="F63:J64" si="50">F64</f>
        <v>0</v>
      </c>
      <c r="G63" s="1319">
        <f t="shared" ref="G63:L63" si="51">+G64+G66</f>
        <v>0</v>
      </c>
      <c r="H63" s="1319">
        <f t="shared" si="51"/>
        <v>0</v>
      </c>
      <c r="I63" s="1319">
        <f t="shared" si="51"/>
        <v>0</v>
      </c>
      <c r="J63" s="1319">
        <f t="shared" si="51"/>
        <v>0</v>
      </c>
      <c r="K63" s="1319">
        <f t="shared" si="51"/>
        <v>0</v>
      </c>
      <c r="L63" s="1319">
        <f t="shared" si="51"/>
        <v>0</v>
      </c>
      <c r="M63" s="1450">
        <f>M64</f>
        <v>0</v>
      </c>
      <c r="N63" s="1450">
        <f>N64</f>
        <v>0</v>
      </c>
      <c r="O63" s="3867"/>
    </row>
    <row r="64" spans="1:15" ht="12.75" hidden="1" thickBot="1">
      <c r="A64" s="3872"/>
      <c r="B64" s="1509" t="s">
        <v>18</v>
      </c>
      <c r="C64" s="3874" t="s">
        <v>220</v>
      </c>
      <c r="D64" s="1314"/>
      <c r="E64" s="1314">
        <v>0</v>
      </c>
      <c r="F64" s="1314">
        <f t="shared" si="50"/>
        <v>0</v>
      </c>
      <c r="G64" s="1314">
        <f t="shared" si="50"/>
        <v>0</v>
      </c>
      <c r="H64" s="1314">
        <f t="shared" si="50"/>
        <v>0</v>
      </c>
      <c r="I64" s="1314">
        <f t="shared" si="50"/>
        <v>0</v>
      </c>
      <c r="J64" s="1314">
        <f t="shared" si="50"/>
        <v>0</v>
      </c>
      <c r="K64" s="1314">
        <f>K65</f>
        <v>0</v>
      </c>
      <c r="L64" s="1314">
        <f>L65</f>
        <v>0</v>
      </c>
      <c r="M64" s="1310">
        <f>+M65</f>
        <v>0</v>
      </c>
      <c r="N64" s="1310">
        <f>+N65</f>
        <v>0</v>
      </c>
      <c r="O64" s="3867"/>
    </row>
    <row r="65" spans="1:16" ht="12.75" hidden="1" thickBot="1">
      <c r="A65" s="3872"/>
      <c r="B65" s="1510" t="s">
        <v>19</v>
      </c>
      <c r="C65" s="3875"/>
      <c r="D65" s="1607"/>
      <c r="E65" s="1606">
        <v>0</v>
      </c>
      <c r="F65" s="130">
        <v>0</v>
      </c>
      <c r="G65" s="130">
        <v>0</v>
      </c>
      <c r="H65" s="130">
        <v>0</v>
      </c>
      <c r="I65" s="130">
        <v>0</v>
      </c>
      <c r="J65" s="130">
        <v>0</v>
      </c>
      <c r="K65" s="130">
        <v>0</v>
      </c>
      <c r="L65" s="130">
        <v>0</v>
      </c>
      <c r="M65" s="1599">
        <f>SUM(E65:K65)</f>
        <v>0</v>
      </c>
      <c r="N65" s="1599">
        <f>SUM(F65:L65)</f>
        <v>0</v>
      </c>
      <c r="O65" s="3867"/>
    </row>
    <row r="66" spans="1:16" ht="15" hidden="1" customHeight="1">
      <c r="A66" s="3872"/>
      <c r="B66" s="1511" t="s">
        <v>21</v>
      </c>
      <c r="C66" s="1512"/>
      <c r="D66" s="1608"/>
      <c r="E66" s="1319">
        <v>0</v>
      </c>
      <c r="F66" s="1319">
        <f t="shared" ref="F66:L66" si="52">F67+F113</f>
        <v>0</v>
      </c>
      <c r="G66" s="1319">
        <f t="shared" si="52"/>
        <v>0</v>
      </c>
      <c r="H66" s="1319">
        <f t="shared" si="52"/>
        <v>0</v>
      </c>
      <c r="I66" s="1319">
        <f t="shared" si="52"/>
        <v>0</v>
      </c>
      <c r="J66" s="1319">
        <f t="shared" si="52"/>
        <v>0</v>
      </c>
      <c r="K66" s="1319">
        <f t="shared" si="52"/>
        <v>0</v>
      </c>
      <c r="L66" s="1319">
        <f t="shared" si="52"/>
        <v>0</v>
      </c>
      <c r="M66" s="3860" t="s">
        <v>53</v>
      </c>
      <c r="N66" s="3860" t="s">
        <v>53</v>
      </c>
      <c r="O66" s="3867"/>
    </row>
    <row r="67" spans="1:16" ht="12.75" hidden="1" thickBot="1">
      <c r="A67" s="3872"/>
      <c r="B67" s="1509" t="s">
        <v>18</v>
      </c>
      <c r="C67" s="3874" t="s">
        <v>220</v>
      </c>
      <c r="D67" s="1314"/>
      <c r="E67" s="1314">
        <v>0</v>
      </c>
      <c r="F67" s="1314">
        <f t="shared" ref="F67:L67" si="53">F68</f>
        <v>0</v>
      </c>
      <c r="G67" s="1314">
        <f t="shared" si="53"/>
        <v>0</v>
      </c>
      <c r="H67" s="1314">
        <f t="shared" si="53"/>
        <v>0</v>
      </c>
      <c r="I67" s="1314">
        <f t="shared" si="53"/>
        <v>0</v>
      </c>
      <c r="J67" s="1314">
        <f t="shared" si="53"/>
        <v>0</v>
      </c>
      <c r="K67" s="1314">
        <f t="shared" si="53"/>
        <v>0</v>
      </c>
      <c r="L67" s="1314">
        <f t="shared" si="53"/>
        <v>0</v>
      </c>
      <c r="M67" s="3861"/>
      <c r="N67" s="3861"/>
      <c r="O67" s="3867"/>
    </row>
    <row r="68" spans="1:16" ht="12.75" hidden="1" thickBot="1">
      <c r="A68" s="3873"/>
      <c r="B68" s="1513" t="s">
        <v>19</v>
      </c>
      <c r="C68" s="3876"/>
      <c r="D68" s="1607"/>
      <c r="E68" s="1606">
        <v>0</v>
      </c>
      <c r="F68" s="1605">
        <v>0</v>
      </c>
      <c r="G68" s="1605">
        <v>0</v>
      </c>
      <c r="H68" s="1605">
        <v>0</v>
      </c>
      <c r="I68" s="1605">
        <v>0</v>
      </c>
      <c r="J68" s="1605">
        <v>0</v>
      </c>
      <c r="K68" s="1605">
        <v>0</v>
      </c>
      <c r="L68" s="1605">
        <v>0</v>
      </c>
      <c r="M68" s="3862"/>
      <c r="N68" s="3862"/>
      <c r="O68" s="3868"/>
    </row>
    <row r="69" spans="1:16" ht="26.25" customHeight="1">
      <c r="A69" s="3871" t="s">
        <v>56</v>
      </c>
      <c r="B69" s="1493" t="s">
        <v>558</v>
      </c>
      <c r="C69" s="1494" t="s">
        <v>100</v>
      </c>
      <c r="D69" s="181"/>
      <c r="E69" s="358"/>
      <c r="F69" s="358"/>
      <c r="G69" s="358"/>
      <c r="H69" s="358"/>
      <c r="I69" s="358"/>
      <c r="J69" s="358"/>
      <c r="K69" s="358"/>
      <c r="L69" s="2384"/>
      <c r="M69" s="1598"/>
      <c r="N69" s="1598"/>
      <c r="O69" s="3866" t="s">
        <v>122</v>
      </c>
    </row>
    <row r="70" spans="1:16" ht="15" customHeight="1">
      <c r="A70" s="3872"/>
      <c r="B70" s="1496" t="s">
        <v>10</v>
      </c>
      <c r="C70" s="1497"/>
      <c r="D70" s="1319">
        <f>+D71</f>
        <v>72615</v>
      </c>
      <c r="E70" s="1319">
        <f t="shared" ref="E70:E71" si="54">+E71</f>
        <v>803</v>
      </c>
      <c r="F70" s="1319">
        <f t="shared" ref="F70:H71" si="55">+F71</f>
        <v>20291</v>
      </c>
      <c r="G70" s="1319">
        <f t="shared" si="55"/>
        <v>29639</v>
      </c>
      <c r="H70" s="1319">
        <f t="shared" si="55"/>
        <v>21882</v>
      </c>
      <c r="I70" s="1319"/>
      <c r="J70" s="1319"/>
      <c r="K70" s="1319"/>
      <c r="L70" s="1319"/>
      <c r="M70" s="1450">
        <f>+M71</f>
        <v>71812</v>
      </c>
      <c r="N70" s="1450">
        <f>+N71</f>
        <v>51521</v>
      </c>
      <c r="O70" s="3867"/>
    </row>
    <row r="71" spans="1:16" ht="12">
      <c r="A71" s="3872"/>
      <c r="B71" s="1509" t="s">
        <v>18</v>
      </c>
      <c r="C71" s="3874" t="s">
        <v>123</v>
      </c>
      <c r="D71" s="1314">
        <f>+D72</f>
        <v>72615</v>
      </c>
      <c r="E71" s="1314">
        <f t="shared" si="54"/>
        <v>803</v>
      </c>
      <c r="F71" s="1314">
        <f t="shared" si="55"/>
        <v>20291</v>
      </c>
      <c r="G71" s="1314">
        <f t="shared" si="55"/>
        <v>29639</v>
      </c>
      <c r="H71" s="1314">
        <f t="shared" si="55"/>
        <v>21882</v>
      </c>
      <c r="I71" s="1314"/>
      <c r="J71" s="1314"/>
      <c r="K71" s="1314"/>
      <c r="L71" s="1314"/>
      <c r="M71" s="1310">
        <f>+M72</f>
        <v>71812</v>
      </c>
      <c r="N71" s="1310">
        <f>+N72</f>
        <v>51521</v>
      </c>
      <c r="O71" s="3867"/>
    </row>
    <row r="72" spans="1:16" ht="12">
      <c r="A72" s="3872"/>
      <c r="B72" s="1510" t="s">
        <v>19</v>
      </c>
      <c r="C72" s="3875"/>
      <c r="D72" s="1339">
        <f>E72+F72+G72+H72+I72+J72+K72+L72</f>
        <v>72615</v>
      </c>
      <c r="E72" s="1606">
        <f>803</f>
        <v>803</v>
      </c>
      <c r="F72" s="130">
        <f>4200+3397+21882-9188</f>
        <v>20291</v>
      </c>
      <c r="G72" s="130">
        <f>21882+7757</f>
        <v>29639</v>
      </c>
      <c r="H72" s="130">
        <v>21882</v>
      </c>
      <c r="I72" s="130"/>
      <c r="J72" s="130"/>
      <c r="K72" s="130"/>
      <c r="L72" s="130"/>
      <c r="M72" s="1599">
        <f>SUM(F72:K72)</f>
        <v>71812</v>
      </c>
      <c r="N72" s="1599">
        <f>SUM(G72:L72)</f>
        <v>51521</v>
      </c>
      <c r="O72" s="3867"/>
    </row>
    <row r="73" spans="1:16" ht="15" customHeight="1">
      <c r="A73" s="3872"/>
      <c r="B73" s="1511" t="s">
        <v>21</v>
      </c>
      <c r="C73" s="1512"/>
      <c r="D73" s="1608">
        <f>+D74</f>
        <v>72615</v>
      </c>
      <c r="E73" s="1608">
        <f t="shared" ref="E73:E74" si="56">+E74</f>
        <v>803</v>
      </c>
      <c r="F73" s="1319">
        <f t="shared" ref="F73:H74" si="57">+F74</f>
        <v>28048</v>
      </c>
      <c r="G73" s="1319">
        <f t="shared" si="57"/>
        <v>21882</v>
      </c>
      <c r="H73" s="1319">
        <f t="shared" si="57"/>
        <v>21882</v>
      </c>
      <c r="I73" s="1319"/>
      <c r="J73" s="1319"/>
      <c r="K73" s="1319"/>
      <c r="L73" s="1319"/>
      <c r="M73" s="3860"/>
      <c r="N73" s="3860"/>
      <c r="O73" s="3867"/>
    </row>
    <row r="74" spans="1:16" ht="12">
      <c r="A74" s="3872"/>
      <c r="B74" s="1509" t="s">
        <v>18</v>
      </c>
      <c r="C74" s="3874" t="s">
        <v>123</v>
      </c>
      <c r="D74" s="1314">
        <f>+D75</f>
        <v>72615</v>
      </c>
      <c r="E74" s="1314">
        <f t="shared" si="56"/>
        <v>803</v>
      </c>
      <c r="F74" s="1314">
        <f t="shared" si="57"/>
        <v>28048</v>
      </c>
      <c r="G74" s="1314">
        <f t="shared" si="57"/>
        <v>21882</v>
      </c>
      <c r="H74" s="1314">
        <f t="shared" si="57"/>
        <v>21882</v>
      </c>
      <c r="I74" s="1314"/>
      <c r="J74" s="1314"/>
      <c r="K74" s="1314"/>
      <c r="L74" s="1314"/>
      <c r="M74" s="3861"/>
      <c r="N74" s="3861"/>
      <c r="O74" s="3867"/>
    </row>
    <row r="75" spans="1:16" ht="12.75" thickBot="1">
      <c r="A75" s="3873"/>
      <c r="B75" s="1513" t="s">
        <v>19</v>
      </c>
      <c r="C75" s="3876"/>
      <c r="D75" s="1455">
        <f>E75+F75+G75+H75+I75+J75+K75+L75</f>
        <v>72615</v>
      </c>
      <c r="E75" s="1644">
        <f>803</f>
        <v>803</v>
      </c>
      <c r="F75" s="1605">
        <f>4200+3397+21882-1431</f>
        <v>28048</v>
      </c>
      <c r="G75" s="1605">
        <v>21882</v>
      </c>
      <c r="H75" s="1605">
        <v>21882</v>
      </c>
      <c r="I75" s="1605"/>
      <c r="J75" s="1605"/>
      <c r="K75" s="1605"/>
      <c r="L75" s="1605"/>
      <c r="M75" s="3862"/>
      <c r="N75" s="3862"/>
      <c r="O75" s="3868"/>
    </row>
    <row r="76" spans="1:16" ht="27" customHeight="1">
      <c r="A76" s="3871" t="s">
        <v>57</v>
      </c>
      <c r="B76" s="1493" t="s">
        <v>448</v>
      </c>
      <c r="C76" s="1494" t="s">
        <v>100</v>
      </c>
      <c r="D76" s="181"/>
      <c r="E76" s="358"/>
      <c r="F76" s="358"/>
      <c r="G76" s="358"/>
      <c r="H76" s="358"/>
      <c r="I76" s="358"/>
      <c r="J76" s="358"/>
      <c r="K76" s="358"/>
      <c r="L76" s="2384"/>
      <c r="M76" s="1598"/>
      <c r="N76" s="1598"/>
      <c r="O76" s="3866" t="s">
        <v>272</v>
      </c>
    </row>
    <row r="77" spans="1:16" ht="12">
      <c r="A77" s="3872"/>
      <c r="B77" s="2149" t="s">
        <v>10</v>
      </c>
      <c r="C77" s="1497"/>
      <c r="D77" s="560">
        <f t="shared" ref="D77:L77" si="58">+D78+D80</f>
        <v>250000</v>
      </c>
      <c r="E77" s="560">
        <f t="shared" si="58"/>
        <v>0</v>
      </c>
      <c r="F77" s="560">
        <f t="shared" si="58"/>
        <v>0</v>
      </c>
      <c r="G77" s="560">
        <f t="shared" si="58"/>
        <v>224590</v>
      </c>
      <c r="H77" s="560">
        <f t="shared" si="58"/>
        <v>25410</v>
      </c>
      <c r="I77" s="560">
        <f t="shared" si="58"/>
        <v>0</v>
      </c>
      <c r="J77" s="560">
        <f t="shared" si="58"/>
        <v>0</v>
      </c>
      <c r="K77" s="560">
        <f t="shared" si="58"/>
        <v>0</v>
      </c>
      <c r="L77" s="560">
        <f t="shared" si="58"/>
        <v>0</v>
      </c>
      <c r="M77" s="1996" t="e">
        <f>+#REF!</f>
        <v>#REF!</v>
      </c>
      <c r="N77" s="1996">
        <f>+N78+N80</f>
        <v>250000</v>
      </c>
      <c r="O77" s="3867"/>
      <c r="P77" s="1458" t="s">
        <v>495</v>
      </c>
    </row>
    <row r="78" spans="1:16" ht="12">
      <c r="A78" s="3872"/>
      <c r="B78" s="2187" t="s">
        <v>23</v>
      </c>
      <c r="C78" s="3941" t="s">
        <v>139</v>
      </c>
      <c r="D78" s="2242">
        <f>+D79</f>
        <v>39300</v>
      </c>
      <c r="E78" s="2242">
        <f>+E79</f>
        <v>0</v>
      </c>
      <c r="F78" s="2242">
        <f t="shared" ref="F78:L78" si="59">+F79</f>
        <v>0</v>
      </c>
      <c r="G78" s="2242">
        <f t="shared" si="59"/>
        <v>35306</v>
      </c>
      <c r="H78" s="2242">
        <f t="shared" si="59"/>
        <v>3994</v>
      </c>
      <c r="I78" s="2242">
        <f t="shared" si="59"/>
        <v>0</v>
      </c>
      <c r="J78" s="2242">
        <f t="shared" si="59"/>
        <v>0</v>
      </c>
      <c r="K78" s="2242">
        <f t="shared" si="59"/>
        <v>0</v>
      </c>
      <c r="L78" s="2242">
        <f t="shared" si="59"/>
        <v>0</v>
      </c>
      <c r="M78" s="1996"/>
      <c r="N78" s="1996">
        <f>+N79</f>
        <v>39300</v>
      </c>
      <c r="O78" s="3867"/>
    </row>
    <row r="79" spans="1:16" ht="12">
      <c r="A79" s="3872"/>
      <c r="B79" s="167" t="s">
        <v>13</v>
      </c>
      <c r="C79" s="3942"/>
      <c r="D79" s="1891">
        <f>E79+F79+G79+H79+I79+J79+K79+L79</f>
        <v>39300</v>
      </c>
      <c r="E79" s="1891">
        <v>0</v>
      </c>
      <c r="F79" s="1891">
        <v>0</v>
      </c>
      <c r="G79" s="1891">
        <v>35306</v>
      </c>
      <c r="H79" s="1891">
        <v>3994</v>
      </c>
      <c r="I79" s="1891"/>
      <c r="J79" s="1891"/>
      <c r="K79" s="1891"/>
      <c r="L79" s="1891"/>
      <c r="M79" s="1996"/>
      <c r="N79" s="2243">
        <f>SUM(G79:L79)</f>
        <v>39300</v>
      </c>
      <c r="O79" s="3867"/>
    </row>
    <row r="80" spans="1:16" ht="12">
      <c r="A80" s="3872"/>
      <c r="B80" s="2117" t="s">
        <v>18</v>
      </c>
      <c r="C80" s="3942"/>
      <c r="D80" s="2242">
        <f>+D81</f>
        <v>210700</v>
      </c>
      <c r="E80" s="2242">
        <f t="shared" ref="E80:L80" si="60">+E81</f>
        <v>0</v>
      </c>
      <c r="F80" s="2242">
        <f t="shared" si="60"/>
        <v>0</v>
      </c>
      <c r="G80" s="2242">
        <f t="shared" si="60"/>
        <v>189284</v>
      </c>
      <c r="H80" s="2242">
        <f t="shared" si="60"/>
        <v>21416</v>
      </c>
      <c r="I80" s="2242">
        <f t="shared" si="60"/>
        <v>0</v>
      </c>
      <c r="J80" s="2242">
        <f t="shared" si="60"/>
        <v>0</v>
      </c>
      <c r="K80" s="2242">
        <f t="shared" si="60"/>
        <v>0</v>
      </c>
      <c r="L80" s="2242">
        <f t="shared" si="60"/>
        <v>0</v>
      </c>
      <c r="M80" s="1996"/>
      <c r="N80" s="1996">
        <f>+N81</f>
        <v>210700</v>
      </c>
      <c r="O80" s="3867"/>
    </row>
    <row r="81" spans="1:27" ht="12">
      <c r="A81" s="3872"/>
      <c r="B81" s="563" t="s">
        <v>20</v>
      </c>
      <c r="C81" s="3942"/>
      <c r="D81" s="1891">
        <f>E81+F81+G81+H81+I81+J81+K81+L81</f>
        <v>210700</v>
      </c>
      <c r="E81" s="1891">
        <v>0</v>
      </c>
      <c r="F81" s="1891">
        <v>0</v>
      </c>
      <c r="G81" s="1891">
        <v>189284</v>
      </c>
      <c r="H81" s="1891">
        <v>21416</v>
      </c>
      <c r="I81" s="1891"/>
      <c r="J81" s="1891"/>
      <c r="K81" s="1891"/>
      <c r="L81" s="1891"/>
      <c r="M81" s="1996"/>
      <c r="N81" s="2243">
        <f>SUM(G81:L81)</f>
        <v>210700</v>
      </c>
      <c r="O81" s="3867"/>
    </row>
    <row r="82" spans="1:27" ht="12">
      <c r="A82" s="3872"/>
      <c r="B82" s="1511" t="s">
        <v>21</v>
      </c>
      <c r="C82" s="1512"/>
      <c r="D82" s="1608">
        <f>+D83+D85</f>
        <v>250000</v>
      </c>
      <c r="E82" s="1608">
        <f t="shared" ref="E82:L82" si="61">+E83+E85</f>
        <v>0</v>
      </c>
      <c r="F82" s="1608">
        <f t="shared" si="61"/>
        <v>0</v>
      </c>
      <c r="G82" s="1608">
        <f t="shared" si="61"/>
        <v>224590</v>
      </c>
      <c r="H82" s="1608">
        <f t="shared" si="61"/>
        <v>25410</v>
      </c>
      <c r="I82" s="1608">
        <f t="shared" si="61"/>
        <v>0</v>
      </c>
      <c r="J82" s="1608">
        <f t="shared" si="61"/>
        <v>0</v>
      </c>
      <c r="K82" s="1608">
        <f t="shared" si="61"/>
        <v>0</v>
      </c>
      <c r="L82" s="1608">
        <f t="shared" si="61"/>
        <v>0</v>
      </c>
      <c r="M82" s="3938"/>
      <c r="N82" s="3938"/>
      <c r="O82" s="3867"/>
    </row>
    <row r="83" spans="1:27" ht="12">
      <c r="A83" s="3872"/>
      <c r="B83" s="1424" t="s">
        <v>23</v>
      </c>
      <c r="C83" s="3941" t="s">
        <v>139</v>
      </c>
      <c r="D83" s="2244">
        <f>+D84</f>
        <v>39300</v>
      </c>
      <c r="E83" s="2244">
        <f t="shared" ref="E83:L83" si="62">+E84</f>
        <v>0</v>
      </c>
      <c r="F83" s="2244">
        <f t="shared" si="62"/>
        <v>0</v>
      </c>
      <c r="G83" s="2244">
        <f t="shared" si="62"/>
        <v>35306</v>
      </c>
      <c r="H83" s="2244">
        <f t="shared" si="62"/>
        <v>3994</v>
      </c>
      <c r="I83" s="2244">
        <f t="shared" si="62"/>
        <v>0</v>
      </c>
      <c r="J83" s="2244">
        <f t="shared" si="62"/>
        <v>0</v>
      </c>
      <c r="K83" s="2244">
        <f t="shared" si="62"/>
        <v>0</v>
      </c>
      <c r="L83" s="2244">
        <f t="shared" si="62"/>
        <v>0</v>
      </c>
      <c r="M83" s="3861"/>
      <c r="N83" s="3939"/>
      <c r="O83" s="3935"/>
    </row>
    <row r="84" spans="1:27" ht="12">
      <c r="A84" s="3872"/>
      <c r="B84" s="171" t="s">
        <v>13</v>
      </c>
      <c r="C84" s="3942"/>
      <c r="D84" s="1891">
        <f>E84+F84+G84+H84+I84+J84+K84+L84</f>
        <v>39300</v>
      </c>
      <c r="E84" s="1978">
        <v>0</v>
      </c>
      <c r="F84" s="2245">
        <v>0</v>
      </c>
      <c r="G84" s="2245">
        <v>35306</v>
      </c>
      <c r="H84" s="2245">
        <v>3994</v>
      </c>
      <c r="I84" s="2245"/>
      <c r="J84" s="2245"/>
      <c r="K84" s="2245"/>
      <c r="L84" s="2245"/>
      <c r="M84" s="3861"/>
      <c r="N84" s="3939"/>
      <c r="O84" s="3936"/>
    </row>
    <row r="85" spans="1:27" ht="12" customHeight="1">
      <c r="A85" s="3872"/>
      <c r="B85" s="1955" t="s">
        <v>18</v>
      </c>
      <c r="C85" s="3942"/>
      <c r="D85" s="2246">
        <f>+D86</f>
        <v>210700</v>
      </c>
      <c r="E85" s="2246">
        <f t="shared" ref="E85:L85" si="63">+E86</f>
        <v>0</v>
      </c>
      <c r="F85" s="2246">
        <f t="shared" si="63"/>
        <v>0</v>
      </c>
      <c r="G85" s="2246">
        <f t="shared" si="63"/>
        <v>189284</v>
      </c>
      <c r="H85" s="2246">
        <f t="shared" si="63"/>
        <v>21416</v>
      </c>
      <c r="I85" s="2246">
        <f t="shared" si="63"/>
        <v>0</v>
      </c>
      <c r="J85" s="2246">
        <f t="shared" si="63"/>
        <v>0</v>
      </c>
      <c r="K85" s="2246">
        <f t="shared" si="63"/>
        <v>0</v>
      </c>
      <c r="L85" s="2246">
        <f t="shared" si="63"/>
        <v>0</v>
      </c>
      <c r="M85" s="3861"/>
      <c r="N85" s="3939"/>
      <c r="O85" s="3936"/>
    </row>
    <row r="86" spans="1:27" ht="12.75" thickBot="1">
      <c r="A86" s="3873"/>
      <c r="B86" s="327" t="s">
        <v>20</v>
      </c>
      <c r="C86" s="3943"/>
      <c r="D86" s="1643">
        <f>E86+F86+G86+H86+I86+J86+K86+L86</f>
        <v>210700</v>
      </c>
      <c r="E86" s="2247">
        <v>0</v>
      </c>
      <c r="F86" s="2248">
        <v>0</v>
      </c>
      <c r="G86" s="2248">
        <v>189284</v>
      </c>
      <c r="H86" s="2248">
        <v>21416</v>
      </c>
      <c r="I86" s="2248"/>
      <c r="J86" s="2248"/>
      <c r="K86" s="2248"/>
      <c r="L86" s="2248"/>
      <c r="M86" s="3862"/>
      <c r="N86" s="3940"/>
      <c r="O86" s="3937"/>
    </row>
    <row r="87" spans="1:27" s="292" customFormat="1" ht="30" customHeight="1" thickBot="1">
      <c r="A87" s="186" t="s">
        <v>497</v>
      </c>
      <c r="B87" s="187"/>
      <c r="C87" s="187"/>
      <c r="D87" s="187"/>
      <c r="E87" s="1284"/>
      <c r="F87" s="187"/>
      <c r="G87" s="187"/>
      <c r="H87" s="187"/>
      <c r="I87" s="187"/>
      <c r="J87" s="187"/>
      <c r="K87" s="187"/>
      <c r="L87" s="187"/>
      <c r="M87" s="865"/>
      <c r="N87" s="865"/>
      <c r="O87" s="2945"/>
    </row>
    <row r="88" spans="1:27" s="2562" customFormat="1" ht="12.75">
      <c r="A88" s="1213"/>
      <c r="B88" s="202" t="s">
        <v>68</v>
      </c>
      <c r="C88" s="203"/>
      <c r="D88" s="2946">
        <f>D89+D90</f>
        <v>540000</v>
      </c>
      <c r="E88" s="204">
        <f t="shared" ref="E88:L88" si="64">E89+E90</f>
        <v>0</v>
      </c>
      <c r="F88" s="204">
        <f t="shared" si="64"/>
        <v>0</v>
      </c>
      <c r="G88" s="204">
        <f t="shared" si="64"/>
        <v>22500</v>
      </c>
      <c r="H88" s="204">
        <f t="shared" si="64"/>
        <v>90000</v>
      </c>
      <c r="I88" s="204">
        <f t="shared" si="64"/>
        <v>135000</v>
      </c>
      <c r="J88" s="204">
        <f t="shared" si="64"/>
        <v>135000</v>
      </c>
      <c r="K88" s="204">
        <f t="shared" si="64"/>
        <v>112500</v>
      </c>
      <c r="L88" s="204">
        <f t="shared" si="64"/>
        <v>45000</v>
      </c>
      <c r="M88" s="16">
        <f>+M90+N94</f>
        <v>0</v>
      </c>
      <c r="N88" s="2947">
        <f>N89+N90</f>
        <v>540000</v>
      </c>
      <c r="O88" s="3848"/>
      <c r="P88" s="2563"/>
    </row>
    <row r="89" spans="1:27" s="2562" customFormat="1" ht="13.5" customHeight="1" thickBot="1">
      <c r="A89" s="184"/>
      <c r="B89" s="205" t="s">
        <v>69</v>
      </c>
      <c r="C89" s="206"/>
      <c r="D89" s="2948">
        <f>D95</f>
        <v>540000</v>
      </c>
      <c r="E89" s="215">
        <f t="shared" ref="E89:L89" si="65">E95</f>
        <v>0</v>
      </c>
      <c r="F89" s="215">
        <f t="shared" si="65"/>
        <v>0</v>
      </c>
      <c r="G89" s="215">
        <f t="shared" si="65"/>
        <v>22500</v>
      </c>
      <c r="H89" s="215">
        <f t="shared" si="65"/>
        <v>90000</v>
      </c>
      <c r="I89" s="215">
        <f t="shared" si="65"/>
        <v>135000</v>
      </c>
      <c r="J89" s="215">
        <f t="shared" si="65"/>
        <v>135000</v>
      </c>
      <c r="K89" s="215">
        <f t="shared" si="65"/>
        <v>112500</v>
      </c>
      <c r="L89" s="215">
        <f t="shared" si="65"/>
        <v>45000</v>
      </c>
      <c r="M89" s="145">
        <f>SUM(F89:K89)</f>
        <v>495000</v>
      </c>
      <c r="N89" s="2507">
        <f>SUM(G89:L89)</f>
        <v>540000</v>
      </c>
      <c r="O89" s="3849"/>
    </row>
    <row r="90" spans="1:27" s="2562" customFormat="1" ht="13.5" customHeight="1" thickBot="1">
      <c r="A90" s="184"/>
      <c r="B90" s="216" t="s">
        <v>9</v>
      </c>
      <c r="C90" s="206"/>
      <c r="D90" s="215">
        <v>0</v>
      </c>
      <c r="E90" s="207">
        <v>0</v>
      </c>
      <c r="F90" s="207">
        <v>0</v>
      </c>
      <c r="G90" s="338">
        <v>0</v>
      </c>
      <c r="H90" s="338">
        <v>0</v>
      </c>
      <c r="I90" s="338">
        <v>0</v>
      </c>
      <c r="J90" s="338">
        <v>0</v>
      </c>
      <c r="K90" s="338">
        <v>0</v>
      </c>
      <c r="L90" s="338">
        <v>0</v>
      </c>
      <c r="M90" s="147">
        <f>SUM(F90:K90)</f>
        <v>0</v>
      </c>
      <c r="N90" s="1725">
        <f>SUM(G90:L90)</f>
        <v>0</v>
      </c>
      <c r="O90" s="3850"/>
    </row>
    <row r="91" spans="1:27" s="342" customFormat="1" ht="13.5" customHeight="1" thickBot="1">
      <c r="A91" s="339"/>
      <c r="B91" s="176" t="s">
        <v>10</v>
      </c>
      <c r="C91" s="177"/>
      <c r="D91" s="151">
        <f>D92</f>
        <v>540000</v>
      </c>
      <c r="E91" s="151">
        <f t="shared" ref="E91:L92" si="66">E92</f>
        <v>0</v>
      </c>
      <c r="F91" s="151">
        <f t="shared" si="66"/>
        <v>0</v>
      </c>
      <c r="G91" s="151">
        <f t="shared" si="66"/>
        <v>22500</v>
      </c>
      <c r="H91" s="151">
        <f t="shared" si="66"/>
        <v>90000</v>
      </c>
      <c r="I91" s="151">
        <f t="shared" si="66"/>
        <v>135000</v>
      </c>
      <c r="J91" s="151">
        <f t="shared" si="66"/>
        <v>135000</v>
      </c>
      <c r="K91" s="151">
        <f t="shared" si="66"/>
        <v>112500</v>
      </c>
      <c r="L91" s="151">
        <f t="shared" si="66"/>
        <v>45000</v>
      </c>
      <c r="M91" s="340">
        <f>+N94</f>
        <v>0</v>
      </c>
      <c r="N91" s="2542">
        <f>N92</f>
        <v>540000</v>
      </c>
      <c r="O91" s="3850"/>
      <c r="P91" s="341"/>
      <c r="Q91" s="341"/>
    </row>
    <row r="92" spans="1:27" s="345" customFormat="1" ht="13.5" customHeight="1">
      <c r="A92" s="190"/>
      <c r="B92" s="152" t="s">
        <v>11</v>
      </c>
      <c r="C92" s="3853" t="s">
        <v>53</v>
      </c>
      <c r="D92" s="1435">
        <f>D93</f>
        <v>540000</v>
      </c>
      <c r="E92" s="1435">
        <f t="shared" si="66"/>
        <v>0</v>
      </c>
      <c r="F92" s="1435">
        <f t="shared" si="66"/>
        <v>0</v>
      </c>
      <c r="G92" s="1435">
        <f t="shared" si="66"/>
        <v>22500</v>
      </c>
      <c r="H92" s="1435">
        <f t="shared" si="66"/>
        <v>90000</v>
      </c>
      <c r="I92" s="1435">
        <f t="shared" si="66"/>
        <v>135000</v>
      </c>
      <c r="J92" s="1435">
        <f t="shared" si="66"/>
        <v>135000</v>
      </c>
      <c r="K92" s="1435">
        <f t="shared" si="66"/>
        <v>112500</v>
      </c>
      <c r="L92" s="1435">
        <f t="shared" si="66"/>
        <v>45000</v>
      </c>
      <c r="M92" s="1436">
        <f>+N94+N95</f>
        <v>540000</v>
      </c>
      <c r="N92" s="2655">
        <f>+N93</f>
        <v>540000</v>
      </c>
      <c r="O92" s="3851"/>
      <c r="P92" s="343"/>
      <c r="Q92" s="344"/>
      <c r="R92" s="343"/>
      <c r="S92" s="343"/>
      <c r="T92" s="343"/>
      <c r="U92" s="343"/>
      <c r="V92" s="343"/>
      <c r="W92" s="343"/>
      <c r="X92" s="343"/>
      <c r="Y92" s="343"/>
      <c r="Z92" s="343"/>
      <c r="AA92" s="343"/>
    </row>
    <row r="93" spans="1:27" s="307" customFormat="1" ht="13.5" thickBot="1">
      <c r="A93" s="2949"/>
      <c r="B93" s="155" t="s">
        <v>12</v>
      </c>
      <c r="C93" s="3854"/>
      <c r="D93" s="1437">
        <f>D97</f>
        <v>540000</v>
      </c>
      <c r="E93" s="1437">
        <f t="shared" ref="E93:L93" si="67">E97</f>
        <v>0</v>
      </c>
      <c r="F93" s="1437">
        <f t="shared" si="67"/>
        <v>0</v>
      </c>
      <c r="G93" s="1437">
        <f t="shared" si="67"/>
        <v>22500</v>
      </c>
      <c r="H93" s="1437">
        <f t="shared" si="67"/>
        <v>90000</v>
      </c>
      <c r="I93" s="1437">
        <f t="shared" si="67"/>
        <v>135000</v>
      </c>
      <c r="J93" s="1437">
        <f t="shared" si="67"/>
        <v>135000</v>
      </c>
      <c r="K93" s="1437">
        <f t="shared" si="67"/>
        <v>112500</v>
      </c>
      <c r="L93" s="1437">
        <f t="shared" si="67"/>
        <v>45000</v>
      </c>
      <c r="M93" s="1438">
        <f>SUM(F93:L93)</f>
        <v>540000</v>
      </c>
      <c r="N93" s="2950">
        <f>SUM(G93:L93)</f>
        <v>540000</v>
      </c>
      <c r="O93" s="3852"/>
      <c r="P93" s="2563"/>
    </row>
    <row r="94" spans="1:27" ht="36.75" thickBot="1">
      <c r="A94" s="3844" t="s">
        <v>55</v>
      </c>
      <c r="B94" s="347" t="s">
        <v>499</v>
      </c>
      <c r="C94" s="348" t="s">
        <v>100</v>
      </c>
      <c r="D94" s="357"/>
      <c r="E94" s="356"/>
      <c r="F94" s="356"/>
      <c r="G94" s="356"/>
      <c r="H94" s="356"/>
      <c r="I94" s="356"/>
      <c r="J94" s="356"/>
      <c r="K94" s="356"/>
      <c r="L94" s="1273"/>
      <c r="M94" s="331"/>
      <c r="N94" s="331"/>
      <c r="O94" s="3845" t="s">
        <v>163</v>
      </c>
      <c r="P94" s="2172"/>
    </row>
    <row r="95" spans="1:27" ht="12.75" thickBot="1">
      <c r="A95" s="3844"/>
      <c r="B95" s="80" t="s">
        <v>10</v>
      </c>
      <c r="C95" s="1308"/>
      <c r="D95" s="1319">
        <f>+D96</f>
        <v>540000</v>
      </c>
      <c r="E95" s="1319">
        <f t="shared" ref="E95:N96" si="68">+E96</f>
        <v>0</v>
      </c>
      <c r="F95" s="1319">
        <f t="shared" si="68"/>
        <v>0</v>
      </c>
      <c r="G95" s="1319">
        <f t="shared" si="68"/>
        <v>22500</v>
      </c>
      <c r="H95" s="1319">
        <f t="shared" si="68"/>
        <v>90000</v>
      </c>
      <c r="I95" s="1319">
        <f t="shared" si="68"/>
        <v>135000</v>
      </c>
      <c r="J95" s="1319">
        <f t="shared" si="68"/>
        <v>135000</v>
      </c>
      <c r="K95" s="1319">
        <f t="shared" si="68"/>
        <v>112500</v>
      </c>
      <c r="L95" s="1319">
        <f t="shared" si="68"/>
        <v>45000</v>
      </c>
      <c r="M95" s="1984">
        <f t="shared" si="68"/>
        <v>540000</v>
      </c>
      <c r="N95" s="2951">
        <f t="shared" si="68"/>
        <v>540000</v>
      </c>
      <c r="O95" s="3845"/>
      <c r="P95" s="2172"/>
    </row>
    <row r="96" spans="1:27" ht="12" customHeight="1" thickBot="1">
      <c r="A96" s="3844"/>
      <c r="B96" s="515" t="s">
        <v>23</v>
      </c>
      <c r="C96" s="3855" t="s">
        <v>498</v>
      </c>
      <c r="D96" s="1440">
        <f>+D97</f>
        <v>540000</v>
      </c>
      <c r="E96" s="1985">
        <f t="shared" si="68"/>
        <v>0</v>
      </c>
      <c r="F96" s="1986">
        <f t="shared" si="68"/>
        <v>0</v>
      </c>
      <c r="G96" s="1327">
        <f t="shared" si="68"/>
        <v>22500</v>
      </c>
      <c r="H96" s="1327">
        <f t="shared" si="68"/>
        <v>90000</v>
      </c>
      <c r="I96" s="1327">
        <f t="shared" si="68"/>
        <v>135000</v>
      </c>
      <c r="J96" s="1327">
        <f t="shared" si="68"/>
        <v>135000</v>
      </c>
      <c r="K96" s="1327">
        <f t="shared" si="68"/>
        <v>112500</v>
      </c>
      <c r="L96" s="1327">
        <f t="shared" si="68"/>
        <v>45000</v>
      </c>
      <c r="M96" s="1987">
        <f t="shared" si="68"/>
        <v>540000</v>
      </c>
      <c r="N96" s="2952">
        <f t="shared" si="68"/>
        <v>540000</v>
      </c>
      <c r="O96" s="3846"/>
      <c r="P96" s="2172"/>
    </row>
    <row r="97" spans="1:109" ht="12.75" thickBot="1">
      <c r="A97" s="3844"/>
      <c r="B97" s="1153" t="s">
        <v>12</v>
      </c>
      <c r="C97" s="3856"/>
      <c r="D97" s="778">
        <f>E97+F97+G97+H97+I97+J97+K97+L97</f>
        <v>540000</v>
      </c>
      <c r="E97" s="1988">
        <v>0</v>
      </c>
      <c r="F97" s="1989">
        <v>0</v>
      </c>
      <c r="G97" s="1990">
        <v>22500</v>
      </c>
      <c r="H97" s="1990">
        <v>90000</v>
      </c>
      <c r="I97" s="1990">
        <v>135000</v>
      </c>
      <c r="J97" s="1990">
        <v>135000</v>
      </c>
      <c r="K97" s="1990">
        <v>112500</v>
      </c>
      <c r="L97" s="1990">
        <v>45000</v>
      </c>
      <c r="M97" s="1402">
        <f>SUM(F97:L97)</f>
        <v>540000</v>
      </c>
      <c r="N97" s="2661">
        <f>SUM(G97:L97)</f>
        <v>540000</v>
      </c>
      <c r="O97" s="3847"/>
      <c r="P97" s="2172"/>
    </row>
    <row r="98" spans="1:109" ht="9" hidden="1" customHeight="1">
      <c r="A98" s="2953"/>
      <c r="B98" s="1515"/>
      <c r="C98" s="1516"/>
      <c r="D98" s="1517"/>
      <c r="E98" s="1518"/>
      <c r="F98" s="1518"/>
      <c r="G98" s="1518"/>
      <c r="H98" s="1518"/>
      <c r="I98" s="1519"/>
      <c r="J98" s="1519"/>
      <c r="K98" s="1519"/>
      <c r="L98" s="1519"/>
      <c r="M98" s="1520"/>
      <c r="N98" s="1520"/>
      <c r="O98" s="2677"/>
    </row>
    <row r="99" spans="1:109" s="1523" customFormat="1" ht="26.25" hidden="1" customHeight="1" thickBot="1">
      <c r="A99" s="3897" t="s">
        <v>126</v>
      </c>
      <c r="B99" s="3897"/>
      <c r="C99" s="3897"/>
      <c r="D99" s="3897"/>
      <c r="E99" s="3897"/>
      <c r="F99" s="3897"/>
      <c r="G99" s="3897"/>
      <c r="H99" s="3897"/>
      <c r="I99" s="3897"/>
      <c r="J99" s="3897"/>
      <c r="K99" s="3897"/>
      <c r="L99" s="3897"/>
      <c r="M99" s="1521"/>
      <c r="N99" s="2651"/>
      <c r="O99" s="2678"/>
      <c r="P99" s="1522"/>
      <c r="Q99" s="1522"/>
      <c r="R99" s="1522"/>
      <c r="S99" s="1522"/>
      <c r="T99" s="1522"/>
      <c r="U99" s="1522"/>
      <c r="V99" s="1522"/>
      <c r="W99" s="1522"/>
      <c r="X99" s="1522"/>
      <c r="Y99" s="1522"/>
      <c r="Z99" s="1522"/>
      <c r="AA99" s="1522"/>
      <c r="AB99" s="1522"/>
      <c r="AC99" s="1522"/>
      <c r="AD99" s="1522"/>
      <c r="AE99" s="1522"/>
      <c r="AF99" s="1522"/>
      <c r="AG99" s="1522"/>
      <c r="AH99" s="1522"/>
      <c r="AI99" s="1522"/>
      <c r="AJ99" s="1522"/>
      <c r="AK99" s="1522"/>
      <c r="AL99" s="1522"/>
      <c r="AM99" s="1522"/>
      <c r="AN99" s="1522"/>
      <c r="AO99" s="1522"/>
      <c r="AP99" s="1522"/>
      <c r="AQ99" s="1522"/>
      <c r="AR99" s="1522"/>
      <c r="AS99" s="1522"/>
      <c r="AT99" s="1522"/>
      <c r="AU99" s="1522"/>
      <c r="AV99" s="1522"/>
      <c r="AW99" s="1522"/>
      <c r="AX99" s="1522"/>
      <c r="AY99" s="1522"/>
      <c r="AZ99" s="1522"/>
      <c r="BA99" s="1522"/>
      <c r="BB99" s="1522"/>
      <c r="BC99" s="1522"/>
      <c r="BD99" s="1522"/>
      <c r="BE99" s="1522"/>
      <c r="BF99" s="1522"/>
      <c r="BG99" s="1522"/>
      <c r="BH99" s="1522"/>
      <c r="BI99" s="1522"/>
      <c r="BJ99" s="1522"/>
      <c r="BK99" s="1522"/>
      <c r="BL99" s="1522"/>
      <c r="BM99" s="1522"/>
      <c r="BN99" s="1522"/>
      <c r="BO99" s="1522"/>
      <c r="BP99" s="1522"/>
      <c r="BQ99" s="1522"/>
      <c r="BR99" s="1522"/>
      <c r="BS99" s="1522"/>
      <c r="BT99" s="1522"/>
      <c r="BU99" s="1522"/>
      <c r="BV99" s="1522"/>
      <c r="BW99" s="1522"/>
      <c r="BX99" s="1522"/>
      <c r="BY99" s="1522"/>
      <c r="BZ99" s="1522"/>
      <c r="CA99" s="1522"/>
      <c r="CB99" s="1522"/>
      <c r="CC99" s="1522"/>
      <c r="CD99" s="1522"/>
      <c r="CE99" s="1522"/>
      <c r="CF99" s="1522"/>
      <c r="CG99" s="1522"/>
      <c r="CH99" s="1522"/>
      <c r="CI99" s="1522"/>
      <c r="CJ99" s="1522"/>
      <c r="CK99" s="1522"/>
      <c r="CL99" s="1522"/>
      <c r="CM99" s="1522"/>
      <c r="CN99" s="1522"/>
      <c r="CO99" s="1522"/>
      <c r="CP99" s="1522"/>
      <c r="CQ99" s="1522"/>
      <c r="CR99" s="1522"/>
      <c r="CS99" s="1522"/>
      <c r="CT99" s="1522"/>
      <c r="CU99" s="1522"/>
      <c r="CV99" s="1522"/>
      <c r="CW99" s="1522"/>
      <c r="CX99" s="1522"/>
      <c r="CY99" s="1522"/>
      <c r="CZ99" s="1522"/>
      <c r="DA99" s="1522"/>
      <c r="DB99" s="1522"/>
      <c r="DC99" s="1522"/>
      <c r="DD99" s="1522"/>
      <c r="DE99" s="1522"/>
    </row>
    <row r="100" spans="1:109" s="3156" customFormat="1" ht="14.25" hidden="1" customHeight="1">
      <c r="A100" s="2485"/>
      <c r="B100" s="2611" t="s">
        <v>68</v>
      </c>
      <c r="C100" s="2500"/>
      <c r="D100" s="2621">
        <f>+D101+D102</f>
        <v>0</v>
      </c>
      <c r="E100" s="2621">
        <f t="shared" ref="E100:L100" si="69">+E101+E102</f>
        <v>0</v>
      </c>
      <c r="F100" s="2621">
        <f t="shared" si="69"/>
        <v>0</v>
      </c>
      <c r="G100" s="2621">
        <f t="shared" si="69"/>
        <v>0</v>
      </c>
      <c r="H100" s="2621">
        <f t="shared" si="69"/>
        <v>0</v>
      </c>
      <c r="I100" s="2621">
        <f t="shared" si="69"/>
        <v>0</v>
      </c>
      <c r="J100" s="2621">
        <f t="shared" si="69"/>
        <v>0</v>
      </c>
      <c r="K100" s="2621">
        <f t="shared" si="69"/>
        <v>0</v>
      </c>
      <c r="L100" s="2621">
        <f t="shared" si="69"/>
        <v>0</v>
      </c>
      <c r="M100" s="1468">
        <f>+M101+M102</f>
        <v>0</v>
      </c>
      <c r="N100" s="2652">
        <f>+N101+N102</f>
        <v>0</v>
      </c>
      <c r="O100" s="3886"/>
    </row>
    <row r="101" spans="1:109" s="3156" customFormat="1" ht="13.5" hidden="1" customHeight="1">
      <c r="A101" s="2485"/>
      <c r="B101" s="2606" t="s">
        <v>69</v>
      </c>
      <c r="C101" s="2500"/>
      <c r="D101" s="2616">
        <v>0</v>
      </c>
      <c r="E101" s="2616">
        <v>0</v>
      </c>
      <c r="F101" s="2616">
        <v>0</v>
      </c>
      <c r="G101" s="2616">
        <v>0</v>
      </c>
      <c r="H101" s="2616">
        <v>0</v>
      </c>
      <c r="I101" s="2616">
        <v>0</v>
      </c>
      <c r="J101" s="2616">
        <v>0</v>
      </c>
      <c r="K101" s="2616">
        <v>0</v>
      </c>
      <c r="L101" s="2616">
        <v>0</v>
      </c>
      <c r="M101" s="2602">
        <f>SUM(E101:G101)</f>
        <v>0</v>
      </c>
      <c r="N101" s="2537">
        <f>SUM(F101:H101)</f>
        <v>0</v>
      </c>
      <c r="O101" s="3887"/>
    </row>
    <row r="102" spans="1:109" s="3156" customFormat="1" ht="13.5" hidden="1" customHeight="1" thickBot="1">
      <c r="A102" s="1485"/>
      <c r="B102" s="2547" t="s">
        <v>9</v>
      </c>
      <c r="C102" s="2548"/>
      <c r="D102" s="2549">
        <f>+D119+D123+D128+D140</f>
        <v>0</v>
      </c>
      <c r="E102" s="2549">
        <f t="shared" ref="E102:F102" si="70">+E119+E123+E128+E140</f>
        <v>0</v>
      </c>
      <c r="F102" s="2549">
        <f t="shared" si="70"/>
        <v>0</v>
      </c>
      <c r="G102" s="2549">
        <f t="shared" ref="G102:L102" si="71">+G119+G123+G128+G140</f>
        <v>0</v>
      </c>
      <c r="H102" s="2549">
        <f t="shared" si="71"/>
        <v>0</v>
      </c>
      <c r="I102" s="2549">
        <f t="shared" si="71"/>
        <v>0</v>
      </c>
      <c r="J102" s="2549">
        <f t="shared" si="71"/>
        <v>0</v>
      </c>
      <c r="K102" s="2549">
        <f t="shared" si="71"/>
        <v>0</v>
      </c>
      <c r="L102" s="2549">
        <f t="shared" si="71"/>
        <v>0</v>
      </c>
      <c r="M102" s="1472">
        <f>SUM(E102:G102)</f>
        <v>0</v>
      </c>
      <c r="N102" s="2550">
        <f>SUM(F102:H102)</f>
        <v>0</v>
      </c>
      <c r="O102" s="3888"/>
    </row>
    <row r="103" spans="1:109" s="1523" customFormat="1" ht="13.5" hidden="1" customHeight="1">
      <c r="A103" s="2574"/>
      <c r="B103" s="2575" t="s">
        <v>10</v>
      </c>
      <c r="C103" s="2575"/>
      <c r="D103" s="2576">
        <f>D104+D108</f>
        <v>0</v>
      </c>
      <c r="E103" s="2576">
        <f>+E104+E108</f>
        <v>0</v>
      </c>
      <c r="F103" s="2576">
        <f t="shared" ref="F103:L103" si="72">+F104+F108</f>
        <v>0</v>
      </c>
      <c r="G103" s="2576">
        <f t="shared" si="72"/>
        <v>0</v>
      </c>
      <c r="H103" s="2576">
        <f t="shared" si="72"/>
        <v>0</v>
      </c>
      <c r="I103" s="2576">
        <f t="shared" si="72"/>
        <v>0</v>
      </c>
      <c r="J103" s="2576">
        <f t="shared" si="72"/>
        <v>0</v>
      </c>
      <c r="K103" s="2576">
        <f t="shared" si="72"/>
        <v>0</v>
      </c>
      <c r="L103" s="2576">
        <f t="shared" si="72"/>
        <v>0</v>
      </c>
      <c r="M103" s="2577" t="e">
        <f>+M104</f>
        <v>#REF!</v>
      </c>
      <c r="N103" s="2577" t="e">
        <f>+N104</f>
        <v>#REF!</v>
      </c>
      <c r="O103" s="3889"/>
      <c r="P103" s="1522"/>
      <c r="Q103" s="1522"/>
      <c r="R103" s="1522"/>
      <c r="S103" s="1522"/>
      <c r="T103" s="1522"/>
      <c r="U103" s="1522"/>
      <c r="V103" s="1522"/>
      <c r="W103" s="1522"/>
      <c r="X103" s="1522"/>
      <c r="Y103" s="1522"/>
      <c r="Z103" s="1522"/>
      <c r="AA103" s="1522"/>
      <c r="AB103" s="1522"/>
      <c r="AC103" s="1522"/>
      <c r="AD103" s="1522"/>
      <c r="AE103" s="1522"/>
      <c r="AF103" s="1522"/>
      <c r="AG103" s="1522"/>
      <c r="AH103" s="1522"/>
      <c r="AI103" s="1522"/>
      <c r="AJ103" s="1522"/>
      <c r="AK103" s="1522"/>
      <c r="AL103" s="1522"/>
      <c r="AM103" s="1522"/>
      <c r="AN103" s="1522"/>
      <c r="AO103" s="1522"/>
      <c r="AP103" s="1522"/>
      <c r="AQ103" s="1522"/>
      <c r="AR103" s="1522"/>
      <c r="AS103" s="1522"/>
      <c r="AT103" s="1522"/>
      <c r="AU103" s="1522"/>
      <c r="AV103" s="1522"/>
      <c r="AW103" s="1522"/>
      <c r="AX103" s="1522"/>
      <c r="AY103" s="1522"/>
      <c r="AZ103" s="1522"/>
      <c r="BA103" s="1522"/>
      <c r="BB103" s="1522"/>
      <c r="BC103" s="1522"/>
      <c r="BD103" s="1522"/>
      <c r="BE103" s="1522"/>
      <c r="BF103" s="1522"/>
      <c r="BG103" s="1522"/>
      <c r="BH103" s="1522"/>
      <c r="BI103" s="1522"/>
      <c r="BJ103" s="1522"/>
      <c r="BK103" s="1522"/>
      <c r="BL103" s="1522"/>
      <c r="BM103" s="1522"/>
      <c r="BN103" s="1522"/>
      <c r="BO103" s="1522"/>
      <c r="BP103" s="1522"/>
      <c r="BQ103" s="1522"/>
      <c r="BR103" s="1522"/>
      <c r="BS103" s="1522"/>
      <c r="BT103" s="1522"/>
      <c r="BU103" s="1522"/>
      <c r="BV103" s="1522"/>
      <c r="BW103" s="1522"/>
      <c r="BX103" s="1522"/>
      <c r="BY103" s="1522"/>
      <c r="BZ103" s="1522"/>
      <c r="CA103" s="1522"/>
      <c r="CB103" s="1522"/>
      <c r="CC103" s="1522"/>
      <c r="CD103" s="1522"/>
      <c r="CE103" s="1522"/>
      <c r="CF103" s="1522"/>
      <c r="CG103" s="1522"/>
      <c r="CH103" s="1522"/>
      <c r="CI103" s="1522"/>
      <c r="CJ103" s="1522"/>
      <c r="CK103" s="1522"/>
      <c r="CL103" s="1522"/>
      <c r="CM103" s="1522"/>
      <c r="CN103" s="1522"/>
      <c r="CO103" s="1522"/>
      <c r="CP103" s="1522"/>
      <c r="CQ103" s="1522"/>
      <c r="CR103" s="1522"/>
      <c r="CS103" s="1522"/>
      <c r="CT103" s="1522"/>
      <c r="CU103" s="1522"/>
      <c r="CV103" s="1522"/>
      <c r="CW103" s="1522"/>
      <c r="CX103" s="1522"/>
      <c r="CY103" s="1522"/>
      <c r="CZ103" s="1522"/>
      <c r="DA103" s="1522"/>
      <c r="DB103" s="1522"/>
      <c r="DC103" s="1522"/>
      <c r="DD103" s="1522"/>
      <c r="DE103" s="1522"/>
    </row>
    <row r="104" spans="1:109" s="1523" customFormat="1" ht="13.5" hidden="1" customHeight="1">
      <c r="A104" s="2574"/>
      <c r="B104" s="2578" t="s">
        <v>11</v>
      </c>
      <c r="C104" s="2579"/>
      <c r="D104" s="2579">
        <f>+D105+D106+D107</f>
        <v>0</v>
      </c>
      <c r="E104" s="2579">
        <f t="shared" ref="E104:L104" si="73">+E105+E106+E107</f>
        <v>0</v>
      </c>
      <c r="F104" s="2579">
        <f t="shared" si="73"/>
        <v>0</v>
      </c>
      <c r="G104" s="2579">
        <f t="shared" si="73"/>
        <v>0</v>
      </c>
      <c r="H104" s="2579">
        <f t="shared" si="73"/>
        <v>0</v>
      </c>
      <c r="I104" s="2579">
        <f t="shared" si="73"/>
        <v>0</v>
      </c>
      <c r="J104" s="2579">
        <f t="shared" si="73"/>
        <v>0</v>
      </c>
      <c r="K104" s="2579">
        <f t="shared" si="73"/>
        <v>0</v>
      </c>
      <c r="L104" s="2579">
        <f t="shared" si="73"/>
        <v>0</v>
      </c>
      <c r="M104" s="2580" t="e">
        <f>+M107+M106</f>
        <v>#REF!</v>
      </c>
      <c r="N104" s="2580" t="e">
        <f>+N107+N106</f>
        <v>#REF!</v>
      </c>
      <c r="O104" s="3889"/>
      <c r="P104" s="1522"/>
      <c r="Q104" s="1522"/>
      <c r="R104" s="1522"/>
      <c r="S104" s="1522"/>
      <c r="T104" s="1522"/>
      <c r="U104" s="1522"/>
      <c r="V104" s="1522"/>
      <c r="W104" s="1522"/>
      <c r="X104" s="1522"/>
      <c r="Y104" s="1522"/>
      <c r="Z104" s="1522"/>
      <c r="AA104" s="1522"/>
      <c r="AB104" s="1522"/>
      <c r="AC104" s="1522"/>
      <c r="AD104" s="1522"/>
      <c r="AE104" s="1522"/>
      <c r="AF104" s="1522"/>
      <c r="AG104" s="1522"/>
      <c r="AH104" s="1522"/>
      <c r="AI104" s="1522"/>
      <c r="AJ104" s="1522"/>
      <c r="AK104" s="1522"/>
      <c r="AL104" s="1522"/>
      <c r="AM104" s="1522"/>
      <c r="AN104" s="1522"/>
      <c r="AO104" s="1522"/>
      <c r="AP104" s="1522"/>
      <c r="AQ104" s="1522"/>
      <c r="AR104" s="1522"/>
      <c r="AS104" s="1522"/>
      <c r="AT104" s="1522"/>
      <c r="AU104" s="1522"/>
      <c r="AV104" s="1522"/>
      <c r="AW104" s="1522"/>
      <c r="AX104" s="1522"/>
      <c r="AY104" s="1522"/>
      <c r="AZ104" s="1522"/>
      <c r="BA104" s="1522"/>
      <c r="BB104" s="1522"/>
      <c r="BC104" s="1522"/>
      <c r="BD104" s="1522"/>
      <c r="BE104" s="1522"/>
      <c r="BF104" s="1522"/>
      <c r="BG104" s="1522"/>
      <c r="BH104" s="1522"/>
      <c r="BI104" s="1522"/>
      <c r="BJ104" s="1522"/>
      <c r="BK104" s="1522"/>
      <c r="BL104" s="1522"/>
      <c r="BM104" s="1522"/>
      <c r="BN104" s="1522"/>
      <c r="BO104" s="1522"/>
      <c r="BP104" s="1522"/>
      <c r="BQ104" s="1522"/>
      <c r="BR104" s="1522"/>
      <c r="BS104" s="1522"/>
      <c r="BT104" s="1522"/>
      <c r="BU104" s="1522"/>
      <c r="BV104" s="1522"/>
      <c r="BW104" s="1522"/>
      <c r="BX104" s="1522"/>
      <c r="BY104" s="1522"/>
      <c r="BZ104" s="1522"/>
      <c r="CA104" s="1522"/>
      <c r="CB104" s="1522"/>
      <c r="CC104" s="1522"/>
      <c r="CD104" s="1522"/>
      <c r="CE104" s="1522"/>
      <c r="CF104" s="1522"/>
      <c r="CG104" s="1522"/>
      <c r="CH104" s="1522"/>
      <c r="CI104" s="1522"/>
      <c r="CJ104" s="1522"/>
      <c r="CK104" s="1522"/>
      <c r="CL104" s="1522"/>
      <c r="CM104" s="1522"/>
      <c r="CN104" s="1522"/>
      <c r="CO104" s="1522"/>
      <c r="CP104" s="1522"/>
      <c r="CQ104" s="1522"/>
      <c r="CR104" s="1522"/>
      <c r="CS104" s="1522"/>
      <c r="CT104" s="1522"/>
      <c r="CU104" s="1522"/>
      <c r="CV104" s="1522"/>
      <c r="CW104" s="1522"/>
      <c r="CX104" s="1522"/>
      <c r="CY104" s="1522"/>
      <c r="CZ104" s="1522"/>
      <c r="DA104" s="1522"/>
      <c r="DB104" s="1522"/>
      <c r="DC104" s="1522"/>
      <c r="DD104" s="1522"/>
      <c r="DE104" s="1522"/>
    </row>
    <row r="105" spans="1:109" s="1523" customFormat="1" ht="13.5" hidden="1" customHeight="1">
      <c r="A105" s="2574"/>
      <c r="B105" s="2641" t="s">
        <v>127</v>
      </c>
      <c r="C105" s="2641"/>
      <c r="D105" s="2641">
        <f>+D127</f>
        <v>0</v>
      </c>
      <c r="E105" s="2641">
        <f t="shared" ref="E105:F105" si="74">+E127</f>
        <v>0</v>
      </c>
      <c r="F105" s="2641">
        <f t="shared" si="74"/>
        <v>0</v>
      </c>
      <c r="G105" s="2641">
        <v>0</v>
      </c>
      <c r="H105" s="2641">
        <v>0</v>
      </c>
      <c r="I105" s="2641">
        <v>0</v>
      </c>
      <c r="J105" s="2641">
        <v>0</v>
      </c>
      <c r="K105" s="2641">
        <v>0</v>
      </c>
      <c r="L105" s="2641">
        <v>0</v>
      </c>
      <c r="M105" s="2642" t="s">
        <v>53</v>
      </c>
      <c r="N105" s="2642" t="s">
        <v>53</v>
      </c>
      <c r="O105" s="3889"/>
      <c r="P105" s="1522"/>
      <c r="Q105" s="1522"/>
      <c r="R105" s="1522"/>
      <c r="S105" s="1522"/>
      <c r="T105" s="1522"/>
      <c r="U105" s="1522"/>
      <c r="V105" s="1522"/>
      <c r="W105" s="1522"/>
      <c r="X105" s="1522"/>
      <c r="Y105" s="1522"/>
      <c r="Z105" s="1522"/>
      <c r="AA105" s="1522"/>
      <c r="AB105" s="1522"/>
      <c r="AC105" s="1522"/>
      <c r="AD105" s="1522"/>
      <c r="AE105" s="1522"/>
      <c r="AF105" s="1522"/>
      <c r="AG105" s="1522"/>
      <c r="AH105" s="1522"/>
      <c r="AI105" s="1522"/>
      <c r="AJ105" s="1522"/>
      <c r="AK105" s="1522"/>
      <c r="AL105" s="1522"/>
      <c r="AM105" s="1522"/>
      <c r="AN105" s="1522"/>
      <c r="AO105" s="1522"/>
      <c r="AP105" s="1522"/>
      <c r="AQ105" s="1522"/>
      <c r="AR105" s="1522"/>
      <c r="AS105" s="1522"/>
      <c r="AT105" s="1522"/>
      <c r="AU105" s="1522"/>
      <c r="AV105" s="1522"/>
      <c r="AW105" s="1522"/>
      <c r="AX105" s="1522"/>
      <c r="AY105" s="1522"/>
      <c r="AZ105" s="1522"/>
      <c r="BA105" s="1522"/>
      <c r="BB105" s="1522"/>
      <c r="BC105" s="1522"/>
      <c r="BD105" s="1522"/>
      <c r="BE105" s="1522"/>
      <c r="BF105" s="1522"/>
      <c r="BG105" s="1522"/>
      <c r="BH105" s="1522"/>
      <c r="BI105" s="1522"/>
      <c r="BJ105" s="1522"/>
      <c r="BK105" s="1522"/>
      <c r="BL105" s="1522"/>
      <c r="BM105" s="1522"/>
      <c r="BN105" s="1522"/>
      <c r="BO105" s="1522"/>
      <c r="BP105" s="1522"/>
      <c r="BQ105" s="1522"/>
      <c r="BR105" s="1522"/>
      <c r="BS105" s="1522"/>
      <c r="BT105" s="1522"/>
      <c r="BU105" s="1522"/>
      <c r="BV105" s="1522"/>
      <c r="BW105" s="1522"/>
      <c r="BX105" s="1522"/>
      <c r="BY105" s="1522"/>
      <c r="BZ105" s="1522"/>
      <c r="CA105" s="1522"/>
      <c r="CB105" s="1522"/>
      <c r="CC105" s="1522"/>
      <c r="CD105" s="1522"/>
      <c r="CE105" s="1522"/>
      <c r="CF105" s="1522"/>
      <c r="CG105" s="1522"/>
      <c r="CH105" s="1522"/>
      <c r="CI105" s="1522"/>
      <c r="CJ105" s="1522"/>
      <c r="CK105" s="1522"/>
      <c r="CL105" s="1522"/>
      <c r="CM105" s="1522"/>
      <c r="CN105" s="1522"/>
      <c r="CO105" s="1522"/>
      <c r="CP105" s="1522"/>
      <c r="CQ105" s="1522"/>
      <c r="CR105" s="1522"/>
      <c r="CS105" s="1522"/>
      <c r="CT105" s="1522"/>
      <c r="CU105" s="1522"/>
      <c r="CV105" s="1522"/>
      <c r="CW105" s="1522"/>
      <c r="CX105" s="1522"/>
      <c r="CY105" s="1522"/>
      <c r="CZ105" s="1522"/>
      <c r="DA105" s="1522"/>
      <c r="DB105" s="1522"/>
      <c r="DC105" s="1522"/>
      <c r="DD105" s="1522"/>
      <c r="DE105" s="1522"/>
    </row>
    <row r="106" spans="1:109" s="1523" customFormat="1" ht="13.5" hidden="1" customHeight="1">
      <c r="A106" s="2536"/>
      <c r="B106" s="2559" t="s">
        <v>128</v>
      </c>
      <c r="C106" s="2560"/>
      <c r="D106" s="2560">
        <f>+D128+D140</f>
        <v>0</v>
      </c>
      <c r="E106" s="2560">
        <f t="shared" ref="E106:I106" si="75">+E128+E140</f>
        <v>0</v>
      </c>
      <c r="F106" s="2560">
        <f t="shared" si="75"/>
        <v>0</v>
      </c>
      <c r="G106" s="2560">
        <f t="shared" si="75"/>
        <v>0</v>
      </c>
      <c r="H106" s="2560">
        <f t="shared" si="75"/>
        <v>0</v>
      </c>
      <c r="I106" s="2560">
        <f t="shared" si="75"/>
        <v>0</v>
      </c>
      <c r="J106" s="2560">
        <v>0</v>
      </c>
      <c r="K106" s="2560">
        <v>0</v>
      </c>
      <c r="L106" s="2560">
        <v>0</v>
      </c>
      <c r="M106" s="2628" t="e">
        <f>+H106+G106+F106+E106+#REF!</f>
        <v>#REF!</v>
      </c>
      <c r="N106" s="2629" t="e">
        <f>+I106+H106+G106+F106+#REF!</f>
        <v>#REF!</v>
      </c>
      <c r="O106" s="3887"/>
      <c r="P106" s="1522"/>
      <c r="Q106" s="1522"/>
      <c r="R106" s="1522"/>
      <c r="S106" s="1522"/>
      <c r="T106" s="1522"/>
      <c r="U106" s="1522"/>
      <c r="V106" s="1522"/>
      <c r="W106" s="1522"/>
      <c r="X106" s="1522"/>
      <c r="Y106" s="1522"/>
      <c r="Z106" s="1522"/>
      <c r="AA106" s="1522"/>
      <c r="AB106" s="1522"/>
      <c r="AC106" s="1522"/>
      <c r="AD106" s="1522"/>
      <c r="AE106" s="1522"/>
      <c r="AF106" s="1522"/>
      <c r="AG106" s="1522"/>
      <c r="AH106" s="1522"/>
      <c r="AI106" s="1522"/>
      <c r="AJ106" s="1522"/>
      <c r="AK106" s="1522"/>
      <c r="AL106" s="1522"/>
      <c r="AM106" s="1522"/>
      <c r="AN106" s="1522"/>
      <c r="AO106" s="1522"/>
      <c r="AP106" s="1522"/>
      <c r="AQ106" s="1522"/>
      <c r="AR106" s="1522"/>
      <c r="AS106" s="1522"/>
      <c r="AT106" s="1522"/>
      <c r="AU106" s="1522"/>
      <c r="AV106" s="1522"/>
      <c r="AW106" s="1522"/>
      <c r="AX106" s="1522"/>
      <c r="AY106" s="1522"/>
      <c r="AZ106" s="1522"/>
      <c r="BA106" s="1522"/>
      <c r="BB106" s="1522"/>
      <c r="BC106" s="1522"/>
      <c r="BD106" s="1522"/>
      <c r="BE106" s="1522"/>
      <c r="BF106" s="1522"/>
      <c r="BG106" s="1522"/>
      <c r="BH106" s="1522"/>
      <c r="BI106" s="1522"/>
      <c r="BJ106" s="1522"/>
      <c r="BK106" s="1522"/>
      <c r="BL106" s="1522"/>
      <c r="BM106" s="1522"/>
      <c r="BN106" s="1522"/>
      <c r="BO106" s="1522"/>
      <c r="BP106" s="1522"/>
      <c r="BQ106" s="1522"/>
      <c r="BR106" s="1522"/>
      <c r="BS106" s="1522"/>
      <c r="BT106" s="1522"/>
      <c r="BU106" s="1522"/>
      <c r="BV106" s="1522"/>
      <c r="BW106" s="1522"/>
      <c r="BX106" s="1522"/>
      <c r="BY106" s="1522"/>
      <c r="BZ106" s="1522"/>
      <c r="CA106" s="1522"/>
      <c r="CB106" s="1522"/>
      <c r="CC106" s="1522"/>
      <c r="CD106" s="1522"/>
      <c r="CE106" s="1522"/>
      <c r="CF106" s="1522"/>
      <c r="CG106" s="1522"/>
      <c r="CH106" s="1522"/>
      <c r="CI106" s="1522"/>
      <c r="CJ106" s="1522"/>
      <c r="CK106" s="1522"/>
      <c r="CL106" s="1522"/>
      <c r="CM106" s="1522"/>
      <c r="CN106" s="1522"/>
      <c r="CO106" s="1522"/>
      <c r="CP106" s="1522"/>
      <c r="CQ106" s="1522"/>
      <c r="CR106" s="1522"/>
      <c r="CS106" s="1522"/>
      <c r="CT106" s="1522"/>
      <c r="CU106" s="1522"/>
      <c r="CV106" s="1522"/>
      <c r="CW106" s="1522"/>
      <c r="CX106" s="1522"/>
      <c r="CY106" s="1522"/>
      <c r="CZ106" s="1522"/>
      <c r="DA106" s="1522"/>
      <c r="DB106" s="1522"/>
      <c r="DC106" s="1522"/>
      <c r="DD106" s="1522"/>
      <c r="DE106" s="1522"/>
    </row>
    <row r="107" spans="1:109" s="1532" customFormat="1" ht="13.5" hidden="1" customHeight="1">
      <c r="A107" s="2486"/>
      <c r="B107" s="1528" t="s">
        <v>12</v>
      </c>
      <c r="C107" s="1529"/>
      <c r="D107" s="1529">
        <f>+D119+D123</f>
        <v>0</v>
      </c>
      <c r="E107" s="1529">
        <f t="shared" ref="E107:F107" si="76">+E119+E123</f>
        <v>0</v>
      </c>
      <c r="F107" s="1529">
        <f t="shared" si="76"/>
        <v>0</v>
      </c>
      <c r="G107" s="1529">
        <v>0</v>
      </c>
      <c r="H107" s="1529">
        <v>0</v>
      </c>
      <c r="I107" s="1529">
        <v>0</v>
      </c>
      <c r="J107" s="1529"/>
      <c r="K107" s="1529"/>
      <c r="L107" s="1529"/>
      <c r="M107" s="1530">
        <f>SUM(E107:F107)</f>
        <v>0</v>
      </c>
      <c r="N107" s="2512">
        <f>SUM(F107:G107)</f>
        <v>0</v>
      </c>
      <c r="O107" s="3890"/>
      <c r="P107" s="1531"/>
      <c r="Q107" s="1531"/>
      <c r="R107" s="1531"/>
      <c r="S107" s="1531"/>
      <c r="T107" s="1531"/>
      <c r="U107" s="1531"/>
      <c r="V107" s="1531"/>
      <c r="W107" s="1531"/>
      <c r="X107" s="1531"/>
      <c r="Y107" s="1531"/>
      <c r="Z107" s="1531"/>
      <c r="AA107" s="1531"/>
      <c r="AB107" s="1531"/>
      <c r="AC107" s="1531"/>
      <c r="AD107" s="1531"/>
      <c r="AE107" s="1531"/>
      <c r="AF107" s="1531"/>
      <c r="AG107" s="1531"/>
      <c r="AH107" s="1531"/>
      <c r="AI107" s="1531"/>
      <c r="AJ107" s="1531"/>
      <c r="AK107" s="1531"/>
      <c r="AL107" s="1531"/>
      <c r="AM107" s="1531"/>
      <c r="AN107" s="1531"/>
      <c r="AO107" s="1531"/>
      <c r="AP107" s="1531"/>
      <c r="AQ107" s="1531"/>
      <c r="AR107" s="1531"/>
      <c r="AS107" s="1531"/>
      <c r="AT107" s="1531"/>
      <c r="AU107" s="1531"/>
      <c r="AV107" s="1531"/>
      <c r="AW107" s="1531"/>
      <c r="AX107" s="1531"/>
      <c r="AY107" s="1531"/>
      <c r="AZ107" s="1531"/>
      <c r="BA107" s="1531"/>
      <c r="BB107" s="1531"/>
      <c r="BC107" s="1531"/>
      <c r="BD107" s="1531"/>
      <c r="BE107" s="1531"/>
      <c r="BF107" s="1531"/>
      <c r="BG107" s="1531"/>
      <c r="BH107" s="1531"/>
      <c r="BI107" s="1531"/>
      <c r="BJ107" s="1531"/>
      <c r="BK107" s="1531"/>
      <c r="BL107" s="1531"/>
      <c r="BM107" s="1531"/>
      <c r="BN107" s="1531"/>
      <c r="BO107" s="1531"/>
      <c r="BP107" s="1531"/>
      <c r="BQ107" s="1531"/>
      <c r="BR107" s="1531"/>
      <c r="BS107" s="1531"/>
      <c r="BT107" s="1531"/>
      <c r="BU107" s="1531"/>
      <c r="BV107" s="1531"/>
      <c r="BW107" s="1531"/>
      <c r="BX107" s="1531"/>
      <c r="BY107" s="1531"/>
      <c r="BZ107" s="1531"/>
      <c r="CA107" s="1531"/>
      <c r="CB107" s="1531"/>
      <c r="CC107" s="1531"/>
      <c r="CD107" s="1531"/>
      <c r="CE107" s="1531"/>
      <c r="CF107" s="1531"/>
      <c r="CG107" s="1531"/>
      <c r="CH107" s="1531"/>
      <c r="CI107" s="1531"/>
      <c r="CJ107" s="1531"/>
      <c r="CK107" s="1531"/>
      <c r="CL107" s="1531"/>
      <c r="CM107" s="1531"/>
      <c r="CN107" s="1531"/>
      <c r="CO107" s="1531"/>
      <c r="CP107" s="1531"/>
      <c r="CQ107" s="1531"/>
      <c r="CR107" s="1531"/>
      <c r="CS107" s="1531"/>
      <c r="CT107" s="1531"/>
      <c r="CU107" s="1531"/>
      <c r="CV107" s="1531"/>
      <c r="CW107" s="1531"/>
      <c r="CX107" s="1531"/>
      <c r="CY107" s="1531"/>
      <c r="CZ107" s="1531"/>
      <c r="DA107" s="1531"/>
      <c r="DB107" s="1531"/>
      <c r="DC107" s="1531"/>
      <c r="DD107" s="1531"/>
      <c r="DE107" s="1531"/>
    </row>
    <row r="108" spans="1:109" s="1523" customFormat="1" ht="13.5" hidden="1" customHeight="1">
      <c r="A108" s="2485"/>
      <c r="B108" s="1524" t="s">
        <v>18</v>
      </c>
      <c r="C108" s="1533"/>
      <c r="D108" s="1534">
        <f>D109</f>
        <v>0</v>
      </c>
      <c r="E108" s="1534">
        <f t="shared" ref="E108:L108" si="77">E109</f>
        <v>0</v>
      </c>
      <c r="F108" s="1534">
        <f t="shared" si="77"/>
        <v>0</v>
      </c>
      <c r="G108" s="1533">
        <f t="shared" si="77"/>
        <v>0</v>
      </c>
      <c r="H108" s="1533">
        <f t="shared" si="77"/>
        <v>0</v>
      </c>
      <c r="I108" s="1533">
        <f t="shared" si="77"/>
        <v>0</v>
      </c>
      <c r="J108" s="1533">
        <f t="shared" si="77"/>
        <v>0</v>
      </c>
      <c r="K108" s="1533">
        <f t="shared" si="77"/>
        <v>0</v>
      </c>
      <c r="L108" s="1533">
        <f t="shared" si="77"/>
        <v>0</v>
      </c>
      <c r="M108" s="1535" t="s">
        <v>53</v>
      </c>
      <c r="N108" s="2513" t="s">
        <v>53</v>
      </c>
      <c r="O108" s="2525"/>
      <c r="P108" s="1522"/>
      <c r="Q108" s="1522"/>
      <c r="R108" s="1522"/>
      <c r="S108" s="1522"/>
      <c r="T108" s="1522"/>
      <c r="U108" s="1522"/>
      <c r="V108" s="1522"/>
      <c r="W108" s="1522"/>
      <c r="X108" s="1522"/>
      <c r="Y108" s="1522"/>
      <c r="Z108" s="1522"/>
      <c r="AA108" s="1522"/>
      <c r="AB108" s="1522"/>
      <c r="AC108" s="1522"/>
      <c r="AD108" s="1522"/>
      <c r="AE108" s="1522"/>
      <c r="AF108" s="1522"/>
      <c r="AG108" s="1522"/>
      <c r="AH108" s="1522"/>
      <c r="AI108" s="1522"/>
      <c r="AJ108" s="1522"/>
      <c r="AK108" s="1522"/>
      <c r="AL108" s="1522"/>
      <c r="AM108" s="1522"/>
      <c r="AN108" s="1522"/>
      <c r="AO108" s="1522"/>
      <c r="AP108" s="1522"/>
      <c r="AQ108" s="1522"/>
      <c r="AR108" s="1522"/>
      <c r="AS108" s="1522"/>
      <c r="AT108" s="1522"/>
      <c r="AU108" s="1522"/>
      <c r="AV108" s="1522"/>
      <c r="AW108" s="1522"/>
      <c r="AX108" s="1522"/>
      <c r="AY108" s="1522"/>
      <c r="AZ108" s="1522"/>
      <c r="BA108" s="1522"/>
      <c r="BB108" s="1522"/>
      <c r="BC108" s="1522"/>
      <c r="BD108" s="1522"/>
      <c r="BE108" s="1522"/>
      <c r="BF108" s="1522"/>
      <c r="BG108" s="1522"/>
      <c r="BH108" s="1522"/>
      <c r="BI108" s="1522"/>
      <c r="BJ108" s="1522"/>
      <c r="BK108" s="1522"/>
      <c r="BL108" s="1522"/>
      <c r="BM108" s="1522"/>
      <c r="BN108" s="1522"/>
      <c r="BO108" s="1522"/>
      <c r="BP108" s="1522"/>
      <c r="BQ108" s="1522"/>
      <c r="BR108" s="1522"/>
      <c r="BS108" s="1522"/>
      <c r="BT108" s="1522"/>
      <c r="BU108" s="1522"/>
      <c r="BV108" s="1522"/>
      <c r="BW108" s="1522"/>
      <c r="BX108" s="1522"/>
      <c r="BY108" s="1522"/>
      <c r="BZ108" s="1522"/>
      <c r="CA108" s="1522"/>
      <c r="CB108" s="1522"/>
      <c r="CC108" s="1522"/>
      <c r="CD108" s="1522"/>
      <c r="CE108" s="1522"/>
      <c r="CF108" s="1522"/>
      <c r="CG108" s="1522"/>
      <c r="CH108" s="1522"/>
      <c r="CI108" s="1522"/>
      <c r="CJ108" s="1522"/>
      <c r="CK108" s="1522"/>
      <c r="CL108" s="1522"/>
      <c r="CM108" s="1522"/>
      <c r="CN108" s="1522"/>
      <c r="CO108" s="1522"/>
      <c r="CP108" s="1522"/>
      <c r="CQ108" s="1522"/>
      <c r="CR108" s="1522"/>
      <c r="CS108" s="1522"/>
      <c r="CT108" s="1522"/>
      <c r="CU108" s="1522"/>
      <c r="CV108" s="1522"/>
      <c r="CW108" s="1522"/>
      <c r="CX108" s="1522"/>
      <c r="CY108" s="1522"/>
      <c r="CZ108" s="1522"/>
      <c r="DA108" s="1522"/>
      <c r="DB108" s="1522"/>
      <c r="DC108" s="1522"/>
      <c r="DD108" s="1522"/>
      <c r="DE108" s="1522"/>
    </row>
    <row r="109" spans="1:109" s="1523" customFormat="1" ht="13.5" hidden="1" customHeight="1">
      <c r="A109" s="2485"/>
      <c r="B109" s="1525" t="s">
        <v>34</v>
      </c>
      <c r="C109" s="1526"/>
      <c r="D109" s="1537">
        <f>D130</f>
        <v>0</v>
      </c>
      <c r="E109" s="1537">
        <f>E130</f>
        <v>0</v>
      </c>
      <c r="F109" s="1537">
        <v>0</v>
      </c>
      <c r="G109" s="1526">
        <v>0</v>
      </c>
      <c r="H109" s="1526">
        <v>0</v>
      </c>
      <c r="I109" s="1526">
        <v>0</v>
      </c>
      <c r="J109" s="1526">
        <v>0</v>
      </c>
      <c r="K109" s="1526">
        <v>0</v>
      </c>
      <c r="L109" s="1526">
        <v>0</v>
      </c>
      <c r="M109" s="1538" t="s">
        <v>53</v>
      </c>
      <c r="N109" s="2514" t="s">
        <v>53</v>
      </c>
      <c r="O109" s="2525"/>
      <c r="P109" s="1522"/>
      <c r="Q109" s="1522"/>
      <c r="R109" s="1522"/>
      <c r="S109" s="1522"/>
      <c r="T109" s="1522"/>
      <c r="U109" s="1522"/>
      <c r="V109" s="1522"/>
      <c r="W109" s="1522"/>
      <c r="X109" s="1522"/>
      <c r="Y109" s="1522"/>
      <c r="Z109" s="1522"/>
      <c r="AA109" s="1522"/>
      <c r="AB109" s="1522"/>
      <c r="AC109" s="1522"/>
      <c r="AD109" s="1522"/>
      <c r="AE109" s="1522"/>
      <c r="AF109" s="1522"/>
      <c r="AG109" s="1522"/>
      <c r="AH109" s="1522"/>
      <c r="AI109" s="1522"/>
      <c r="AJ109" s="1522"/>
      <c r="AK109" s="1522"/>
      <c r="AL109" s="1522"/>
      <c r="AM109" s="1522"/>
      <c r="AN109" s="1522"/>
      <c r="AO109" s="1522"/>
      <c r="AP109" s="1522"/>
      <c r="AQ109" s="1522"/>
      <c r="AR109" s="1522"/>
      <c r="AS109" s="1522"/>
      <c r="AT109" s="1522"/>
      <c r="AU109" s="1522"/>
      <c r="AV109" s="1522"/>
      <c r="AW109" s="1522"/>
      <c r="AX109" s="1522"/>
      <c r="AY109" s="1522"/>
      <c r="AZ109" s="1522"/>
      <c r="BA109" s="1522"/>
      <c r="BB109" s="1522"/>
      <c r="BC109" s="1522"/>
      <c r="BD109" s="1522"/>
      <c r="BE109" s="1522"/>
      <c r="BF109" s="1522"/>
      <c r="BG109" s="1522"/>
      <c r="BH109" s="1522"/>
      <c r="BI109" s="1522"/>
      <c r="BJ109" s="1522"/>
      <c r="BK109" s="1522"/>
      <c r="BL109" s="1522"/>
      <c r="BM109" s="1522"/>
      <c r="BN109" s="1522"/>
      <c r="BO109" s="1522"/>
      <c r="BP109" s="1522"/>
      <c r="BQ109" s="1522"/>
      <c r="BR109" s="1522"/>
      <c r="BS109" s="1522"/>
      <c r="BT109" s="1522"/>
      <c r="BU109" s="1522"/>
      <c r="BV109" s="1522"/>
      <c r="BW109" s="1522"/>
      <c r="BX109" s="1522"/>
      <c r="BY109" s="1522"/>
      <c r="BZ109" s="1522"/>
      <c r="CA109" s="1522"/>
      <c r="CB109" s="1522"/>
      <c r="CC109" s="1522"/>
      <c r="CD109" s="1522"/>
      <c r="CE109" s="1522"/>
      <c r="CF109" s="1522"/>
      <c r="CG109" s="1522"/>
      <c r="CH109" s="1522"/>
      <c r="CI109" s="1522"/>
      <c r="CJ109" s="1522"/>
      <c r="CK109" s="1522"/>
      <c r="CL109" s="1522"/>
      <c r="CM109" s="1522"/>
      <c r="CN109" s="1522"/>
      <c r="CO109" s="1522"/>
      <c r="CP109" s="1522"/>
      <c r="CQ109" s="1522"/>
      <c r="CR109" s="1522"/>
      <c r="CS109" s="1522"/>
      <c r="CT109" s="1522"/>
      <c r="CU109" s="1522"/>
      <c r="CV109" s="1522"/>
      <c r="CW109" s="1522"/>
      <c r="CX109" s="1522"/>
      <c r="CY109" s="1522"/>
      <c r="CZ109" s="1522"/>
      <c r="DA109" s="1522"/>
      <c r="DB109" s="1522"/>
      <c r="DC109" s="1522"/>
      <c r="DD109" s="1522"/>
      <c r="DE109" s="1522"/>
    </row>
    <row r="110" spans="1:109" s="1523" customFormat="1" ht="13.5" hidden="1" customHeight="1">
      <c r="A110" s="2485"/>
      <c r="B110" s="1539" t="s">
        <v>21</v>
      </c>
      <c r="C110" s="1540"/>
      <c r="D110" s="1541">
        <f>D111+D114</f>
        <v>0</v>
      </c>
      <c r="E110" s="1541">
        <f t="shared" ref="E110:L110" si="78">E111+E114</f>
        <v>0</v>
      </c>
      <c r="F110" s="1541">
        <f t="shared" si="78"/>
        <v>0</v>
      </c>
      <c r="G110" s="1541">
        <f t="shared" si="78"/>
        <v>0</v>
      </c>
      <c r="H110" s="1541">
        <f t="shared" si="78"/>
        <v>0</v>
      </c>
      <c r="I110" s="1541">
        <f t="shared" si="78"/>
        <v>0</v>
      </c>
      <c r="J110" s="1541">
        <f t="shared" si="78"/>
        <v>0</v>
      </c>
      <c r="K110" s="1541">
        <f t="shared" si="78"/>
        <v>0</v>
      </c>
      <c r="L110" s="1541">
        <f t="shared" si="78"/>
        <v>0</v>
      </c>
      <c r="M110" s="1542"/>
      <c r="N110" s="2515"/>
      <c r="O110" s="2525"/>
      <c r="P110" s="1522"/>
      <c r="Q110" s="1522"/>
      <c r="R110" s="1522"/>
      <c r="S110" s="1522"/>
      <c r="T110" s="1522"/>
      <c r="U110" s="1522"/>
      <c r="V110" s="1522"/>
      <c r="W110" s="1522"/>
      <c r="X110" s="1522"/>
      <c r="Y110" s="1522"/>
      <c r="Z110" s="1522"/>
      <c r="AA110" s="1522"/>
      <c r="AB110" s="1522"/>
      <c r="AC110" s="1522"/>
      <c r="AD110" s="1522"/>
      <c r="AE110" s="1522"/>
      <c r="AF110" s="1522"/>
      <c r="AG110" s="1522"/>
      <c r="AH110" s="1522"/>
      <c r="AI110" s="1522"/>
      <c r="AJ110" s="1522"/>
      <c r="AK110" s="1522"/>
      <c r="AL110" s="1522"/>
      <c r="AM110" s="1522"/>
      <c r="AN110" s="1522"/>
      <c r="AO110" s="1522"/>
      <c r="AP110" s="1522"/>
      <c r="AQ110" s="1522"/>
      <c r="AR110" s="1522"/>
      <c r="AS110" s="1522"/>
      <c r="AT110" s="1522"/>
      <c r="AU110" s="1522"/>
      <c r="AV110" s="1522"/>
      <c r="AW110" s="1522"/>
      <c r="AX110" s="1522"/>
      <c r="AY110" s="1522"/>
      <c r="AZ110" s="1522"/>
      <c r="BA110" s="1522"/>
      <c r="BB110" s="1522"/>
      <c r="BC110" s="1522"/>
      <c r="BD110" s="1522"/>
      <c r="BE110" s="1522"/>
      <c r="BF110" s="1522"/>
      <c r="BG110" s="1522"/>
      <c r="BH110" s="1522"/>
      <c r="BI110" s="1522"/>
      <c r="BJ110" s="1522"/>
      <c r="BK110" s="1522"/>
      <c r="BL110" s="1522"/>
      <c r="BM110" s="1522"/>
      <c r="BN110" s="1522"/>
      <c r="BO110" s="1522"/>
      <c r="BP110" s="1522"/>
      <c r="BQ110" s="1522"/>
      <c r="BR110" s="1522"/>
      <c r="BS110" s="1522"/>
      <c r="BT110" s="1522"/>
      <c r="BU110" s="1522"/>
      <c r="BV110" s="1522"/>
      <c r="BW110" s="1522"/>
      <c r="BX110" s="1522"/>
      <c r="BY110" s="1522"/>
      <c r="BZ110" s="1522"/>
      <c r="CA110" s="1522"/>
      <c r="CB110" s="1522"/>
      <c r="CC110" s="1522"/>
      <c r="CD110" s="1522"/>
      <c r="CE110" s="1522"/>
      <c r="CF110" s="1522"/>
      <c r="CG110" s="1522"/>
      <c r="CH110" s="1522"/>
      <c r="CI110" s="1522"/>
      <c r="CJ110" s="1522"/>
      <c r="CK110" s="1522"/>
      <c r="CL110" s="1522"/>
      <c r="CM110" s="1522"/>
      <c r="CN110" s="1522"/>
      <c r="CO110" s="1522"/>
      <c r="CP110" s="1522"/>
      <c r="CQ110" s="1522"/>
      <c r="CR110" s="1522"/>
      <c r="CS110" s="1522"/>
      <c r="CT110" s="1522"/>
      <c r="CU110" s="1522"/>
      <c r="CV110" s="1522"/>
      <c r="CW110" s="1522"/>
      <c r="CX110" s="1522"/>
      <c r="CY110" s="1522"/>
      <c r="CZ110" s="1522"/>
      <c r="DA110" s="1522"/>
      <c r="DB110" s="1522"/>
      <c r="DC110" s="1522"/>
      <c r="DD110" s="1522"/>
      <c r="DE110" s="1522"/>
    </row>
    <row r="111" spans="1:109" s="1523" customFormat="1" ht="13.5" hidden="1" customHeight="1">
      <c r="A111" s="2485"/>
      <c r="B111" s="1543" t="s">
        <v>23</v>
      </c>
      <c r="C111" s="1544"/>
      <c r="D111" s="1545">
        <f>+D112+D113</f>
        <v>0</v>
      </c>
      <c r="E111" s="1545">
        <f t="shared" ref="E111:I111" si="79">+E112+E113</f>
        <v>0</v>
      </c>
      <c r="F111" s="1529">
        <f t="shared" si="79"/>
        <v>0</v>
      </c>
      <c r="G111" s="1529">
        <f t="shared" si="79"/>
        <v>0</v>
      </c>
      <c r="H111" s="1529">
        <f t="shared" si="79"/>
        <v>0</v>
      </c>
      <c r="I111" s="1529">
        <f t="shared" si="79"/>
        <v>0</v>
      </c>
      <c r="J111" s="1529">
        <v>0</v>
      </c>
      <c r="K111" s="1529">
        <v>0</v>
      </c>
      <c r="L111" s="1529">
        <v>0</v>
      </c>
      <c r="M111" s="3898" t="s">
        <v>53</v>
      </c>
      <c r="N111" s="3904" t="s">
        <v>53</v>
      </c>
      <c r="O111" s="2525"/>
      <c r="P111" s="1522"/>
      <c r="Q111" s="1522"/>
      <c r="R111" s="1522"/>
      <c r="S111" s="1522"/>
      <c r="T111" s="1522"/>
      <c r="U111" s="1522"/>
      <c r="V111" s="1522"/>
      <c r="W111" s="1522"/>
      <c r="X111" s="1522"/>
      <c r="Y111" s="1522"/>
      <c r="Z111" s="1522"/>
      <c r="AA111" s="1522"/>
      <c r="AB111" s="1522"/>
      <c r="AC111" s="1522"/>
      <c r="AD111" s="1522"/>
      <c r="AE111" s="1522"/>
      <c r="AF111" s="1522"/>
      <c r="AG111" s="1522"/>
      <c r="AH111" s="1522"/>
      <c r="AI111" s="1522"/>
      <c r="AJ111" s="1522"/>
      <c r="AK111" s="1522"/>
      <c r="AL111" s="1522"/>
      <c r="AM111" s="1522"/>
      <c r="AN111" s="1522"/>
      <c r="AO111" s="1522"/>
      <c r="AP111" s="1522"/>
      <c r="AQ111" s="1522"/>
      <c r="AR111" s="1522"/>
      <c r="AS111" s="1522"/>
      <c r="AT111" s="1522"/>
      <c r="AU111" s="1522"/>
      <c r="AV111" s="1522"/>
      <c r="AW111" s="1522"/>
      <c r="AX111" s="1522"/>
      <c r="AY111" s="1522"/>
      <c r="AZ111" s="1522"/>
      <c r="BA111" s="1522"/>
      <c r="BB111" s="1522"/>
      <c r="BC111" s="1522"/>
      <c r="BD111" s="1522"/>
      <c r="BE111" s="1522"/>
      <c r="BF111" s="1522"/>
      <c r="BG111" s="1522"/>
      <c r="BH111" s="1522"/>
      <c r="BI111" s="1522"/>
      <c r="BJ111" s="1522"/>
      <c r="BK111" s="1522"/>
      <c r="BL111" s="1522"/>
      <c r="BM111" s="1522"/>
      <c r="BN111" s="1522"/>
      <c r="BO111" s="1522"/>
      <c r="BP111" s="1522"/>
      <c r="BQ111" s="1522"/>
      <c r="BR111" s="1522"/>
      <c r="BS111" s="1522"/>
      <c r="BT111" s="1522"/>
      <c r="BU111" s="1522"/>
      <c r="BV111" s="1522"/>
      <c r="BW111" s="1522"/>
      <c r="BX111" s="1522"/>
      <c r="BY111" s="1522"/>
      <c r="BZ111" s="1522"/>
      <c r="CA111" s="1522"/>
      <c r="CB111" s="1522"/>
      <c r="CC111" s="1522"/>
      <c r="CD111" s="1522"/>
      <c r="CE111" s="1522"/>
      <c r="CF111" s="1522"/>
      <c r="CG111" s="1522"/>
      <c r="CH111" s="1522"/>
      <c r="CI111" s="1522"/>
      <c r="CJ111" s="1522"/>
      <c r="CK111" s="1522"/>
      <c r="CL111" s="1522"/>
      <c r="CM111" s="1522"/>
      <c r="CN111" s="1522"/>
      <c r="CO111" s="1522"/>
      <c r="CP111" s="1522"/>
      <c r="CQ111" s="1522"/>
      <c r="CR111" s="1522"/>
      <c r="CS111" s="1522"/>
      <c r="CT111" s="1522"/>
      <c r="CU111" s="1522"/>
      <c r="CV111" s="1522"/>
      <c r="CW111" s="1522"/>
      <c r="CX111" s="1522"/>
      <c r="CY111" s="1522"/>
      <c r="CZ111" s="1522"/>
      <c r="DA111" s="1522"/>
      <c r="DB111" s="1522"/>
      <c r="DC111" s="1522"/>
      <c r="DD111" s="1522"/>
      <c r="DE111" s="1522"/>
    </row>
    <row r="112" spans="1:109" s="1523" customFormat="1" ht="13.5" hidden="1" customHeight="1">
      <c r="A112" s="2485"/>
      <c r="B112" s="1528" t="s">
        <v>127</v>
      </c>
      <c r="C112" s="1529"/>
      <c r="D112" s="1529">
        <f>+D133</f>
        <v>0</v>
      </c>
      <c r="E112" s="1529">
        <f t="shared" ref="E112:F113" si="80">+E133</f>
        <v>0</v>
      </c>
      <c r="F112" s="1529">
        <f t="shared" si="80"/>
        <v>0</v>
      </c>
      <c r="G112" s="1529">
        <v>0</v>
      </c>
      <c r="H112" s="1529">
        <v>0</v>
      </c>
      <c r="I112" s="1529">
        <v>0</v>
      </c>
      <c r="J112" s="1529">
        <v>0</v>
      </c>
      <c r="K112" s="1529">
        <v>0</v>
      </c>
      <c r="L112" s="1529">
        <v>0</v>
      </c>
      <c r="M112" s="3899"/>
      <c r="N112" s="3905"/>
      <c r="O112" s="2525"/>
      <c r="P112" s="1522"/>
      <c r="Q112" s="1522"/>
      <c r="R112" s="1522"/>
      <c r="S112" s="1522"/>
      <c r="T112" s="1522"/>
      <c r="U112" s="1522"/>
      <c r="V112" s="1522"/>
      <c r="W112" s="1522"/>
      <c r="X112" s="1522"/>
      <c r="Y112" s="1522"/>
      <c r="Z112" s="1522"/>
      <c r="AA112" s="1522"/>
      <c r="AB112" s="1522"/>
      <c r="AC112" s="1522"/>
      <c r="AD112" s="1522"/>
      <c r="AE112" s="1522"/>
      <c r="AF112" s="1522"/>
      <c r="AG112" s="1522"/>
      <c r="AH112" s="1522"/>
      <c r="AI112" s="1522"/>
      <c r="AJ112" s="1522"/>
      <c r="AK112" s="1522"/>
      <c r="AL112" s="1522"/>
      <c r="AM112" s="1522"/>
      <c r="AN112" s="1522"/>
      <c r="AO112" s="1522"/>
      <c r="AP112" s="1522"/>
      <c r="AQ112" s="1522"/>
      <c r="AR112" s="1522"/>
      <c r="AS112" s="1522"/>
      <c r="AT112" s="1522"/>
      <c r="AU112" s="1522"/>
      <c r="AV112" s="1522"/>
      <c r="AW112" s="1522"/>
      <c r="AX112" s="1522"/>
      <c r="AY112" s="1522"/>
      <c r="AZ112" s="1522"/>
      <c r="BA112" s="1522"/>
      <c r="BB112" s="1522"/>
      <c r="BC112" s="1522"/>
      <c r="BD112" s="1522"/>
      <c r="BE112" s="1522"/>
      <c r="BF112" s="1522"/>
      <c r="BG112" s="1522"/>
      <c r="BH112" s="1522"/>
      <c r="BI112" s="1522"/>
      <c r="BJ112" s="1522"/>
      <c r="BK112" s="1522"/>
      <c r="BL112" s="1522"/>
      <c r="BM112" s="1522"/>
      <c r="BN112" s="1522"/>
      <c r="BO112" s="1522"/>
      <c r="BP112" s="1522"/>
      <c r="BQ112" s="1522"/>
      <c r="BR112" s="1522"/>
      <c r="BS112" s="1522"/>
      <c r="BT112" s="1522"/>
      <c r="BU112" s="1522"/>
      <c r="BV112" s="1522"/>
      <c r="BW112" s="1522"/>
      <c r="BX112" s="1522"/>
      <c r="BY112" s="1522"/>
      <c r="BZ112" s="1522"/>
      <c r="CA112" s="1522"/>
      <c r="CB112" s="1522"/>
      <c r="CC112" s="1522"/>
      <c r="CD112" s="1522"/>
      <c r="CE112" s="1522"/>
      <c r="CF112" s="1522"/>
      <c r="CG112" s="1522"/>
      <c r="CH112" s="1522"/>
      <c r="CI112" s="1522"/>
      <c r="CJ112" s="1522"/>
      <c r="CK112" s="1522"/>
      <c r="CL112" s="1522"/>
      <c r="CM112" s="1522"/>
      <c r="CN112" s="1522"/>
      <c r="CO112" s="1522"/>
      <c r="CP112" s="1522"/>
      <c r="CQ112" s="1522"/>
      <c r="CR112" s="1522"/>
      <c r="CS112" s="1522"/>
      <c r="CT112" s="1522"/>
      <c r="CU112" s="1522"/>
      <c r="CV112" s="1522"/>
      <c r="CW112" s="1522"/>
      <c r="CX112" s="1522"/>
      <c r="CY112" s="1522"/>
      <c r="CZ112" s="1522"/>
      <c r="DA112" s="1522"/>
      <c r="DB112" s="1522"/>
      <c r="DC112" s="1522"/>
      <c r="DD112" s="1522"/>
      <c r="DE112" s="1522"/>
    </row>
    <row r="113" spans="1:109" s="1523" customFormat="1" ht="13.5" hidden="1" customHeight="1">
      <c r="A113" s="2485"/>
      <c r="B113" s="1528" t="s">
        <v>129</v>
      </c>
      <c r="C113" s="1529"/>
      <c r="D113" s="1529">
        <f>+D134</f>
        <v>0</v>
      </c>
      <c r="E113" s="1529">
        <f t="shared" si="80"/>
        <v>0</v>
      </c>
      <c r="F113" s="1529">
        <f t="shared" si="80"/>
        <v>0</v>
      </c>
      <c r="G113" s="1529">
        <v>0</v>
      </c>
      <c r="H113" s="1529">
        <v>0</v>
      </c>
      <c r="I113" s="1529">
        <v>0</v>
      </c>
      <c r="J113" s="1529"/>
      <c r="K113" s="1529"/>
      <c r="L113" s="1529"/>
      <c r="M113" s="3899"/>
      <c r="N113" s="3905"/>
      <c r="O113" s="2525"/>
      <c r="P113" s="1522"/>
      <c r="Q113" s="1522"/>
      <c r="R113" s="1522"/>
      <c r="S113" s="1522"/>
      <c r="T113" s="1522"/>
      <c r="U113" s="1522"/>
      <c r="V113" s="1522"/>
      <c r="W113" s="1522"/>
      <c r="X113" s="1522"/>
      <c r="Y113" s="1522"/>
      <c r="Z113" s="1522"/>
      <c r="AA113" s="1522"/>
      <c r="AB113" s="1522"/>
      <c r="AC113" s="1522"/>
      <c r="AD113" s="1522"/>
      <c r="AE113" s="1522"/>
      <c r="AF113" s="1522"/>
      <c r="AG113" s="1522"/>
      <c r="AH113" s="1522"/>
      <c r="AI113" s="1522"/>
      <c r="AJ113" s="1522"/>
      <c r="AK113" s="1522"/>
      <c r="AL113" s="1522"/>
      <c r="AM113" s="1522"/>
      <c r="AN113" s="1522"/>
      <c r="AO113" s="1522"/>
      <c r="AP113" s="1522"/>
      <c r="AQ113" s="1522"/>
      <c r="AR113" s="1522"/>
      <c r="AS113" s="1522"/>
      <c r="AT113" s="1522"/>
      <c r="AU113" s="1522"/>
      <c r="AV113" s="1522"/>
      <c r="AW113" s="1522"/>
      <c r="AX113" s="1522"/>
      <c r="AY113" s="1522"/>
      <c r="AZ113" s="1522"/>
      <c r="BA113" s="1522"/>
      <c r="BB113" s="1522"/>
      <c r="BC113" s="1522"/>
      <c r="BD113" s="1522"/>
      <c r="BE113" s="1522"/>
      <c r="BF113" s="1522"/>
      <c r="BG113" s="1522"/>
      <c r="BH113" s="1522"/>
      <c r="BI113" s="1522"/>
      <c r="BJ113" s="1522"/>
      <c r="BK113" s="1522"/>
      <c r="BL113" s="1522"/>
      <c r="BM113" s="1522"/>
      <c r="BN113" s="1522"/>
      <c r="BO113" s="1522"/>
      <c r="BP113" s="1522"/>
      <c r="BQ113" s="1522"/>
      <c r="BR113" s="1522"/>
      <c r="BS113" s="1522"/>
      <c r="BT113" s="1522"/>
      <c r="BU113" s="1522"/>
      <c r="BV113" s="1522"/>
      <c r="BW113" s="1522"/>
      <c r="BX113" s="1522"/>
      <c r="BY113" s="1522"/>
      <c r="BZ113" s="1522"/>
      <c r="CA113" s="1522"/>
      <c r="CB113" s="1522"/>
      <c r="CC113" s="1522"/>
      <c r="CD113" s="1522"/>
      <c r="CE113" s="1522"/>
      <c r="CF113" s="1522"/>
      <c r="CG113" s="1522"/>
      <c r="CH113" s="1522"/>
      <c r="CI113" s="1522"/>
      <c r="CJ113" s="1522"/>
      <c r="CK113" s="1522"/>
      <c r="CL113" s="1522"/>
      <c r="CM113" s="1522"/>
      <c r="CN113" s="1522"/>
      <c r="CO113" s="1522"/>
      <c r="CP113" s="1522"/>
      <c r="CQ113" s="1522"/>
      <c r="CR113" s="1522"/>
      <c r="CS113" s="1522"/>
      <c r="CT113" s="1522"/>
      <c r="CU113" s="1522"/>
      <c r="CV113" s="1522"/>
      <c r="CW113" s="1522"/>
      <c r="CX113" s="1522"/>
      <c r="CY113" s="1522"/>
      <c r="CZ113" s="1522"/>
      <c r="DA113" s="1522"/>
      <c r="DB113" s="1522"/>
      <c r="DC113" s="1522"/>
      <c r="DD113" s="1522"/>
      <c r="DE113" s="1522"/>
    </row>
    <row r="114" spans="1:109" s="1548" customFormat="1" ht="13.5" hidden="1" customHeight="1">
      <c r="A114" s="2487"/>
      <c r="B114" s="1543" t="s">
        <v>18</v>
      </c>
      <c r="C114" s="1546"/>
      <c r="D114" s="1546">
        <f>+D115</f>
        <v>0</v>
      </c>
      <c r="E114" s="1546">
        <f t="shared" ref="E114:L114" si="81">+E115</f>
        <v>0</v>
      </c>
      <c r="F114" s="1546">
        <f t="shared" si="81"/>
        <v>0</v>
      </c>
      <c r="G114" s="1546">
        <f t="shared" si="81"/>
        <v>0</v>
      </c>
      <c r="H114" s="1546">
        <f t="shared" si="81"/>
        <v>0</v>
      </c>
      <c r="I114" s="1546">
        <f t="shared" si="81"/>
        <v>0</v>
      </c>
      <c r="J114" s="1546">
        <f t="shared" si="81"/>
        <v>0</v>
      </c>
      <c r="K114" s="1546">
        <f t="shared" si="81"/>
        <v>0</v>
      </c>
      <c r="L114" s="1546">
        <f t="shared" si="81"/>
        <v>0</v>
      </c>
      <c r="M114" s="3899"/>
      <c r="N114" s="3905"/>
      <c r="O114" s="2526"/>
      <c r="P114" s="1547"/>
      <c r="Q114" s="1547"/>
      <c r="R114" s="1547"/>
      <c r="S114" s="1547"/>
      <c r="T114" s="1547"/>
      <c r="U114" s="1547"/>
      <c r="V114" s="1547"/>
      <c r="W114" s="1547"/>
      <c r="X114" s="1547"/>
      <c r="Y114" s="1547"/>
      <c r="Z114" s="1547"/>
      <c r="AA114" s="1547"/>
      <c r="AB114" s="1547"/>
      <c r="AC114" s="1547"/>
      <c r="AD114" s="1547"/>
      <c r="AE114" s="1547"/>
      <c r="AF114" s="1547"/>
      <c r="AG114" s="1547"/>
      <c r="AH114" s="1547"/>
      <c r="AI114" s="1547"/>
      <c r="AJ114" s="1547"/>
      <c r="AK114" s="1547"/>
      <c r="AL114" s="1547"/>
      <c r="AM114" s="1547"/>
      <c r="AN114" s="1547"/>
      <c r="AO114" s="1547"/>
      <c r="AP114" s="1547"/>
      <c r="AQ114" s="1547"/>
      <c r="AR114" s="1547"/>
      <c r="AS114" s="1547"/>
      <c r="AT114" s="1547"/>
      <c r="AU114" s="1547"/>
      <c r="AV114" s="1547"/>
      <c r="AW114" s="1547"/>
      <c r="AX114" s="1547"/>
      <c r="AY114" s="1547"/>
      <c r="AZ114" s="1547"/>
      <c r="BA114" s="1547"/>
      <c r="BB114" s="1547"/>
      <c r="BC114" s="1547"/>
      <c r="BD114" s="1547"/>
      <c r="BE114" s="1547"/>
      <c r="BF114" s="1547"/>
      <c r="BG114" s="1547"/>
      <c r="BH114" s="1547"/>
      <c r="BI114" s="1547"/>
      <c r="BJ114" s="1547"/>
      <c r="BK114" s="1547"/>
      <c r="BL114" s="1547"/>
      <c r="BM114" s="1547"/>
      <c r="BN114" s="1547"/>
      <c r="BO114" s="1547"/>
      <c r="BP114" s="1547"/>
      <c r="BQ114" s="1547"/>
      <c r="BR114" s="1547"/>
      <c r="BS114" s="1547"/>
      <c r="BT114" s="1547"/>
      <c r="BU114" s="1547"/>
      <c r="BV114" s="1547"/>
      <c r="BW114" s="1547"/>
      <c r="BX114" s="1547"/>
      <c r="BY114" s="1547"/>
      <c r="BZ114" s="1547"/>
      <c r="CA114" s="1547"/>
      <c r="CB114" s="1547"/>
      <c r="CC114" s="1547"/>
      <c r="CD114" s="1547"/>
      <c r="CE114" s="1547"/>
      <c r="CF114" s="1547"/>
      <c r="CG114" s="1547"/>
      <c r="CH114" s="1547"/>
      <c r="CI114" s="1547"/>
      <c r="CJ114" s="1547"/>
      <c r="CK114" s="1547"/>
      <c r="CL114" s="1547"/>
      <c r="CM114" s="1547"/>
      <c r="CN114" s="1547"/>
      <c r="CO114" s="1547"/>
      <c r="CP114" s="1547"/>
      <c r="CQ114" s="1547"/>
      <c r="CR114" s="1547"/>
      <c r="CS114" s="1547"/>
      <c r="CT114" s="1547"/>
      <c r="CU114" s="1547"/>
      <c r="CV114" s="1547"/>
      <c r="CW114" s="1547"/>
      <c r="CX114" s="1547"/>
      <c r="CY114" s="1547"/>
      <c r="CZ114" s="1547"/>
      <c r="DA114" s="1547"/>
      <c r="DB114" s="1547"/>
      <c r="DC114" s="1547"/>
      <c r="DD114" s="1547"/>
      <c r="DE114" s="1547"/>
    </row>
    <row r="115" spans="1:109" s="1523" customFormat="1" ht="13.5" hidden="1" customHeight="1" thickBot="1">
      <c r="A115" s="1485"/>
      <c r="B115" s="1528" t="s">
        <v>34</v>
      </c>
      <c r="C115" s="1529"/>
      <c r="D115" s="1529">
        <f>+D136</f>
        <v>0</v>
      </c>
      <c r="E115" s="1529">
        <f t="shared" ref="E115:F115" si="82">+E136</f>
        <v>0</v>
      </c>
      <c r="F115" s="1529">
        <f t="shared" si="82"/>
        <v>0</v>
      </c>
      <c r="G115" s="1529">
        <v>0</v>
      </c>
      <c r="H115" s="1529">
        <v>0</v>
      </c>
      <c r="I115" s="1529">
        <v>0</v>
      </c>
      <c r="J115" s="1529">
        <v>0</v>
      </c>
      <c r="K115" s="1529">
        <v>0</v>
      </c>
      <c r="L115" s="1529">
        <v>0</v>
      </c>
      <c r="M115" s="3900"/>
      <c r="N115" s="3900"/>
      <c r="O115" s="1536"/>
      <c r="P115" s="1522"/>
      <c r="Q115" s="1522"/>
      <c r="R115" s="1522"/>
      <c r="S115" s="1522"/>
      <c r="T115" s="1522"/>
      <c r="U115" s="1522"/>
      <c r="V115" s="1522"/>
      <c r="W115" s="1522"/>
      <c r="X115" s="1522"/>
      <c r="Y115" s="1522"/>
      <c r="Z115" s="1522"/>
      <c r="AA115" s="1522"/>
      <c r="AB115" s="1522"/>
      <c r="AC115" s="1522"/>
      <c r="AD115" s="1522"/>
      <c r="AE115" s="1522"/>
      <c r="AF115" s="1522"/>
      <c r="AG115" s="1522"/>
      <c r="AH115" s="1522"/>
      <c r="AI115" s="1522"/>
      <c r="AJ115" s="1522"/>
      <c r="AK115" s="1522"/>
      <c r="AL115" s="1522"/>
      <c r="AM115" s="1522"/>
      <c r="AN115" s="1522"/>
      <c r="AO115" s="1522"/>
      <c r="AP115" s="1522"/>
      <c r="AQ115" s="1522"/>
      <c r="AR115" s="1522"/>
      <c r="AS115" s="1522"/>
      <c r="AT115" s="1522"/>
      <c r="AU115" s="1522"/>
      <c r="AV115" s="1522"/>
      <c r="AW115" s="1522"/>
      <c r="AX115" s="1522"/>
      <c r="AY115" s="1522"/>
      <c r="AZ115" s="1522"/>
      <c r="BA115" s="1522"/>
      <c r="BB115" s="1522"/>
      <c r="BC115" s="1522"/>
      <c r="BD115" s="1522"/>
      <c r="BE115" s="1522"/>
      <c r="BF115" s="1522"/>
      <c r="BG115" s="1522"/>
      <c r="BH115" s="1522"/>
      <c r="BI115" s="1522"/>
      <c r="BJ115" s="1522"/>
      <c r="BK115" s="1522"/>
      <c r="BL115" s="1522"/>
      <c r="BM115" s="1522"/>
      <c r="BN115" s="1522"/>
      <c r="BO115" s="1522"/>
      <c r="BP115" s="1522"/>
      <c r="BQ115" s="1522"/>
      <c r="BR115" s="1522"/>
      <c r="BS115" s="1522"/>
      <c r="BT115" s="1522"/>
      <c r="BU115" s="1522"/>
      <c r="BV115" s="1522"/>
      <c r="BW115" s="1522"/>
      <c r="BX115" s="1522"/>
      <c r="BY115" s="1522"/>
      <c r="BZ115" s="1522"/>
      <c r="CA115" s="1522"/>
      <c r="CB115" s="1522"/>
      <c r="CC115" s="1522"/>
      <c r="CD115" s="1522"/>
      <c r="CE115" s="1522"/>
      <c r="CF115" s="1522"/>
      <c r="CG115" s="1522"/>
      <c r="CH115" s="1522"/>
      <c r="CI115" s="1522"/>
      <c r="CJ115" s="1522"/>
      <c r="CK115" s="1522"/>
      <c r="CL115" s="1522"/>
      <c r="CM115" s="1522"/>
      <c r="CN115" s="1522"/>
      <c r="CO115" s="1522"/>
      <c r="CP115" s="1522"/>
      <c r="CQ115" s="1522"/>
      <c r="CR115" s="1522"/>
      <c r="CS115" s="1522"/>
      <c r="CT115" s="1522"/>
      <c r="CU115" s="1522"/>
      <c r="CV115" s="1522"/>
      <c r="CW115" s="1522"/>
      <c r="CX115" s="1522"/>
      <c r="CY115" s="1522"/>
      <c r="CZ115" s="1522"/>
      <c r="DA115" s="1522"/>
      <c r="DB115" s="1522"/>
      <c r="DC115" s="1522"/>
      <c r="DD115" s="1522"/>
      <c r="DE115" s="1522"/>
    </row>
    <row r="116" spans="1:109" s="1523" customFormat="1" ht="39.75" hidden="1" customHeight="1">
      <c r="A116" s="3901" t="s">
        <v>55</v>
      </c>
      <c r="B116" s="1549" t="s">
        <v>130</v>
      </c>
      <c r="C116" s="1550" t="s">
        <v>73</v>
      </c>
      <c r="D116" s="1551"/>
      <c r="E116" s="1552"/>
      <c r="F116" s="1552"/>
      <c r="G116" s="1552"/>
      <c r="H116" s="1552"/>
      <c r="I116" s="1552"/>
      <c r="J116" s="1552"/>
      <c r="K116" s="1552"/>
      <c r="L116" s="1552"/>
      <c r="M116" s="1553"/>
      <c r="N116" s="1553"/>
      <c r="O116" s="3883" t="s">
        <v>131</v>
      </c>
      <c r="P116" s="1522"/>
      <c r="Q116" s="1522"/>
      <c r="R116" s="1522"/>
      <c r="S116" s="1522"/>
      <c r="T116" s="1522"/>
      <c r="U116" s="1522"/>
      <c r="V116" s="1522"/>
      <c r="W116" s="1522"/>
      <c r="X116" s="1522"/>
      <c r="Y116" s="1522"/>
      <c r="Z116" s="1522"/>
      <c r="AA116" s="1522"/>
      <c r="AB116" s="1522"/>
      <c r="AC116" s="1522"/>
      <c r="AD116" s="1522"/>
      <c r="AE116" s="1522"/>
      <c r="AF116" s="1522"/>
      <c r="AG116" s="1522"/>
      <c r="AH116" s="1522"/>
      <c r="AI116" s="1522"/>
      <c r="AJ116" s="1522"/>
      <c r="AK116" s="1522"/>
      <c r="AL116" s="1522"/>
      <c r="AM116" s="1522"/>
      <c r="AN116" s="1522"/>
      <c r="AO116" s="1522"/>
      <c r="AP116" s="1522"/>
      <c r="AQ116" s="1522"/>
      <c r="AR116" s="1522"/>
      <c r="AS116" s="1522"/>
      <c r="AT116" s="1522"/>
      <c r="AU116" s="1522"/>
      <c r="AV116" s="1522"/>
      <c r="AW116" s="1522"/>
      <c r="AX116" s="1522"/>
      <c r="AY116" s="1522"/>
      <c r="AZ116" s="1522"/>
      <c r="BA116" s="1522"/>
      <c r="BB116" s="1522"/>
      <c r="BC116" s="1522"/>
      <c r="BD116" s="1522"/>
      <c r="BE116" s="1522"/>
      <c r="BF116" s="1522"/>
      <c r="BG116" s="1522"/>
      <c r="BH116" s="1522"/>
      <c r="BI116" s="1522"/>
      <c r="BJ116" s="1522"/>
      <c r="BK116" s="1522"/>
      <c r="BL116" s="1522"/>
      <c r="BM116" s="1522"/>
      <c r="BN116" s="1522"/>
      <c r="BO116" s="1522"/>
      <c r="BP116" s="1522"/>
      <c r="BQ116" s="1522"/>
      <c r="BR116" s="1522"/>
      <c r="BS116" s="1522"/>
      <c r="BT116" s="1522"/>
      <c r="BU116" s="1522"/>
      <c r="BV116" s="1522"/>
      <c r="BW116" s="1522"/>
      <c r="BX116" s="1522"/>
      <c r="BY116" s="1522"/>
      <c r="BZ116" s="1522"/>
      <c r="CA116" s="1522"/>
      <c r="CB116" s="1522"/>
      <c r="CC116" s="1522"/>
      <c r="CD116" s="1522"/>
      <c r="CE116" s="1522"/>
      <c r="CF116" s="1522"/>
      <c r="CG116" s="1522"/>
      <c r="CH116" s="1522"/>
      <c r="CI116" s="1522"/>
      <c r="CJ116" s="1522"/>
      <c r="CK116" s="1522"/>
      <c r="CL116" s="1522"/>
      <c r="CM116" s="1522"/>
      <c r="CN116" s="1522"/>
      <c r="CO116" s="1522"/>
      <c r="CP116" s="1522"/>
      <c r="CQ116" s="1522"/>
      <c r="CR116" s="1522"/>
      <c r="CS116" s="1522"/>
      <c r="CT116" s="1522"/>
      <c r="CU116" s="1522"/>
      <c r="CV116" s="1522"/>
      <c r="CW116" s="1522"/>
      <c r="CX116" s="1522"/>
      <c r="CY116" s="1522"/>
      <c r="CZ116" s="1522"/>
      <c r="DA116" s="1522"/>
      <c r="DB116" s="1522"/>
      <c r="DC116" s="1522"/>
      <c r="DD116" s="1522"/>
      <c r="DE116" s="1522"/>
    </row>
    <row r="117" spans="1:109" s="1523" customFormat="1" ht="18.75" hidden="1" customHeight="1">
      <c r="A117" s="3902"/>
      <c r="B117" s="1554" t="s">
        <v>10</v>
      </c>
      <c r="C117" s="1555"/>
      <c r="D117" s="1514"/>
      <c r="E117" s="1514"/>
      <c r="F117" s="1514">
        <f t="shared" ref="F117:G118" si="83">F118</f>
        <v>0</v>
      </c>
      <c r="G117" s="1514">
        <f t="shared" si="83"/>
        <v>0</v>
      </c>
      <c r="H117" s="1514"/>
      <c r="I117" s="1514"/>
      <c r="J117" s="1514"/>
      <c r="K117" s="1514"/>
      <c r="L117" s="1514"/>
      <c r="M117" s="1542">
        <f>+M118</f>
        <v>0</v>
      </c>
      <c r="N117" s="1542">
        <f>+N118</f>
        <v>0</v>
      </c>
      <c r="O117" s="3884"/>
      <c r="P117" s="1522"/>
      <c r="Q117" s="1522"/>
      <c r="R117" s="1522"/>
      <c r="S117" s="1522"/>
      <c r="T117" s="1522"/>
      <c r="U117" s="1522"/>
      <c r="V117" s="1522"/>
      <c r="W117" s="1522"/>
      <c r="X117" s="1522"/>
      <c r="Y117" s="1522"/>
      <c r="Z117" s="1522"/>
      <c r="AA117" s="1522"/>
      <c r="AB117" s="1522"/>
      <c r="AC117" s="1522"/>
      <c r="AD117" s="1522"/>
      <c r="AE117" s="1522"/>
      <c r="AF117" s="1522"/>
      <c r="AG117" s="1522"/>
      <c r="AH117" s="1522"/>
      <c r="AI117" s="1522"/>
      <c r="AJ117" s="1522"/>
      <c r="AK117" s="1522"/>
      <c r="AL117" s="1522"/>
      <c r="AM117" s="1522"/>
      <c r="AN117" s="1522"/>
      <c r="AO117" s="1522"/>
      <c r="AP117" s="1522"/>
      <c r="AQ117" s="1522"/>
      <c r="AR117" s="1522"/>
      <c r="AS117" s="1522"/>
      <c r="AT117" s="1522"/>
      <c r="AU117" s="1522"/>
      <c r="AV117" s="1522"/>
      <c r="AW117" s="1522"/>
      <c r="AX117" s="1522"/>
      <c r="AY117" s="1522"/>
      <c r="AZ117" s="1522"/>
      <c r="BA117" s="1522"/>
      <c r="BB117" s="1522"/>
      <c r="BC117" s="1522"/>
      <c r="BD117" s="1522"/>
      <c r="BE117" s="1522"/>
      <c r="BF117" s="1522"/>
      <c r="BG117" s="1522"/>
      <c r="BH117" s="1522"/>
      <c r="BI117" s="1522"/>
      <c r="BJ117" s="1522"/>
      <c r="BK117" s="1522"/>
      <c r="BL117" s="1522"/>
      <c r="BM117" s="1522"/>
      <c r="BN117" s="1522"/>
      <c r="BO117" s="1522"/>
      <c r="BP117" s="1522"/>
      <c r="BQ117" s="1522"/>
      <c r="BR117" s="1522"/>
      <c r="BS117" s="1522"/>
      <c r="BT117" s="1522"/>
      <c r="BU117" s="1522"/>
      <c r="BV117" s="1522"/>
      <c r="BW117" s="1522"/>
      <c r="BX117" s="1522"/>
      <c r="BY117" s="1522"/>
      <c r="BZ117" s="1522"/>
      <c r="CA117" s="1522"/>
      <c r="CB117" s="1522"/>
      <c r="CC117" s="1522"/>
      <c r="CD117" s="1522"/>
      <c r="CE117" s="1522"/>
      <c r="CF117" s="1522"/>
      <c r="CG117" s="1522"/>
      <c r="CH117" s="1522"/>
      <c r="CI117" s="1522"/>
      <c r="CJ117" s="1522"/>
      <c r="CK117" s="1522"/>
      <c r="CL117" s="1522"/>
      <c r="CM117" s="1522"/>
      <c r="CN117" s="1522"/>
      <c r="CO117" s="1522"/>
      <c r="CP117" s="1522"/>
      <c r="CQ117" s="1522"/>
      <c r="CR117" s="1522"/>
      <c r="CS117" s="1522"/>
      <c r="CT117" s="1522"/>
      <c r="CU117" s="1522"/>
      <c r="CV117" s="1522"/>
      <c r="CW117" s="1522"/>
      <c r="CX117" s="1522"/>
      <c r="CY117" s="1522"/>
      <c r="CZ117" s="1522"/>
      <c r="DA117" s="1522"/>
      <c r="DB117" s="1522"/>
      <c r="DC117" s="1522"/>
      <c r="DD117" s="1522"/>
      <c r="DE117" s="1522"/>
    </row>
    <row r="118" spans="1:109" s="1531" customFormat="1" ht="18.75" hidden="1" customHeight="1">
      <c r="A118" s="3902"/>
      <c r="B118" s="1556" t="s">
        <v>23</v>
      </c>
      <c r="C118" s="3874" t="s">
        <v>132</v>
      </c>
      <c r="D118" s="1557"/>
      <c r="E118" s="1557"/>
      <c r="F118" s="1557">
        <f t="shared" si="83"/>
        <v>0</v>
      </c>
      <c r="G118" s="1557">
        <f t="shared" si="83"/>
        <v>0</v>
      </c>
      <c r="H118" s="1557"/>
      <c r="I118" s="1557"/>
      <c r="J118" s="1557"/>
      <c r="K118" s="1557"/>
      <c r="L118" s="1557"/>
      <c r="M118" s="1558">
        <f>+M119</f>
        <v>0</v>
      </c>
      <c r="N118" s="1558">
        <f>+N119</f>
        <v>0</v>
      </c>
      <c r="O118" s="3884"/>
    </row>
    <row r="119" spans="1:109" s="1523" customFormat="1" ht="18.75" hidden="1" customHeight="1" thickBot="1">
      <c r="A119" s="3903"/>
      <c r="B119" s="1559" t="s">
        <v>12</v>
      </c>
      <c r="C119" s="3876"/>
      <c r="D119" s="1560"/>
      <c r="E119" s="1560"/>
      <c r="F119" s="1560">
        <v>0</v>
      </c>
      <c r="G119" s="1560">
        <v>0</v>
      </c>
      <c r="H119" s="1560"/>
      <c r="I119" s="1560"/>
      <c r="J119" s="1560"/>
      <c r="K119" s="1560"/>
      <c r="L119" s="1560"/>
      <c r="M119" s="1530">
        <f>SUM(E119:G119)</f>
        <v>0</v>
      </c>
      <c r="N119" s="1530">
        <f>SUM(F119:H119)</f>
        <v>0</v>
      </c>
      <c r="O119" s="3885"/>
      <c r="P119" s="1522"/>
      <c r="Q119" s="1522"/>
      <c r="R119" s="1522"/>
      <c r="S119" s="1522"/>
      <c r="T119" s="1522"/>
      <c r="U119" s="1522"/>
      <c r="V119" s="1522"/>
      <c r="W119" s="1522"/>
      <c r="X119" s="1522"/>
      <c r="Y119" s="1522"/>
      <c r="Z119" s="1522"/>
      <c r="AA119" s="1522"/>
      <c r="AB119" s="1522"/>
      <c r="AC119" s="1522"/>
      <c r="AD119" s="1522"/>
      <c r="AE119" s="1522"/>
      <c r="AF119" s="1522"/>
      <c r="AG119" s="1522"/>
      <c r="AH119" s="1522"/>
      <c r="AI119" s="1522"/>
      <c r="AJ119" s="1522"/>
      <c r="AK119" s="1522"/>
      <c r="AL119" s="1522"/>
      <c r="AM119" s="1522"/>
      <c r="AN119" s="1522"/>
      <c r="AO119" s="1522"/>
      <c r="AP119" s="1522"/>
      <c r="AQ119" s="1522"/>
      <c r="AR119" s="1522"/>
      <c r="AS119" s="1522"/>
      <c r="AT119" s="1522"/>
      <c r="AU119" s="1522"/>
      <c r="AV119" s="1522"/>
      <c r="AW119" s="1522"/>
      <c r="AX119" s="1522"/>
      <c r="AY119" s="1522"/>
      <c r="AZ119" s="1522"/>
      <c r="BA119" s="1522"/>
      <c r="BB119" s="1522"/>
      <c r="BC119" s="1522"/>
      <c r="BD119" s="1522"/>
      <c r="BE119" s="1522"/>
      <c r="BF119" s="1522"/>
      <c r="BG119" s="1522"/>
      <c r="BH119" s="1522"/>
      <c r="BI119" s="1522"/>
      <c r="BJ119" s="1522"/>
      <c r="BK119" s="1522"/>
      <c r="BL119" s="1522"/>
      <c r="BM119" s="1522"/>
      <c r="BN119" s="1522"/>
      <c r="BO119" s="1522"/>
      <c r="BP119" s="1522"/>
      <c r="BQ119" s="1522"/>
      <c r="BR119" s="1522"/>
      <c r="BS119" s="1522"/>
      <c r="BT119" s="1522"/>
      <c r="BU119" s="1522"/>
      <c r="BV119" s="1522"/>
      <c r="BW119" s="1522"/>
      <c r="BX119" s="1522"/>
      <c r="BY119" s="1522"/>
      <c r="BZ119" s="1522"/>
      <c r="CA119" s="1522"/>
      <c r="CB119" s="1522"/>
      <c r="CC119" s="1522"/>
      <c r="CD119" s="1522"/>
      <c r="CE119" s="1522"/>
      <c r="CF119" s="1522"/>
      <c r="CG119" s="1522"/>
      <c r="CH119" s="1522"/>
      <c r="CI119" s="1522"/>
      <c r="CJ119" s="1522"/>
      <c r="CK119" s="1522"/>
      <c r="CL119" s="1522"/>
      <c r="CM119" s="1522"/>
      <c r="CN119" s="1522"/>
      <c r="CO119" s="1522"/>
      <c r="CP119" s="1522"/>
      <c r="CQ119" s="1522"/>
      <c r="CR119" s="1522"/>
      <c r="CS119" s="1522"/>
      <c r="CT119" s="1522"/>
      <c r="CU119" s="1522"/>
      <c r="CV119" s="1522"/>
      <c r="CW119" s="1522"/>
      <c r="CX119" s="1522"/>
      <c r="CY119" s="1522"/>
      <c r="CZ119" s="1522"/>
      <c r="DA119" s="1522"/>
      <c r="DB119" s="1522"/>
      <c r="DC119" s="1522"/>
      <c r="DD119" s="1522"/>
      <c r="DE119" s="1522"/>
    </row>
    <row r="120" spans="1:109" ht="12.75" hidden="1" customHeight="1">
      <c r="A120" s="3877" t="s">
        <v>56</v>
      </c>
      <c r="B120" s="2954" t="s">
        <v>133</v>
      </c>
      <c r="C120" s="3156" t="s">
        <v>73</v>
      </c>
      <c r="D120" s="3156"/>
      <c r="E120" s="3156"/>
      <c r="F120" s="3156"/>
      <c r="G120" s="3156"/>
      <c r="H120" s="3156"/>
      <c r="I120" s="3156"/>
      <c r="J120" s="3156"/>
      <c r="K120" s="3156"/>
      <c r="L120" s="3156"/>
      <c r="M120" s="1561"/>
      <c r="N120" s="1561"/>
      <c r="O120" s="3878" t="s">
        <v>134</v>
      </c>
    </row>
    <row r="121" spans="1:109" ht="13.5" hidden="1" customHeight="1">
      <c r="A121" s="3864"/>
      <c r="B121" s="1496" t="s">
        <v>10</v>
      </c>
      <c r="C121" s="1562"/>
      <c r="D121" s="3156"/>
      <c r="E121" s="3156"/>
      <c r="F121" s="3156">
        <v>0</v>
      </c>
      <c r="G121" s="3156">
        <v>0</v>
      </c>
      <c r="H121" s="3156"/>
      <c r="I121" s="3156"/>
      <c r="J121" s="3156"/>
      <c r="K121" s="3156"/>
      <c r="L121" s="3156"/>
      <c r="M121" s="1561"/>
      <c r="N121" s="1561"/>
      <c r="O121" s="3878"/>
    </row>
    <row r="122" spans="1:109" ht="14.25" hidden="1" customHeight="1">
      <c r="A122" s="3864"/>
      <c r="B122" s="2954" t="s">
        <v>23</v>
      </c>
      <c r="C122" s="3880" t="s">
        <v>135</v>
      </c>
      <c r="D122" s="3156"/>
      <c r="E122" s="3156"/>
      <c r="F122" s="3156">
        <v>0</v>
      </c>
      <c r="G122" s="3156">
        <v>0</v>
      </c>
      <c r="H122" s="3156"/>
      <c r="I122" s="3156"/>
      <c r="J122" s="3156"/>
      <c r="K122" s="3156"/>
      <c r="L122" s="3156"/>
      <c r="M122" s="1561"/>
      <c r="N122" s="1561"/>
      <c r="O122" s="3879"/>
    </row>
    <row r="123" spans="1:109" ht="15" hidden="1" customHeight="1" thickBot="1">
      <c r="A123" s="3864"/>
      <c r="B123" s="2954" t="s">
        <v>12</v>
      </c>
      <c r="C123" s="3880"/>
      <c r="D123" s="3156"/>
      <c r="E123" s="3156"/>
      <c r="F123" s="3156">
        <v>0</v>
      </c>
      <c r="G123" s="3156">
        <v>0</v>
      </c>
      <c r="H123" s="3156"/>
      <c r="I123" s="3156"/>
      <c r="J123" s="3156"/>
      <c r="K123" s="3156"/>
      <c r="L123" s="3156"/>
      <c r="M123" s="1561"/>
      <c r="N123" s="1561"/>
      <c r="O123" s="3879"/>
    </row>
    <row r="124" spans="1:109" ht="36.75" hidden="1" customHeight="1">
      <c r="A124" s="3863" t="s">
        <v>55</v>
      </c>
      <c r="B124" s="1549" t="s">
        <v>195</v>
      </c>
      <c r="C124" s="1563" t="s">
        <v>73</v>
      </c>
      <c r="D124" s="1564"/>
      <c r="E124" s="1552"/>
      <c r="F124" s="1552"/>
      <c r="G124" s="1552"/>
      <c r="H124" s="1552"/>
      <c r="I124" s="1552"/>
      <c r="J124" s="1552"/>
      <c r="K124" s="1552"/>
      <c r="L124" s="1552"/>
      <c r="M124" s="1565"/>
      <c r="N124" s="1565"/>
      <c r="O124" s="3881" t="s">
        <v>166</v>
      </c>
    </row>
    <row r="125" spans="1:109" ht="14.25" hidden="1" customHeight="1">
      <c r="A125" s="3877"/>
      <c r="B125" s="1489" t="s">
        <v>10</v>
      </c>
      <c r="C125" s="1562"/>
      <c r="D125" s="1566"/>
      <c r="E125" s="1566">
        <f>+E126+E129</f>
        <v>0</v>
      </c>
      <c r="F125" s="1566">
        <v>0</v>
      </c>
      <c r="G125" s="1566">
        <v>0</v>
      </c>
      <c r="H125" s="1566">
        <v>0</v>
      </c>
      <c r="I125" s="1566">
        <v>0</v>
      </c>
      <c r="J125" s="1566">
        <v>0</v>
      </c>
      <c r="K125" s="1566">
        <v>0</v>
      </c>
      <c r="L125" s="1566">
        <v>0</v>
      </c>
      <c r="M125" s="1542">
        <f>+M126</f>
        <v>0</v>
      </c>
      <c r="N125" s="1542">
        <f>+N126</f>
        <v>0</v>
      </c>
      <c r="O125" s="3881"/>
    </row>
    <row r="126" spans="1:109" ht="15.75" hidden="1" customHeight="1">
      <c r="A126" s="3877"/>
      <c r="B126" s="1567" t="s">
        <v>23</v>
      </c>
      <c r="C126" s="3874" t="s">
        <v>136</v>
      </c>
      <c r="D126" s="1568"/>
      <c r="E126" s="1568">
        <f t="shared" ref="E126" si="84">E127+E128</f>
        <v>0</v>
      </c>
      <c r="F126" s="1568">
        <f t="shared" ref="F126:L126" si="85">F127+F128</f>
        <v>0</v>
      </c>
      <c r="G126" s="1568">
        <f t="shared" si="85"/>
        <v>0</v>
      </c>
      <c r="H126" s="1568">
        <f t="shared" si="85"/>
        <v>0</v>
      </c>
      <c r="I126" s="1568">
        <f t="shared" si="85"/>
        <v>0</v>
      </c>
      <c r="J126" s="1568">
        <f t="shared" si="85"/>
        <v>0</v>
      </c>
      <c r="K126" s="1568">
        <f t="shared" si="85"/>
        <v>0</v>
      </c>
      <c r="L126" s="1568">
        <f t="shared" si="85"/>
        <v>0</v>
      </c>
      <c r="M126" s="1527">
        <f>+M128</f>
        <v>0</v>
      </c>
      <c r="N126" s="1527">
        <f>+N128</f>
        <v>0</v>
      </c>
      <c r="O126" s="3881"/>
    </row>
    <row r="127" spans="1:109" ht="13.5" hidden="1" customHeight="1">
      <c r="A127" s="3877"/>
      <c r="B127" s="1569" t="s">
        <v>127</v>
      </c>
      <c r="C127" s="3893"/>
      <c r="D127" s="1500"/>
      <c r="E127" s="1500"/>
      <c r="F127" s="1506">
        <v>0</v>
      </c>
      <c r="G127" s="1506">
        <v>0</v>
      </c>
      <c r="H127" s="1506">
        <v>0</v>
      </c>
      <c r="I127" s="1506">
        <v>0</v>
      </c>
      <c r="J127" s="1506">
        <v>0</v>
      </c>
      <c r="K127" s="1506">
        <v>0</v>
      </c>
      <c r="L127" s="1506">
        <v>0</v>
      </c>
      <c r="M127" s="1535" t="s">
        <v>53</v>
      </c>
      <c r="N127" s="1535" t="s">
        <v>53</v>
      </c>
      <c r="O127" s="3881"/>
    </row>
    <row r="128" spans="1:109" ht="13.5" hidden="1" customHeight="1">
      <c r="A128" s="3877"/>
      <c r="B128" s="1570" t="s">
        <v>128</v>
      </c>
      <c r="C128" s="3893"/>
      <c r="D128" s="1500"/>
      <c r="E128" s="1500"/>
      <c r="F128" s="1571">
        <v>0</v>
      </c>
      <c r="G128" s="1571">
        <v>0</v>
      </c>
      <c r="H128" s="1571">
        <v>0</v>
      </c>
      <c r="I128" s="1571">
        <v>0</v>
      </c>
      <c r="J128" s="1571">
        <v>0</v>
      </c>
      <c r="K128" s="1571">
        <v>0</v>
      </c>
      <c r="L128" s="1571">
        <v>0</v>
      </c>
      <c r="M128" s="1527"/>
      <c r="N128" s="1527"/>
      <c r="O128" s="3881"/>
    </row>
    <row r="129" spans="1:15" ht="12" hidden="1" customHeight="1">
      <c r="A129" s="3877"/>
      <c r="B129" s="1567" t="s">
        <v>18</v>
      </c>
      <c r="C129" s="3893"/>
      <c r="D129" s="1568"/>
      <c r="E129" s="1568">
        <f t="shared" ref="E129" si="86">+E130</f>
        <v>0</v>
      </c>
      <c r="F129" s="1568">
        <v>0</v>
      </c>
      <c r="G129" s="1568">
        <v>0</v>
      </c>
      <c r="H129" s="1568">
        <v>0</v>
      </c>
      <c r="I129" s="1568">
        <v>0</v>
      </c>
      <c r="J129" s="1568">
        <v>0</v>
      </c>
      <c r="K129" s="1568">
        <v>0</v>
      </c>
      <c r="L129" s="1568">
        <v>0</v>
      </c>
      <c r="M129" s="1535" t="str">
        <f>+M130</f>
        <v>x</v>
      </c>
      <c r="N129" s="1535" t="str">
        <f>+N130</f>
        <v>x</v>
      </c>
      <c r="O129" s="3881"/>
    </row>
    <row r="130" spans="1:15" ht="14.25" hidden="1" customHeight="1">
      <c r="A130" s="3877"/>
      <c r="B130" s="1572" t="s">
        <v>34</v>
      </c>
      <c r="C130" s="3875"/>
      <c r="D130" s="1500"/>
      <c r="E130" s="1500"/>
      <c r="F130" s="2955">
        <v>0</v>
      </c>
      <c r="G130" s="2955">
        <v>0</v>
      </c>
      <c r="H130" s="2955">
        <v>0</v>
      </c>
      <c r="I130" s="2955">
        <v>0</v>
      </c>
      <c r="J130" s="2955">
        <v>0</v>
      </c>
      <c r="K130" s="2955">
        <v>0</v>
      </c>
      <c r="L130" s="2955">
        <v>0</v>
      </c>
      <c r="M130" s="1573" t="s">
        <v>53</v>
      </c>
      <c r="N130" s="1573" t="s">
        <v>53</v>
      </c>
      <c r="O130" s="3881"/>
    </row>
    <row r="131" spans="1:15" ht="13.5" hidden="1" customHeight="1">
      <c r="A131" s="3877"/>
      <c r="B131" s="1496" t="s">
        <v>21</v>
      </c>
      <c r="C131" s="1562"/>
      <c r="D131" s="1566"/>
      <c r="E131" s="1566">
        <f>E135+E132</f>
        <v>0</v>
      </c>
      <c r="F131" s="1566">
        <v>0</v>
      </c>
      <c r="G131" s="1566">
        <v>0</v>
      </c>
      <c r="H131" s="1566">
        <v>0</v>
      </c>
      <c r="I131" s="1566">
        <v>0</v>
      </c>
      <c r="J131" s="1566">
        <v>0</v>
      </c>
      <c r="K131" s="1566">
        <v>0</v>
      </c>
      <c r="L131" s="1566">
        <v>0</v>
      </c>
      <c r="M131" s="1542"/>
      <c r="N131" s="1542"/>
      <c r="O131" s="3881"/>
    </row>
    <row r="132" spans="1:15" ht="14.25" hidden="1" customHeight="1">
      <c r="A132" s="3877"/>
      <c r="B132" s="1498" t="s">
        <v>23</v>
      </c>
      <c r="C132" s="3894" t="s">
        <v>22</v>
      </c>
      <c r="D132" s="1574"/>
      <c r="E132" s="1574">
        <f t="shared" ref="E132" si="87">+E134+E133</f>
        <v>0</v>
      </c>
      <c r="F132" s="1568">
        <f t="shared" ref="F132:L132" si="88">+F134+F133</f>
        <v>0</v>
      </c>
      <c r="G132" s="1568">
        <f t="shared" si="88"/>
        <v>0</v>
      </c>
      <c r="H132" s="1568">
        <f t="shared" si="88"/>
        <v>0</v>
      </c>
      <c r="I132" s="1568">
        <f t="shared" si="88"/>
        <v>0</v>
      </c>
      <c r="J132" s="1568">
        <f t="shared" si="88"/>
        <v>0</v>
      </c>
      <c r="K132" s="1568">
        <f t="shared" si="88"/>
        <v>0</v>
      </c>
      <c r="L132" s="1568">
        <f t="shared" si="88"/>
        <v>0</v>
      </c>
      <c r="M132" s="3898" t="s">
        <v>53</v>
      </c>
      <c r="N132" s="3898" t="s">
        <v>53</v>
      </c>
      <c r="O132" s="3881"/>
    </row>
    <row r="133" spans="1:15" ht="13.5" hidden="1" customHeight="1">
      <c r="A133" s="3877"/>
      <c r="B133" s="1569" t="s">
        <v>127</v>
      </c>
      <c r="C133" s="3895"/>
      <c r="D133" s="1500"/>
      <c r="E133" s="1500"/>
      <c r="F133" s="1575">
        <v>0</v>
      </c>
      <c r="G133" s="1575">
        <v>0</v>
      </c>
      <c r="H133" s="1575">
        <v>0</v>
      </c>
      <c r="I133" s="1575">
        <v>0</v>
      </c>
      <c r="J133" s="1575">
        <v>0</v>
      </c>
      <c r="K133" s="1575">
        <v>0</v>
      </c>
      <c r="L133" s="1575">
        <v>0</v>
      </c>
      <c r="M133" s="3899"/>
      <c r="N133" s="3899"/>
      <c r="O133" s="3881"/>
    </row>
    <row r="134" spans="1:15" ht="13.5" hidden="1" customHeight="1">
      <c r="A134" s="3877"/>
      <c r="B134" s="1570" t="s">
        <v>137</v>
      </c>
      <c r="C134" s="3895"/>
      <c r="D134" s="1500"/>
      <c r="E134" s="1576"/>
      <c r="F134" s="1571">
        <v>0</v>
      </c>
      <c r="G134" s="1571">
        <v>0</v>
      </c>
      <c r="H134" s="1571">
        <v>0</v>
      </c>
      <c r="I134" s="1571">
        <v>0</v>
      </c>
      <c r="J134" s="1571">
        <v>0</v>
      </c>
      <c r="K134" s="1571">
        <v>0</v>
      </c>
      <c r="L134" s="1571">
        <v>0</v>
      </c>
      <c r="M134" s="3899"/>
      <c r="N134" s="3899"/>
      <c r="O134" s="3881"/>
    </row>
    <row r="135" spans="1:15" ht="12.75" hidden="1" customHeight="1">
      <c r="A135" s="3877"/>
      <c r="B135" s="1567" t="s">
        <v>18</v>
      </c>
      <c r="C135" s="3895"/>
      <c r="D135" s="1574"/>
      <c r="E135" s="1574">
        <f t="shared" ref="E135" si="89">+E136</f>
        <v>0</v>
      </c>
      <c r="F135" s="1568">
        <v>0</v>
      </c>
      <c r="G135" s="1568">
        <v>0</v>
      </c>
      <c r="H135" s="1568">
        <v>0</v>
      </c>
      <c r="I135" s="1568">
        <v>0</v>
      </c>
      <c r="J135" s="1568"/>
      <c r="K135" s="1568"/>
      <c r="L135" s="1568"/>
      <c r="M135" s="3899"/>
      <c r="N135" s="3899"/>
      <c r="O135" s="3881"/>
    </row>
    <row r="136" spans="1:15" ht="13.5" hidden="1" customHeight="1" thickBot="1">
      <c r="A136" s="3877"/>
      <c r="B136" s="1577" t="s">
        <v>34</v>
      </c>
      <c r="C136" s="3896"/>
      <c r="D136" s="1500"/>
      <c r="E136" s="1500">
        <v>0</v>
      </c>
      <c r="F136" s="1575">
        <v>0</v>
      </c>
      <c r="G136" s="1575">
        <v>0</v>
      </c>
      <c r="H136" s="1575">
        <v>0</v>
      </c>
      <c r="I136" s="1575">
        <v>0</v>
      </c>
      <c r="J136" s="1575">
        <v>0</v>
      </c>
      <c r="K136" s="1575">
        <v>0</v>
      </c>
      <c r="L136" s="1575">
        <v>0</v>
      </c>
      <c r="M136" s="3900"/>
      <c r="N136" s="3900"/>
      <c r="O136" s="3882"/>
    </row>
    <row r="137" spans="1:15" ht="26.25" hidden="1" customHeight="1">
      <c r="A137" s="3863" t="s">
        <v>55</v>
      </c>
      <c r="B137" s="1578" t="s">
        <v>168</v>
      </c>
      <c r="C137" s="1579" t="s">
        <v>73</v>
      </c>
      <c r="D137" s="1580"/>
      <c r="E137" s="1552"/>
      <c r="F137" s="1552"/>
      <c r="G137" s="1552"/>
      <c r="H137" s="1552"/>
      <c r="I137" s="1552"/>
      <c r="J137" s="1552"/>
      <c r="K137" s="1552"/>
      <c r="L137" s="1552"/>
      <c r="M137" s="1495"/>
      <c r="N137" s="1495"/>
      <c r="O137" s="3866" t="s">
        <v>173</v>
      </c>
    </row>
    <row r="138" spans="1:15" s="1492" customFormat="1" ht="17.25" hidden="1" customHeight="1">
      <c r="A138" s="3864"/>
      <c r="B138" s="1581" t="s">
        <v>10</v>
      </c>
      <c r="C138" s="1562"/>
      <c r="D138" s="1582"/>
      <c r="E138" s="1582">
        <f t="shared" ref="E138:J139" si="90">E139</f>
        <v>0</v>
      </c>
      <c r="F138" s="1582">
        <f t="shared" si="90"/>
        <v>0</v>
      </c>
      <c r="G138" s="1582">
        <f t="shared" si="90"/>
        <v>0</v>
      </c>
      <c r="H138" s="1582">
        <f t="shared" si="90"/>
        <v>0</v>
      </c>
      <c r="I138" s="1582">
        <f t="shared" si="90"/>
        <v>0</v>
      </c>
      <c r="J138" s="1582">
        <f t="shared" si="90"/>
        <v>0</v>
      </c>
      <c r="K138" s="1582">
        <f>K139</f>
        <v>0</v>
      </c>
      <c r="L138" s="1582">
        <f>L139</f>
        <v>0</v>
      </c>
      <c r="M138" s="1583">
        <f>+M139</f>
        <v>0</v>
      </c>
      <c r="N138" s="1583">
        <f>+N139</f>
        <v>0</v>
      </c>
      <c r="O138" s="3867"/>
    </row>
    <row r="139" spans="1:15" s="1586" customFormat="1" ht="15" hidden="1" customHeight="1">
      <c r="A139" s="3864"/>
      <c r="B139" s="1584" t="s">
        <v>23</v>
      </c>
      <c r="C139" s="3869" t="s">
        <v>136</v>
      </c>
      <c r="D139" s="1574"/>
      <c r="E139" s="1574">
        <f>E140</f>
        <v>0</v>
      </c>
      <c r="F139" s="1574">
        <f t="shared" si="90"/>
        <v>0</v>
      </c>
      <c r="G139" s="1574">
        <f t="shared" si="90"/>
        <v>0</v>
      </c>
      <c r="H139" s="1574">
        <f t="shared" si="90"/>
        <v>0</v>
      </c>
      <c r="I139" s="1574">
        <f t="shared" si="90"/>
        <v>0</v>
      </c>
      <c r="J139" s="1574">
        <f t="shared" si="90"/>
        <v>0</v>
      </c>
      <c r="K139" s="1574">
        <f>K140</f>
        <v>0</v>
      </c>
      <c r="L139" s="1574">
        <f>L140</f>
        <v>0</v>
      </c>
      <c r="M139" s="1585">
        <f>+M140</f>
        <v>0</v>
      </c>
      <c r="N139" s="1585">
        <f>+N140</f>
        <v>0</v>
      </c>
      <c r="O139" s="3867"/>
    </row>
    <row r="140" spans="1:15" s="1492" customFormat="1" ht="15" hidden="1" customHeight="1" thickBot="1">
      <c r="A140" s="3865"/>
      <c r="B140" s="1587" t="s">
        <v>128</v>
      </c>
      <c r="C140" s="3870"/>
      <c r="D140" s="2087"/>
      <c r="E140" s="2087">
        <v>0</v>
      </c>
      <c r="F140" s="1588">
        <v>0</v>
      </c>
      <c r="G140" s="1588">
        <v>0</v>
      </c>
      <c r="H140" s="1588">
        <v>0</v>
      </c>
      <c r="I140" s="1588">
        <v>0</v>
      </c>
      <c r="J140" s="1588">
        <v>0</v>
      </c>
      <c r="K140" s="1588">
        <v>0</v>
      </c>
      <c r="L140" s="1588">
        <v>0</v>
      </c>
      <c r="M140" s="1589"/>
      <c r="N140" s="1589"/>
      <c r="O140" s="3868"/>
    </row>
    <row r="141" spans="1:15" ht="12.75" hidden="1">
      <c r="A141" s="3156"/>
      <c r="B141" s="3156"/>
      <c r="C141" s="3156"/>
      <c r="D141" s="3156"/>
      <c r="E141" s="3156"/>
      <c r="F141" s="3156"/>
      <c r="G141" s="3156"/>
      <c r="H141" s="3156"/>
      <c r="I141" s="3156"/>
      <c r="J141" s="3156"/>
      <c r="K141" s="3156"/>
      <c r="L141" s="3156"/>
      <c r="M141" s="3156"/>
      <c r="N141" s="3156"/>
    </row>
    <row r="142" spans="1:15" ht="12.75" hidden="1">
      <c r="A142" s="3156"/>
      <c r="B142" s="2956" t="s">
        <v>338</v>
      </c>
      <c r="C142" s="2955"/>
      <c r="D142" s="2955"/>
      <c r="E142" s="2955"/>
      <c r="F142" s="2955"/>
      <c r="G142" s="2955"/>
      <c r="H142" s="2955"/>
      <c r="I142" s="2955"/>
      <c r="J142" s="2955"/>
      <c r="K142" s="2955"/>
      <c r="L142" s="2955"/>
      <c r="M142" s="3156"/>
      <c r="N142" s="3156"/>
    </row>
    <row r="143" spans="1:15" ht="12.75" hidden="1">
      <c r="A143" s="3156"/>
      <c r="B143" s="2956" t="s">
        <v>339</v>
      </c>
      <c r="C143" s="2955"/>
      <c r="D143" s="2889">
        <f>D73+D59+D43+D82</f>
        <v>1017920</v>
      </c>
      <c r="E143" s="2889">
        <f t="shared" ref="E143:L143" si="91">E73+E59+E43+E82</f>
        <v>292115</v>
      </c>
      <c r="F143" s="2889">
        <f t="shared" si="91"/>
        <v>107202</v>
      </c>
      <c r="G143" s="2889">
        <f t="shared" si="91"/>
        <v>342369</v>
      </c>
      <c r="H143" s="2889">
        <f t="shared" si="91"/>
        <v>146832</v>
      </c>
      <c r="I143" s="2889">
        <f t="shared" si="91"/>
        <v>99540</v>
      </c>
      <c r="J143" s="2889">
        <f t="shared" si="91"/>
        <v>29862</v>
      </c>
      <c r="K143" s="2889">
        <f t="shared" si="91"/>
        <v>0</v>
      </c>
      <c r="L143" s="2889">
        <f t="shared" si="91"/>
        <v>0</v>
      </c>
      <c r="M143" s="3156"/>
      <c r="N143" s="3156"/>
    </row>
    <row r="144" spans="1:15" ht="12.75" hidden="1">
      <c r="A144" s="3156"/>
      <c r="B144" s="2956" t="s">
        <v>340</v>
      </c>
      <c r="C144" s="2955"/>
      <c r="D144" s="2889">
        <v>0</v>
      </c>
      <c r="E144" s="2889">
        <v>0</v>
      </c>
      <c r="F144" s="2889">
        <v>0</v>
      </c>
      <c r="G144" s="2889">
        <v>0</v>
      </c>
      <c r="H144" s="2889">
        <v>0</v>
      </c>
      <c r="I144" s="2889">
        <v>0</v>
      </c>
      <c r="J144" s="2889">
        <v>0</v>
      </c>
      <c r="K144" s="2889">
        <v>0</v>
      </c>
      <c r="L144" s="2889">
        <v>0</v>
      </c>
      <c r="M144" s="3156"/>
      <c r="N144" s="3156"/>
    </row>
    <row r="145" spans="1:15" ht="12.75" hidden="1">
      <c r="A145" s="3156"/>
      <c r="B145" s="2956" t="s">
        <v>341</v>
      </c>
      <c r="C145" s="2955"/>
      <c r="D145" s="1873">
        <f>D143+D144</f>
        <v>1017920</v>
      </c>
      <c r="E145" s="1873">
        <f t="shared" ref="E145:L145" si="92">E143+E144</f>
        <v>292115</v>
      </c>
      <c r="F145" s="1873">
        <f t="shared" si="92"/>
        <v>107202</v>
      </c>
      <c r="G145" s="1873">
        <f t="shared" si="92"/>
        <v>342369</v>
      </c>
      <c r="H145" s="1873">
        <f t="shared" si="92"/>
        <v>146832</v>
      </c>
      <c r="I145" s="1873">
        <f t="shared" si="92"/>
        <v>99540</v>
      </c>
      <c r="J145" s="1873">
        <f t="shared" si="92"/>
        <v>29862</v>
      </c>
      <c r="K145" s="1873">
        <f t="shared" si="92"/>
        <v>0</v>
      </c>
      <c r="L145" s="1873">
        <f t="shared" si="92"/>
        <v>0</v>
      </c>
      <c r="M145" s="3156"/>
      <c r="N145" s="3156"/>
    </row>
    <row r="146" spans="1:15" ht="12.75" hidden="1">
      <c r="B146" s="1591" t="s">
        <v>41</v>
      </c>
      <c r="C146" s="1592"/>
      <c r="D146" s="1874">
        <f t="shared" ref="D146:L146" si="93">D20-D145</f>
        <v>0</v>
      </c>
      <c r="E146" s="1874">
        <f t="shared" si="93"/>
        <v>0</v>
      </c>
      <c r="F146" s="1874">
        <f t="shared" si="93"/>
        <v>0</v>
      </c>
      <c r="G146" s="1874">
        <f t="shared" si="93"/>
        <v>0</v>
      </c>
      <c r="H146" s="1874">
        <f t="shared" si="93"/>
        <v>0</v>
      </c>
      <c r="I146" s="1874">
        <f t="shared" si="93"/>
        <v>0</v>
      </c>
      <c r="J146" s="1874">
        <f t="shared" si="93"/>
        <v>0</v>
      </c>
      <c r="K146" s="1874">
        <f t="shared" si="93"/>
        <v>0</v>
      </c>
      <c r="L146" s="1874">
        <f t="shared" si="93"/>
        <v>0</v>
      </c>
    </row>
    <row r="147" spans="1:15" hidden="1"/>
    <row r="148" spans="1:15" hidden="1"/>
    <row r="149" spans="1:15" hidden="1"/>
    <row r="150" spans="1:15" hidden="1"/>
    <row r="151" spans="1:15" ht="12" hidden="1" thickBot="1">
      <c r="A151" s="2088"/>
      <c r="B151" s="2089"/>
      <c r="C151" s="2089"/>
      <c r="D151" s="2089"/>
      <c r="E151" s="2089"/>
      <c r="F151" s="2089"/>
      <c r="G151" s="2089"/>
      <c r="H151" s="2089"/>
      <c r="I151" s="2089"/>
      <c r="J151" s="2089"/>
      <c r="K151" s="2089"/>
      <c r="L151" s="2089"/>
      <c r="M151" s="2089"/>
      <c r="N151" s="2089"/>
      <c r="O151" s="2090"/>
    </row>
    <row r="152" spans="1:15" hidden="1"/>
    <row r="153" spans="1:15" hidden="1"/>
    <row r="154" spans="1:15" hidden="1"/>
    <row r="155" spans="1:15" hidden="1"/>
    <row r="156" spans="1:15" hidden="1"/>
    <row r="157" spans="1:15" hidden="1"/>
    <row r="170" spans="1:1" hidden="1"/>
    <row r="171" spans="1:1" hidden="1"/>
    <row r="172" spans="1:1" hidden="1"/>
    <row r="173" spans="1:1" hidden="1"/>
    <row r="174" spans="1:1" hidden="1"/>
    <row r="175" spans="1:1" ht="12" hidden="1" thickBot="1">
      <c r="A175" s="2088"/>
    </row>
    <row r="176" spans="1:1" ht="12" hidden="1" thickBot="1">
      <c r="A176" s="2467"/>
    </row>
    <row r="177" spans="1:2" ht="12" hidden="1" thickBot="1">
      <c r="A177" s="2467"/>
    </row>
    <row r="178" spans="1:2" ht="12" hidden="1" thickBot="1">
      <c r="A178" s="2467"/>
    </row>
    <row r="179" spans="1:2" ht="12" hidden="1" thickBot="1">
      <c r="A179" s="2467"/>
    </row>
    <row r="180" spans="1:2" ht="12" hidden="1" thickBot="1">
      <c r="A180" s="2467"/>
    </row>
    <row r="181" spans="1:2" ht="12" hidden="1" thickBot="1">
      <c r="A181" s="2467"/>
    </row>
    <row r="182" spans="1:2" ht="12" hidden="1" thickBot="1">
      <c r="A182" s="2467"/>
    </row>
    <row r="183" spans="1:2" ht="12" hidden="1" thickBot="1">
      <c r="A183" s="2467"/>
    </row>
    <row r="184" spans="1:2" ht="12" hidden="1" thickBot="1">
      <c r="A184" s="2467"/>
    </row>
    <row r="185" spans="1:2" ht="12" hidden="1" thickBot="1">
      <c r="A185" s="2467"/>
    </row>
    <row r="186" spans="1:2" ht="12" hidden="1" thickBot="1">
      <c r="A186" s="2467"/>
      <c r="B186" s="2089"/>
    </row>
    <row r="187" spans="1:2" ht="12" hidden="1" thickBot="1">
      <c r="A187" s="2467"/>
      <c r="B187" s="2450"/>
    </row>
    <row r="188" spans="1:2" ht="12" hidden="1" thickBot="1">
      <c r="A188" s="2467"/>
    </row>
    <row r="189" spans="1:2" ht="12" hidden="1" thickBot="1">
      <c r="A189" s="2467"/>
    </row>
    <row r="190" spans="1:2" ht="12" hidden="1" thickBot="1">
      <c r="A190" s="2467"/>
    </row>
    <row r="191" spans="1:2" ht="12" hidden="1" thickBot="1">
      <c r="A191" s="2467"/>
    </row>
    <row r="192" spans="1:2" ht="12" hidden="1" thickBot="1">
      <c r="A192" s="2467"/>
    </row>
    <row r="193" spans="1:15" ht="12" hidden="1" thickBot="1">
      <c r="A193" s="2467"/>
    </row>
    <row r="194" spans="1:15" ht="12" hidden="1" thickBot="1">
      <c r="A194" s="2467"/>
    </row>
    <row r="195" spans="1:15" ht="12" hidden="1" thickBot="1">
      <c r="A195" s="2467"/>
    </row>
    <row r="196" spans="1:15" ht="12" hidden="1" thickBot="1">
      <c r="A196" s="2467"/>
    </row>
    <row r="197" spans="1:15" ht="12" hidden="1" thickBot="1">
      <c r="A197" s="2467"/>
    </row>
    <row r="198" spans="1:15" ht="12" hidden="1" thickBot="1">
      <c r="A198" s="2467"/>
    </row>
    <row r="199" spans="1:15" ht="12" hidden="1" thickBot="1">
      <c r="A199" s="2467"/>
    </row>
    <row r="200" spans="1:15" ht="12" hidden="1" thickBot="1">
      <c r="A200" s="2467"/>
      <c r="N200" s="2089"/>
      <c r="O200" s="2090"/>
    </row>
    <row r="201" spans="1:15" ht="12" hidden="1" thickBot="1">
      <c r="A201" s="2467"/>
      <c r="C201" s="2089"/>
      <c r="N201" s="2449"/>
      <c r="O201" s="2439"/>
    </row>
    <row r="202" spans="1:15" ht="12" hidden="1" thickBot="1">
      <c r="A202" s="2467"/>
      <c r="C202" s="2449"/>
      <c r="N202" s="2449"/>
      <c r="O202" s="2439"/>
    </row>
    <row r="203" spans="1:15" ht="12" hidden="1" thickBot="1">
      <c r="A203" s="2467"/>
      <c r="C203" s="2449"/>
      <c r="N203" s="2449"/>
      <c r="O203" s="2439"/>
    </row>
    <row r="204" spans="1:15" ht="12" hidden="1" thickBot="1">
      <c r="A204" s="2468"/>
      <c r="C204" s="2449"/>
      <c r="D204" s="2089"/>
      <c r="E204" s="2089"/>
      <c r="F204" s="2089"/>
      <c r="G204" s="2089"/>
      <c r="H204" s="2089"/>
      <c r="I204" s="2089"/>
      <c r="J204" s="2089"/>
      <c r="K204" s="2089"/>
      <c r="L204" s="2089"/>
      <c r="N204" s="2449"/>
      <c r="O204" s="2439"/>
    </row>
    <row r="205" spans="1:15" ht="12" hidden="1" thickBot="1">
      <c r="C205" s="2450"/>
      <c r="D205" s="2450"/>
      <c r="E205" s="2450"/>
      <c r="F205" s="2450"/>
      <c r="G205" s="2450"/>
      <c r="H205" s="2450"/>
      <c r="I205" s="2450"/>
      <c r="J205" s="2450"/>
      <c r="K205" s="2450"/>
      <c r="L205" s="2450"/>
      <c r="N205" s="2450"/>
      <c r="O205" s="2439"/>
    </row>
    <row r="206" spans="1:15" ht="12" hidden="1" thickBot="1">
      <c r="O206" s="2439"/>
    </row>
    <row r="207" spans="1:15" ht="12" hidden="1" thickBot="1">
      <c r="O207" s="2439"/>
    </row>
    <row r="208" spans="1:15" ht="12" hidden="1" thickBot="1">
      <c r="O208" s="2439"/>
    </row>
    <row r="209" spans="1:15" ht="12" hidden="1" thickBot="1">
      <c r="O209" s="2439"/>
    </row>
    <row r="210" spans="1:15" ht="13.5" hidden="1" thickBot="1">
      <c r="A210" s="3156"/>
      <c r="B210" s="3156" t="s">
        <v>61</v>
      </c>
      <c r="C210" s="3156"/>
      <c r="D210" s="3156"/>
      <c r="E210" s="3156"/>
      <c r="F210" s="3156"/>
      <c r="G210" s="3156"/>
      <c r="H210" s="3156"/>
      <c r="I210" s="3156"/>
      <c r="J210" s="3156"/>
      <c r="K210" s="3156"/>
      <c r="L210" s="3156"/>
      <c r="M210" s="3156"/>
      <c r="N210" s="3156"/>
      <c r="O210" s="2957"/>
    </row>
    <row r="211" spans="1:15" ht="13.5" hidden="1" thickBot="1">
      <c r="A211" s="3156"/>
      <c r="O211" s="2957"/>
    </row>
    <row r="212" spans="1:15" ht="13.5" hidden="1" thickBot="1">
      <c r="A212" s="3156"/>
      <c r="O212" s="2957"/>
    </row>
    <row r="213" spans="1:15" ht="13.5" hidden="1" thickBot="1">
      <c r="A213" s="3156"/>
      <c r="O213" s="2957"/>
    </row>
    <row r="214" spans="1:15" ht="12.75" hidden="1">
      <c r="A214" s="3156"/>
      <c r="O214" s="2958"/>
    </row>
    <row r="215" spans="1:15" ht="12.75" hidden="1">
      <c r="A215" s="3156"/>
      <c r="O215" s="3156"/>
    </row>
    <row r="216" spans="1:15" ht="12.75" hidden="1">
      <c r="A216" s="3156"/>
      <c r="O216" s="3156"/>
    </row>
    <row r="217" spans="1:15" ht="12.75" hidden="1">
      <c r="A217" s="3156"/>
      <c r="O217" s="3156"/>
    </row>
    <row r="218" spans="1:15" ht="12.75" hidden="1">
      <c r="A218" s="3156"/>
      <c r="O218" s="3156"/>
    </row>
    <row r="219" spans="1:15" ht="12.75" hidden="1">
      <c r="A219" s="3156"/>
      <c r="O219" s="3156"/>
    </row>
    <row r="220" spans="1:15" ht="12.75" hidden="1">
      <c r="A220" s="3156"/>
      <c r="O220" s="3156"/>
    </row>
    <row r="221" spans="1:15" ht="12.75" hidden="1">
      <c r="A221" s="3156"/>
      <c r="B221" s="3156"/>
      <c r="C221" s="3156"/>
      <c r="D221" s="3156"/>
      <c r="E221" s="3156"/>
      <c r="F221" s="3156"/>
      <c r="G221" s="3156"/>
      <c r="H221" s="3156"/>
      <c r="I221" s="3156"/>
      <c r="J221" s="3156"/>
      <c r="K221" s="3156"/>
      <c r="L221" s="3156"/>
      <c r="M221" s="3156"/>
      <c r="N221" s="3156"/>
      <c r="O221" s="3156"/>
    </row>
    <row r="222" spans="1:15" hidden="1"/>
    <row r="223" spans="1:15" hidden="1"/>
    <row r="224" spans="1:15" hidden="1"/>
    <row r="225" hidden="1"/>
    <row r="226" hidden="1"/>
    <row r="227" hidden="1"/>
    <row r="228" hidden="1"/>
    <row r="229" hidden="1"/>
    <row r="230" hidden="1"/>
    <row r="231" hidden="1"/>
    <row r="232" hidden="1"/>
    <row r="233" hidden="1"/>
    <row r="234" hidden="1"/>
    <row r="235" hidden="1"/>
    <row r="236" hidden="1"/>
    <row r="237" hidden="1"/>
    <row r="238" hidden="1"/>
    <row r="239" hidden="1"/>
    <row r="240" hidden="1"/>
    <row r="241" spans="15:15" hidden="1"/>
    <row r="242" spans="15:15" hidden="1"/>
    <row r="243" spans="15:15" hidden="1"/>
    <row r="244" spans="15:15" hidden="1"/>
    <row r="245" spans="15:15" hidden="1"/>
    <row r="246" spans="15:15" hidden="1"/>
    <row r="247" spans="15:15" hidden="1"/>
    <row r="248" spans="15:15" ht="12" hidden="1" thickBot="1">
      <c r="O248" s="2090"/>
    </row>
    <row r="249" spans="15:15" ht="12" hidden="1" thickBot="1">
      <c r="O249" s="2439"/>
    </row>
    <row r="250" spans="15:15" ht="12" hidden="1" thickBot="1">
      <c r="O250" s="2439"/>
    </row>
    <row r="251" spans="15:15" ht="12" hidden="1" thickBot="1">
      <c r="O251" s="2439"/>
    </row>
    <row r="252" spans="15:15" ht="12" hidden="1" thickBot="1">
      <c r="O252" s="2439"/>
    </row>
    <row r="253" spans="15:15" ht="12" hidden="1" thickBot="1">
      <c r="O253" s="2439"/>
    </row>
    <row r="254" spans="15:15" ht="12" hidden="1" thickBot="1">
      <c r="O254" s="2439"/>
    </row>
    <row r="255" spans="15:15" ht="12" hidden="1" thickBot="1">
      <c r="O255" s="2439"/>
    </row>
    <row r="256" spans="15:15" ht="12" hidden="1" thickBot="1">
      <c r="O256" s="2439"/>
    </row>
    <row r="257" spans="15:15" ht="12" hidden="1" thickBot="1">
      <c r="O257" s="2439"/>
    </row>
    <row r="258" spans="15:15" ht="12" hidden="1" thickBot="1">
      <c r="O258" s="2439"/>
    </row>
    <row r="259" spans="15:15" ht="12" hidden="1" thickBot="1">
      <c r="O259" s="2439"/>
    </row>
    <row r="260" spans="15:15" ht="12" hidden="1" thickBot="1">
      <c r="O260" s="2439"/>
    </row>
    <row r="261" spans="15:15" ht="12" hidden="1" thickBot="1">
      <c r="O261" s="2439"/>
    </row>
    <row r="262" spans="15:15" hidden="1">
      <c r="O262" s="2440"/>
    </row>
    <row r="263" spans="15:15" hidden="1"/>
    <row r="264" spans="15:15" hidden="1"/>
    <row r="265" spans="15:15" hidden="1"/>
    <row r="266" spans="15:15" hidden="1"/>
    <row r="267" spans="15:15" hidden="1"/>
    <row r="268" spans="15:15" hidden="1"/>
    <row r="269" spans="15:15" hidden="1"/>
    <row r="270" spans="15:15" hidden="1"/>
    <row r="271" spans="15:15" hidden="1"/>
    <row r="272" spans="15:15" hidden="1"/>
    <row r="273" hidden="1"/>
    <row r="274" hidden="1"/>
    <row r="275" hidden="1"/>
    <row r="276" hidden="1"/>
    <row r="277" hidden="1"/>
    <row r="278" hidden="1"/>
    <row r="279" hidden="1"/>
    <row r="280" hidden="1"/>
    <row r="281" hidden="1"/>
    <row r="282" hidden="1"/>
    <row r="283" hidden="1"/>
    <row r="284" hidden="1"/>
    <row r="285" hidden="1"/>
    <row r="286" hidden="1"/>
    <row r="287" hidden="1"/>
    <row r="288" hidden="1"/>
    <row r="289" hidden="1"/>
    <row r="290" hidden="1"/>
    <row r="291" hidden="1"/>
    <row r="292" hidden="1"/>
    <row r="293" hidden="1"/>
    <row r="294" hidden="1"/>
    <row r="295" hidden="1"/>
    <row r="296" hidden="1"/>
    <row r="297" hidden="1"/>
    <row r="298" hidden="1"/>
    <row r="299" hidden="1"/>
    <row r="300" hidden="1"/>
    <row r="301" hidden="1"/>
    <row r="302" hidden="1"/>
    <row r="303" hidden="1"/>
    <row r="304" hidden="1"/>
    <row r="305" hidden="1"/>
    <row r="306" hidden="1"/>
    <row r="307" hidden="1"/>
    <row r="308" hidden="1"/>
    <row r="309" hidden="1"/>
    <row r="310" hidden="1"/>
    <row r="311" hidden="1"/>
    <row r="312" hidden="1"/>
    <row r="313" hidden="1"/>
    <row r="314" hidden="1"/>
    <row r="315" hidden="1"/>
    <row r="316" hidden="1"/>
    <row r="317" hidden="1"/>
    <row r="318" hidden="1"/>
    <row r="319" hidden="1"/>
    <row r="320" hidden="1"/>
    <row r="321" hidden="1"/>
    <row r="322" hidden="1"/>
    <row r="323" hidden="1"/>
    <row r="324" hidden="1"/>
    <row r="325" hidden="1"/>
    <row r="326" hidden="1"/>
    <row r="327" hidden="1"/>
    <row r="328" hidden="1"/>
    <row r="329" hidden="1"/>
    <row r="401" spans="1:15" ht="12" thickBot="1">
      <c r="A401" s="2088"/>
    </row>
    <row r="402" spans="1:15" ht="12" thickBot="1">
      <c r="A402" s="2467"/>
    </row>
    <row r="403" spans="1:15" ht="12" thickBot="1">
      <c r="A403" s="2467"/>
    </row>
    <row r="404" spans="1:15" ht="12" thickBot="1">
      <c r="A404" s="2467"/>
    </row>
    <row r="405" spans="1:15" ht="12" thickBot="1">
      <c r="A405" s="2467"/>
    </row>
    <row r="406" spans="1:15" ht="12" thickBot="1">
      <c r="A406" s="2467"/>
    </row>
    <row r="407" spans="1:15" ht="12" thickBot="1">
      <c r="A407" s="2467"/>
      <c r="N407" s="2089"/>
      <c r="O407" s="2090"/>
    </row>
    <row r="408" spans="1:15" ht="12" thickBot="1">
      <c r="A408" s="2467"/>
      <c r="C408" s="2089"/>
      <c r="N408" s="2449"/>
      <c r="O408" s="2439"/>
    </row>
    <row r="409" spans="1:15" ht="12" thickBot="1">
      <c r="A409" s="2467"/>
      <c r="C409" s="2449"/>
      <c r="D409" s="2089"/>
      <c r="E409" s="2089"/>
      <c r="F409" s="2089"/>
      <c r="G409" s="2089"/>
      <c r="H409" s="2089"/>
      <c r="I409" s="2089"/>
      <c r="J409" s="2089"/>
      <c r="K409" s="2089"/>
      <c r="L409" s="2089"/>
      <c r="N409" s="2449"/>
      <c r="O409" s="2439"/>
    </row>
    <row r="410" spans="1:15" ht="12" thickBot="1">
      <c r="A410" s="2467"/>
      <c r="C410" s="2450"/>
      <c r="D410" s="2450"/>
      <c r="E410" s="2450"/>
      <c r="F410" s="2450"/>
      <c r="G410" s="2450"/>
      <c r="H410" s="2450"/>
      <c r="I410" s="2450"/>
      <c r="J410" s="2450"/>
      <c r="K410" s="2450"/>
      <c r="L410" s="2450"/>
      <c r="N410" s="2450"/>
      <c r="O410" s="2439"/>
    </row>
    <row r="411" spans="1:15" ht="12" thickBot="1">
      <c r="A411" s="2467"/>
      <c r="O411" s="2439"/>
    </row>
    <row r="412" spans="1:15" ht="12" thickBot="1">
      <c r="A412" s="2467"/>
      <c r="O412" s="2439"/>
    </row>
    <row r="413" spans="1:15" ht="12" thickBot="1">
      <c r="A413" s="2467"/>
      <c r="O413" s="2439"/>
    </row>
    <row r="414" spans="1:15" ht="12" thickBot="1">
      <c r="A414" s="2467"/>
      <c r="O414" s="2439"/>
    </row>
    <row r="415" spans="1:15" ht="12" thickBot="1">
      <c r="A415" s="2467"/>
      <c r="O415" s="2440"/>
    </row>
    <row r="416" spans="1:15" ht="12" thickBot="1">
      <c r="A416" s="2467"/>
    </row>
    <row r="417" spans="1:1" ht="12" thickBot="1">
      <c r="A417" s="2467"/>
    </row>
    <row r="418" spans="1:1">
      <c r="A418" s="2468"/>
    </row>
    <row r="516" spans="1:15" ht="12" thickBot="1">
      <c r="O516" s="2090"/>
    </row>
    <row r="517" spans="1:15" ht="12" thickBot="1">
      <c r="O517" s="2439"/>
    </row>
    <row r="518" spans="1:15" ht="12" thickBot="1">
      <c r="O518" s="2439"/>
    </row>
    <row r="519" spans="1:15" ht="12" thickBot="1">
      <c r="O519" s="2439"/>
    </row>
    <row r="520" spans="1:15" ht="12" thickBot="1">
      <c r="N520" s="2089"/>
      <c r="O520" s="2439"/>
    </row>
    <row r="521" spans="1:15" ht="12" thickBot="1">
      <c r="N521" s="2449"/>
      <c r="O521" s="2439"/>
    </row>
    <row r="522" spans="1:15" ht="12" thickBot="1">
      <c r="N522" s="2449"/>
      <c r="O522" s="2439"/>
    </row>
    <row r="523" spans="1:15" ht="12" thickBot="1">
      <c r="N523" s="2449"/>
      <c r="O523" s="2439"/>
    </row>
    <row r="524" spans="1:15" ht="12" thickBot="1">
      <c r="N524" s="2449"/>
      <c r="O524" s="2439"/>
    </row>
    <row r="525" spans="1:15" ht="12" thickBot="1">
      <c r="A525" s="2088"/>
      <c r="B525" s="2089"/>
      <c r="C525" s="2089"/>
      <c r="D525" s="2089"/>
      <c r="E525" s="2089"/>
      <c r="F525" s="2089"/>
      <c r="G525" s="2089"/>
      <c r="H525" s="2089"/>
      <c r="I525" s="2089"/>
      <c r="J525" s="2089"/>
      <c r="K525" s="2089"/>
      <c r="L525" s="2089"/>
      <c r="N525" s="2449"/>
      <c r="O525" s="2439"/>
    </row>
    <row r="526" spans="1:15" ht="12" thickBot="1">
      <c r="A526" s="2467"/>
      <c r="B526" s="2450"/>
      <c r="C526" s="2450"/>
      <c r="D526" s="2450"/>
      <c r="E526" s="2450"/>
      <c r="F526" s="2450"/>
      <c r="G526" s="2450"/>
      <c r="H526" s="2450"/>
      <c r="I526" s="2450"/>
      <c r="J526" s="2450"/>
      <c r="K526" s="2450"/>
      <c r="L526" s="2450"/>
      <c r="N526" s="2450"/>
      <c r="O526" s="2439"/>
    </row>
    <row r="527" spans="1:15" ht="12" thickBot="1">
      <c r="A527" s="2467"/>
      <c r="O527" s="2439"/>
    </row>
    <row r="528" spans="1:15" ht="12" thickBot="1">
      <c r="A528" s="2467"/>
      <c r="O528" s="2439"/>
    </row>
    <row r="529" spans="1:15" ht="12" thickBot="1">
      <c r="A529" s="2467"/>
      <c r="O529" s="2439"/>
    </row>
    <row r="530" spans="1:15" ht="12" thickBot="1">
      <c r="A530" s="2467"/>
      <c r="O530" s="2439"/>
    </row>
    <row r="531" spans="1:15" ht="12" thickBot="1">
      <c r="A531" s="2467"/>
      <c r="O531" s="2439"/>
    </row>
    <row r="532" spans="1:15" ht="12" thickBot="1">
      <c r="A532" s="2467"/>
      <c r="O532" s="2439"/>
    </row>
    <row r="533" spans="1:15">
      <c r="A533" s="2468"/>
      <c r="O533" s="2440"/>
    </row>
  </sheetData>
  <mergeCells count="85">
    <mergeCell ref="A76:A86"/>
    <mergeCell ref="O76:O86"/>
    <mergeCell ref="M82:M86"/>
    <mergeCell ref="N82:N86"/>
    <mergeCell ref="C78:C81"/>
    <mergeCell ref="C83:C86"/>
    <mergeCell ref="N20:N25"/>
    <mergeCell ref="N32:N36"/>
    <mergeCell ref="O26:O36"/>
    <mergeCell ref="N43:N47"/>
    <mergeCell ref="O37:O47"/>
    <mergeCell ref="O48:O54"/>
    <mergeCell ref="N52:N54"/>
    <mergeCell ref="O69:O75"/>
    <mergeCell ref="C71:C72"/>
    <mergeCell ref="N73:N75"/>
    <mergeCell ref="C74:C75"/>
    <mergeCell ref="O62:O68"/>
    <mergeCell ref="A5:O5"/>
    <mergeCell ref="B6:B8"/>
    <mergeCell ref="C6:C8"/>
    <mergeCell ref="D6:D8"/>
    <mergeCell ref="O6:O8"/>
    <mergeCell ref="N6:N8"/>
    <mergeCell ref="E6:E8"/>
    <mergeCell ref="F6:F8"/>
    <mergeCell ref="G6:L6"/>
    <mergeCell ref="G7:G8"/>
    <mergeCell ref="H7:H8"/>
    <mergeCell ref="I7:I8"/>
    <mergeCell ref="J7:J8"/>
    <mergeCell ref="K7:K8"/>
    <mergeCell ref="L7:L8"/>
    <mergeCell ref="M6:M8"/>
    <mergeCell ref="C132:C136"/>
    <mergeCell ref="A99:L99"/>
    <mergeCell ref="N132:N136"/>
    <mergeCell ref="N59:N61"/>
    <mergeCell ref="C67:C68"/>
    <mergeCell ref="N66:N68"/>
    <mergeCell ref="C126:C130"/>
    <mergeCell ref="A62:A68"/>
    <mergeCell ref="A116:A119"/>
    <mergeCell ref="N111:N115"/>
    <mergeCell ref="A69:A75"/>
    <mergeCell ref="C64:C65"/>
    <mergeCell ref="M66:M68"/>
    <mergeCell ref="M73:M75"/>
    <mergeCell ref="M111:M115"/>
    <mergeCell ref="M132:M136"/>
    <mergeCell ref="A48:A54"/>
    <mergeCell ref="A37:A47"/>
    <mergeCell ref="C39:C42"/>
    <mergeCell ref="A26:A36"/>
    <mergeCell ref="C33:C36"/>
    <mergeCell ref="C28:C31"/>
    <mergeCell ref="C44:C47"/>
    <mergeCell ref="C50:C51"/>
    <mergeCell ref="C53:C54"/>
    <mergeCell ref="A137:A140"/>
    <mergeCell ref="O137:O140"/>
    <mergeCell ref="C139:C140"/>
    <mergeCell ref="A55:A61"/>
    <mergeCell ref="O55:O61"/>
    <mergeCell ref="C57:C58"/>
    <mergeCell ref="C60:C61"/>
    <mergeCell ref="A120:A123"/>
    <mergeCell ref="O120:O123"/>
    <mergeCell ref="C122:C123"/>
    <mergeCell ref="A124:A136"/>
    <mergeCell ref="O124:O136"/>
    <mergeCell ref="O116:O119"/>
    <mergeCell ref="C118:C119"/>
    <mergeCell ref="O100:O102"/>
    <mergeCell ref="O103:O107"/>
    <mergeCell ref="M20:M25"/>
    <mergeCell ref="M32:M36"/>
    <mergeCell ref="M43:M47"/>
    <mergeCell ref="M52:M54"/>
    <mergeCell ref="M59:M61"/>
    <mergeCell ref="A94:A97"/>
    <mergeCell ref="O94:O97"/>
    <mergeCell ref="O88:O93"/>
    <mergeCell ref="C92:C93"/>
    <mergeCell ref="C96:C97"/>
  </mergeCells>
  <printOptions horizontalCentered="1"/>
  <pageMargins left="3.937007874015748E-2" right="7.874015748031496E-2" top="0.51181102362204722" bottom="0.51181102362204722" header="0.11811023622047245" footer="0.15748031496062992"/>
  <pageSetup paperSize="9" scale="70" firstPageNumber="43" orientation="landscape" useFirstPageNumber="1" r:id="rId1"/>
  <headerFooter alignWithMargins="0">
    <oddHeader>&amp;C&amp;"Arial,Kursywa"Wieloletnia prognoza finansowa Województwa Zachodniopomorskiego&amp;"Arial,Normalny"
__________________________________________________________________________________________________________________________________</oddHeader>
    <oddFooter>&amp;C&amp;8&amp;P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00B050"/>
  </sheetPr>
  <dimension ref="A1:BY554"/>
  <sheetViews>
    <sheetView showGridLines="0" view="pageBreakPreview" zoomScaleSheetLayoutView="100" workbookViewId="0">
      <selection activeCell="C9" sqref="C9"/>
    </sheetView>
  </sheetViews>
  <sheetFormatPr defaultColWidth="9.140625" defaultRowHeight="12.75"/>
  <cols>
    <col min="1" max="1" width="4.7109375" style="284" customWidth="1"/>
    <col min="2" max="2" width="61" style="2936" customWidth="1"/>
    <col min="3" max="3" width="10" style="2936" customWidth="1"/>
    <col min="4" max="4" width="14.5703125" style="2936" customWidth="1"/>
    <col min="5" max="5" width="13.7109375" style="2936" customWidth="1"/>
    <col min="6" max="6" width="10.28515625" style="2936" customWidth="1"/>
    <col min="7" max="7" width="9.85546875" style="2936" customWidth="1"/>
    <col min="8" max="8" width="11.28515625" style="2936" customWidth="1"/>
    <col min="9" max="9" width="11" style="2936" customWidth="1"/>
    <col min="10" max="10" width="9.85546875" style="2936" customWidth="1"/>
    <col min="11" max="12" width="10.42578125" style="2936" bestFit="1" customWidth="1"/>
    <col min="13" max="13" width="12.5703125" style="2936" hidden="1" customWidth="1"/>
    <col min="14" max="14" width="12.5703125" style="2936" customWidth="1"/>
    <col min="15" max="15" width="13.5703125" style="2937" customWidth="1"/>
    <col min="16" max="16" width="15.140625" style="2936" hidden="1" customWidth="1"/>
    <col min="17" max="17" width="16.42578125" style="2936" hidden="1" customWidth="1"/>
    <col min="18" max="18" width="9.5703125" style="2936" hidden="1" customWidth="1"/>
    <col min="19" max="37" width="0" style="2936" hidden="1" customWidth="1"/>
    <col min="38" max="16384" width="9.140625" style="2936"/>
  </cols>
  <sheetData>
    <row r="1" spans="1:77" ht="3.75" customHeight="1">
      <c r="M1" s="6"/>
      <c r="N1" s="6"/>
      <c r="O1" s="7"/>
    </row>
    <row r="2" spans="1:77" ht="15" customHeight="1">
      <c r="B2" s="287"/>
      <c r="E2" s="2938"/>
      <c r="F2" s="2938"/>
      <c r="I2" s="290" t="s">
        <v>555</v>
      </c>
      <c r="J2" s="290"/>
      <c r="K2" s="290"/>
      <c r="L2" s="290"/>
      <c r="M2" s="6"/>
      <c r="N2" s="6"/>
      <c r="O2" s="7"/>
    </row>
    <row r="3" spans="1:77" ht="0.75" customHeight="1">
      <c r="G3" s="291"/>
      <c r="H3" s="291"/>
      <c r="I3" s="291"/>
      <c r="J3" s="291"/>
      <c r="K3" s="291"/>
      <c r="L3" s="291"/>
      <c r="M3" s="6"/>
      <c r="N3" s="6"/>
      <c r="O3" s="7"/>
    </row>
    <row r="4" spans="1:77" ht="3" customHeight="1">
      <c r="D4" s="2938"/>
      <c r="E4" s="2938"/>
      <c r="F4" s="2938"/>
      <c r="G4" s="2938"/>
      <c r="H4" s="2938"/>
      <c r="I4" s="2938"/>
      <c r="J4" s="2938"/>
      <c r="K4" s="2938"/>
      <c r="L4" s="2938"/>
      <c r="M4" s="2938"/>
      <c r="N4" s="6"/>
      <c r="O4" s="7"/>
    </row>
    <row r="5" spans="1:77" s="292" customFormat="1" ht="40.5" customHeight="1" thickBot="1">
      <c r="A5" s="3994" t="s">
        <v>138</v>
      </c>
      <c r="B5" s="3994"/>
      <c r="C5" s="3994"/>
      <c r="D5" s="3994"/>
      <c r="E5" s="3994"/>
      <c r="F5" s="3994"/>
      <c r="G5" s="3994"/>
      <c r="H5" s="3994"/>
      <c r="I5" s="3994"/>
      <c r="J5" s="3994"/>
      <c r="K5" s="3994"/>
      <c r="L5" s="3994"/>
      <c r="M5" s="3994"/>
      <c r="N5" s="3994"/>
      <c r="O5" s="3994"/>
    </row>
    <row r="6" spans="1:77" s="294" customFormat="1" ht="55.5" customHeight="1" thickBot="1">
      <c r="A6" s="142"/>
      <c r="B6" s="3995" t="s">
        <v>67</v>
      </c>
      <c r="C6" s="3629" t="s">
        <v>63</v>
      </c>
      <c r="D6" s="3996" t="s">
        <v>108</v>
      </c>
      <c r="E6" s="4000" t="s">
        <v>380</v>
      </c>
      <c r="F6" s="3504" t="s">
        <v>420</v>
      </c>
      <c r="G6" s="3646" t="s">
        <v>376</v>
      </c>
      <c r="H6" s="3647"/>
      <c r="I6" s="3647"/>
      <c r="J6" s="3647"/>
      <c r="K6" s="3647"/>
      <c r="L6" s="3648"/>
      <c r="M6" s="3638" t="s">
        <v>390</v>
      </c>
      <c r="N6" s="3638" t="s">
        <v>377</v>
      </c>
      <c r="O6" s="3998" t="s">
        <v>65</v>
      </c>
      <c r="P6" s="293"/>
      <c r="Q6" s="293"/>
      <c r="R6" s="293"/>
      <c r="S6" s="293"/>
      <c r="T6" s="293"/>
      <c r="U6" s="293"/>
      <c r="V6" s="293"/>
      <c r="W6" s="293"/>
      <c r="X6" s="293"/>
      <c r="Y6" s="293"/>
      <c r="Z6" s="293"/>
      <c r="AA6" s="293"/>
      <c r="AB6" s="293"/>
      <c r="AC6" s="293"/>
      <c r="AD6" s="293"/>
      <c r="AE6" s="293"/>
      <c r="AF6" s="293"/>
      <c r="AG6" s="293"/>
      <c r="AH6" s="293"/>
      <c r="AI6" s="293"/>
      <c r="AJ6" s="293"/>
      <c r="AK6" s="293"/>
      <c r="AL6" s="293"/>
      <c r="AM6" s="293"/>
      <c r="AN6" s="293"/>
      <c r="AO6" s="293"/>
      <c r="AP6" s="293"/>
      <c r="AQ6" s="293"/>
      <c r="AR6" s="293"/>
      <c r="AS6" s="293"/>
      <c r="AT6" s="293"/>
      <c r="AU6" s="293"/>
      <c r="AV6" s="293"/>
      <c r="AW6" s="293"/>
      <c r="AX6" s="293"/>
      <c r="AY6" s="293"/>
      <c r="AZ6" s="293"/>
      <c r="BA6" s="293"/>
      <c r="BB6" s="293"/>
      <c r="BC6" s="293"/>
      <c r="BD6" s="293"/>
      <c r="BE6" s="293"/>
      <c r="BF6" s="293"/>
      <c r="BG6" s="293"/>
      <c r="BH6" s="293"/>
      <c r="BI6" s="293"/>
      <c r="BJ6" s="293"/>
      <c r="BK6" s="293"/>
      <c r="BL6" s="293"/>
      <c r="BM6" s="293"/>
      <c r="BN6" s="293"/>
      <c r="BO6" s="293"/>
      <c r="BP6" s="293"/>
      <c r="BQ6" s="293"/>
      <c r="BR6" s="293"/>
      <c r="BS6" s="293"/>
      <c r="BT6" s="293"/>
      <c r="BU6" s="293"/>
      <c r="BV6" s="293"/>
      <c r="BW6" s="293"/>
      <c r="BX6" s="293"/>
      <c r="BY6" s="293"/>
    </row>
    <row r="7" spans="1:77" s="294" customFormat="1" ht="14.25" customHeight="1" thickBot="1">
      <c r="A7" s="143"/>
      <c r="B7" s="3995"/>
      <c r="C7" s="3630"/>
      <c r="D7" s="3997"/>
      <c r="E7" s="4001"/>
      <c r="F7" s="3506"/>
      <c r="G7" s="3127" t="s">
        <v>6</v>
      </c>
      <c r="H7" s="295" t="s">
        <v>170</v>
      </c>
      <c r="I7" s="295" t="s">
        <v>171</v>
      </c>
      <c r="J7" s="295" t="s">
        <v>214</v>
      </c>
      <c r="K7" s="295" t="s">
        <v>215</v>
      </c>
      <c r="L7" s="295" t="s">
        <v>216</v>
      </c>
      <c r="M7" s="3944"/>
      <c r="N7" s="3944"/>
      <c r="O7" s="3999"/>
      <c r="P7" s="174"/>
      <c r="Q7" s="293"/>
      <c r="R7" s="293"/>
      <c r="S7" s="293"/>
      <c r="T7" s="293"/>
      <c r="U7" s="293"/>
      <c r="V7" s="293"/>
      <c r="W7" s="293"/>
      <c r="X7" s="293"/>
      <c r="Y7" s="293"/>
      <c r="Z7" s="293"/>
      <c r="AA7" s="293"/>
      <c r="AB7" s="293"/>
      <c r="AC7" s="293"/>
      <c r="AD7" s="293"/>
      <c r="AE7" s="293"/>
      <c r="AF7" s="293"/>
      <c r="AG7" s="293"/>
      <c r="AH7" s="293"/>
      <c r="AI7" s="293"/>
      <c r="AJ7" s="293"/>
      <c r="AK7" s="293"/>
      <c r="AL7" s="293"/>
      <c r="AM7" s="293"/>
      <c r="AN7" s="293"/>
      <c r="AO7" s="293"/>
      <c r="AP7" s="293"/>
      <c r="AQ7" s="293"/>
      <c r="AR7" s="293"/>
      <c r="AS7" s="293"/>
      <c r="AT7" s="293"/>
      <c r="AU7" s="293"/>
      <c r="AV7" s="293"/>
      <c r="AW7" s="293"/>
      <c r="AX7" s="293"/>
      <c r="AY7" s="293"/>
      <c r="AZ7" s="293"/>
      <c r="BA7" s="293"/>
      <c r="BB7" s="293"/>
      <c r="BC7" s="293"/>
      <c r="BD7" s="293"/>
      <c r="BE7" s="293"/>
      <c r="BF7" s="293"/>
      <c r="BG7" s="293"/>
      <c r="BH7" s="293"/>
      <c r="BI7" s="293"/>
      <c r="BJ7" s="293"/>
      <c r="BK7" s="293"/>
      <c r="BL7" s="293"/>
      <c r="BM7" s="293"/>
      <c r="BN7" s="293"/>
      <c r="BO7" s="293"/>
      <c r="BP7" s="293"/>
      <c r="BQ7" s="293"/>
      <c r="BR7" s="293"/>
      <c r="BS7" s="293"/>
      <c r="BT7" s="293"/>
      <c r="BU7" s="293"/>
      <c r="BV7" s="293"/>
      <c r="BW7" s="293"/>
      <c r="BX7" s="293"/>
      <c r="BY7" s="293"/>
    </row>
    <row r="8" spans="1:77" s="294" customFormat="1" ht="12.75" customHeight="1">
      <c r="A8" s="856">
        <v>1</v>
      </c>
      <c r="B8" s="857">
        <v>2</v>
      </c>
      <c r="C8" s="858" t="s">
        <v>109</v>
      </c>
      <c r="D8" s="858" t="s">
        <v>110</v>
      </c>
      <c r="E8" s="1287">
        <v>5</v>
      </c>
      <c r="F8" s="858">
        <v>6</v>
      </c>
      <c r="G8" s="858">
        <v>7</v>
      </c>
      <c r="H8" s="858">
        <v>8</v>
      </c>
      <c r="I8" s="858">
        <v>9</v>
      </c>
      <c r="J8" s="858">
        <v>10</v>
      </c>
      <c r="K8" s="858">
        <v>11</v>
      </c>
      <c r="L8" s="858">
        <v>12</v>
      </c>
      <c r="M8" s="859">
        <v>13</v>
      </c>
      <c r="N8" s="859">
        <v>13</v>
      </c>
      <c r="O8" s="860">
        <v>14</v>
      </c>
      <c r="P8" s="294" t="s">
        <v>206</v>
      </c>
    </row>
    <row r="9" spans="1:77" s="2562" customFormat="1" ht="16.5" customHeight="1">
      <c r="A9" s="184"/>
      <c r="B9" s="375" t="s">
        <v>68</v>
      </c>
      <c r="C9" s="360"/>
      <c r="D9" s="361">
        <f>+D10+D11</f>
        <v>335590850</v>
      </c>
      <c r="E9" s="361">
        <f t="shared" ref="E9" si="0">+E10+E11</f>
        <v>27647365</v>
      </c>
      <c r="F9" s="361">
        <f t="shared" ref="F9:N9" si="1">+F10+F11</f>
        <v>29945877</v>
      </c>
      <c r="G9" s="361">
        <f t="shared" si="1"/>
        <v>37937794</v>
      </c>
      <c r="H9" s="215">
        <f t="shared" si="1"/>
        <v>52028772</v>
      </c>
      <c r="I9" s="215">
        <f t="shared" si="1"/>
        <v>81241012</v>
      </c>
      <c r="J9" s="215">
        <f t="shared" si="1"/>
        <v>55133386</v>
      </c>
      <c r="K9" s="215">
        <f t="shared" si="1"/>
        <v>26203709</v>
      </c>
      <c r="L9" s="215">
        <f t="shared" si="1"/>
        <v>25452935</v>
      </c>
      <c r="M9" s="145">
        <f t="shared" ref="M9" si="2">+M10+M11</f>
        <v>307943485</v>
      </c>
      <c r="N9" s="145">
        <f t="shared" si="1"/>
        <v>277997608</v>
      </c>
      <c r="O9" s="17"/>
      <c r="P9" s="2563">
        <f>M9-M12</f>
        <v>0</v>
      </c>
      <c r="Q9" s="2563"/>
    </row>
    <row r="10" spans="1:77" s="2562" customFormat="1">
      <c r="A10" s="184"/>
      <c r="B10" s="205" t="s">
        <v>69</v>
      </c>
      <c r="C10" s="206"/>
      <c r="D10" s="207">
        <f t="shared" ref="D10:L10" si="3">+D27+D72+D94-D102+D156+D186+D213-D217+D39</f>
        <v>234637602</v>
      </c>
      <c r="E10" s="207">
        <f t="shared" si="3"/>
        <v>26885682</v>
      </c>
      <c r="F10" s="207">
        <f t="shared" si="3"/>
        <v>28488169</v>
      </c>
      <c r="G10" s="207">
        <f t="shared" si="3"/>
        <v>35520519</v>
      </c>
      <c r="H10" s="207">
        <f t="shared" si="3"/>
        <v>33411645</v>
      </c>
      <c r="I10" s="207">
        <f t="shared" si="3"/>
        <v>32145430</v>
      </c>
      <c r="J10" s="207">
        <f t="shared" si="3"/>
        <v>26874013</v>
      </c>
      <c r="K10" s="207">
        <f t="shared" si="3"/>
        <v>26003709</v>
      </c>
      <c r="L10" s="207">
        <f t="shared" si="3"/>
        <v>25308435</v>
      </c>
      <c r="M10" s="487">
        <f>+M27+M72+M94+M156+M186+M213+M39</f>
        <v>207751920</v>
      </c>
      <c r="N10" s="487">
        <f>+N27+N72+N94+N156+N186+N213+N39</f>
        <v>179263751</v>
      </c>
      <c r="O10" s="17"/>
      <c r="P10" s="2563">
        <f>F10+G10+H10+I10+J10+K10+L10-M10</f>
        <v>0</v>
      </c>
      <c r="Q10" s="2563"/>
    </row>
    <row r="11" spans="1:77" s="2562" customFormat="1" ht="13.5" thickBot="1">
      <c r="A11" s="184"/>
      <c r="B11" s="208" t="s">
        <v>9</v>
      </c>
      <c r="C11" s="209"/>
      <c r="D11" s="210">
        <f>D60+D83+D119-D121+D170+D197+D226</f>
        <v>100953248</v>
      </c>
      <c r="E11" s="210">
        <f t="shared" ref="E11:L11" si="4">E60+E83+E119-E121+E170+E197+E226</f>
        <v>761683</v>
      </c>
      <c r="F11" s="210">
        <f t="shared" si="4"/>
        <v>1457708</v>
      </c>
      <c r="G11" s="210">
        <f t="shared" si="4"/>
        <v>2417275</v>
      </c>
      <c r="H11" s="210">
        <f t="shared" si="4"/>
        <v>18617127</v>
      </c>
      <c r="I11" s="210">
        <f t="shared" si="4"/>
        <v>49095582</v>
      </c>
      <c r="J11" s="210">
        <f t="shared" si="4"/>
        <v>28259373</v>
      </c>
      <c r="K11" s="210">
        <f t="shared" si="4"/>
        <v>200000</v>
      </c>
      <c r="L11" s="210">
        <f t="shared" si="4"/>
        <v>144500</v>
      </c>
      <c r="M11" s="18">
        <f>+M60+M83+M119+M170+M197+M226</f>
        <v>100191565</v>
      </c>
      <c r="N11" s="18">
        <f>+N60+N83+N119+N170+N197+N226</f>
        <v>98733857</v>
      </c>
      <c r="O11" s="17"/>
      <c r="P11" s="2563">
        <f>F11+G11+H11+I11+J11+K11+L11-M11</f>
        <v>0</v>
      </c>
    </row>
    <row r="12" spans="1:77" s="299" customFormat="1" ht="13.5" customHeight="1">
      <c r="A12" s="148"/>
      <c r="B12" s="149" t="s">
        <v>10</v>
      </c>
      <c r="C12" s="150"/>
      <c r="D12" s="151">
        <f>+D13+D18</f>
        <v>337166574</v>
      </c>
      <c r="E12" s="151">
        <f t="shared" ref="E12" si="5">+E13+E18</f>
        <v>28038481</v>
      </c>
      <c r="F12" s="151">
        <f t="shared" ref="F12:L12" si="6">+F13+F18</f>
        <v>30335756</v>
      </c>
      <c r="G12" s="151">
        <f t="shared" si="6"/>
        <v>38368735</v>
      </c>
      <c r="H12" s="151">
        <f t="shared" si="6"/>
        <v>52123040</v>
      </c>
      <c r="I12" s="151">
        <f t="shared" si="6"/>
        <v>81318477</v>
      </c>
      <c r="J12" s="151">
        <f t="shared" si="6"/>
        <v>55197405</v>
      </c>
      <c r="K12" s="151">
        <f t="shared" si="6"/>
        <v>26267727</v>
      </c>
      <c r="L12" s="151">
        <f t="shared" si="6"/>
        <v>25516953</v>
      </c>
      <c r="M12" s="185">
        <f>+M13+M18</f>
        <v>307943485</v>
      </c>
      <c r="N12" s="185">
        <f>+N13+N18</f>
        <v>277997608</v>
      </c>
      <c r="O12" s="146"/>
      <c r="P12" s="2563"/>
      <c r="Q12" s="298"/>
    </row>
    <row r="13" spans="1:77" s="304" customFormat="1" ht="13.5" customHeight="1">
      <c r="A13" s="144"/>
      <c r="B13" s="152" t="s">
        <v>11</v>
      </c>
      <c r="C13" s="153"/>
      <c r="D13" s="300">
        <f>+D14+D15+D16+D17</f>
        <v>67637060</v>
      </c>
      <c r="E13" s="300">
        <f t="shared" ref="E13" si="7">+E14+E15+E16+E17</f>
        <v>4917396</v>
      </c>
      <c r="F13" s="300">
        <f t="shared" ref="F13:L13" si="8">+F14+F15+F16+F17</f>
        <v>5683802</v>
      </c>
      <c r="G13" s="300">
        <f t="shared" si="8"/>
        <v>6596641</v>
      </c>
      <c r="H13" s="300">
        <f t="shared" si="8"/>
        <v>10930921</v>
      </c>
      <c r="I13" s="300">
        <f t="shared" si="8"/>
        <v>17794141</v>
      </c>
      <c r="J13" s="300">
        <f t="shared" si="8"/>
        <v>15546957</v>
      </c>
      <c r="K13" s="300">
        <f t="shared" si="8"/>
        <v>3053228</v>
      </c>
      <c r="L13" s="300">
        <f t="shared" si="8"/>
        <v>3113974</v>
      </c>
      <c r="M13" s="301">
        <f>+M14+M15+M16+M17</f>
        <v>61535056</v>
      </c>
      <c r="N13" s="301">
        <f>+N14+N15+N16+N17</f>
        <v>56241133</v>
      </c>
      <c r="O13" s="302"/>
      <c r="P13" s="2563"/>
      <c r="Q13" s="303"/>
      <c r="R13" s="303"/>
      <c r="S13" s="303"/>
      <c r="T13" s="303"/>
      <c r="U13" s="303"/>
      <c r="V13" s="303"/>
      <c r="W13" s="303"/>
      <c r="X13" s="303"/>
      <c r="Y13" s="303"/>
      <c r="Z13" s="303"/>
      <c r="AA13" s="303"/>
    </row>
    <row r="14" spans="1:77" s="307" customFormat="1" ht="12" customHeight="1">
      <c r="A14" s="154"/>
      <c r="B14" s="155" t="s">
        <v>12</v>
      </c>
      <c r="C14" s="156"/>
      <c r="D14" s="305">
        <f t="shared" ref="D14:L14" si="9">+D96+D140+D215+D29+D41+D62</f>
        <v>63847150</v>
      </c>
      <c r="E14" s="305">
        <f t="shared" si="9"/>
        <v>4104948</v>
      </c>
      <c r="F14" s="305">
        <f t="shared" si="9"/>
        <v>4898522</v>
      </c>
      <c r="G14" s="305">
        <f t="shared" si="9"/>
        <v>5272545</v>
      </c>
      <c r="H14" s="305">
        <f t="shared" si="9"/>
        <v>10582821</v>
      </c>
      <c r="I14" s="305">
        <f t="shared" si="9"/>
        <v>17466210</v>
      </c>
      <c r="J14" s="305">
        <f t="shared" si="9"/>
        <v>15482938</v>
      </c>
      <c r="K14" s="305">
        <f t="shared" si="9"/>
        <v>2989210</v>
      </c>
      <c r="L14" s="305">
        <f t="shared" si="9"/>
        <v>3049956</v>
      </c>
      <c r="M14" s="306">
        <f>SUM(F14:L14)</f>
        <v>59742202</v>
      </c>
      <c r="N14" s="306">
        <f t="shared" ref="M14:N16" si="10">SUM(G14:L14)</f>
        <v>54843680</v>
      </c>
      <c r="O14" s="146"/>
      <c r="P14" s="2563">
        <f t="shared" ref="P14:P19" si="11">F14+G14+H14+I14+J14+K14+L14-M14</f>
        <v>0</v>
      </c>
      <c r="Q14" s="307" t="s">
        <v>242</v>
      </c>
    </row>
    <row r="15" spans="1:77" s="307" customFormat="1" ht="11.25" customHeight="1">
      <c r="A15" s="154"/>
      <c r="B15" s="308" t="s">
        <v>13</v>
      </c>
      <c r="C15" s="309"/>
      <c r="D15" s="305">
        <f t="shared" ref="D15:L15" si="12">+D63+D74+D85+D216+D228+D45</f>
        <v>2214186</v>
      </c>
      <c r="E15" s="305">
        <f t="shared" si="12"/>
        <v>421332</v>
      </c>
      <c r="F15" s="305">
        <f t="shared" si="12"/>
        <v>395401</v>
      </c>
      <c r="G15" s="305">
        <f t="shared" si="12"/>
        <v>893155</v>
      </c>
      <c r="H15" s="305">
        <f t="shared" si="12"/>
        <v>253832</v>
      </c>
      <c r="I15" s="305">
        <f t="shared" si="12"/>
        <v>250466</v>
      </c>
      <c r="J15" s="305">
        <f t="shared" si="12"/>
        <v>0</v>
      </c>
      <c r="K15" s="305">
        <f t="shared" si="12"/>
        <v>0</v>
      </c>
      <c r="L15" s="305">
        <f t="shared" si="12"/>
        <v>0</v>
      </c>
      <c r="M15" s="306">
        <f>SUM(F15:L15)</f>
        <v>1792854</v>
      </c>
      <c r="N15" s="306">
        <f t="shared" si="10"/>
        <v>1397453</v>
      </c>
      <c r="O15" s="146"/>
      <c r="P15" s="2563">
        <f t="shared" si="11"/>
        <v>0</v>
      </c>
    </row>
    <row r="16" spans="1:77" s="307" customFormat="1" ht="15" hidden="1" customHeight="1">
      <c r="A16" s="154"/>
      <c r="B16" s="308" t="s">
        <v>16</v>
      </c>
      <c r="C16" s="309"/>
      <c r="D16" s="310">
        <f>+D141</f>
        <v>0</v>
      </c>
      <c r="E16" s="310">
        <f t="shared" ref="E16:L16" si="13">+E141</f>
        <v>0</v>
      </c>
      <c r="F16" s="310">
        <f t="shared" si="13"/>
        <v>0</v>
      </c>
      <c r="G16" s="310">
        <f t="shared" si="13"/>
        <v>0</v>
      </c>
      <c r="H16" s="310">
        <f t="shared" si="13"/>
        <v>0</v>
      </c>
      <c r="I16" s="310">
        <f t="shared" si="13"/>
        <v>0</v>
      </c>
      <c r="J16" s="310">
        <f t="shared" si="13"/>
        <v>0</v>
      </c>
      <c r="K16" s="310">
        <f t="shared" si="13"/>
        <v>0</v>
      </c>
      <c r="L16" s="310">
        <f t="shared" si="13"/>
        <v>0</v>
      </c>
      <c r="M16" s="306">
        <f t="shared" si="10"/>
        <v>0</v>
      </c>
      <c r="N16" s="306">
        <f t="shared" si="10"/>
        <v>0</v>
      </c>
      <c r="O16" s="146"/>
      <c r="P16" s="2563">
        <f t="shared" si="11"/>
        <v>0</v>
      </c>
    </row>
    <row r="17" spans="1:27" s="307" customFormat="1" ht="12" customHeight="1">
      <c r="A17" s="154"/>
      <c r="B17" s="308" t="s">
        <v>31</v>
      </c>
      <c r="C17" s="309"/>
      <c r="D17" s="310">
        <f t="shared" ref="D17:L17" si="14">D102+D121+D217</f>
        <v>1575724</v>
      </c>
      <c r="E17" s="310">
        <f t="shared" si="14"/>
        <v>391116</v>
      </c>
      <c r="F17" s="310">
        <f t="shared" si="14"/>
        <v>389879</v>
      </c>
      <c r="G17" s="310">
        <f t="shared" si="14"/>
        <v>430941</v>
      </c>
      <c r="H17" s="310">
        <f t="shared" si="14"/>
        <v>94268</v>
      </c>
      <c r="I17" s="310">
        <f t="shared" si="14"/>
        <v>77465</v>
      </c>
      <c r="J17" s="310">
        <f t="shared" si="14"/>
        <v>64019</v>
      </c>
      <c r="K17" s="310">
        <f t="shared" si="14"/>
        <v>64018</v>
      </c>
      <c r="L17" s="310">
        <f t="shared" si="14"/>
        <v>64018</v>
      </c>
      <c r="M17" s="311">
        <f>M102+M121</f>
        <v>0</v>
      </c>
      <c r="N17" s="311">
        <f>N102+N121</f>
        <v>0</v>
      </c>
      <c r="O17" s="146"/>
      <c r="P17" s="2563">
        <f>D15-D22</f>
        <v>0</v>
      </c>
    </row>
    <row r="18" spans="1:27" s="304" customFormat="1" ht="12" customHeight="1">
      <c r="A18" s="144"/>
      <c r="B18" s="157" t="s">
        <v>18</v>
      </c>
      <c r="C18" s="158"/>
      <c r="D18" s="159">
        <f>SUM(D19)</f>
        <v>269529514</v>
      </c>
      <c r="E18" s="159">
        <f t="shared" ref="E18" si="15">SUM(E19)</f>
        <v>23121085</v>
      </c>
      <c r="F18" s="159">
        <f t="shared" ref="F18:N18" si="16">SUM(F19)</f>
        <v>24651954</v>
      </c>
      <c r="G18" s="159">
        <f t="shared" si="16"/>
        <v>31772094</v>
      </c>
      <c r="H18" s="159">
        <f t="shared" si="16"/>
        <v>41192119</v>
      </c>
      <c r="I18" s="159">
        <f t="shared" si="16"/>
        <v>63524336</v>
      </c>
      <c r="J18" s="159">
        <f t="shared" si="16"/>
        <v>39650448</v>
      </c>
      <c r="K18" s="159">
        <f t="shared" si="16"/>
        <v>23214499</v>
      </c>
      <c r="L18" s="159">
        <f t="shared" si="16"/>
        <v>22402979</v>
      </c>
      <c r="M18" s="301">
        <f t="shared" si="16"/>
        <v>246408429</v>
      </c>
      <c r="N18" s="301">
        <f t="shared" si="16"/>
        <v>221756475</v>
      </c>
      <c r="O18" s="302"/>
      <c r="P18" s="2563">
        <f t="shared" si="11"/>
        <v>0</v>
      </c>
      <c r="Q18" s="303"/>
      <c r="R18" s="303"/>
      <c r="S18" s="303"/>
      <c r="T18" s="303"/>
      <c r="U18" s="303"/>
      <c r="V18" s="303"/>
      <c r="W18" s="303"/>
      <c r="X18" s="303"/>
      <c r="Y18" s="303"/>
      <c r="Z18" s="303"/>
      <c r="AA18" s="303"/>
    </row>
    <row r="19" spans="1:27" s="316" customFormat="1" ht="12" customHeight="1">
      <c r="A19" s="160"/>
      <c r="B19" s="312" t="s">
        <v>20</v>
      </c>
      <c r="C19" s="313"/>
      <c r="D19" s="305">
        <f t="shared" ref="D19:L19" si="17">+D31+D65+D76+D87+D106+D125+D143+D219+D230+D50</f>
        <v>269529514</v>
      </c>
      <c r="E19" s="305">
        <f t="shared" si="17"/>
        <v>23121085</v>
      </c>
      <c r="F19" s="305">
        <f t="shared" si="17"/>
        <v>24651954</v>
      </c>
      <c r="G19" s="305">
        <f t="shared" si="17"/>
        <v>31772094</v>
      </c>
      <c r="H19" s="305">
        <f t="shared" si="17"/>
        <v>41192119</v>
      </c>
      <c r="I19" s="305">
        <f t="shared" si="17"/>
        <v>63524336</v>
      </c>
      <c r="J19" s="305">
        <f t="shared" si="17"/>
        <v>39650448</v>
      </c>
      <c r="K19" s="305">
        <f t="shared" si="17"/>
        <v>23214499</v>
      </c>
      <c r="L19" s="305">
        <f t="shared" si="17"/>
        <v>22402979</v>
      </c>
      <c r="M19" s="306">
        <f>SUM(F19:L19)</f>
        <v>246408429</v>
      </c>
      <c r="N19" s="306">
        <f>SUM(G19:L19)</f>
        <v>221756475</v>
      </c>
      <c r="O19" s="314"/>
      <c r="P19" s="2563">
        <f t="shared" si="11"/>
        <v>0</v>
      </c>
      <c r="Q19" s="315"/>
      <c r="R19" s="315"/>
      <c r="S19" s="315"/>
      <c r="T19" s="315"/>
      <c r="U19" s="315"/>
      <c r="V19" s="315"/>
      <c r="W19" s="315"/>
      <c r="X19" s="315"/>
      <c r="Y19" s="315"/>
      <c r="Z19" s="315"/>
      <c r="AA19" s="315"/>
    </row>
    <row r="20" spans="1:27" s="316" customFormat="1" ht="12.75" customHeight="1">
      <c r="A20" s="160"/>
      <c r="B20" s="78" t="s">
        <v>21</v>
      </c>
      <c r="C20" s="364"/>
      <c r="D20" s="365">
        <f>+D21+D24</f>
        <v>271743700</v>
      </c>
      <c r="E20" s="365">
        <f t="shared" ref="E20" si="18">+E21+E24</f>
        <v>17710330</v>
      </c>
      <c r="F20" s="365">
        <f t="shared" ref="F20:L20" si="19">+F21+F24</f>
        <v>26495814</v>
      </c>
      <c r="G20" s="365">
        <f t="shared" si="19"/>
        <v>31058560</v>
      </c>
      <c r="H20" s="365">
        <f t="shared" si="19"/>
        <v>42115448</v>
      </c>
      <c r="I20" s="365">
        <f t="shared" si="19"/>
        <v>52510997</v>
      </c>
      <c r="J20" s="365">
        <f t="shared" si="19"/>
        <v>41812431</v>
      </c>
      <c r="K20" s="365">
        <f t="shared" si="19"/>
        <v>23772239</v>
      </c>
      <c r="L20" s="365">
        <f t="shared" si="19"/>
        <v>22801167</v>
      </c>
      <c r="M20" s="3945" t="s">
        <v>53</v>
      </c>
      <c r="N20" s="3945" t="s">
        <v>53</v>
      </c>
      <c r="O20" s="146"/>
      <c r="P20" s="320">
        <f>D77+D88+D115+D134+D147+D220+D54+D35+D66+D231</f>
        <v>271743700</v>
      </c>
      <c r="Q20" s="315"/>
      <c r="R20" s="315"/>
      <c r="S20" s="315"/>
      <c r="T20" s="315"/>
      <c r="U20" s="315"/>
      <c r="V20" s="315"/>
      <c r="W20" s="315"/>
      <c r="X20" s="315"/>
      <c r="Y20" s="315"/>
      <c r="Z20" s="315"/>
      <c r="AA20" s="315"/>
    </row>
    <row r="21" spans="1:27" s="304" customFormat="1" ht="12" customHeight="1">
      <c r="A21" s="144"/>
      <c r="B21" s="152" t="s">
        <v>11</v>
      </c>
      <c r="C21" s="153"/>
      <c r="D21" s="300">
        <f>+D22+D23</f>
        <v>2214186</v>
      </c>
      <c r="E21" s="300">
        <f t="shared" ref="E21" si="20">+E22+E23</f>
        <v>413005</v>
      </c>
      <c r="F21" s="300">
        <f t="shared" ref="F21:L21" si="21">+F22+F23</f>
        <v>369575</v>
      </c>
      <c r="G21" s="300">
        <f t="shared" si="21"/>
        <v>899520</v>
      </c>
      <c r="H21" s="300">
        <f t="shared" si="21"/>
        <v>267204</v>
      </c>
      <c r="I21" s="300">
        <f t="shared" si="21"/>
        <v>244649</v>
      </c>
      <c r="J21" s="300">
        <f t="shared" si="21"/>
        <v>20233</v>
      </c>
      <c r="K21" s="300">
        <f t="shared" si="21"/>
        <v>0</v>
      </c>
      <c r="L21" s="300">
        <f t="shared" si="21"/>
        <v>0</v>
      </c>
      <c r="M21" s="3858"/>
      <c r="N21" s="3858"/>
      <c r="O21" s="302"/>
      <c r="P21" s="320"/>
      <c r="Q21" s="303"/>
      <c r="R21" s="303"/>
      <c r="S21" s="303"/>
      <c r="T21" s="303"/>
      <c r="U21" s="303"/>
      <c r="V21" s="303"/>
      <c r="W21" s="303"/>
      <c r="X21" s="303"/>
      <c r="Y21" s="303"/>
      <c r="Z21" s="303"/>
      <c r="AA21" s="303"/>
    </row>
    <row r="22" spans="1:27" s="316" customFormat="1" ht="12" customHeight="1">
      <c r="A22" s="160"/>
      <c r="B22" s="308" t="s">
        <v>13</v>
      </c>
      <c r="C22" s="317"/>
      <c r="D22" s="305">
        <f t="shared" ref="D22:L22" si="22">+D68+D79+D222+D233+D90+D56</f>
        <v>2214186</v>
      </c>
      <c r="E22" s="305">
        <f t="shared" si="22"/>
        <v>413005</v>
      </c>
      <c r="F22" s="305">
        <f t="shared" si="22"/>
        <v>369575</v>
      </c>
      <c r="G22" s="305">
        <f t="shared" si="22"/>
        <v>899520</v>
      </c>
      <c r="H22" s="305">
        <f t="shared" si="22"/>
        <v>267204</v>
      </c>
      <c r="I22" s="305">
        <f t="shared" si="22"/>
        <v>244649</v>
      </c>
      <c r="J22" s="305">
        <f t="shared" si="22"/>
        <v>20233</v>
      </c>
      <c r="K22" s="305">
        <f t="shared" si="22"/>
        <v>0</v>
      </c>
      <c r="L22" s="305">
        <f t="shared" si="22"/>
        <v>0</v>
      </c>
      <c r="M22" s="3858"/>
      <c r="N22" s="3858"/>
      <c r="O22" s="314"/>
      <c r="P22" s="320"/>
      <c r="Q22" s="315"/>
      <c r="R22" s="315"/>
      <c r="S22" s="315"/>
      <c r="T22" s="315"/>
      <c r="U22" s="315"/>
      <c r="V22" s="315"/>
      <c r="W22" s="315"/>
      <c r="X22" s="315"/>
      <c r="Y22" s="315"/>
      <c r="Z22" s="315"/>
      <c r="AA22" s="315"/>
    </row>
    <row r="23" spans="1:27" s="316" customFormat="1" ht="12" hidden="1" customHeight="1">
      <c r="A23" s="160"/>
      <c r="B23" s="308" t="s">
        <v>16</v>
      </c>
      <c r="C23" s="317"/>
      <c r="D23" s="310">
        <f>+D149</f>
        <v>0</v>
      </c>
      <c r="E23" s="310">
        <f>+E149</f>
        <v>0</v>
      </c>
      <c r="F23" s="310">
        <f>+F149</f>
        <v>0</v>
      </c>
      <c r="G23" s="310">
        <f t="shared" ref="G23:L23" si="23">+G149</f>
        <v>0</v>
      </c>
      <c r="H23" s="310">
        <f t="shared" si="23"/>
        <v>0</v>
      </c>
      <c r="I23" s="310">
        <f t="shared" si="23"/>
        <v>0</v>
      </c>
      <c r="J23" s="310">
        <f t="shared" si="23"/>
        <v>0</v>
      </c>
      <c r="K23" s="310">
        <f t="shared" si="23"/>
        <v>0</v>
      </c>
      <c r="L23" s="310">
        <f t="shared" si="23"/>
        <v>0</v>
      </c>
      <c r="M23" s="3858"/>
      <c r="N23" s="3858"/>
      <c r="O23" s="314"/>
      <c r="P23" s="320"/>
      <c r="Q23" s="315"/>
      <c r="R23" s="315"/>
      <c r="S23" s="315"/>
      <c r="T23" s="315"/>
      <c r="U23" s="315"/>
      <c r="V23" s="315"/>
      <c r="W23" s="315"/>
      <c r="X23" s="315"/>
      <c r="Y23" s="315"/>
      <c r="Z23" s="315"/>
      <c r="AA23" s="315"/>
    </row>
    <row r="24" spans="1:27" s="304" customFormat="1" ht="12" customHeight="1">
      <c r="A24" s="144"/>
      <c r="B24" s="157" t="s">
        <v>18</v>
      </c>
      <c r="C24" s="158"/>
      <c r="D24" s="159">
        <f>+D25</f>
        <v>269529514</v>
      </c>
      <c r="E24" s="159">
        <f t="shared" ref="E24" si="24">+E25</f>
        <v>17297325</v>
      </c>
      <c r="F24" s="159">
        <f t="shared" ref="F24:L24" si="25">+F25</f>
        <v>26126239</v>
      </c>
      <c r="G24" s="159">
        <f t="shared" si="25"/>
        <v>30159040</v>
      </c>
      <c r="H24" s="159">
        <f t="shared" si="25"/>
        <v>41848244</v>
      </c>
      <c r="I24" s="159">
        <f t="shared" si="25"/>
        <v>52266348</v>
      </c>
      <c r="J24" s="159">
        <f t="shared" si="25"/>
        <v>41792198</v>
      </c>
      <c r="K24" s="159">
        <f t="shared" si="25"/>
        <v>23772239</v>
      </c>
      <c r="L24" s="159">
        <f t="shared" si="25"/>
        <v>22801167</v>
      </c>
      <c r="M24" s="3858"/>
      <c r="N24" s="3858"/>
      <c r="O24" s="302"/>
      <c r="P24" s="320"/>
      <c r="Q24" s="303"/>
      <c r="R24" s="303"/>
      <c r="S24" s="303"/>
      <c r="T24" s="303"/>
      <c r="U24" s="303"/>
      <c r="V24" s="303"/>
      <c r="W24" s="303"/>
      <c r="X24" s="303"/>
      <c r="Y24" s="303"/>
      <c r="Z24" s="303"/>
      <c r="AA24" s="303"/>
    </row>
    <row r="25" spans="1:27" s="316" customFormat="1" ht="12" customHeight="1" thickBot="1">
      <c r="A25" s="161"/>
      <c r="B25" s="318" t="s">
        <v>20</v>
      </c>
      <c r="C25" s="162"/>
      <c r="D25" s="163">
        <f t="shared" ref="D25:L25" si="26">+D37+D70+D81+D92+D117+D136+D151+D224+D235+D58</f>
        <v>269529514</v>
      </c>
      <c r="E25" s="163">
        <f t="shared" si="26"/>
        <v>17297325</v>
      </c>
      <c r="F25" s="163">
        <f t="shared" si="26"/>
        <v>26126239</v>
      </c>
      <c r="G25" s="163">
        <f t="shared" si="26"/>
        <v>30159040</v>
      </c>
      <c r="H25" s="163">
        <f t="shared" si="26"/>
        <v>41848244</v>
      </c>
      <c r="I25" s="163">
        <f t="shared" si="26"/>
        <v>52266348</v>
      </c>
      <c r="J25" s="163">
        <f t="shared" si="26"/>
        <v>41792198</v>
      </c>
      <c r="K25" s="163">
        <f t="shared" si="26"/>
        <v>23772239</v>
      </c>
      <c r="L25" s="163">
        <f t="shared" si="26"/>
        <v>22801167</v>
      </c>
      <c r="M25" s="3859"/>
      <c r="N25" s="3859"/>
      <c r="O25" s="319"/>
      <c r="P25" s="320">
        <f>D19-D25</f>
        <v>0</v>
      </c>
      <c r="Q25" s="315"/>
      <c r="R25" s="315"/>
      <c r="S25" s="315"/>
      <c r="T25" s="315"/>
      <c r="U25" s="315"/>
      <c r="V25" s="315"/>
      <c r="W25" s="315"/>
      <c r="X25" s="315"/>
      <c r="Y25" s="315"/>
      <c r="Z25" s="315"/>
      <c r="AA25" s="315"/>
    </row>
    <row r="26" spans="1:27" s="315" customFormat="1" ht="25.5" customHeight="1">
      <c r="A26" s="3966" t="s">
        <v>55</v>
      </c>
      <c r="B26" s="164" t="s">
        <v>515</v>
      </c>
      <c r="C26" s="165" t="s">
        <v>100</v>
      </c>
      <c r="D26" s="181"/>
      <c r="E26" s="180"/>
      <c r="F26" s="180"/>
      <c r="G26" s="180"/>
      <c r="H26" s="180"/>
      <c r="I26" s="180"/>
      <c r="J26" s="180"/>
      <c r="K26" s="180"/>
      <c r="L26" s="246"/>
      <c r="M26" s="321"/>
      <c r="N26" s="321"/>
      <c r="O26" s="3989" t="s">
        <v>294</v>
      </c>
      <c r="P26" s="320"/>
    </row>
    <row r="27" spans="1:27" s="315" customFormat="1" ht="14.25" customHeight="1">
      <c r="A27" s="3967"/>
      <c r="B27" s="21" t="s">
        <v>10</v>
      </c>
      <c r="C27" s="3210"/>
      <c r="D27" s="322">
        <f>+D28+D30</f>
        <v>1966760</v>
      </c>
      <c r="E27" s="322">
        <f t="shared" ref="E27" si="27">+E28+E30</f>
        <v>192432</v>
      </c>
      <c r="F27" s="322">
        <f t="shared" ref="F27:K27" si="28">+F28+F30</f>
        <v>190282</v>
      </c>
      <c r="G27" s="322">
        <f t="shared" si="28"/>
        <v>235896</v>
      </c>
      <c r="H27" s="322">
        <f t="shared" si="28"/>
        <v>281170</v>
      </c>
      <c r="I27" s="322">
        <f t="shared" si="28"/>
        <v>281170</v>
      </c>
      <c r="J27" s="322">
        <f t="shared" si="28"/>
        <v>280970</v>
      </c>
      <c r="K27" s="322">
        <f t="shared" si="28"/>
        <v>504840</v>
      </c>
      <c r="L27" s="322"/>
      <c r="M27" s="3211">
        <f>M28+M30</f>
        <v>1774328</v>
      </c>
      <c r="N27" s="3211">
        <f>N28+N30</f>
        <v>1584046</v>
      </c>
      <c r="O27" s="3990"/>
      <c r="P27" s="2563"/>
    </row>
    <row r="28" spans="1:27" s="1710" customFormat="1" ht="12" customHeight="1">
      <c r="A28" s="3967"/>
      <c r="B28" s="515" t="s">
        <v>23</v>
      </c>
      <c r="C28" s="3855" t="s">
        <v>139</v>
      </c>
      <c r="D28" s="323">
        <f>+D29</f>
        <v>2000</v>
      </c>
      <c r="E28" s="323">
        <f t="shared" ref="E28" si="29">+E29</f>
        <v>10</v>
      </c>
      <c r="F28" s="323">
        <f t="shared" ref="F28:K28" si="30">+F29</f>
        <v>0</v>
      </c>
      <c r="G28" s="323">
        <f t="shared" si="30"/>
        <v>290</v>
      </c>
      <c r="H28" s="323">
        <f t="shared" si="30"/>
        <v>400</v>
      </c>
      <c r="I28" s="323">
        <f t="shared" si="30"/>
        <v>400</v>
      </c>
      <c r="J28" s="323">
        <f t="shared" si="30"/>
        <v>200</v>
      </c>
      <c r="K28" s="323">
        <f t="shared" si="30"/>
        <v>700</v>
      </c>
      <c r="L28" s="323"/>
      <c r="M28" s="324">
        <f>+M29</f>
        <v>1990</v>
      </c>
      <c r="N28" s="324">
        <f>+N29</f>
        <v>1990</v>
      </c>
      <c r="O28" s="3990"/>
      <c r="P28" s="1709"/>
    </row>
    <row r="29" spans="1:27" s="1710" customFormat="1" ht="11.25" customHeight="1">
      <c r="A29" s="3967"/>
      <c r="B29" s="167" t="s">
        <v>12</v>
      </c>
      <c r="C29" s="3992"/>
      <c r="D29" s="236">
        <f>E29+F29+G29+H29+I29+J29+K29+L29</f>
        <v>2000</v>
      </c>
      <c r="E29" s="1149">
        <v>10</v>
      </c>
      <c r="F29" s="1149">
        <f>300-300</f>
        <v>0</v>
      </c>
      <c r="G29" s="1149">
        <f>400+90+300-500</f>
        <v>290</v>
      </c>
      <c r="H29" s="1149">
        <v>400</v>
      </c>
      <c r="I29" s="1149">
        <v>400</v>
      </c>
      <c r="J29" s="1149">
        <v>200</v>
      </c>
      <c r="K29" s="1149">
        <f>200+500</f>
        <v>700</v>
      </c>
      <c r="L29" s="3212"/>
      <c r="M29" s="572">
        <f>SUM(F29:K29)</f>
        <v>1990</v>
      </c>
      <c r="N29" s="572">
        <f>SUM(G29:L29)</f>
        <v>1990</v>
      </c>
      <c r="O29" s="3990"/>
      <c r="P29" s="1711"/>
    </row>
    <row r="30" spans="1:27" s="315" customFormat="1" ht="12" customHeight="1">
      <c r="A30" s="3967"/>
      <c r="B30" s="562" t="s">
        <v>18</v>
      </c>
      <c r="C30" s="3971"/>
      <c r="D30" s="325">
        <f>+D31</f>
        <v>1964760</v>
      </c>
      <c r="E30" s="325">
        <f t="shared" ref="E30:K30" si="31">E31</f>
        <v>192422</v>
      </c>
      <c r="F30" s="325">
        <f t="shared" si="31"/>
        <v>190282</v>
      </c>
      <c r="G30" s="325">
        <f t="shared" si="31"/>
        <v>235606</v>
      </c>
      <c r="H30" s="325">
        <f t="shared" si="31"/>
        <v>280770</v>
      </c>
      <c r="I30" s="325">
        <f t="shared" si="31"/>
        <v>280770</v>
      </c>
      <c r="J30" s="325">
        <f t="shared" si="31"/>
        <v>280770</v>
      </c>
      <c r="K30" s="325">
        <f t="shared" si="31"/>
        <v>504140</v>
      </c>
      <c r="L30" s="325"/>
      <c r="M30" s="324">
        <f>+M31</f>
        <v>1772338</v>
      </c>
      <c r="N30" s="324">
        <f>+N31</f>
        <v>1582056</v>
      </c>
      <c r="O30" s="3990"/>
      <c r="P30" s="320"/>
      <c r="Q30" s="320"/>
    </row>
    <row r="31" spans="1:27" s="2562" customFormat="1">
      <c r="A31" s="3967"/>
      <c r="B31" s="1150" t="s">
        <v>20</v>
      </c>
      <c r="C31" s="3972"/>
      <c r="D31" s="236">
        <f>E31+F31+G31+H31+I31+J31+K31+L31</f>
        <v>1964760</v>
      </c>
      <c r="E31" s="1149">
        <f>+E33+E34</f>
        <v>192422</v>
      </c>
      <c r="F31" s="236">
        <f t="shared" ref="F31:K31" si="32">SUM(F33:F34)</f>
        <v>190282</v>
      </c>
      <c r="G31" s="236">
        <f>SUM(G33:G34)</f>
        <v>235606</v>
      </c>
      <c r="H31" s="236">
        <f t="shared" si="32"/>
        <v>280770</v>
      </c>
      <c r="I31" s="236">
        <f t="shared" si="32"/>
        <v>280770</v>
      </c>
      <c r="J31" s="236">
        <f t="shared" si="32"/>
        <v>280770</v>
      </c>
      <c r="K31" s="236">
        <f t="shared" si="32"/>
        <v>504140</v>
      </c>
      <c r="L31" s="3213"/>
      <c r="M31" s="572">
        <f>SUM(F31:L31)</f>
        <v>1772338</v>
      </c>
      <c r="N31" s="572">
        <f>SUM(G31:L31)</f>
        <v>1582056</v>
      </c>
      <c r="O31" s="3990"/>
      <c r="P31" s="2563"/>
    </row>
    <row r="32" spans="1:27" s="2562" customFormat="1" hidden="1">
      <c r="A32" s="3967"/>
      <c r="B32" s="3214" t="s">
        <v>333</v>
      </c>
      <c r="C32" s="3137"/>
      <c r="D32" s="785"/>
      <c r="E32" s="3215"/>
      <c r="F32" s="3215"/>
      <c r="G32" s="3215"/>
      <c r="H32" s="3215"/>
      <c r="I32" s="3215"/>
      <c r="J32" s="3215"/>
      <c r="K32" s="3215"/>
      <c r="L32" s="3215"/>
      <c r="M32" s="3216"/>
      <c r="N32" s="3216"/>
      <c r="O32" s="3990"/>
      <c r="P32" s="2563"/>
    </row>
    <row r="33" spans="1:16" s="2562" customFormat="1" hidden="1">
      <c r="A33" s="3967"/>
      <c r="B33" s="3217" t="s">
        <v>250</v>
      </c>
      <c r="C33" s="3154"/>
      <c r="D33" s="837">
        <f>SUM(E33:K33)</f>
        <v>1881600</v>
      </c>
      <c r="E33" s="3218">
        <v>187905</v>
      </c>
      <c r="F33" s="3218">
        <f>268800-68800-19862</f>
        <v>180138</v>
      </c>
      <c r="G33" s="3218">
        <f>268800+19862-74305</f>
        <v>214357</v>
      </c>
      <c r="H33" s="3218">
        <v>268800</v>
      </c>
      <c r="I33" s="3218">
        <v>268800</v>
      </c>
      <c r="J33" s="3218">
        <v>268800</v>
      </c>
      <c r="K33" s="3218">
        <f>268800+80895+68800+74305</f>
        <v>492800</v>
      </c>
      <c r="L33" s="3218"/>
      <c r="M33" s="3219">
        <f>SUM(F33:K33)</f>
        <v>1693695</v>
      </c>
      <c r="N33" s="3219">
        <f>SUM(G33:L33)</f>
        <v>1513557</v>
      </c>
      <c r="O33" s="3990"/>
      <c r="P33" s="2563"/>
    </row>
    <row r="34" spans="1:16" s="2562" customFormat="1" hidden="1">
      <c r="A34" s="3967"/>
      <c r="B34" s="3217" t="s">
        <v>101</v>
      </c>
      <c r="C34" s="3154"/>
      <c r="D34" s="785">
        <f>+E34+F34+G34+H34+I34+J34+K34</f>
        <v>83160</v>
      </c>
      <c r="E34" s="3220">
        <v>4517</v>
      </c>
      <c r="F34" s="3220">
        <f>11970-1826</f>
        <v>10144</v>
      </c>
      <c r="G34" s="3220">
        <f>11970+7453+1826</f>
        <v>21249</v>
      </c>
      <c r="H34" s="3220">
        <v>11970</v>
      </c>
      <c r="I34" s="3220">
        <v>11970</v>
      </c>
      <c r="J34" s="3220">
        <v>11970</v>
      </c>
      <c r="K34" s="3220">
        <v>11340</v>
      </c>
      <c r="L34" s="3220"/>
      <c r="M34" s="3221">
        <f>SUM(F34:K34)</f>
        <v>78643</v>
      </c>
      <c r="N34" s="3221">
        <f>SUM(G34:L34)</f>
        <v>68499</v>
      </c>
      <c r="O34" s="3990"/>
      <c r="P34" s="2563"/>
    </row>
    <row r="35" spans="1:16" s="2562" customFormat="1" ht="12.75" customHeight="1">
      <c r="A35" s="3514"/>
      <c r="B35" s="21" t="s">
        <v>21</v>
      </c>
      <c r="C35" s="169"/>
      <c r="D35" s="322">
        <f>+D36</f>
        <v>1964760</v>
      </c>
      <c r="E35" s="322">
        <f t="shared" ref="E35:L35" si="33">+E36</f>
        <v>0</v>
      </c>
      <c r="F35" s="322">
        <f t="shared" si="33"/>
        <v>0</v>
      </c>
      <c r="G35" s="322">
        <f t="shared" si="33"/>
        <v>473192</v>
      </c>
      <c r="H35" s="322">
        <f t="shared" si="33"/>
        <v>213918</v>
      </c>
      <c r="I35" s="322">
        <f t="shared" si="33"/>
        <v>280770</v>
      </c>
      <c r="J35" s="322">
        <f t="shared" si="33"/>
        <v>280770</v>
      </c>
      <c r="K35" s="322">
        <f t="shared" si="33"/>
        <v>317922</v>
      </c>
      <c r="L35" s="322">
        <f t="shared" si="33"/>
        <v>398188</v>
      </c>
      <c r="M35" s="3946" t="s">
        <v>53</v>
      </c>
      <c r="N35" s="3946" t="s">
        <v>53</v>
      </c>
      <c r="O35" s="3990"/>
      <c r="P35" s="2563">
        <f>G35-'[1]Tab. 6E - Administracja'!$G$35</f>
        <v>0</v>
      </c>
    </row>
    <row r="36" spans="1:16" s="2562" customFormat="1" ht="12.75" customHeight="1">
      <c r="A36" s="3514"/>
      <c r="B36" s="1944" t="s">
        <v>18</v>
      </c>
      <c r="C36" s="3971" t="s">
        <v>139</v>
      </c>
      <c r="D36" s="325">
        <f>+D37</f>
        <v>1964760</v>
      </c>
      <c r="E36" s="325">
        <f t="shared" ref="E36:L36" si="34">E37</f>
        <v>0</v>
      </c>
      <c r="F36" s="325">
        <f t="shared" si="34"/>
        <v>0</v>
      </c>
      <c r="G36" s="325">
        <f t="shared" si="34"/>
        <v>473192</v>
      </c>
      <c r="H36" s="325">
        <f t="shared" si="34"/>
        <v>213918</v>
      </c>
      <c r="I36" s="325">
        <f t="shared" si="34"/>
        <v>280770</v>
      </c>
      <c r="J36" s="325">
        <f t="shared" si="34"/>
        <v>280770</v>
      </c>
      <c r="K36" s="325">
        <f t="shared" si="34"/>
        <v>317922</v>
      </c>
      <c r="L36" s="325">
        <f t="shared" si="34"/>
        <v>398188</v>
      </c>
      <c r="M36" s="3861"/>
      <c r="N36" s="3861"/>
      <c r="O36" s="3990"/>
    </row>
    <row r="37" spans="1:16" s="2562" customFormat="1" ht="12" customHeight="1" thickBot="1">
      <c r="A37" s="3515"/>
      <c r="B37" s="327" t="s">
        <v>20</v>
      </c>
      <c r="C37" s="3969"/>
      <c r="D37" s="236">
        <f>E37+F37+G37+H37+I37+J37+K37+L37</f>
        <v>1964760</v>
      </c>
      <c r="E37" s="1149">
        <v>0</v>
      </c>
      <c r="F37" s="3213">
        <f>192422-192422</f>
        <v>0</v>
      </c>
      <c r="G37" s="3213">
        <f>280770+192422</f>
        <v>473192</v>
      </c>
      <c r="H37" s="3213">
        <f>288223-74305</f>
        <v>213918</v>
      </c>
      <c r="I37" s="3213">
        <v>280770</v>
      </c>
      <c r="J37" s="3213">
        <v>280770</v>
      </c>
      <c r="K37" s="3213">
        <f>280770+37152</f>
        <v>317922</v>
      </c>
      <c r="L37" s="3213">
        <f>361035+37153</f>
        <v>398188</v>
      </c>
      <c r="M37" s="3862"/>
      <c r="N37" s="3862"/>
      <c r="O37" s="3991"/>
      <c r="P37" s="2563">
        <f>D37-D31</f>
        <v>0</v>
      </c>
    </row>
    <row r="38" spans="1:16" s="2562" customFormat="1" ht="30" customHeight="1">
      <c r="A38" s="3966" t="s">
        <v>56</v>
      </c>
      <c r="B38" s="164" t="s">
        <v>349</v>
      </c>
      <c r="C38" s="3222" t="s">
        <v>100</v>
      </c>
      <c r="D38" s="358"/>
      <c r="E38" s="358"/>
      <c r="F38" s="358"/>
      <c r="G38" s="358"/>
      <c r="H38" s="358"/>
      <c r="I38" s="358"/>
      <c r="J38" s="358"/>
      <c r="K38" s="358"/>
      <c r="L38" s="2384"/>
      <c r="M38" s="181">
        <f t="shared" ref="M38" si="35">M43+M47+M52</f>
        <v>783552</v>
      </c>
      <c r="N38" s="181"/>
      <c r="O38" s="3989" t="s">
        <v>269</v>
      </c>
      <c r="P38" s="2562" t="s">
        <v>356</v>
      </c>
    </row>
    <row r="39" spans="1:16" s="2562" customFormat="1" ht="12" customHeight="1">
      <c r="A39" s="3967"/>
      <c r="B39" s="539" t="s">
        <v>10</v>
      </c>
      <c r="C39" s="1308"/>
      <c r="D39" s="3223">
        <f t="shared" ref="D39:I39" si="36">+D40+D49</f>
        <v>1304492</v>
      </c>
      <c r="E39" s="3223">
        <f t="shared" si="36"/>
        <v>83853</v>
      </c>
      <c r="F39" s="3223">
        <f t="shared" si="36"/>
        <v>248368</v>
      </c>
      <c r="G39" s="3223">
        <f t="shared" si="36"/>
        <v>283658</v>
      </c>
      <c r="H39" s="3223">
        <f t="shared" si="36"/>
        <v>288743</v>
      </c>
      <c r="I39" s="3223">
        <f t="shared" si="36"/>
        <v>399870</v>
      </c>
      <c r="J39" s="3224">
        <v>0</v>
      </c>
      <c r="K39" s="3223"/>
      <c r="L39" s="3223"/>
      <c r="M39" s="3225">
        <f>+M40+M49</f>
        <v>1220639</v>
      </c>
      <c r="N39" s="3225">
        <f>+N40+N49</f>
        <v>972271</v>
      </c>
      <c r="O39" s="3990"/>
      <c r="P39" s="2563"/>
    </row>
    <row r="40" spans="1:16" s="2562" customFormat="1" ht="12" customHeight="1">
      <c r="A40" s="3967"/>
      <c r="B40" s="515" t="s">
        <v>23</v>
      </c>
      <c r="C40" s="3982" t="s">
        <v>139</v>
      </c>
      <c r="D40" s="1309">
        <f>+D41+D45</f>
        <v>199543</v>
      </c>
      <c r="E40" s="1309">
        <f>+E41+E45</f>
        <v>13070</v>
      </c>
      <c r="F40" s="1309">
        <f t="shared" ref="F40:I40" si="37">+F41+F45</f>
        <v>39436</v>
      </c>
      <c r="G40" s="1309">
        <f t="shared" si="37"/>
        <v>41747</v>
      </c>
      <c r="H40" s="1309">
        <f t="shared" si="37"/>
        <v>43646</v>
      </c>
      <c r="I40" s="1309">
        <f t="shared" si="37"/>
        <v>61644</v>
      </c>
      <c r="J40" s="1945">
        <v>0</v>
      </c>
      <c r="K40" s="1309"/>
      <c r="L40" s="1309"/>
      <c r="M40" s="1310">
        <f>+M41+M45</f>
        <v>186473</v>
      </c>
      <c r="N40" s="1310">
        <f>+N41+N45</f>
        <v>147037</v>
      </c>
      <c r="O40" s="3990"/>
    </row>
    <row r="41" spans="1:16" s="2562" customFormat="1" ht="12" customHeight="1">
      <c r="A41" s="3967"/>
      <c r="B41" s="167" t="s">
        <v>12</v>
      </c>
      <c r="C41" s="3992"/>
      <c r="D41" s="1288">
        <f>E41+F41+G41+H41+I41+J41+K41+L41</f>
        <v>69549</v>
      </c>
      <c r="E41" s="1311">
        <f>+E43+E44</f>
        <v>4743</v>
      </c>
      <c r="F41" s="1946">
        <f t="shared" ref="F41:I41" si="38">+F43+F44</f>
        <v>14855</v>
      </c>
      <c r="G41" s="1946">
        <f t="shared" si="38"/>
        <v>13959</v>
      </c>
      <c r="H41" s="1946">
        <f t="shared" si="38"/>
        <v>14814</v>
      </c>
      <c r="I41" s="1946">
        <f t="shared" si="38"/>
        <v>21178</v>
      </c>
      <c r="J41" s="1947">
        <v>0</v>
      </c>
      <c r="K41" s="380"/>
      <c r="L41" s="380"/>
      <c r="M41" s="572">
        <f>SUM(F41:K41)</f>
        <v>64806</v>
      </c>
      <c r="N41" s="572">
        <f>SUM(G41:L41)</f>
        <v>49951</v>
      </c>
      <c r="O41" s="3990"/>
    </row>
    <row r="42" spans="1:16" s="2562" customFormat="1" ht="12" hidden="1" customHeight="1">
      <c r="A42" s="3967"/>
      <c r="B42" s="167" t="s">
        <v>140</v>
      </c>
      <c r="C42" s="3992"/>
      <c r="D42" s="1288"/>
      <c r="E42" s="1311"/>
      <c r="F42" s="1946"/>
      <c r="G42" s="1946"/>
      <c r="H42" s="1946"/>
      <c r="I42" s="1946"/>
      <c r="J42" s="1947"/>
      <c r="K42" s="380"/>
      <c r="L42" s="380"/>
      <c r="M42" s="1310"/>
      <c r="N42" s="1310"/>
      <c r="O42" s="3990"/>
    </row>
    <row r="43" spans="1:16" s="2562" customFormat="1" ht="12" hidden="1" customHeight="1">
      <c r="A43" s="3967"/>
      <c r="B43" s="1924" t="s">
        <v>250</v>
      </c>
      <c r="C43" s="3992"/>
      <c r="D43" s="1288">
        <f>E43+F43+G43+H43+I43+J43+K43+L43</f>
        <v>43007</v>
      </c>
      <c r="E43" s="1311">
        <f>3610+217</f>
        <v>3827</v>
      </c>
      <c r="F43" s="1312">
        <f>9240+555-674+2</f>
        <v>9123</v>
      </c>
      <c r="G43" s="1312">
        <f>9240+555+674-364</f>
        <v>10105</v>
      </c>
      <c r="H43" s="168">
        <f>9240+555+362</f>
        <v>10157</v>
      </c>
      <c r="I43" s="168">
        <f>9240+555</f>
        <v>9795</v>
      </c>
      <c r="J43" s="1947">
        <v>0</v>
      </c>
      <c r="K43" s="380"/>
      <c r="L43" s="380"/>
      <c r="M43" s="572">
        <f t="shared" ref="M43:N45" si="39">SUM(F43:K43)</f>
        <v>39180</v>
      </c>
      <c r="N43" s="572">
        <f t="shared" si="39"/>
        <v>30057</v>
      </c>
      <c r="O43" s="3990"/>
    </row>
    <row r="44" spans="1:16" s="2562" customFormat="1" ht="12" hidden="1" customHeight="1">
      <c r="A44" s="3967"/>
      <c r="B44" s="814" t="s">
        <v>101</v>
      </c>
      <c r="C44" s="3992"/>
      <c r="D44" s="1288">
        <f>E44+F44+G44+H44+I44+J44+K44+L44</f>
        <v>26542</v>
      </c>
      <c r="E44" s="1311">
        <f>286+90+540</f>
        <v>916</v>
      </c>
      <c r="F44" s="1946">
        <f>13902-772-9757+2359</f>
        <v>5732</v>
      </c>
      <c r="G44" s="1946">
        <f>4474-555+9675-9740</f>
        <v>3854</v>
      </c>
      <c r="H44" s="1946">
        <f>4474-555+738</f>
        <v>4657</v>
      </c>
      <c r="I44" s="1946">
        <f>4364-555+7574</f>
        <v>11383</v>
      </c>
      <c r="J44" s="3226">
        <v>0</v>
      </c>
      <c r="K44" s="1946"/>
      <c r="L44" s="1946"/>
      <c r="M44" s="572">
        <f t="shared" si="39"/>
        <v>25626</v>
      </c>
      <c r="N44" s="572">
        <f t="shared" si="39"/>
        <v>19894</v>
      </c>
      <c r="O44" s="3990"/>
    </row>
    <row r="45" spans="1:16" s="3166" customFormat="1">
      <c r="A45" s="3967"/>
      <c r="B45" s="3227" t="s">
        <v>13</v>
      </c>
      <c r="C45" s="3992"/>
      <c r="D45" s="1288">
        <f>+E45+F45+G45+H45+I45</f>
        <v>129994</v>
      </c>
      <c r="E45" s="3228">
        <f>+E47+E48</f>
        <v>8327</v>
      </c>
      <c r="F45" s="3229">
        <f>+F47+F48</f>
        <v>24581</v>
      </c>
      <c r="G45" s="3229">
        <f>+G47+G48</f>
        <v>27788</v>
      </c>
      <c r="H45" s="3229">
        <f>+H47+H48</f>
        <v>28832</v>
      </c>
      <c r="I45" s="3229">
        <f>+I47+I48</f>
        <v>40466</v>
      </c>
      <c r="J45" s="3230">
        <v>0</v>
      </c>
      <c r="K45" s="3229"/>
      <c r="L45" s="3229"/>
      <c r="M45" s="3231">
        <f t="shared" si="39"/>
        <v>121667</v>
      </c>
      <c r="N45" s="3231">
        <f t="shared" si="39"/>
        <v>97086</v>
      </c>
      <c r="O45" s="3990"/>
    </row>
    <row r="46" spans="1:16" s="2562" customFormat="1" ht="11.25" hidden="1" customHeight="1">
      <c r="A46" s="3967"/>
      <c r="B46" s="167" t="s">
        <v>140</v>
      </c>
      <c r="C46" s="3992"/>
      <c r="D46" s="1312"/>
      <c r="E46" s="168"/>
      <c r="F46" s="168"/>
      <c r="G46" s="168"/>
      <c r="H46" s="168"/>
      <c r="I46" s="168"/>
      <c r="J46" s="1948"/>
      <c r="K46" s="168"/>
      <c r="L46" s="168"/>
      <c r="M46" s="1313"/>
      <c r="N46" s="1313"/>
      <c r="O46" s="3990"/>
    </row>
    <row r="47" spans="1:16" s="2562" customFormat="1" ht="13.5" hidden="1" customHeight="1">
      <c r="A47" s="3967"/>
      <c r="B47" s="1924" t="s">
        <v>250</v>
      </c>
      <c r="C47" s="3992"/>
      <c r="D47" s="1312">
        <f>+E47+F47+G47+H47+I47</f>
        <v>86006</v>
      </c>
      <c r="E47" s="168">
        <f>7221+433</f>
        <v>7654</v>
      </c>
      <c r="F47" s="168">
        <f>18480+1108-1345+4</f>
        <v>18247</v>
      </c>
      <c r="G47" s="168">
        <f>18480+1108+1345-733</f>
        <v>20200</v>
      </c>
      <c r="H47" s="168">
        <f>18480+1108+729</f>
        <v>20317</v>
      </c>
      <c r="I47" s="168">
        <f>18480+1108</f>
        <v>19588</v>
      </c>
      <c r="J47" s="1948">
        <v>0</v>
      </c>
      <c r="K47" s="168"/>
      <c r="L47" s="168"/>
      <c r="M47" s="572">
        <f>SUM(F47:K47)</f>
        <v>78352</v>
      </c>
      <c r="N47" s="572">
        <f>SUM(G47:L47)</f>
        <v>60105</v>
      </c>
      <c r="O47" s="3990"/>
      <c r="P47" s="2563"/>
    </row>
    <row r="48" spans="1:16" s="2562" customFormat="1" ht="10.5" hidden="1" customHeight="1">
      <c r="A48" s="3967"/>
      <c r="B48" s="3232" t="s">
        <v>101</v>
      </c>
      <c r="C48" s="3992"/>
      <c r="D48" s="1312">
        <f>+E48+F48+G48+H48+I48</f>
        <v>43988</v>
      </c>
      <c r="E48" s="168">
        <f>552+178-57</f>
        <v>673</v>
      </c>
      <c r="F48" s="168">
        <f>27004-1541-18881-248</f>
        <v>6334</v>
      </c>
      <c r="G48" s="168">
        <f>8148-1108+18718-18170</f>
        <v>7588</v>
      </c>
      <c r="H48" s="168">
        <f>8148-1108+1475</f>
        <v>8515</v>
      </c>
      <c r="I48" s="168">
        <f>8148-1108+13838</f>
        <v>20878</v>
      </c>
      <c r="J48" s="1948">
        <v>0</v>
      </c>
      <c r="K48" s="168"/>
      <c r="L48" s="168"/>
      <c r="M48" s="572">
        <f>SUM(F48:K48)</f>
        <v>43315</v>
      </c>
      <c r="N48" s="572">
        <f>SUM(G48:L48)</f>
        <v>36981</v>
      </c>
      <c r="O48" s="3990"/>
    </row>
    <row r="49" spans="1:16" s="2562" customFormat="1" ht="12.75" customHeight="1">
      <c r="A49" s="3967"/>
      <c r="B49" s="562" t="s">
        <v>18</v>
      </c>
      <c r="C49" s="3971"/>
      <c r="D49" s="1314">
        <f>+D50</f>
        <v>1104949</v>
      </c>
      <c r="E49" s="1314">
        <f>+E50</f>
        <v>70783</v>
      </c>
      <c r="F49" s="1314">
        <f t="shared" ref="F49:I49" si="40">+F50</f>
        <v>208932</v>
      </c>
      <c r="G49" s="1314">
        <f t="shared" si="40"/>
        <v>241911</v>
      </c>
      <c r="H49" s="1314">
        <f t="shared" si="40"/>
        <v>245097</v>
      </c>
      <c r="I49" s="1314">
        <f t="shared" si="40"/>
        <v>338226</v>
      </c>
      <c r="J49" s="1315">
        <v>0</v>
      </c>
      <c r="K49" s="1314"/>
      <c r="L49" s="1314"/>
      <c r="M49" s="1310">
        <f>+M50</f>
        <v>1034166</v>
      </c>
      <c r="N49" s="1310">
        <f>+N50</f>
        <v>825234</v>
      </c>
      <c r="O49" s="3990"/>
    </row>
    <row r="50" spans="1:16" s="2562" customFormat="1" ht="12" customHeight="1">
      <c r="A50" s="3967"/>
      <c r="B50" s="1150" t="s">
        <v>20</v>
      </c>
      <c r="C50" s="3972"/>
      <c r="D50" s="1891">
        <f>E50+F50+G50+H50+I50+J50+K50+L50</f>
        <v>1104949</v>
      </c>
      <c r="E50" s="1311">
        <f>+E52+E53</f>
        <v>70783</v>
      </c>
      <c r="F50" s="3233">
        <f t="shared" ref="F50:I50" si="41">+F52+F53</f>
        <v>208932</v>
      </c>
      <c r="G50" s="3233">
        <f t="shared" si="41"/>
        <v>241911</v>
      </c>
      <c r="H50" s="3233">
        <f t="shared" si="41"/>
        <v>245097</v>
      </c>
      <c r="I50" s="3233">
        <f t="shared" si="41"/>
        <v>338226</v>
      </c>
      <c r="J50" s="3234">
        <v>0</v>
      </c>
      <c r="K50" s="3233"/>
      <c r="L50" s="3233"/>
      <c r="M50" s="572">
        <f>SUM(F50:K50)</f>
        <v>1034166</v>
      </c>
      <c r="N50" s="572">
        <f>SUM(G50:L50)</f>
        <v>825234</v>
      </c>
      <c r="O50" s="3990"/>
    </row>
    <row r="51" spans="1:16" s="2562" customFormat="1" ht="12" hidden="1" customHeight="1">
      <c r="A51" s="3967"/>
      <c r="B51" s="1949" t="s">
        <v>140</v>
      </c>
      <c r="C51" s="3154"/>
      <c r="D51" s="168"/>
      <c r="E51" s="1948"/>
      <c r="F51" s="3235"/>
      <c r="G51" s="3235"/>
      <c r="H51" s="3235"/>
      <c r="I51" s="3235"/>
      <c r="J51" s="1127"/>
      <c r="K51" s="3235"/>
      <c r="L51" s="3235"/>
      <c r="M51" s="1313"/>
      <c r="N51" s="1313"/>
      <c r="O51" s="3990"/>
    </row>
    <row r="52" spans="1:16" s="2562" customFormat="1" ht="12" hidden="1" customHeight="1">
      <c r="A52" s="3967"/>
      <c r="B52" s="1924" t="s">
        <v>250</v>
      </c>
      <c r="C52" s="3154"/>
      <c r="D52" s="168">
        <f>+F52+G52+H52+I52+E52</f>
        <v>731081</v>
      </c>
      <c r="E52" s="1950">
        <f>61378+3683</f>
        <v>65061</v>
      </c>
      <c r="F52" s="1316">
        <f>157080+9425-11439+35</f>
        <v>155101</v>
      </c>
      <c r="G52" s="1316">
        <f>157080+9425+11439-6257</f>
        <v>171687</v>
      </c>
      <c r="H52" s="1316">
        <f>157080+9425+6222</f>
        <v>172727</v>
      </c>
      <c r="I52" s="1316">
        <f>157080+9425</f>
        <v>166505</v>
      </c>
      <c r="J52" s="1317">
        <v>0</v>
      </c>
      <c r="K52" s="1316"/>
      <c r="L52" s="1316"/>
      <c r="M52" s="572">
        <f>SUM(F52:K52)</f>
        <v>666020</v>
      </c>
      <c r="N52" s="572">
        <f>SUM(G52:L52)</f>
        <v>510919</v>
      </c>
      <c r="O52" s="3990"/>
    </row>
    <row r="53" spans="1:16" s="2562" customFormat="1" ht="12" hidden="1" customHeight="1">
      <c r="A53" s="3967"/>
      <c r="B53" s="3232" t="s">
        <v>101</v>
      </c>
      <c r="C53" s="3154"/>
      <c r="D53" s="1312">
        <f>+F53+G53+H53+I53+E53</f>
        <v>373868</v>
      </c>
      <c r="E53" s="108">
        <f>4689+1516-483</f>
        <v>5722</v>
      </c>
      <c r="F53" s="108">
        <f>229528-13108-160478-2111</f>
        <v>53831</v>
      </c>
      <c r="G53" s="108">
        <f>69258-9425+159091-148700</f>
        <v>70224</v>
      </c>
      <c r="H53" s="108">
        <f>69258-9425+12537</f>
        <v>72370</v>
      </c>
      <c r="I53" s="108">
        <f>69258-9425+111888</f>
        <v>171721</v>
      </c>
      <c r="J53" s="3236">
        <v>0</v>
      </c>
      <c r="K53" s="108"/>
      <c r="L53" s="108"/>
      <c r="M53" s="572">
        <f>SUM(F53:K53)</f>
        <v>368146</v>
      </c>
      <c r="N53" s="572">
        <f>SUM(G53:L53)</f>
        <v>314315</v>
      </c>
      <c r="O53" s="3990"/>
    </row>
    <row r="54" spans="1:16" s="2562" customFormat="1" ht="12" customHeight="1">
      <c r="A54" s="3967"/>
      <c r="B54" s="539" t="s">
        <v>21</v>
      </c>
      <c r="C54" s="1318"/>
      <c r="D54" s="1319">
        <f>+D55+D57</f>
        <v>1234943</v>
      </c>
      <c r="E54" s="1319">
        <f>+E55+E57</f>
        <v>0</v>
      </c>
      <c r="F54" s="1319">
        <f>+F55+F57</f>
        <v>0</v>
      </c>
      <c r="G54" s="1319">
        <f t="shared" ref="G54:J54" si="42">+G55+G57</f>
        <v>312623</v>
      </c>
      <c r="H54" s="1319">
        <f t="shared" si="42"/>
        <v>406664</v>
      </c>
      <c r="I54" s="1319">
        <f t="shared" si="42"/>
        <v>326311</v>
      </c>
      <c r="J54" s="1319">
        <f t="shared" si="42"/>
        <v>189345</v>
      </c>
      <c r="K54" s="1319"/>
      <c r="L54" s="1319"/>
      <c r="M54" s="3860"/>
      <c r="N54" s="3860"/>
      <c r="O54" s="3990"/>
      <c r="P54" s="2563">
        <f>G54-'[1]Tab. 6E - Administracja'!$G$54</f>
        <v>-319792</v>
      </c>
    </row>
    <row r="55" spans="1:16" s="2562" customFormat="1" ht="12" customHeight="1">
      <c r="A55" s="3967"/>
      <c r="B55" s="1320" t="s">
        <v>23</v>
      </c>
      <c r="C55" s="3982" t="s">
        <v>139</v>
      </c>
      <c r="D55" s="1309">
        <f>+D56</f>
        <v>129994</v>
      </c>
      <c r="E55" s="1309">
        <f>+E56</f>
        <v>0</v>
      </c>
      <c r="F55" s="1309">
        <f>+F56</f>
        <v>0</v>
      </c>
      <c r="G55" s="1309">
        <f t="shared" ref="G55:J55" si="43">+G56</f>
        <v>32908</v>
      </c>
      <c r="H55" s="1309">
        <f t="shared" si="43"/>
        <v>42204</v>
      </c>
      <c r="I55" s="1309">
        <f t="shared" si="43"/>
        <v>34649</v>
      </c>
      <c r="J55" s="1309">
        <f t="shared" si="43"/>
        <v>20233</v>
      </c>
      <c r="K55" s="1309"/>
      <c r="L55" s="1309"/>
      <c r="M55" s="3861"/>
      <c r="N55" s="3861"/>
      <c r="O55" s="3990"/>
    </row>
    <row r="56" spans="1:16" s="2562" customFormat="1" ht="12" customHeight="1">
      <c r="A56" s="3967"/>
      <c r="B56" s="171" t="s">
        <v>13</v>
      </c>
      <c r="C56" s="3992"/>
      <c r="D56" s="1288">
        <f>E56+F56+G56+H56+I56+J56+K56+L56</f>
        <v>129994</v>
      </c>
      <c r="E56" s="1311">
        <v>0</v>
      </c>
      <c r="F56" s="1321">
        <v>0</v>
      </c>
      <c r="G56" s="1321">
        <f>58798+7773-10078-23585</f>
        <v>32908</v>
      </c>
      <c r="H56" s="1321">
        <f>26628+10093+5483</f>
        <v>42204</v>
      </c>
      <c r="I56" s="1321">
        <f>26628+8021</f>
        <v>34649</v>
      </c>
      <c r="J56" s="1321">
        <f>13314+6919</f>
        <v>20233</v>
      </c>
      <c r="K56" s="1321"/>
      <c r="L56" s="1321"/>
      <c r="M56" s="3861"/>
      <c r="N56" s="3861"/>
      <c r="O56" s="3990"/>
    </row>
    <row r="57" spans="1:16" s="2562" customFormat="1" ht="12" customHeight="1">
      <c r="A57" s="3967"/>
      <c r="B57" s="1322" t="s">
        <v>18</v>
      </c>
      <c r="C57" s="3971"/>
      <c r="D57" s="1314">
        <f>+D58</f>
        <v>1104949</v>
      </c>
      <c r="E57" s="1314">
        <f>+E58</f>
        <v>0</v>
      </c>
      <c r="F57" s="1314">
        <f>+F58</f>
        <v>0</v>
      </c>
      <c r="G57" s="1314">
        <f t="shared" ref="G57:J57" si="44">+G58</f>
        <v>279715</v>
      </c>
      <c r="H57" s="1314">
        <f t="shared" si="44"/>
        <v>364460</v>
      </c>
      <c r="I57" s="1314">
        <f t="shared" si="44"/>
        <v>291662</v>
      </c>
      <c r="J57" s="1314">
        <f t="shared" si="44"/>
        <v>169112</v>
      </c>
      <c r="K57" s="1314"/>
      <c r="L57" s="1314"/>
      <c r="M57" s="3861"/>
      <c r="N57" s="3861"/>
      <c r="O57" s="3990"/>
    </row>
    <row r="58" spans="1:16" s="2562" customFormat="1" ht="12" customHeight="1" thickBot="1">
      <c r="A58" s="3965"/>
      <c r="B58" s="327" t="s">
        <v>20</v>
      </c>
      <c r="C58" s="3969"/>
      <c r="D58" s="779">
        <f>E58+F58+G58+H58+I58+J58+K58+L58</f>
        <v>1104949</v>
      </c>
      <c r="E58" s="1323">
        <v>0</v>
      </c>
      <c r="F58" s="535">
        <f>66067-66067</f>
        <v>0</v>
      </c>
      <c r="G58" s="535">
        <f>499777+66067-85652-200477</f>
        <v>279715</v>
      </c>
      <c r="H58" s="535">
        <f>226338+85781+52341</f>
        <v>364460</v>
      </c>
      <c r="I58" s="535">
        <f>226338+65324</f>
        <v>291662</v>
      </c>
      <c r="J58" s="535">
        <f>113169+55943</f>
        <v>169112</v>
      </c>
      <c r="K58" s="535"/>
      <c r="L58" s="535"/>
      <c r="M58" s="3862"/>
      <c r="N58" s="3862"/>
      <c r="O58" s="3991"/>
    </row>
    <row r="59" spans="1:16" s="2562" customFormat="1" ht="27" customHeight="1">
      <c r="A59" s="3966" t="s">
        <v>57</v>
      </c>
      <c r="B59" s="164" t="s">
        <v>359</v>
      </c>
      <c r="C59" s="165" t="s">
        <v>73</v>
      </c>
      <c r="D59" s="181"/>
      <c r="E59" s="180"/>
      <c r="F59" s="180"/>
      <c r="G59" s="180"/>
      <c r="H59" s="180"/>
      <c r="I59" s="180"/>
      <c r="J59" s="180"/>
      <c r="K59" s="180"/>
      <c r="L59" s="246"/>
      <c r="M59" s="321"/>
      <c r="N59" s="321"/>
      <c r="O59" s="3989" t="s">
        <v>101</v>
      </c>
      <c r="P59" s="2562" t="s">
        <v>356</v>
      </c>
    </row>
    <row r="60" spans="1:16" s="2562" customFormat="1" ht="12" customHeight="1">
      <c r="A60" s="3967"/>
      <c r="B60" s="539" t="s">
        <v>10</v>
      </c>
      <c r="C60" s="1308"/>
      <c r="D60" s="1319">
        <f>+D61+D64</f>
        <v>12448</v>
      </c>
      <c r="E60" s="1319">
        <f t="shared" ref="E60" si="45">+E61+E64</f>
        <v>0</v>
      </c>
      <c r="F60" s="1319">
        <f t="shared" ref="F60:I60" si="46">+F61+F64</f>
        <v>12448</v>
      </c>
      <c r="G60" s="1422">
        <f t="shared" si="46"/>
        <v>0</v>
      </c>
      <c r="H60" s="1422">
        <f t="shared" si="46"/>
        <v>0</v>
      </c>
      <c r="I60" s="1422">
        <f t="shared" si="46"/>
        <v>0</v>
      </c>
      <c r="J60" s="1319"/>
      <c r="K60" s="1319"/>
      <c r="L60" s="1319"/>
      <c r="M60" s="1423">
        <f>M61+M64</f>
        <v>12448</v>
      </c>
      <c r="N60" s="1423">
        <f>N61+N64</f>
        <v>0</v>
      </c>
      <c r="O60" s="3990"/>
      <c r="P60" s="2563"/>
    </row>
    <row r="61" spans="1:16" s="2562" customFormat="1" ht="12" customHeight="1">
      <c r="A61" s="3967"/>
      <c r="B61" s="515" t="s">
        <v>23</v>
      </c>
      <c r="C61" s="3855" t="s">
        <v>139</v>
      </c>
      <c r="D61" s="1309">
        <f>+D62+D63</f>
        <v>1867</v>
      </c>
      <c r="E61" s="1309">
        <f>+E62+E63</f>
        <v>0</v>
      </c>
      <c r="F61" s="1309">
        <f>+F62+F63</f>
        <v>1867</v>
      </c>
      <c r="G61" s="1945">
        <f t="shared" ref="G61:H61" si="47">+G63</f>
        <v>0</v>
      </c>
      <c r="H61" s="1945">
        <f t="shared" si="47"/>
        <v>0</v>
      </c>
      <c r="I61" s="1945">
        <f>+I63</f>
        <v>0</v>
      </c>
      <c r="J61" s="1309"/>
      <c r="K61" s="1309"/>
      <c r="L61" s="1309"/>
      <c r="M61" s="1310">
        <f>+M62+M63</f>
        <v>1867</v>
      </c>
      <c r="N61" s="1310">
        <f>+N62+N63</f>
        <v>0</v>
      </c>
      <c r="O61" s="3990"/>
    </row>
    <row r="62" spans="1:16" s="2562" customFormat="1" ht="12" customHeight="1">
      <c r="A62" s="3967"/>
      <c r="B62" s="167" t="s">
        <v>12</v>
      </c>
      <c r="C62" s="3992"/>
      <c r="D62" s="785">
        <f>E62+F62+G62+H62+I62+J62+K62+L62</f>
        <v>622</v>
      </c>
      <c r="E62" s="1311">
        <v>0</v>
      </c>
      <c r="F62" s="1946">
        <f>630-8</f>
        <v>622</v>
      </c>
      <c r="G62" s="1947">
        <v>0</v>
      </c>
      <c r="H62" s="1947">
        <v>0</v>
      </c>
      <c r="I62" s="1947">
        <v>0</v>
      </c>
      <c r="J62" s="380"/>
      <c r="K62" s="380"/>
      <c r="L62" s="380"/>
      <c r="M62" s="1313">
        <f>SUM(F62:K62)</f>
        <v>622</v>
      </c>
      <c r="N62" s="1313">
        <f>SUM(G62:L62)</f>
        <v>0</v>
      </c>
      <c r="O62" s="3990"/>
    </row>
    <row r="63" spans="1:16" s="2562" customFormat="1" ht="12" customHeight="1">
      <c r="A63" s="3967"/>
      <c r="B63" s="167" t="s">
        <v>13</v>
      </c>
      <c r="C63" s="3971"/>
      <c r="D63" s="785">
        <f>E63+F63+G63+H63+I63+J63+K63+L63</f>
        <v>1245</v>
      </c>
      <c r="E63" s="1311">
        <v>0</v>
      </c>
      <c r="F63" s="168">
        <f>1260-15</f>
        <v>1245</v>
      </c>
      <c r="G63" s="1948">
        <v>0</v>
      </c>
      <c r="H63" s="1948">
        <v>0</v>
      </c>
      <c r="I63" s="1948">
        <v>0</v>
      </c>
      <c r="J63" s="168"/>
      <c r="K63" s="168"/>
      <c r="L63" s="168"/>
      <c r="M63" s="1313">
        <f>SUM(F63:K63)</f>
        <v>1245</v>
      </c>
      <c r="N63" s="1313">
        <f>SUM(G63:L63)</f>
        <v>0</v>
      </c>
      <c r="O63" s="3990"/>
      <c r="P63" s="2563">
        <f>D63-D68</f>
        <v>0</v>
      </c>
    </row>
    <row r="64" spans="1:16" s="2562" customFormat="1" ht="12" customHeight="1">
      <c r="A64" s="3967"/>
      <c r="B64" s="562" t="s">
        <v>18</v>
      </c>
      <c r="C64" s="3971"/>
      <c r="D64" s="1314">
        <f t="shared" ref="D64:I64" si="48">D65</f>
        <v>10581</v>
      </c>
      <c r="E64" s="1314">
        <f t="shared" si="48"/>
        <v>0</v>
      </c>
      <c r="F64" s="1314">
        <f t="shared" si="48"/>
        <v>10581</v>
      </c>
      <c r="G64" s="1315">
        <f t="shared" si="48"/>
        <v>0</v>
      </c>
      <c r="H64" s="1315">
        <f t="shared" si="48"/>
        <v>0</v>
      </c>
      <c r="I64" s="1315">
        <f t="shared" si="48"/>
        <v>0</v>
      </c>
      <c r="J64" s="1314"/>
      <c r="K64" s="1314"/>
      <c r="L64" s="1314"/>
      <c r="M64" s="1951">
        <f>+M65</f>
        <v>10581</v>
      </c>
      <c r="N64" s="1951">
        <f>+N65</f>
        <v>0</v>
      </c>
      <c r="O64" s="3990"/>
    </row>
    <row r="65" spans="1:16" s="2562" customFormat="1">
      <c r="A65" s="3967"/>
      <c r="B65" s="563" t="s">
        <v>20</v>
      </c>
      <c r="C65" s="3972"/>
      <c r="D65" s="785">
        <f>E65+F65+G65+H65+I65+J65+K65+L65</f>
        <v>10581</v>
      </c>
      <c r="E65" s="1311">
        <v>0</v>
      </c>
      <c r="F65" s="130">
        <f>10710-129</f>
        <v>10581</v>
      </c>
      <c r="G65" s="1952">
        <v>0</v>
      </c>
      <c r="H65" s="1952">
        <v>0</v>
      </c>
      <c r="I65" s="1952">
        <v>0</v>
      </c>
      <c r="J65" s="130"/>
      <c r="K65" s="130"/>
      <c r="L65" s="130"/>
      <c r="M65" s="1313">
        <f>SUM(F65:K65)</f>
        <v>10581</v>
      </c>
      <c r="N65" s="1313">
        <f>SUM(G65:L65)</f>
        <v>0</v>
      </c>
      <c r="O65" s="3990"/>
    </row>
    <row r="66" spans="1:16" s="2562" customFormat="1" ht="12" customHeight="1">
      <c r="A66" s="3514"/>
      <c r="B66" s="539" t="s">
        <v>21</v>
      </c>
      <c r="C66" s="1953"/>
      <c r="D66" s="1319">
        <f>+D67+D69</f>
        <v>11826</v>
      </c>
      <c r="E66" s="1319">
        <f t="shared" ref="E66" si="49">E67+E69</f>
        <v>0</v>
      </c>
      <c r="F66" s="1422">
        <f t="shared" ref="F66:I66" si="50">F67+F69</f>
        <v>0</v>
      </c>
      <c r="G66" s="1319">
        <f t="shared" si="50"/>
        <v>11826</v>
      </c>
      <c r="H66" s="1422">
        <f t="shared" si="50"/>
        <v>0</v>
      </c>
      <c r="I66" s="1422">
        <f t="shared" si="50"/>
        <v>0</v>
      </c>
      <c r="J66" s="1319"/>
      <c r="K66" s="1319"/>
      <c r="L66" s="1319"/>
      <c r="M66" s="3938" t="s">
        <v>53</v>
      </c>
      <c r="N66" s="3938" t="s">
        <v>53</v>
      </c>
      <c r="O66" s="3990"/>
      <c r="P66" s="2563">
        <f>G66-'[1]Tab. 6E - Administracja'!$G$66</f>
        <v>-144</v>
      </c>
    </row>
    <row r="67" spans="1:16" s="2562" customFormat="1" ht="12" customHeight="1">
      <c r="A67" s="3514"/>
      <c r="B67" s="1424" t="s">
        <v>23</v>
      </c>
      <c r="C67" s="3855" t="s">
        <v>139</v>
      </c>
      <c r="D67" s="1309">
        <f t="shared" ref="D67:I67" si="51">D68</f>
        <v>1245</v>
      </c>
      <c r="E67" s="1309">
        <f t="shared" si="51"/>
        <v>0</v>
      </c>
      <c r="F67" s="1945">
        <f t="shared" si="51"/>
        <v>0</v>
      </c>
      <c r="G67" s="1309">
        <f t="shared" si="51"/>
        <v>1245</v>
      </c>
      <c r="H67" s="1945">
        <f t="shared" si="51"/>
        <v>0</v>
      </c>
      <c r="I67" s="1945">
        <f t="shared" si="51"/>
        <v>0</v>
      </c>
      <c r="J67" s="1309"/>
      <c r="K67" s="1309"/>
      <c r="L67" s="1309"/>
      <c r="M67" s="3861"/>
      <c r="N67" s="3861"/>
      <c r="O67" s="3990"/>
    </row>
    <row r="68" spans="1:16" s="2562" customFormat="1" ht="10.5" customHeight="1">
      <c r="A68" s="3514"/>
      <c r="B68" s="171" t="s">
        <v>13</v>
      </c>
      <c r="C68" s="3971"/>
      <c r="D68" s="785">
        <f>E68+F68+G68+H68+I68+J68+K68+L68</f>
        <v>1245</v>
      </c>
      <c r="E68" s="1311">
        <v>0</v>
      </c>
      <c r="F68" s="1954">
        <v>0</v>
      </c>
      <c r="G68" s="1321">
        <f>1260-15</f>
        <v>1245</v>
      </c>
      <c r="H68" s="1954">
        <v>0</v>
      </c>
      <c r="I68" s="1954">
        <v>0</v>
      </c>
      <c r="J68" s="1321"/>
      <c r="K68" s="1321"/>
      <c r="L68" s="1321"/>
      <c r="M68" s="3861"/>
      <c r="N68" s="3861"/>
      <c r="O68" s="3990"/>
    </row>
    <row r="69" spans="1:16" s="2562" customFormat="1" ht="12" customHeight="1">
      <c r="A69" s="3514"/>
      <c r="B69" s="1955" t="s">
        <v>18</v>
      </c>
      <c r="C69" s="3971"/>
      <c r="D69" s="1314">
        <f t="shared" ref="D69:I69" si="52">D70</f>
        <v>10581</v>
      </c>
      <c r="E69" s="1314">
        <f t="shared" si="52"/>
        <v>0</v>
      </c>
      <c r="F69" s="1315">
        <f t="shared" si="52"/>
        <v>0</v>
      </c>
      <c r="G69" s="1314">
        <f t="shared" si="52"/>
        <v>10581</v>
      </c>
      <c r="H69" s="1315">
        <f t="shared" si="52"/>
        <v>0</v>
      </c>
      <c r="I69" s="1315">
        <f t="shared" si="52"/>
        <v>0</v>
      </c>
      <c r="J69" s="1314"/>
      <c r="K69" s="1314"/>
      <c r="L69" s="1314"/>
      <c r="M69" s="3861"/>
      <c r="N69" s="3861"/>
      <c r="O69" s="3990"/>
    </row>
    <row r="70" spans="1:16" s="2562" customFormat="1" ht="12" customHeight="1" thickBot="1">
      <c r="A70" s="3515"/>
      <c r="B70" s="327" t="s">
        <v>20</v>
      </c>
      <c r="C70" s="3969"/>
      <c r="D70" s="779">
        <f>E70+F70+G70+H70+I70+J70+K70+L70</f>
        <v>10581</v>
      </c>
      <c r="E70" s="1323">
        <v>0</v>
      </c>
      <c r="F70" s="1421">
        <v>0</v>
      </c>
      <c r="G70" s="535">
        <f>10710-129</f>
        <v>10581</v>
      </c>
      <c r="H70" s="1421">
        <v>0</v>
      </c>
      <c r="I70" s="1421">
        <v>0</v>
      </c>
      <c r="J70" s="535"/>
      <c r="K70" s="535"/>
      <c r="L70" s="535"/>
      <c r="M70" s="3862"/>
      <c r="N70" s="3862"/>
      <c r="O70" s="3991"/>
    </row>
    <row r="71" spans="1:16" s="2562" customFormat="1" ht="36.75" customHeight="1">
      <c r="A71" s="3966" t="s">
        <v>58</v>
      </c>
      <c r="B71" s="164" t="s">
        <v>225</v>
      </c>
      <c r="C71" s="165" t="s">
        <v>100</v>
      </c>
      <c r="D71" s="181"/>
      <c r="E71" s="180"/>
      <c r="F71" s="358"/>
      <c r="G71" s="180"/>
      <c r="H71" s="180"/>
      <c r="I71" s="180"/>
      <c r="J71" s="180"/>
      <c r="K71" s="180"/>
      <c r="L71" s="246"/>
      <c r="M71" s="321"/>
      <c r="N71" s="321"/>
      <c r="O71" s="3961" t="s">
        <v>329</v>
      </c>
    </row>
    <row r="72" spans="1:16" s="2562" customFormat="1" ht="14.25" customHeight="1">
      <c r="A72" s="3967"/>
      <c r="B72" s="539" t="s">
        <v>10</v>
      </c>
      <c r="C72" s="568"/>
      <c r="D72" s="786">
        <f>+D73+D75</f>
        <v>8902458</v>
      </c>
      <c r="E72" s="786">
        <f t="shared" ref="E72" si="53">+E73+E75</f>
        <v>2589029</v>
      </c>
      <c r="F72" s="786">
        <f>+F73+F75</f>
        <v>1519661</v>
      </c>
      <c r="G72" s="786">
        <f>+G73+G75</f>
        <v>1893768</v>
      </c>
      <c r="H72" s="786">
        <f>+H73+H75</f>
        <v>1500000</v>
      </c>
      <c r="I72" s="786">
        <f>+I73+I75</f>
        <v>1400000</v>
      </c>
      <c r="J72" s="786"/>
      <c r="K72" s="786"/>
      <c r="L72" s="786"/>
      <c r="M72" s="787">
        <f>M73+M75</f>
        <v>6313429</v>
      </c>
      <c r="N72" s="787">
        <f>N73+N75</f>
        <v>4793768</v>
      </c>
      <c r="O72" s="3962"/>
    </row>
    <row r="73" spans="1:16" s="2562" customFormat="1">
      <c r="A73" s="3967"/>
      <c r="B73" s="515" t="s">
        <v>23</v>
      </c>
      <c r="C73" s="3855" t="s">
        <v>169</v>
      </c>
      <c r="D73" s="788">
        <f>+D74</f>
        <v>1335368</v>
      </c>
      <c r="E73" s="788">
        <f t="shared" ref="E73:I73" si="54">+E74</f>
        <v>388354</v>
      </c>
      <c r="F73" s="788">
        <f t="shared" si="54"/>
        <v>227949</v>
      </c>
      <c r="G73" s="788">
        <f t="shared" si="54"/>
        <v>284065</v>
      </c>
      <c r="H73" s="788">
        <f t="shared" si="54"/>
        <v>225000</v>
      </c>
      <c r="I73" s="788">
        <f t="shared" si="54"/>
        <v>210000</v>
      </c>
      <c r="J73" s="788"/>
      <c r="K73" s="788"/>
      <c r="L73" s="788"/>
      <c r="M73" s="561">
        <f>+M74</f>
        <v>947014</v>
      </c>
      <c r="N73" s="561">
        <f>+N74</f>
        <v>719065</v>
      </c>
      <c r="O73" s="3962"/>
    </row>
    <row r="74" spans="1:16" s="2562" customFormat="1">
      <c r="A74" s="3967"/>
      <c r="B74" s="167" t="s">
        <v>13</v>
      </c>
      <c r="C74" s="3971"/>
      <c r="D74" s="1339">
        <f>E74+F74+G74+H74+I74+J74+K74+L74</f>
        <v>1335368</v>
      </c>
      <c r="E74" s="1311">
        <v>388354</v>
      </c>
      <c r="F74" s="168">
        <f>330000-21328-80723</f>
        <v>227949</v>
      </c>
      <c r="G74" s="168">
        <f>330000-45935</f>
        <v>284065</v>
      </c>
      <c r="H74" s="168">
        <v>225000</v>
      </c>
      <c r="I74" s="168">
        <v>210000</v>
      </c>
      <c r="J74" s="168"/>
      <c r="K74" s="168"/>
      <c r="L74" s="168"/>
      <c r="M74" s="572">
        <f>SUM(F74:K74)</f>
        <v>947014</v>
      </c>
      <c r="N74" s="572">
        <f>SUM(G74:L74)</f>
        <v>719065</v>
      </c>
      <c r="O74" s="3962"/>
    </row>
    <row r="75" spans="1:16" s="2562" customFormat="1" ht="12" customHeight="1">
      <c r="A75" s="3967"/>
      <c r="B75" s="562" t="s">
        <v>18</v>
      </c>
      <c r="C75" s="3971"/>
      <c r="D75" s="789">
        <f>+D76</f>
        <v>7567090</v>
      </c>
      <c r="E75" s="789">
        <f t="shared" ref="E75:I75" si="55">E76</f>
        <v>2200675</v>
      </c>
      <c r="F75" s="789">
        <f t="shared" si="55"/>
        <v>1291712</v>
      </c>
      <c r="G75" s="789">
        <f t="shared" si="55"/>
        <v>1609703</v>
      </c>
      <c r="H75" s="789">
        <f t="shared" si="55"/>
        <v>1275000</v>
      </c>
      <c r="I75" s="789">
        <f t="shared" si="55"/>
        <v>1190000</v>
      </c>
      <c r="J75" s="789"/>
      <c r="K75" s="789"/>
      <c r="L75" s="789"/>
      <c r="M75" s="561">
        <f>+M76</f>
        <v>5366415</v>
      </c>
      <c r="N75" s="561">
        <f>+N76</f>
        <v>4074703</v>
      </c>
      <c r="O75" s="3962"/>
    </row>
    <row r="76" spans="1:16" s="2562" customFormat="1" ht="12" customHeight="1">
      <c r="A76" s="3967"/>
      <c r="B76" s="563" t="s">
        <v>20</v>
      </c>
      <c r="C76" s="3972"/>
      <c r="D76" s="236">
        <f>E76+F76+G76+H76+I76+J76+K76+L76</f>
        <v>7567090</v>
      </c>
      <c r="E76" s="1149">
        <v>2200675</v>
      </c>
      <c r="F76" s="130">
        <f>1870000-120859-457429</f>
        <v>1291712</v>
      </c>
      <c r="G76" s="130">
        <f>1870000-260297</f>
        <v>1609703</v>
      </c>
      <c r="H76" s="130">
        <v>1275000</v>
      </c>
      <c r="I76" s="130">
        <v>1190000</v>
      </c>
      <c r="J76" s="130"/>
      <c r="K76" s="130"/>
      <c r="L76" s="130"/>
      <c r="M76" s="572">
        <f>SUM(F76:K76)</f>
        <v>5366415</v>
      </c>
      <c r="N76" s="572">
        <f>SUM(G76:L76)</f>
        <v>4074703</v>
      </c>
      <c r="O76" s="3962"/>
    </row>
    <row r="77" spans="1:16" s="2562" customFormat="1" ht="14.25" customHeight="1">
      <c r="A77" s="3514"/>
      <c r="B77" s="539" t="s">
        <v>21</v>
      </c>
      <c r="C77" s="564"/>
      <c r="D77" s="786">
        <f>+D78+D80</f>
        <v>8902458</v>
      </c>
      <c r="E77" s="786">
        <f t="shared" ref="E77" si="56">E78+E80</f>
        <v>2589029</v>
      </c>
      <c r="F77" s="786">
        <f>F78+F80</f>
        <v>1519661</v>
      </c>
      <c r="G77" s="786">
        <f>G78+G80</f>
        <v>1893768</v>
      </c>
      <c r="H77" s="540">
        <f>H78+H80</f>
        <v>1500000</v>
      </c>
      <c r="I77" s="786">
        <f>I78+I80</f>
        <v>1400000</v>
      </c>
      <c r="J77" s="786"/>
      <c r="K77" s="786"/>
      <c r="L77" s="786"/>
      <c r="M77" s="3959" t="s">
        <v>53</v>
      </c>
      <c r="N77" s="3959" t="s">
        <v>53</v>
      </c>
      <c r="O77" s="3962"/>
      <c r="P77" s="2563">
        <f>G77-'[1]Tab. 6E - Administracja'!$G$77</f>
        <v>-306232</v>
      </c>
    </row>
    <row r="78" spans="1:16" s="2562" customFormat="1" ht="13.5" customHeight="1">
      <c r="A78" s="3514"/>
      <c r="B78" s="565" t="s">
        <v>23</v>
      </c>
      <c r="C78" s="3855" t="s">
        <v>169</v>
      </c>
      <c r="D78" s="788">
        <f>+D79</f>
        <v>1335368</v>
      </c>
      <c r="E78" s="788">
        <f t="shared" ref="E78:I78" si="57">E79</f>
        <v>388354</v>
      </c>
      <c r="F78" s="788">
        <f t="shared" si="57"/>
        <v>227949</v>
      </c>
      <c r="G78" s="788">
        <f t="shared" si="57"/>
        <v>284065</v>
      </c>
      <c r="H78" s="566">
        <f t="shared" si="57"/>
        <v>225000</v>
      </c>
      <c r="I78" s="788">
        <f t="shared" si="57"/>
        <v>210000</v>
      </c>
      <c r="J78" s="788"/>
      <c r="K78" s="788"/>
      <c r="L78" s="788"/>
      <c r="M78" s="3861"/>
      <c r="N78" s="3861"/>
      <c r="O78" s="3962"/>
    </row>
    <row r="79" spans="1:16" s="2562" customFormat="1" ht="13.5" customHeight="1">
      <c r="A79" s="3514"/>
      <c r="B79" s="171" t="s">
        <v>13</v>
      </c>
      <c r="C79" s="3971"/>
      <c r="D79" s="236">
        <f>E79+F79+G79+H79+I79+J79+K79+L79</f>
        <v>1335368</v>
      </c>
      <c r="E79" s="1149">
        <v>388354</v>
      </c>
      <c r="F79" s="546">
        <f>330000-21328-80723</f>
        <v>227949</v>
      </c>
      <c r="G79" s="546">
        <f>330000-45935</f>
        <v>284065</v>
      </c>
      <c r="H79" s="546">
        <v>225000</v>
      </c>
      <c r="I79" s="546">
        <v>210000</v>
      </c>
      <c r="J79" s="546"/>
      <c r="K79" s="546"/>
      <c r="L79" s="546"/>
      <c r="M79" s="3861"/>
      <c r="N79" s="3861"/>
      <c r="O79" s="3962"/>
    </row>
    <row r="80" spans="1:16" s="2562" customFormat="1">
      <c r="A80" s="3514"/>
      <c r="B80" s="567" t="s">
        <v>18</v>
      </c>
      <c r="C80" s="3971"/>
      <c r="D80" s="789">
        <f>+D81</f>
        <v>7567090</v>
      </c>
      <c r="E80" s="789">
        <f t="shared" ref="E80:I80" si="58">E81</f>
        <v>2200675</v>
      </c>
      <c r="F80" s="789">
        <f t="shared" si="58"/>
        <v>1291712</v>
      </c>
      <c r="G80" s="789">
        <f t="shared" si="58"/>
        <v>1609703</v>
      </c>
      <c r="H80" s="548">
        <f t="shared" si="58"/>
        <v>1275000</v>
      </c>
      <c r="I80" s="789">
        <f t="shared" si="58"/>
        <v>1190000</v>
      </c>
      <c r="J80" s="789"/>
      <c r="K80" s="789"/>
      <c r="L80" s="789"/>
      <c r="M80" s="3861"/>
      <c r="N80" s="3861"/>
      <c r="O80" s="3962"/>
    </row>
    <row r="81" spans="1:18" s="2562" customFormat="1" ht="12" customHeight="1" thickBot="1">
      <c r="A81" s="3515"/>
      <c r="B81" s="327" t="s">
        <v>20</v>
      </c>
      <c r="C81" s="3969"/>
      <c r="D81" s="236">
        <f>E81+F81+G81+H81+I81+J81+K81+L81</f>
        <v>7567090</v>
      </c>
      <c r="E81" s="1149">
        <v>2200675</v>
      </c>
      <c r="F81" s="535">
        <f>1870000-120859-457429</f>
        <v>1291712</v>
      </c>
      <c r="G81" s="535">
        <f>1870000-260297</f>
        <v>1609703</v>
      </c>
      <c r="H81" s="535">
        <v>1275000</v>
      </c>
      <c r="I81" s="535">
        <v>1190000</v>
      </c>
      <c r="J81" s="535"/>
      <c r="K81" s="535"/>
      <c r="L81" s="535"/>
      <c r="M81" s="3862"/>
      <c r="N81" s="3862"/>
      <c r="O81" s="3963"/>
    </row>
    <row r="82" spans="1:18" s="2562" customFormat="1" ht="43.5" customHeight="1">
      <c r="A82" s="3966" t="s">
        <v>59</v>
      </c>
      <c r="B82" s="164" t="s">
        <v>263</v>
      </c>
      <c r="C82" s="165" t="s">
        <v>73</v>
      </c>
      <c r="D82" s="181"/>
      <c r="E82" s="358"/>
      <c r="F82" s="180"/>
      <c r="G82" s="180"/>
      <c r="H82" s="180"/>
      <c r="I82" s="180"/>
      <c r="J82" s="180"/>
      <c r="K82" s="180"/>
      <c r="L82" s="246"/>
      <c r="M82" s="321"/>
      <c r="N82" s="321"/>
      <c r="O82" s="3961" t="s">
        <v>329</v>
      </c>
    </row>
    <row r="83" spans="1:18" s="2562" customFormat="1" ht="12" customHeight="1">
      <c r="A83" s="3967"/>
      <c r="B83" s="21" t="s">
        <v>10</v>
      </c>
      <c r="C83" s="1192"/>
      <c r="D83" s="367">
        <f>+D84+D86</f>
        <v>41857</v>
      </c>
      <c r="E83" s="367">
        <f t="shared" ref="E83" si="59">+E84+E86</f>
        <v>38038</v>
      </c>
      <c r="F83" s="367">
        <f>+F84+F86</f>
        <v>3819</v>
      </c>
      <c r="G83" s="367">
        <f>+G84+G86</f>
        <v>0</v>
      </c>
      <c r="H83" s="367">
        <f>+H84+H86</f>
        <v>0</v>
      </c>
      <c r="I83" s="367">
        <f>+I84+I86</f>
        <v>0</v>
      </c>
      <c r="J83" s="367"/>
      <c r="K83" s="367"/>
      <c r="L83" s="367"/>
      <c r="M83" s="1151">
        <f>M84+M86</f>
        <v>3819</v>
      </c>
      <c r="N83" s="2660">
        <f>N84+N86</f>
        <v>0</v>
      </c>
      <c r="O83" s="4002"/>
    </row>
    <row r="84" spans="1:18" s="2562" customFormat="1" ht="12" customHeight="1">
      <c r="A84" s="3967"/>
      <c r="B84" s="166" t="s">
        <v>23</v>
      </c>
      <c r="C84" s="4005" t="s">
        <v>169</v>
      </c>
      <c r="D84" s="368">
        <f>+D85</f>
        <v>6279</v>
      </c>
      <c r="E84" s="368">
        <f t="shared" ref="E84:I84" si="60">+E85</f>
        <v>5706</v>
      </c>
      <c r="F84" s="368">
        <f t="shared" si="60"/>
        <v>573</v>
      </c>
      <c r="G84" s="368">
        <f t="shared" si="60"/>
        <v>0</v>
      </c>
      <c r="H84" s="368">
        <f t="shared" si="60"/>
        <v>0</v>
      </c>
      <c r="I84" s="368">
        <f t="shared" si="60"/>
        <v>0</v>
      </c>
      <c r="J84" s="368"/>
      <c r="K84" s="368"/>
      <c r="L84" s="368"/>
      <c r="M84" s="1152">
        <f>+M85</f>
        <v>573</v>
      </c>
      <c r="N84" s="2659">
        <f>+N85</f>
        <v>0</v>
      </c>
      <c r="O84" s="3962"/>
    </row>
    <row r="85" spans="1:18" s="2562" customFormat="1" ht="12" customHeight="1">
      <c r="A85" s="3967"/>
      <c r="B85" s="167" t="s">
        <v>13</v>
      </c>
      <c r="C85" s="3971"/>
      <c r="D85" s="236">
        <f>E85+F85+G85+H85+I85+J85+K85+L85</f>
        <v>6279</v>
      </c>
      <c r="E85" s="1149">
        <v>5706</v>
      </c>
      <c r="F85" s="168">
        <f>960-387</f>
        <v>573</v>
      </c>
      <c r="G85" s="168">
        <v>0</v>
      </c>
      <c r="H85" s="168">
        <v>0</v>
      </c>
      <c r="I85" s="168">
        <v>0</v>
      </c>
      <c r="J85" s="168"/>
      <c r="K85" s="168"/>
      <c r="L85" s="168"/>
      <c r="M85" s="572">
        <f>SUM(F85:K85)</f>
        <v>573</v>
      </c>
      <c r="N85" s="2661">
        <f>SUM(G85:L85)</f>
        <v>0</v>
      </c>
      <c r="O85" s="3962"/>
    </row>
    <row r="86" spans="1:18" s="2562" customFormat="1" ht="12" customHeight="1">
      <c r="A86" s="3967"/>
      <c r="B86" s="81" t="s">
        <v>18</v>
      </c>
      <c r="C86" s="3971"/>
      <c r="D86" s="369">
        <f>D87</f>
        <v>35578</v>
      </c>
      <c r="E86" s="369">
        <f t="shared" ref="E86:I86" si="61">E87</f>
        <v>32332</v>
      </c>
      <c r="F86" s="369">
        <f t="shared" si="61"/>
        <v>3246</v>
      </c>
      <c r="G86" s="369">
        <f t="shared" si="61"/>
        <v>0</v>
      </c>
      <c r="H86" s="369">
        <f t="shared" si="61"/>
        <v>0</v>
      </c>
      <c r="I86" s="369">
        <f t="shared" si="61"/>
        <v>0</v>
      </c>
      <c r="J86" s="369"/>
      <c r="K86" s="369"/>
      <c r="L86" s="369"/>
      <c r="M86" s="1152">
        <f>+M87</f>
        <v>3246</v>
      </c>
      <c r="N86" s="2659">
        <f>+N87</f>
        <v>0</v>
      </c>
      <c r="O86" s="3962"/>
    </row>
    <row r="87" spans="1:18" s="2562" customFormat="1" ht="12" customHeight="1">
      <c r="A87" s="3967"/>
      <c r="B87" s="1193" t="s">
        <v>20</v>
      </c>
      <c r="C87" s="3972"/>
      <c r="D87" s="236">
        <f>E87+F87+G87+H87+I87+J87+K87+L87</f>
        <v>35578</v>
      </c>
      <c r="E87" s="1149">
        <v>32332</v>
      </c>
      <c r="F87" s="130">
        <f>5440-2194</f>
        <v>3246</v>
      </c>
      <c r="G87" s="130">
        <v>0</v>
      </c>
      <c r="H87" s="130">
        <v>0</v>
      </c>
      <c r="I87" s="130">
        <v>0</v>
      </c>
      <c r="J87" s="130"/>
      <c r="K87" s="130"/>
      <c r="L87" s="130"/>
      <c r="M87" s="572">
        <f>SUM(F87:K87)</f>
        <v>3246</v>
      </c>
      <c r="N87" s="2661">
        <f>SUM(G87:L87)</f>
        <v>0</v>
      </c>
      <c r="O87" s="3962"/>
    </row>
    <row r="88" spans="1:18" s="2562" customFormat="1" ht="12" customHeight="1">
      <c r="A88" s="3514"/>
      <c r="B88" s="21" t="s">
        <v>21</v>
      </c>
      <c r="C88" s="1194"/>
      <c r="D88" s="367">
        <f>D89+D91</f>
        <v>41857</v>
      </c>
      <c r="E88" s="367">
        <f t="shared" ref="E88" si="62">E89+E91</f>
        <v>38038</v>
      </c>
      <c r="F88" s="367">
        <f>F89+F91</f>
        <v>3819</v>
      </c>
      <c r="G88" s="367">
        <f>G89+G91</f>
        <v>0</v>
      </c>
      <c r="H88" s="367">
        <f>H89+H91</f>
        <v>0</v>
      </c>
      <c r="I88" s="367">
        <f>I89+I91</f>
        <v>0</v>
      </c>
      <c r="J88" s="367"/>
      <c r="K88" s="367"/>
      <c r="L88" s="367"/>
      <c r="M88" s="3988" t="s">
        <v>53</v>
      </c>
      <c r="N88" s="3960" t="s">
        <v>53</v>
      </c>
      <c r="O88" s="3962"/>
      <c r="P88" s="2563">
        <f>G88-'[1]Tab. 6E - Administracja'!$G$88</f>
        <v>0</v>
      </c>
    </row>
    <row r="89" spans="1:18" s="2562" customFormat="1" ht="12" customHeight="1" thickBot="1">
      <c r="A89" s="3514"/>
      <c r="B89" s="1195" t="s">
        <v>23</v>
      </c>
      <c r="C89" s="4005" t="s">
        <v>169</v>
      </c>
      <c r="D89" s="368">
        <f>D90</f>
        <v>6279</v>
      </c>
      <c r="E89" s="368">
        <f t="shared" ref="E89:I89" si="63">E90</f>
        <v>5706</v>
      </c>
      <c r="F89" s="368">
        <f t="shared" si="63"/>
        <v>573</v>
      </c>
      <c r="G89" s="368">
        <f t="shared" si="63"/>
        <v>0</v>
      </c>
      <c r="H89" s="368">
        <f t="shared" si="63"/>
        <v>0</v>
      </c>
      <c r="I89" s="368">
        <f t="shared" si="63"/>
        <v>0</v>
      </c>
      <c r="J89" s="368"/>
      <c r="K89" s="368"/>
      <c r="L89" s="368"/>
      <c r="M89" s="3861"/>
      <c r="N89" s="3939"/>
      <c r="O89" s="3963"/>
    </row>
    <row r="90" spans="1:18" s="2562" customFormat="1" ht="12" customHeight="1" thickBot="1">
      <c r="A90" s="3514"/>
      <c r="B90" s="171" t="s">
        <v>13</v>
      </c>
      <c r="C90" s="3971"/>
      <c r="D90" s="236">
        <f>E90+F90+G90+H90+I90+J90+K90+L90</f>
        <v>6279</v>
      </c>
      <c r="E90" s="1149">
        <v>5706</v>
      </c>
      <c r="F90" s="362">
        <f>960-387</f>
        <v>573</v>
      </c>
      <c r="G90" s="362">
        <v>0</v>
      </c>
      <c r="H90" s="221">
        <v>0</v>
      </c>
      <c r="I90" s="221">
        <v>0</v>
      </c>
      <c r="J90" s="221"/>
      <c r="K90" s="221"/>
      <c r="L90" s="221"/>
      <c r="M90" s="3861"/>
      <c r="N90" s="3939"/>
      <c r="O90" s="4003"/>
    </row>
    <row r="91" spans="1:18" s="2562" customFormat="1" ht="12" customHeight="1" thickBot="1">
      <c r="A91" s="3514"/>
      <c r="B91" s="1196" t="s">
        <v>18</v>
      </c>
      <c r="C91" s="3971"/>
      <c r="D91" s="369">
        <f>D92</f>
        <v>35578</v>
      </c>
      <c r="E91" s="369">
        <f t="shared" ref="E91:I91" si="64">E92</f>
        <v>32332</v>
      </c>
      <c r="F91" s="369">
        <f t="shared" si="64"/>
        <v>3246</v>
      </c>
      <c r="G91" s="369">
        <f t="shared" si="64"/>
        <v>0</v>
      </c>
      <c r="H91" s="369">
        <f t="shared" si="64"/>
        <v>0</v>
      </c>
      <c r="I91" s="369">
        <f t="shared" si="64"/>
        <v>0</v>
      </c>
      <c r="J91" s="369"/>
      <c r="K91" s="369"/>
      <c r="L91" s="369"/>
      <c r="M91" s="3861"/>
      <c r="N91" s="3939"/>
      <c r="O91" s="4003"/>
    </row>
    <row r="92" spans="1:18" s="2562" customFormat="1" ht="12" customHeight="1" thickBot="1">
      <c r="A92" s="3514"/>
      <c r="B92" s="327" t="s">
        <v>20</v>
      </c>
      <c r="C92" s="3969"/>
      <c r="D92" s="236">
        <f>E92+F92+G92+H92+I92+J92+K92+L92</f>
        <v>35578</v>
      </c>
      <c r="E92" s="1149">
        <v>32332</v>
      </c>
      <c r="F92" s="172">
        <f>5440-2194</f>
        <v>3246</v>
      </c>
      <c r="G92" s="172">
        <v>0</v>
      </c>
      <c r="H92" s="109">
        <v>0</v>
      </c>
      <c r="I92" s="109">
        <v>0</v>
      </c>
      <c r="J92" s="109"/>
      <c r="K92" s="109"/>
      <c r="L92" s="109"/>
      <c r="M92" s="3862"/>
      <c r="N92" s="3940"/>
      <c r="O92" s="4004"/>
    </row>
    <row r="93" spans="1:18" s="315" customFormat="1" ht="17.25" customHeight="1" thickBot="1">
      <c r="A93" s="3965" t="s">
        <v>106</v>
      </c>
      <c r="B93" s="164" t="s">
        <v>217</v>
      </c>
      <c r="C93" s="165" t="s">
        <v>100</v>
      </c>
      <c r="D93" s="358"/>
      <c r="E93" s="358"/>
      <c r="F93" s="358"/>
      <c r="G93" s="358"/>
      <c r="H93" s="358"/>
      <c r="I93" s="358"/>
      <c r="J93" s="358"/>
      <c r="K93" s="358"/>
      <c r="L93" s="358"/>
      <c r="M93" s="358"/>
      <c r="N93" s="358"/>
      <c r="O93" s="3952" t="s">
        <v>319</v>
      </c>
      <c r="P93" s="1128" t="s">
        <v>322</v>
      </c>
      <c r="Q93" s="1128" t="s">
        <v>323</v>
      </c>
      <c r="R93" s="320"/>
    </row>
    <row r="94" spans="1:18" s="315" customFormat="1" ht="15.75" customHeight="1" thickBot="1">
      <c r="A94" s="3844"/>
      <c r="B94" s="539" t="s">
        <v>10</v>
      </c>
      <c r="C94" s="1324"/>
      <c r="D94" s="1325">
        <f>+D105+D95</f>
        <v>218512517</v>
      </c>
      <c r="E94" s="1325">
        <f t="shared" ref="E94" si="65">+E105+E95</f>
        <v>24245221</v>
      </c>
      <c r="F94" s="1325">
        <f t="shared" ref="F94:I94" si="66">+F105+F95</f>
        <v>25866928</v>
      </c>
      <c r="G94" s="1325">
        <f t="shared" si="66"/>
        <v>29230111</v>
      </c>
      <c r="H94" s="1325">
        <f t="shared" si="66"/>
        <v>31436000</v>
      </c>
      <c r="I94" s="1325">
        <f t="shared" si="66"/>
        <v>30141855</v>
      </c>
      <c r="J94" s="1325">
        <f>+J105+J95</f>
        <v>26657062</v>
      </c>
      <c r="K94" s="1325">
        <f>+K105+K95</f>
        <v>25562887</v>
      </c>
      <c r="L94" s="1325">
        <f>+L105+L95</f>
        <v>25372453</v>
      </c>
      <c r="M94" s="1326">
        <f>+M105+M95</f>
        <v>193538438</v>
      </c>
      <c r="N94" s="1326">
        <f>+N105+N95</f>
        <v>167974462</v>
      </c>
      <c r="O94" s="3953"/>
      <c r="P94" s="1130">
        <f>+P95+P105</f>
        <v>24456849</v>
      </c>
      <c r="Q94" s="1129"/>
    </row>
    <row r="95" spans="1:18" s="303" customFormat="1" ht="15.75" customHeight="1" thickBot="1">
      <c r="A95" s="3844"/>
      <c r="B95" s="515" t="s">
        <v>23</v>
      </c>
      <c r="C95" s="3970" t="s">
        <v>317</v>
      </c>
      <c r="D95" s="1327">
        <f>D96+D102</f>
        <v>35857730</v>
      </c>
      <c r="E95" s="1327">
        <f t="shared" ref="E95" si="67">E96+E102</f>
        <v>4438802</v>
      </c>
      <c r="F95" s="1327">
        <f t="shared" ref="F95:I95" si="68">F96+F102</f>
        <v>5127532</v>
      </c>
      <c r="G95" s="1327">
        <f t="shared" si="68"/>
        <v>5221314</v>
      </c>
      <c r="H95" s="1327">
        <f t="shared" si="68"/>
        <v>5236646</v>
      </c>
      <c r="I95" s="1327">
        <f t="shared" si="68"/>
        <v>5179550</v>
      </c>
      <c r="J95" s="1327">
        <f>J96+J102</f>
        <v>4487384</v>
      </c>
      <c r="K95" s="1327">
        <f>K96+K102</f>
        <v>3052528</v>
      </c>
      <c r="L95" s="1327">
        <f>L96+L102</f>
        <v>3113974</v>
      </c>
      <c r="M95" s="1328">
        <f>M96+M102</f>
        <v>30690070</v>
      </c>
      <c r="N95" s="1328">
        <f>N96+N102</f>
        <v>25865490</v>
      </c>
      <c r="O95" s="3953"/>
      <c r="P95" s="1132">
        <f>+P96+P102</f>
        <v>2983757</v>
      </c>
      <c r="Q95" s="1131"/>
    </row>
    <row r="96" spans="1:18" s="315" customFormat="1" ht="12.75" customHeight="1" thickBot="1">
      <c r="A96" s="3844"/>
      <c r="B96" s="2708" t="s">
        <v>12</v>
      </c>
      <c r="C96" s="3971"/>
      <c r="D96" s="2703">
        <f t="shared" ref="D96:D104" si="69">E96+F96+G96+H96+I96+J96+K96+L96</f>
        <v>34772869</v>
      </c>
      <c r="E96" s="2024">
        <f t="shared" ref="E96:L96" si="70">+E98+E99+E100+E101</f>
        <v>4082799</v>
      </c>
      <c r="F96" s="1329">
        <f t="shared" si="70"/>
        <v>4824580</v>
      </c>
      <c r="G96" s="1329">
        <f t="shared" si="70"/>
        <v>5159196</v>
      </c>
      <c r="H96" s="1329">
        <f t="shared" si="70"/>
        <v>5142378</v>
      </c>
      <c r="I96" s="1329">
        <f t="shared" si="70"/>
        <v>5102085</v>
      </c>
      <c r="J96" s="1329">
        <f t="shared" si="70"/>
        <v>4423365</v>
      </c>
      <c r="K96" s="1329">
        <f t="shared" si="70"/>
        <v>2988510</v>
      </c>
      <c r="L96" s="1329">
        <f t="shared" si="70"/>
        <v>3049956</v>
      </c>
      <c r="M96" s="572">
        <f>SUM(F96:L96)</f>
        <v>30690070</v>
      </c>
      <c r="N96" s="1313">
        <f>SUM(G96:L96)</f>
        <v>25865490</v>
      </c>
      <c r="O96" s="3954"/>
      <c r="P96" s="3237">
        <v>2627754</v>
      </c>
      <c r="Q96" s="3238"/>
    </row>
    <row r="97" spans="1:20" s="315" customFormat="1" ht="12.75" hidden="1" customHeight="1" thickBot="1">
      <c r="A97" s="3844"/>
      <c r="B97" s="2709" t="s">
        <v>140</v>
      </c>
      <c r="C97" s="3971"/>
      <c r="D97" s="2703">
        <f t="shared" si="69"/>
        <v>0</v>
      </c>
      <c r="E97" s="2718"/>
      <c r="F97" s="1330"/>
      <c r="G97" s="1330"/>
      <c r="H97" s="1330"/>
      <c r="I97" s="1330"/>
      <c r="J97" s="1330"/>
      <c r="K97" s="1330"/>
      <c r="L97" s="1330"/>
      <c r="M97" s="1331"/>
      <c r="N97" s="1331"/>
      <c r="O97" s="3955"/>
      <c r="P97" s="3237"/>
      <c r="Q97" s="3238"/>
    </row>
    <row r="98" spans="1:20" s="315" customFormat="1" ht="12.75" hidden="1" customHeight="1">
      <c r="A98" s="3966"/>
      <c r="B98" s="2710" t="s">
        <v>141</v>
      </c>
      <c r="C98" s="3971"/>
      <c r="D98" s="2703">
        <f t="shared" si="69"/>
        <v>10377743</v>
      </c>
      <c r="E98" s="2719">
        <v>2627754</v>
      </c>
      <c r="F98" s="1332">
        <f>9433+186725+10304+744248+897699+783429+5728+241266+25883+352396+742812-2</f>
        <v>3999921</v>
      </c>
      <c r="G98" s="1332">
        <f>2649563+743210+23964+12346+216379+104606</f>
        <v>3750068</v>
      </c>
      <c r="H98" s="1332"/>
      <c r="I98" s="1332">
        <f>152659-152659</f>
        <v>0</v>
      </c>
      <c r="J98" s="1332"/>
      <c r="K98" s="1332"/>
      <c r="L98" s="1332"/>
      <c r="M98" s="2511">
        <f t="shared" ref="M98:N101" si="71">+F98+G98+H98+I98+J98+K98</f>
        <v>7749989</v>
      </c>
      <c r="N98" s="2713">
        <f t="shared" si="71"/>
        <v>3750068</v>
      </c>
      <c r="O98" s="3956"/>
      <c r="P98" s="3237"/>
      <c r="Q98" s="3238"/>
    </row>
    <row r="99" spans="1:20" s="315" customFormat="1" ht="12.75" hidden="1" customHeight="1" thickBot="1">
      <c r="A99" s="3965"/>
      <c r="B99" s="2600" t="s">
        <v>142</v>
      </c>
      <c r="C99" s="3971"/>
      <c r="D99" s="2703">
        <f t="shared" si="69"/>
        <v>0</v>
      </c>
      <c r="E99" s="2720"/>
      <c r="F99" s="1333"/>
      <c r="G99" s="1333"/>
      <c r="H99" s="1333"/>
      <c r="I99" s="1333"/>
      <c r="J99" s="1333"/>
      <c r="K99" s="1333"/>
      <c r="L99" s="1333"/>
      <c r="M99" s="1105">
        <f t="shared" si="71"/>
        <v>0</v>
      </c>
      <c r="N99" s="2714">
        <f t="shared" si="71"/>
        <v>0</v>
      </c>
      <c r="O99" s="3957"/>
      <c r="P99" s="3237"/>
      <c r="Q99" s="3238"/>
    </row>
    <row r="100" spans="1:20" s="315" customFormat="1" ht="12.75" hidden="1" customHeight="1" thickBot="1">
      <c r="A100" s="3844"/>
      <c r="B100" s="2610" t="s">
        <v>143</v>
      </c>
      <c r="C100" s="3969"/>
      <c r="D100" s="1339">
        <f t="shared" si="69"/>
        <v>24395126</v>
      </c>
      <c r="E100" s="1339">
        <f>12575+1455753-13283</f>
        <v>1455045</v>
      </c>
      <c r="F100" s="2914">
        <f>868747+1301922+95728+2022114+18844+588448-9433-186725-10304-744248-897699-783429-5728-241266-25883-352396-742812+77979-149200</f>
        <v>824659</v>
      </c>
      <c r="G100" s="2620">
        <f>2845477-121293-214551-743210-23964-12346-216379-104606</f>
        <v>1409128</v>
      </c>
      <c r="H100" s="2620">
        <f>903845+1354520+99595+2103807+347372+333239</f>
        <v>5142378</v>
      </c>
      <c r="I100" s="2620">
        <f>921922+1381610+101587+2145884+357793+162483+30806</f>
        <v>5102085</v>
      </c>
      <c r="J100" s="2620">
        <f>4642023+192558-411216</f>
        <v>4423365</v>
      </c>
      <c r="K100" s="2620">
        <f>2551196+450141-14983+2156</f>
        <v>2988510</v>
      </c>
      <c r="L100" s="2620">
        <f>2645893+416877-14984+2157+13</f>
        <v>3049956</v>
      </c>
      <c r="M100" s="1105">
        <f t="shared" si="71"/>
        <v>19890125</v>
      </c>
      <c r="N100" s="2714">
        <f t="shared" si="71"/>
        <v>22115422</v>
      </c>
      <c r="O100" s="3954"/>
      <c r="P100" s="3237"/>
      <c r="Q100" s="3238"/>
    </row>
    <row r="101" spans="1:20" s="315" customFormat="1" ht="12.75" hidden="1" customHeight="1" thickBot="1">
      <c r="A101" s="3844"/>
      <c r="B101" s="2711" t="s">
        <v>144</v>
      </c>
      <c r="C101" s="3973"/>
      <c r="D101" s="2704">
        <f t="shared" si="69"/>
        <v>0</v>
      </c>
      <c r="E101" s="2721"/>
      <c r="F101" s="2615"/>
      <c r="G101" s="2615"/>
      <c r="H101" s="2615"/>
      <c r="I101" s="2615"/>
      <c r="J101" s="2615"/>
      <c r="K101" s="2615"/>
      <c r="L101" s="2615"/>
      <c r="M101" s="2601">
        <f t="shared" si="71"/>
        <v>0</v>
      </c>
      <c r="N101" s="2714">
        <f t="shared" si="71"/>
        <v>0</v>
      </c>
      <c r="O101" s="3957"/>
      <c r="P101" s="3237"/>
      <c r="Q101" s="3238"/>
    </row>
    <row r="102" spans="1:20" s="315" customFormat="1">
      <c r="A102" s="3967"/>
      <c r="B102" s="2712" t="s">
        <v>31</v>
      </c>
      <c r="C102" s="3971"/>
      <c r="D102" s="2716">
        <f t="shared" si="69"/>
        <v>1084861</v>
      </c>
      <c r="E102" s="2024">
        <f t="shared" ref="E102:L102" si="72">SUM(E103:E104)</f>
        <v>356003</v>
      </c>
      <c r="F102" s="1946">
        <f t="shared" si="72"/>
        <v>302952</v>
      </c>
      <c r="G102" s="1946">
        <f t="shared" si="72"/>
        <v>62118</v>
      </c>
      <c r="H102" s="1946">
        <f t="shared" si="72"/>
        <v>94268</v>
      </c>
      <c r="I102" s="1946">
        <f t="shared" si="72"/>
        <v>77465</v>
      </c>
      <c r="J102" s="1946">
        <f t="shared" si="72"/>
        <v>64019</v>
      </c>
      <c r="K102" s="1946">
        <f t="shared" si="72"/>
        <v>64018</v>
      </c>
      <c r="L102" s="1946">
        <f t="shared" si="72"/>
        <v>64018</v>
      </c>
      <c r="M102" s="2546">
        <f>M103+M104</f>
        <v>0</v>
      </c>
      <c r="N102" s="2715">
        <f>N103+N104</f>
        <v>0</v>
      </c>
      <c r="O102" s="3958"/>
      <c r="P102" s="3237">
        <v>356003</v>
      </c>
      <c r="Q102" s="3238"/>
    </row>
    <row r="103" spans="1:20" s="315" customFormat="1" ht="12.75" hidden="1" customHeight="1">
      <c r="A103" s="3968"/>
      <c r="B103" s="2571" t="s">
        <v>204</v>
      </c>
      <c r="C103" s="3784"/>
      <c r="D103" s="2565">
        <f t="shared" si="69"/>
        <v>546207</v>
      </c>
      <c r="E103" s="2717">
        <v>51728</v>
      </c>
      <c r="F103" s="2572">
        <f>70632+15201+19134+6435-3544-34119-5166</f>
        <v>68573</v>
      </c>
      <c r="G103" s="2572">
        <f>70167+14504+8153-30706</f>
        <v>62118</v>
      </c>
      <c r="H103" s="2572">
        <f>64019+3544+20673+6032</f>
        <v>94268</v>
      </c>
      <c r="I103" s="2572">
        <f>64019+13446</f>
        <v>77465</v>
      </c>
      <c r="J103" s="2572">
        <v>64019</v>
      </c>
      <c r="K103" s="2572">
        <v>64018</v>
      </c>
      <c r="L103" s="2572">
        <v>64018</v>
      </c>
      <c r="M103" s="2573">
        <v>0</v>
      </c>
      <c r="N103" s="2707">
        <v>0</v>
      </c>
      <c r="O103" s="3958"/>
      <c r="P103" s="3237"/>
      <c r="Q103" s="3238"/>
    </row>
    <row r="104" spans="1:20" s="315" customFormat="1" ht="12.75" hidden="1" customHeight="1">
      <c r="A104" s="3968"/>
      <c r="B104" s="2571" t="s">
        <v>205</v>
      </c>
      <c r="C104" s="3784"/>
      <c r="D104" s="2565">
        <f t="shared" si="69"/>
        <v>538654</v>
      </c>
      <c r="E104" s="2717">
        <v>304275</v>
      </c>
      <c r="F104" s="2572">
        <f>390656-525+1+195845-377239+29967-4313-13</f>
        <v>234379</v>
      </c>
      <c r="G104" s="2572">
        <f>441506+300-2-441804</f>
        <v>0</v>
      </c>
      <c r="H104" s="2572">
        <f>406479-406479</f>
        <v>0</v>
      </c>
      <c r="I104" s="2572">
        <f>406478-406478</f>
        <v>0</v>
      </c>
      <c r="J104" s="2572">
        <f>406478-406478</f>
        <v>0</v>
      </c>
      <c r="K104" s="2572">
        <f>406479-406479</f>
        <v>0</v>
      </c>
      <c r="L104" s="2572">
        <f>406479-406479</f>
        <v>0</v>
      </c>
      <c r="M104" s="2573">
        <v>0</v>
      </c>
      <c r="N104" s="2707">
        <v>0</v>
      </c>
      <c r="O104" s="3958"/>
      <c r="P104" s="3237"/>
      <c r="Q104" s="3238"/>
    </row>
    <row r="105" spans="1:20" s="315" customFormat="1" ht="12.75" customHeight="1">
      <c r="A105" s="3968"/>
      <c r="B105" s="2749" t="s">
        <v>18</v>
      </c>
      <c r="C105" s="3784"/>
      <c r="D105" s="2705">
        <f>+D106</f>
        <v>182654787</v>
      </c>
      <c r="E105" s="457">
        <f>+E106</f>
        <v>19806419</v>
      </c>
      <c r="F105" s="457">
        <f>+F106</f>
        <v>20739396</v>
      </c>
      <c r="G105" s="457">
        <f t="shared" ref="G105:N105" si="73">+G106</f>
        <v>24008797</v>
      </c>
      <c r="H105" s="457">
        <f t="shared" si="73"/>
        <v>26199354</v>
      </c>
      <c r="I105" s="457">
        <f t="shared" si="73"/>
        <v>24962305</v>
      </c>
      <c r="J105" s="457">
        <f t="shared" si="73"/>
        <v>22169678</v>
      </c>
      <c r="K105" s="457">
        <f t="shared" si="73"/>
        <v>22510359</v>
      </c>
      <c r="L105" s="2705">
        <f t="shared" si="73"/>
        <v>22258479</v>
      </c>
      <c r="M105" s="2640">
        <f t="shared" si="73"/>
        <v>162848368</v>
      </c>
      <c r="N105" s="2706">
        <f t="shared" si="73"/>
        <v>142108972</v>
      </c>
      <c r="O105" s="3958"/>
      <c r="P105" s="1132">
        <f>+P106</f>
        <v>21473092</v>
      </c>
      <c r="Q105" s="1131"/>
    </row>
    <row r="106" spans="1:20" s="2562" customFormat="1" ht="13.5" thickBot="1">
      <c r="A106" s="3965"/>
      <c r="B106" s="1949" t="s">
        <v>20</v>
      </c>
      <c r="C106" s="3972"/>
      <c r="D106" s="2627">
        <f>E106+F106+G106+H106+I106+J106+K106+L106</f>
        <v>182654787</v>
      </c>
      <c r="E106" s="1946">
        <f>+E108+E109+E110+E111+E112+E113+E114</f>
        <v>19806419</v>
      </c>
      <c r="F106" s="1946">
        <f t="shared" ref="F106:L106" si="74">+F108+F109+F110+F111+F112+F113+F114</f>
        <v>20739396</v>
      </c>
      <c r="G106" s="1946">
        <f t="shared" si="74"/>
        <v>24008797</v>
      </c>
      <c r="H106" s="1946">
        <f t="shared" si="74"/>
        <v>26199354</v>
      </c>
      <c r="I106" s="1946">
        <f t="shared" si="74"/>
        <v>24962305</v>
      </c>
      <c r="J106" s="1946">
        <f t="shared" si="74"/>
        <v>22169678</v>
      </c>
      <c r="K106" s="1946">
        <f t="shared" si="74"/>
        <v>22510359</v>
      </c>
      <c r="L106" s="1946">
        <f t="shared" si="74"/>
        <v>22258479</v>
      </c>
      <c r="M106" s="1599">
        <f>SUM(F106:L106)</f>
        <v>162848368</v>
      </c>
      <c r="N106" s="1599">
        <f>SUM(G106:L106)</f>
        <v>142108972</v>
      </c>
      <c r="O106" s="3957"/>
      <c r="P106" s="3237">
        <v>21473092</v>
      </c>
      <c r="Q106" s="3238">
        <f>G115-'[1]Tab. 6E - Administracja'!$G$115</f>
        <v>-4024670</v>
      </c>
      <c r="T106" s="332"/>
    </row>
    <row r="107" spans="1:20" s="2562" customFormat="1" ht="15.75" hidden="1" customHeight="1" thickBot="1">
      <c r="A107" s="3844"/>
      <c r="B107" s="1150" t="s">
        <v>140</v>
      </c>
      <c r="C107" s="2399"/>
      <c r="D107" s="2400"/>
      <c r="E107" s="2401"/>
      <c r="F107" s="2401"/>
      <c r="G107" s="2401"/>
      <c r="H107" s="2401"/>
      <c r="I107" s="2401"/>
      <c r="J107" s="2401"/>
      <c r="K107" s="2401"/>
      <c r="L107" s="2401"/>
      <c r="M107" s="1340"/>
      <c r="N107" s="1340"/>
      <c r="O107" s="3953"/>
      <c r="P107" s="3237"/>
      <c r="Q107" s="1130"/>
      <c r="T107" s="175"/>
    </row>
    <row r="108" spans="1:20" s="2562" customFormat="1" ht="12.75" hidden="1" customHeight="1" thickBot="1">
      <c r="A108" s="3844"/>
      <c r="B108" s="377" t="s">
        <v>141</v>
      </c>
      <c r="C108" s="336"/>
      <c r="D108" s="785">
        <f t="shared" ref="D108:D114" si="75">E108+F108+G108+H108+I108+J108+K108+L108</f>
        <v>47370429</v>
      </c>
      <c r="E108" s="1104">
        <f>6418+10696707-5063</f>
        <v>10698062</v>
      </c>
      <c r="F108" s="1095">
        <f>2407721+10000000-9866168-241553+53444+1058102+58380+2400014-50000+1938307+1976201-349079+32463+337289+146679+936304+2150284-222394</f>
        <v>12765994</v>
      </c>
      <c r="G108" s="1095">
        <f>11149912-250000+2639699-890000+135797+69956+438395+592761</f>
        <v>13886520</v>
      </c>
      <c r="H108" s="1095">
        <f>1820395+620000-140395+15000+227456</f>
        <v>2542456</v>
      </c>
      <c r="I108" s="1095">
        <f>1820395+865067-985462+326000+516456</f>
        <v>2542456</v>
      </c>
      <c r="J108" s="1095">
        <f>1820395-120395</f>
        <v>1700000</v>
      </c>
      <c r="K108" s="1095">
        <f>1820395-120395</f>
        <v>1700000</v>
      </c>
      <c r="L108" s="1095">
        <f>1820391-285524+74</f>
        <v>1534941</v>
      </c>
      <c r="M108" s="1105">
        <f t="shared" ref="M108:N114" si="76">+F108+G108+H108+I108+J108+K108</f>
        <v>35137426</v>
      </c>
      <c r="N108" s="1105">
        <f t="shared" si="76"/>
        <v>23906373</v>
      </c>
      <c r="O108" s="3953"/>
      <c r="P108" s="3237"/>
      <c r="Q108" s="1132"/>
      <c r="T108" s="175"/>
    </row>
    <row r="109" spans="1:20" s="2562" customFormat="1" ht="12.75" hidden="1" customHeight="1" thickBot="1">
      <c r="A109" s="3844"/>
      <c r="B109" s="1178" t="s">
        <v>142</v>
      </c>
      <c r="C109" s="1341"/>
      <c r="D109" s="785">
        <f t="shared" si="75"/>
        <v>17756179</v>
      </c>
      <c r="E109" s="1333">
        <f>5406+2022679</f>
        <v>2028085</v>
      </c>
      <c r="F109" s="1333">
        <f>2618000+177406-295406+300000-133900-241869-103680</f>
        <v>2320551</v>
      </c>
      <c r="G109" s="1333">
        <f>2618000-118000+599987+19922-763500</f>
        <v>2356409</v>
      </c>
      <c r="H109" s="1333">
        <f>1813339+841315-154654+596852</f>
        <v>3096852</v>
      </c>
      <c r="I109" s="1333">
        <f>1813339-113339+446000+17000+805414</f>
        <v>2968414</v>
      </c>
      <c r="J109" s="1333">
        <f>1813339-113339+17000</f>
        <v>1717000</v>
      </c>
      <c r="K109" s="1333">
        <f>1813339-113339+17000</f>
        <v>1717000</v>
      </c>
      <c r="L109" s="1333">
        <f>1813335-278467+17000</f>
        <v>1551868</v>
      </c>
      <c r="M109" s="1105">
        <f t="shared" si="76"/>
        <v>14176226</v>
      </c>
      <c r="N109" s="1105">
        <f t="shared" si="76"/>
        <v>13407543</v>
      </c>
      <c r="O109" s="3953"/>
      <c r="P109" s="3237"/>
      <c r="Q109" s="3237"/>
      <c r="T109" s="175"/>
    </row>
    <row r="110" spans="1:20" s="333" customFormat="1" ht="12.75" hidden="1" customHeight="1" thickBot="1">
      <c r="A110" s="3844"/>
      <c r="B110" s="1181" t="s">
        <v>143</v>
      </c>
      <c r="C110" s="1342"/>
      <c r="D110" s="785">
        <f t="shared" si="75"/>
        <v>93599187</v>
      </c>
      <c r="E110" s="1343">
        <f>71254+3533980-75275</f>
        <v>3529959</v>
      </c>
      <c r="F110" s="1106">
        <f>4922901+7377557+542459+106789+2990770-53444-1058102-58380-2500014-1938307-1976201-32463-337289-146679-936304-2150284-2006238-416721</f>
        <v>2330050</v>
      </c>
      <c r="G110" s="1106">
        <f>10062170-687329-417765-2639699-135797-69956-438395-592761</f>
        <v>5080468</v>
      </c>
      <c r="H110" s="1106">
        <f>5121786+7675610+564375+1968441+2006240</f>
        <v>17336452</v>
      </c>
      <c r="I110" s="1106">
        <f>5224221+7829122+575662+2027494+491996+174564</f>
        <v>16323059</v>
      </c>
      <c r="J110" s="1106">
        <f>13901587+2088319</f>
        <v>15989906</v>
      </c>
      <c r="K110" s="1106">
        <f>14179618+2150968</f>
        <v>16330586</v>
      </c>
      <c r="L110" s="1106">
        <f>14463209+2215498</f>
        <v>16678707</v>
      </c>
      <c r="M110" s="1105">
        <f t="shared" si="76"/>
        <v>73390521</v>
      </c>
      <c r="N110" s="1105">
        <f t="shared" si="76"/>
        <v>87739178</v>
      </c>
      <c r="O110" s="3953"/>
      <c r="P110" s="3237"/>
      <c r="Q110" s="3237"/>
      <c r="T110" s="334"/>
    </row>
    <row r="111" spans="1:20" s="333" customFormat="1" ht="12.75" hidden="1" customHeight="1" thickBot="1">
      <c r="A111" s="3844"/>
      <c r="B111" s="1430" t="s">
        <v>144</v>
      </c>
      <c r="C111" s="1344"/>
      <c r="D111" s="785">
        <f t="shared" si="75"/>
        <v>14452447</v>
      </c>
      <c r="E111" s="1335">
        <v>1532968</v>
      </c>
      <c r="F111" s="1335">
        <f>2190000-99000-10000-304021-331490</f>
        <v>1445489</v>
      </c>
      <c r="G111" s="1335">
        <f>2190000-190000-256200</f>
        <v>1743800</v>
      </c>
      <c r="H111" s="1335">
        <f>2048339-48339</f>
        <v>2000000</v>
      </c>
      <c r="I111" s="1335">
        <f>2048339-48339</f>
        <v>2000000</v>
      </c>
      <c r="J111" s="1335">
        <f>2048339-48339</f>
        <v>2000000</v>
      </c>
      <c r="K111" s="1335">
        <f>2048339-48339</f>
        <v>2000000</v>
      </c>
      <c r="L111" s="1335">
        <f>2048336-148336-169810</f>
        <v>1730190</v>
      </c>
      <c r="M111" s="1105">
        <f t="shared" si="76"/>
        <v>11189289</v>
      </c>
      <c r="N111" s="1105">
        <f t="shared" si="76"/>
        <v>11473990</v>
      </c>
      <c r="O111" s="3953"/>
      <c r="P111" s="3237"/>
      <c r="Q111" s="3237"/>
      <c r="T111" s="334"/>
    </row>
    <row r="112" spans="1:20" s="333" customFormat="1" ht="12.75" hidden="1" customHeight="1" thickBot="1">
      <c r="A112" s="3844"/>
      <c r="B112" s="1430" t="s">
        <v>310</v>
      </c>
      <c r="C112" s="1345"/>
      <c r="D112" s="785">
        <f t="shared" si="75"/>
        <v>3329010</v>
      </c>
      <c r="E112" s="1335"/>
      <c r="F112" s="1107">
        <f>330000+100000-88900-180510</f>
        <v>160590</v>
      </c>
      <c r="G112" s="1107">
        <f>420000+309000-139400</f>
        <v>589600</v>
      </c>
      <c r="H112" s="1107">
        <f>420000+88900+180510</f>
        <v>689410</v>
      </c>
      <c r="I112" s="1107">
        <f>405000+284410</f>
        <v>689410</v>
      </c>
      <c r="J112" s="1107">
        <v>400000</v>
      </c>
      <c r="K112" s="1107">
        <v>400000</v>
      </c>
      <c r="L112" s="1107">
        <v>400000</v>
      </c>
      <c r="M112" s="1105">
        <f t="shared" si="76"/>
        <v>2929010</v>
      </c>
      <c r="N112" s="1105">
        <f t="shared" si="76"/>
        <v>3168420</v>
      </c>
      <c r="O112" s="3953"/>
      <c r="P112" s="3237"/>
      <c r="Q112" s="3237"/>
      <c r="T112" s="334"/>
    </row>
    <row r="113" spans="1:20" s="333" customFormat="1" ht="12.75" hidden="1" customHeight="1" thickBot="1">
      <c r="A113" s="3844"/>
      <c r="B113" s="1180" t="s">
        <v>223</v>
      </c>
      <c r="C113" s="1346"/>
      <c r="D113" s="785">
        <f t="shared" si="75"/>
        <v>3095172</v>
      </c>
      <c r="E113" s="1336">
        <v>293127</v>
      </c>
      <c r="F113" s="1956">
        <f>400248+86140-1+108427+36462-20083-193339-29277</f>
        <v>388577</v>
      </c>
      <c r="G113" s="1108">
        <f>397613+82194+46193-174000</f>
        <v>352000</v>
      </c>
      <c r="H113" s="1108">
        <f>362772+20083+117145+34184</f>
        <v>534184</v>
      </c>
      <c r="I113" s="1108">
        <f>362772+76194</f>
        <v>438966</v>
      </c>
      <c r="J113" s="1108">
        <v>362772</v>
      </c>
      <c r="K113" s="1108">
        <v>362773</v>
      </c>
      <c r="L113" s="1108">
        <v>362773</v>
      </c>
      <c r="M113" s="1105">
        <f t="shared" si="76"/>
        <v>2439272</v>
      </c>
      <c r="N113" s="1105">
        <f t="shared" si="76"/>
        <v>2413468</v>
      </c>
      <c r="O113" s="3953"/>
      <c r="P113" s="3237"/>
      <c r="Q113" s="3237"/>
      <c r="T113" s="334"/>
    </row>
    <row r="114" spans="1:20" s="333" customFormat="1" ht="12.75" hidden="1" customHeight="1">
      <c r="A114" s="3966"/>
      <c r="B114" s="1180" t="s">
        <v>224</v>
      </c>
      <c r="C114" s="1347"/>
      <c r="D114" s="785">
        <f t="shared" si="75"/>
        <v>3052363</v>
      </c>
      <c r="E114" s="1336">
        <v>1724218</v>
      </c>
      <c r="F114" s="1956">
        <f>2213719-2975+1109794-2137692+169810-24436-74-1</f>
        <v>1328145</v>
      </c>
      <c r="G114" s="1108">
        <f>2501869+1700-1-2503568</f>
        <v>0</v>
      </c>
      <c r="H114" s="1108">
        <f>2303378-2303378</f>
        <v>0</v>
      </c>
      <c r="I114" s="1108">
        <f>2303378-2303378</f>
        <v>0</v>
      </c>
      <c r="J114" s="1108">
        <f>2303378-2303378</f>
        <v>0</v>
      </c>
      <c r="K114" s="1108">
        <f>2303377-2303377</f>
        <v>0</v>
      </c>
      <c r="L114" s="1108">
        <f>2303377-2303377</f>
        <v>0</v>
      </c>
      <c r="M114" s="1105">
        <f t="shared" si="76"/>
        <v>1328145</v>
      </c>
      <c r="N114" s="1105">
        <f t="shared" si="76"/>
        <v>0</v>
      </c>
      <c r="O114" s="3956"/>
      <c r="P114" s="3237"/>
      <c r="Q114" s="3237"/>
      <c r="T114" s="334"/>
    </row>
    <row r="115" spans="1:20" s="2562" customFormat="1" ht="16.5" customHeight="1">
      <c r="A115" s="3514"/>
      <c r="B115" s="80" t="s">
        <v>21</v>
      </c>
      <c r="C115" s="173"/>
      <c r="D115" s="337">
        <f>+D116</f>
        <v>182654787</v>
      </c>
      <c r="E115" s="337">
        <f t="shared" ref="E115:L115" si="77">+E116</f>
        <v>14500997</v>
      </c>
      <c r="F115" s="337">
        <f t="shared" si="77"/>
        <v>22777460</v>
      </c>
      <c r="G115" s="337">
        <f t="shared" si="77"/>
        <v>22437305</v>
      </c>
      <c r="H115" s="1348">
        <f t="shared" si="77"/>
        <v>27116318</v>
      </c>
      <c r="I115" s="1348">
        <f t="shared" si="77"/>
        <v>14250881</v>
      </c>
      <c r="J115" s="1348">
        <f t="shared" si="77"/>
        <v>22642316</v>
      </c>
      <c r="K115" s="1348">
        <f t="shared" si="77"/>
        <v>23254317</v>
      </c>
      <c r="L115" s="1348">
        <f t="shared" si="77"/>
        <v>22258479</v>
      </c>
      <c r="M115" s="3860" t="s">
        <v>53</v>
      </c>
      <c r="N115" s="3860" t="s">
        <v>53</v>
      </c>
      <c r="O115" s="3958"/>
      <c r="P115" s="3947" t="s">
        <v>556</v>
      </c>
      <c r="Q115" s="3947"/>
      <c r="R115" s="3947"/>
      <c r="S115" s="3947"/>
    </row>
    <row r="116" spans="1:20" s="2562" customFormat="1">
      <c r="A116" s="3514"/>
      <c r="B116" s="1349" t="s">
        <v>18</v>
      </c>
      <c r="C116" s="3970" t="s">
        <v>203</v>
      </c>
      <c r="D116" s="1314">
        <f t="shared" ref="D116:L116" si="78">+D117</f>
        <v>182654787</v>
      </c>
      <c r="E116" s="1314">
        <f t="shared" si="78"/>
        <v>14500997</v>
      </c>
      <c r="F116" s="1338">
        <f t="shared" si="78"/>
        <v>22777460</v>
      </c>
      <c r="G116" s="1338">
        <f t="shared" si="78"/>
        <v>22437305</v>
      </c>
      <c r="H116" s="1338">
        <f t="shared" si="78"/>
        <v>27116318</v>
      </c>
      <c r="I116" s="1338">
        <f t="shared" si="78"/>
        <v>14250881</v>
      </c>
      <c r="J116" s="1338">
        <f t="shared" si="78"/>
        <v>22642316</v>
      </c>
      <c r="K116" s="1338">
        <f t="shared" si="78"/>
        <v>23254317</v>
      </c>
      <c r="L116" s="1338">
        <f t="shared" si="78"/>
        <v>22258479</v>
      </c>
      <c r="M116" s="3861"/>
      <c r="N116" s="3861"/>
      <c r="O116" s="3958"/>
      <c r="P116" s="3947"/>
      <c r="Q116" s="3947"/>
      <c r="R116" s="3947"/>
      <c r="S116" s="3947"/>
    </row>
    <row r="117" spans="1:20" s="2562" customFormat="1" ht="13.5" thickBot="1">
      <c r="A117" s="3515"/>
      <c r="B117" s="327" t="s">
        <v>364</v>
      </c>
      <c r="C117" s="3969"/>
      <c r="D117" s="2031">
        <f>E117+F117+G117+H117+I117+J117+K117+L117+2029435+2998719+2055406+3812897+2520257</f>
        <v>182654787</v>
      </c>
      <c r="E117" s="2915">
        <f>14581335-5063-75275</f>
        <v>14500997</v>
      </c>
      <c r="F117" s="1605">
        <f>51433208-8318334-17866393+1853416+1574979-50000-10000-74-4067958-1667704-103680</f>
        <v>22777460</v>
      </c>
      <c r="G117" s="1605">
        <f>30885930-8318334+1316270-584995-2464989+5628093+19922-250000-3794592</f>
        <v>22437305</v>
      </c>
      <c r="H117" s="1605">
        <f>29939078-8229084+354097+1107218+5454925-5693167+221045-354239+3399481+916964</f>
        <v>27116318</v>
      </c>
      <c r="I117" s="1605">
        <f>30223312-8246084-386089+82192+1168964-1018024+848194+17000-7137103-1301481</f>
        <v>14250881</v>
      </c>
      <c r="J117" s="1605">
        <f>30407494-8157684-97132+17000+472638</f>
        <v>22642316</v>
      </c>
      <c r="K117" s="1605">
        <f>30073524-7545683-34482+17000+743958</f>
        <v>23254317</v>
      </c>
      <c r="L117" s="1605">
        <f>30175721-7364300-400206-169810+74+17000</f>
        <v>22258479</v>
      </c>
      <c r="M117" s="3862"/>
      <c r="N117" s="3862"/>
      <c r="O117" s="3957"/>
      <c r="P117" s="3947"/>
      <c r="Q117" s="3947"/>
      <c r="R117" s="3947"/>
      <c r="S117" s="3947"/>
    </row>
    <row r="118" spans="1:20" s="2562" customFormat="1" ht="23.25" customHeight="1">
      <c r="A118" s="3966" t="s">
        <v>79</v>
      </c>
      <c r="B118" s="164" t="s">
        <v>218</v>
      </c>
      <c r="C118" s="165" t="s">
        <v>73</v>
      </c>
      <c r="D118" s="357"/>
      <c r="E118" s="356"/>
      <c r="F118" s="356"/>
      <c r="G118" s="356"/>
      <c r="H118" s="356"/>
      <c r="I118" s="356"/>
      <c r="J118" s="356"/>
      <c r="K118" s="356"/>
      <c r="L118" s="1273"/>
      <c r="M118" s="357">
        <f t="shared" ref="M118" si="79">M119-M121</f>
        <v>2383565</v>
      </c>
      <c r="N118" s="357"/>
      <c r="O118" s="3949" t="s">
        <v>324</v>
      </c>
      <c r="P118" s="3948"/>
      <c r="Q118" s="3947"/>
      <c r="R118" s="3947"/>
      <c r="S118" s="3947"/>
    </row>
    <row r="119" spans="1:20" s="2562" customFormat="1" ht="14.25" customHeight="1">
      <c r="A119" s="3967"/>
      <c r="B119" s="539" t="s">
        <v>10</v>
      </c>
      <c r="C119" s="1324"/>
      <c r="D119" s="1325">
        <f t="shared" ref="D119:I119" si="80">+D124+D120</f>
        <v>2776726</v>
      </c>
      <c r="E119" s="1325">
        <f t="shared" ref="E119" si="81">+E124+E120</f>
        <v>392617</v>
      </c>
      <c r="F119" s="1325">
        <f t="shared" si="80"/>
        <v>422482</v>
      </c>
      <c r="G119" s="1325">
        <f t="shared" si="80"/>
        <v>600000</v>
      </c>
      <c r="H119" s="1325">
        <f t="shared" si="80"/>
        <v>617127</v>
      </c>
      <c r="I119" s="1325">
        <f t="shared" si="80"/>
        <v>200000</v>
      </c>
      <c r="J119" s="1325">
        <f>+J124+J120</f>
        <v>200000</v>
      </c>
      <c r="K119" s="1325">
        <f>+K124+K120</f>
        <v>200000</v>
      </c>
      <c r="L119" s="1325">
        <f>+L124+L120</f>
        <v>144500</v>
      </c>
      <c r="M119" s="1326">
        <f>+M124</f>
        <v>2383565</v>
      </c>
      <c r="N119" s="1326">
        <f>+N124</f>
        <v>1961627</v>
      </c>
      <c r="O119" s="3950"/>
      <c r="P119" s="3948"/>
      <c r="Q119" s="3947"/>
      <c r="R119" s="3947"/>
      <c r="S119" s="3947"/>
    </row>
    <row r="120" spans="1:20" s="2562" customFormat="1" ht="13.5" customHeight="1">
      <c r="A120" s="3967"/>
      <c r="B120" s="515" t="s">
        <v>23</v>
      </c>
      <c r="C120" s="3970" t="s">
        <v>317</v>
      </c>
      <c r="D120" s="1327">
        <f>+D121</f>
        <v>35657</v>
      </c>
      <c r="E120" s="1327">
        <f t="shared" ref="E120:L120" si="82">+E121</f>
        <v>35113</v>
      </c>
      <c r="F120" s="1327">
        <f t="shared" si="82"/>
        <v>544</v>
      </c>
      <c r="G120" s="1327">
        <f t="shared" si="82"/>
        <v>0</v>
      </c>
      <c r="H120" s="1327">
        <f t="shared" si="82"/>
        <v>0</v>
      </c>
      <c r="I120" s="1327">
        <f t="shared" si="82"/>
        <v>0</v>
      </c>
      <c r="J120" s="1327">
        <f t="shared" si="82"/>
        <v>0</v>
      </c>
      <c r="K120" s="1327">
        <f t="shared" si="82"/>
        <v>0</v>
      </c>
      <c r="L120" s="1327">
        <f t="shared" si="82"/>
        <v>0</v>
      </c>
      <c r="M120" s="1425">
        <f>+M121</f>
        <v>0</v>
      </c>
      <c r="N120" s="1425">
        <f>+N121</f>
        <v>0</v>
      </c>
      <c r="O120" s="3950"/>
      <c r="P120" s="3948"/>
      <c r="Q120" s="3947"/>
      <c r="R120" s="3947"/>
      <c r="S120" s="3947"/>
    </row>
    <row r="121" spans="1:20" s="2562" customFormat="1" ht="13.5" customHeight="1">
      <c r="A121" s="3967"/>
      <c r="B121" s="2115" t="s">
        <v>31</v>
      </c>
      <c r="C121" s="3971"/>
      <c r="D121" s="1329">
        <f>E121+F121+G121+H121+I121+J121+K121+L121</f>
        <v>35657</v>
      </c>
      <c r="E121" s="1329">
        <f t="shared" ref="E121:L121" si="83">SUM(E122:E123)</f>
        <v>35113</v>
      </c>
      <c r="F121" s="1329">
        <f t="shared" si="83"/>
        <v>544</v>
      </c>
      <c r="G121" s="1329">
        <f t="shared" si="83"/>
        <v>0</v>
      </c>
      <c r="H121" s="1329">
        <f t="shared" si="83"/>
        <v>0</v>
      </c>
      <c r="I121" s="1329">
        <f t="shared" si="83"/>
        <v>0</v>
      </c>
      <c r="J121" s="1329">
        <f t="shared" si="83"/>
        <v>0</v>
      </c>
      <c r="K121" s="1329">
        <f t="shared" si="83"/>
        <v>0</v>
      </c>
      <c r="L121" s="1329">
        <f t="shared" si="83"/>
        <v>0</v>
      </c>
      <c r="M121" s="1426">
        <v>0</v>
      </c>
      <c r="N121" s="1426">
        <v>0</v>
      </c>
      <c r="O121" s="3950"/>
      <c r="P121" s="3948"/>
      <c r="Q121" s="3947"/>
      <c r="R121" s="3947"/>
      <c r="S121" s="3947"/>
    </row>
    <row r="122" spans="1:20" s="2562" customFormat="1" ht="13.5" hidden="1" customHeight="1">
      <c r="A122" s="3967"/>
      <c r="B122" s="2116" t="s">
        <v>204</v>
      </c>
      <c r="C122" s="3971"/>
      <c r="D122" s="1336">
        <f>E122+F122+G122+H122+I122+J122+K122+L122</f>
        <v>7180</v>
      </c>
      <c r="E122" s="1336">
        <v>6636</v>
      </c>
      <c r="F122" s="1102">
        <f>1410-865-1</f>
        <v>544</v>
      </c>
      <c r="G122" s="1103">
        <f>865-865</f>
        <v>0</v>
      </c>
      <c r="H122" s="1103">
        <f>865-865</f>
        <v>0</v>
      </c>
      <c r="I122" s="1103"/>
      <c r="J122" s="1103"/>
      <c r="K122" s="1103"/>
      <c r="L122" s="1103"/>
      <c r="M122" s="1337">
        <v>0</v>
      </c>
      <c r="N122" s="1337">
        <v>0</v>
      </c>
      <c r="O122" s="3950"/>
      <c r="P122" s="3948"/>
      <c r="Q122" s="3947"/>
      <c r="R122" s="3947"/>
      <c r="S122" s="3947"/>
    </row>
    <row r="123" spans="1:20" s="2562" customFormat="1" ht="13.5" hidden="1" customHeight="1">
      <c r="A123" s="3967"/>
      <c r="B123" s="2116" t="s">
        <v>205</v>
      </c>
      <c r="C123" s="3971"/>
      <c r="D123" s="1336">
        <f>E123+F123+G123+H123+I123+J123+K123+L123</f>
        <v>28477</v>
      </c>
      <c r="E123" s="1336">
        <v>28477</v>
      </c>
      <c r="F123" s="1102">
        <f>975+525+5215-6715</f>
        <v>0</v>
      </c>
      <c r="G123" s="1103">
        <f>1800-300-1500</f>
        <v>0</v>
      </c>
      <c r="H123" s="1103">
        <f>975-975</f>
        <v>0</v>
      </c>
      <c r="I123" s="1103">
        <f>975-975</f>
        <v>0</v>
      </c>
      <c r="J123" s="1103">
        <f>975-975</f>
        <v>0</v>
      </c>
      <c r="K123" s="1103">
        <f>975-975</f>
        <v>0</v>
      </c>
      <c r="L123" s="1103">
        <f>975-975</f>
        <v>0</v>
      </c>
      <c r="M123" s="1337">
        <v>0</v>
      </c>
      <c r="N123" s="1337">
        <v>0</v>
      </c>
      <c r="O123" s="3950"/>
      <c r="P123" s="3948"/>
      <c r="Q123" s="3947"/>
      <c r="R123" s="3947"/>
      <c r="S123" s="3947"/>
    </row>
    <row r="124" spans="1:20" s="2562" customFormat="1" ht="13.5" customHeight="1" thickBot="1">
      <c r="A124" s="3965"/>
      <c r="B124" s="2117" t="s">
        <v>18</v>
      </c>
      <c r="C124" s="3969"/>
      <c r="D124" s="1998">
        <f>+D125</f>
        <v>2741069</v>
      </c>
      <c r="E124" s="2118">
        <f>+E125</f>
        <v>357504</v>
      </c>
      <c r="F124" s="2118">
        <f>+F125</f>
        <v>421938</v>
      </c>
      <c r="G124" s="1998">
        <f t="shared" ref="G124:N124" si="84">+G125</f>
        <v>600000</v>
      </c>
      <c r="H124" s="1998">
        <f t="shared" si="84"/>
        <v>617127</v>
      </c>
      <c r="I124" s="1998">
        <f t="shared" si="84"/>
        <v>200000</v>
      </c>
      <c r="J124" s="1998">
        <f t="shared" si="84"/>
        <v>200000</v>
      </c>
      <c r="K124" s="1998">
        <f t="shared" si="84"/>
        <v>200000</v>
      </c>
      <c r="L124" s="1998">
        <f t="shared" si="84"/>
        <v>144500</v>
      </c>
      <c r="M124" s="2119">
        <f t="shared" si="84"/>
        <v>2383565</v>
      </c>
      <c r="N124" s="2119">
        <f t="shared" si="84"/>
        <v>1961627</v>
      </c>
      <c r="O124" s="3951"/>
      <c r="P124" s="3948"/>
      <c r="Q124" s="3947"/>
      <c r="R124" s="3947"/>
      <c r="S124" s="3947"/>
    </row>
    <row r="125" spans="1:20" s="2562" customFormat="1">
      <c r="A125" s="3967"/>
      <c r="B125" s="1949" t="s">
        <v>20</v>
      </c>
      <c r="C125" s="3972"/>
      <c r="D125" s="1946">
        <f>E125+F125+G125+H125+I125+J125+K125+L125</f>
        <v>2741069</v>
      </c>
      <c r="E125" s="1946">
        <f>+E127+E128+E129+E130+E131+E132+E133</f>
        <v>357504</v>
      </c>
      <c r="F125" s="1946">
        <f t="shared" ref="F125:L125" si="85">+F127+F128+F129+F130+F131+F132+F133</f>
        <v>421938</v>
      </c>
      <c r="G125" s="1946">
        <f t="shared" si="85"/>
        <v>600000</v>
      </c>
      <c r="H125" s="1946">
        <f t="shared" si="85"/>
        <v>617127</v>
      </c>
      <c r="I125" s="1946">
        <f t="shared" si="85"/>
        <v>200000</v>
      </c>
      <c r="J125" s="1946">
        <f t="shared" si="85"/>
        <v>200000</v>
      </c>
      <c r="K125" s="1946">
        <f t="shared" si="85"/>
        <v>200000</v>
      </c>
      <c r="L125" s="1946">
        <f t="shared" si="85"/>
        <v>144500</v>
      </c>
      <c r="M125" s="1599">
        <f>SUM(F125:L125)</f>
        <v>2383565</v>
      </c>
      <c r="N125" s="1599">
        <f>SUM(G125:L125)</f>
        <v>1961627</v>
      </c>
      <c r="O125" s="3950"/>
      <c r="P125" s="3948"/>
      <c r="Q125" s="3947"/>
      <c r="R125" s="3947"/>
      <c r="S125" s="3947"/>
    </row>
    <row r="126" spans="1:20" s="2562" customFormat="1" ht="12.75" hidden="1" customHeight="1">
      <c r="A126" s="3967"/>
      <c r="B126" s="1150" t="s">
        <v>140</v>
      </c>
      <c r="C126" s="1427"/>
      <c r="D126" s="1312"/>
      <c r="E126" s="1312"/>
      <c r="F126" s="1316"/>
      <c r="G126" s="1316"/>
      <c r="H126" s="1316"/>
      <c r="I126" s="1316"/>
      <c r="J126" s="1316"/>
      <c r="K126" s="1316"/>
      <c r="L126" s="1316"/>
      <c r="M126" s="1340"/>
      <c r="N126" s="1340"/>
      <c r="O126" s="3950"/>
      <c r="P126" s="3948"/>
      <c r="Q126" s="3947"/>
      <c r="R126" s="3947"/>
      <c r="S126" s="3947"/>
    </row>
    <row r="127" spans="1:20" s="2562" customFormat="1" ht="12.75" hidden="1" customHeight="1">
      <c r="A127" s="3967"/>
      <c r="B127" s="377" t="s">
        <v>141</v>
      </c>
      <c r="C127" s="336"/>
      <c r="D127" s="1104">
        <f t="shared" ref="D127:D133" si="86">E127+F127+G127+H127+I127+J127+K127+L127</f>
        <v>2107424</v>
      </c>
      <c r="E127" s="1104">
        <v>144449</v>
      </c>
      <c r="F127" s="1095">
        <f>144500+224475+25000+50000-50000-42627</f>
        <v>351348</v>
      </c>
      <c r="G127" s="1095">
        <f>144500+51+205449+250000</f>
        <v>600000</v>
      </c>
      <c r="H127" s="1095">
        <f>144500+50000+42627+30000</f>
        <v>267127</v>
      </c>
      <c r="I127" s="1095">
        <f>144500+55500</f>
        <v>200000</v>
      </c>
      <c r="J127" s="1095">
        <f>144500+55500</f>
        <v>200000</v>
      </c>
      <c r="K127" s="1095">
        <f>144500+55500</f>
        <v>200000</v>
      </c>
      <c r="L127" s="1095">
        <v>144500</v>
      </c>
      <c r="M127" s="1313">
        <f>SUM(F127:L127)</f>
        <v>1962975</v>
      </c>
      <c r="N127" s="1313">
        <f t="shared" ref="M127:N133" si="87">SUM(G127:L127)</f>
        <v>1611627</v>
      </c>
      <c r="O127" s="3950"/>
      <c r="P127" s="3948"/>
      <c r="Q127" s="3947"/>
      <c r="R127" s="3947"/>
      <c r="S127" s="3947"/>
    </row>
    <row r="128" spans="1:20" s="2562" customFormat="1" ht="12.75" hidden="1" customHeight="1">
      <c r="A128" s="3967"/>
      <c r="B128" s="1178" t="s">
        <v>142</v>
      </c>
      <c r="C128" s="1428"/>
      <c r="D128" s="1333">
        <f t="shared" si="86"/>
        <v>409673</v>
      </c>
      <c r="E128" s="1333">
        <v>14078</v>
      </c>
      <c r="F128" s="1333">
        <f>17000+32000-3405</f>
        <v>45595</v>
      </c>
      <c r="G128" s="1333">
        <f>17000+2922-19922</f>
        <v>0</v>
      </c>
      <c r="H128" s="1333">
        <v>350000</v>
      </c>
      <c r="I128" s="1333">
        <f>17000-17000</f>
        <v>0</v>
      </c>
      <c r="J128" s="1333">
        <f>17000-17000</f>
        <v>0</v>
      </c>
      <c r="K128" s="1333">
        <f>17000-17000</f>
        <v>0</v>
      </c>
      <c r="L128" s="1333">
        <f>17000-17000</f>
        <v>0</v>
      </c>
      <c r="M128" s="1313">
        <f>SUM(F128:L128)</f>
        <v>395595</v>
      </c>
      <c r="N128" s="1313">
        <f t="shared" si="87"/>
        <v>350000</v>
      </c>
      <c r="O128" s="3950"/>
      <c r="P128" s="3948"/>
      <c r="Q128" s="3947"/>
      <c r="R128" s="3947"/>
      <c r="S128" s="3947"/>
    </row>
    <row r="129" spans="1:19" s="2562" customFormat="1" ht="12.75" hidden="1" customHeight="1">
      <c r="A129" s="3967"/>
      <c r="B129" s="1181" t="s">
        <v>143</v>
      </c>
      <c r="C129" s="1429"/>
      <c r="D129" s="1343">
        <f t="shared" si="86"/>
        <v>0</v>
      </c>
      <c r="E129" s="1343"/>
      <c r="F129" s="1106"/>
      <c r="G129" s="1106"/>
      <c r="H129" s="1106"/>
      <c r="I129" s="1106"/>
      <c r="J129" s="1106"/>
      <c r="K129" s="1106"/>
      <c r="L129" s="1106"/>
      <c r="M129" s="1313">
        <f t="shared" si="87"/>
        <v>0</v>
      </c>
      <c r="N129" s="1313">
        <f t="shared" si="87"/>
        <v>0</v>
      </c>
      <c r="O129" s="3950"/>
      <c r="P129" s="3948"/>
      <c r="Q129" s="3947"/>
      <c r="R129" s="3947"/>
      <c r="S129" s="3947"/>
    </row>
    <row r="130" spans="1:19" s="2562" customFormat="1" ht="12.75" hidden="1" customHeight="1">
      <c r="A130" s="3967"/>
      <c r="B130" s="1430" t="s">
        <v>144</v>
      </c>
      <c r="C130" s="1431"/>
      <c r="D130" s="1335">
        <f t="shared" si="86"/>
        <v>21912</v>
      </c>
      <c r="E130" s="1335">
        <v>0</v>
      </c>
      <c r="F130" s="1335">
        <f>6000+9000+10000-3088</f>
        <v>21912</v>
      </c>
      <c r="G130" s="1335"/>
      <c r="H130" s="1335"/>
      <c r="I130" s="1335"/>
      <c r="J130" s="1335"/>
      <c r="K130" s="1335"/>
      <c r="L130" s="1335"/>
      <c r="M130" s="1313">
        <f>SUM(F130:L130)</f>
        <v>21912</v>
      </c>
      <c r="N130" s="1313">
        <f t="shared" si="87"/>
        <v>0</v>
      </c>
      <c r="O130" s="3950"/>
      <c r="P130" s="3948"/>
      <c r="Q130" s="3947"/>
      <c r="R130" s="3947"/>
      <c r="S130" s="3947"/>
    </row>
    <row r="131" spans="1:19" s="2562" customFormat="1" ht="12.75" hidden="1" customHeight="1">
      <c r="A131" s="3967"/>
      <c r="B131" s="1430" t="s">
        <v>311</v>
      </c>
      <c r="C131" s="1094"/>
      <c r="D131" s="1335">
        <f t="shared" si="86"/>
        <v>0</v>
      </c>
      <c r="E131" s="1335"/>
      <c r="F131" s="1335">
        <f>25000-25000</f>
        <v>0</v>
      </c>
      <c r="G131" s="1335"/>
      <c r="H131" s="1335"/>
      <c r="I131" s="1335"/>
      <c r="J131" s="1335"/>
      <c r="K131" s="1335"/>
      <c r="L131" s="1335"/>
      <c r="M131" s="1313">
        <f t="shared" si="87"/>
        <v>0</v>
      </c>
      <c r="N131" s="1313">
        <f t="shared" si="87"/>
        <v>0</v>
      </c>
      <c r="O131" s="3950"/>
      <c r="P131" s="3948"/>
      <c r="Q131" s="3947"/>
      <c r="R131" s="3947"/>
      <c r="S131" s="3947"/>
    </row>
    <row r="132" spans="1:19" s="2562" customFormat="1" ht="12.75" hidden="1" customHeight="1">
      <c r="A132" s="3967"/>
      <c r="B132" s="1180" t="s">
        <v>298</v>
      </c>
      <c r="C132" s="1432"/>
      <c r="D132" s="1336">
        <f t="shared" si="86"/>
        <v>40690</v>
      </c>
      <c r="E132" s="1336">
        <v>37607</v>
      </c>
      <c r="F132" s="1336">
        <f>7990-4907</f>
        <v>3083</v>
      </c>
      <c r="G132" s="1336">
        <f>4907-4907</f>
        <v>0</v>
      </c>
      <c r="H132" s="1336">
        <f>4907-4907</f>
        <v>0</v>
      </c>
      <c r="I132" s="1336"/>
      <c r="J132" s="1336"/>
      <c r="K132" s="1336"/>
      <c r="L132" s="1336"/>
      <c r="M132" s="1313">
        <f>SUM(F132:L132)</f>
        <v>3083</v>
      </c>
      <c r="N132" s="1313">
        <f t="shared" si="87"/>
        <v>0</v>
      </c>
      <c r="O132" s="3950"/>
      <c r="P132" s="3948"/>
      <c r="Q132" s="3947"/>
      <c r="R132" s="3947"/>
      <c r="S132" s="3947"/>
    </row>
    <row r="133" spans="1:19" s="2562" customFormat="1" ht="12.75" hidden="1" customHeight="1">
      <c r="A133" s="3967"/>
      <c r="B133" s="1180" t="s">
        <v>224</v>
      </c>
      <c r="C133" s="1433"/>
      <c r="D133" s="1336">
        <f t="shared" si="86"/>
        <v>161370</v>
      </c>
      <c r="E133" s="1336">
        <v>161370</v>
      </c>
      <c r="F133" s="1336">
        <f>5525+2975+29556-38056</f>
        <v>0</v>
      </c>
      <c r="G133" s="1336">
        <f>10200-1700-8500</f>
        <v>0</v>
      </c>
      <c r="H133" s="1336">
        <f>5525-5525</f>
        <v>0</v>
      </c>
      <c r="I133" s="1336">
        <f>5525-5525</f>
        <v>0</v>
      </c>
      <c r="J133" s="1336">
        <f>5525-5525</f>
        <v>0</v>
      </c>
      <c r="K133" s="1336">
        <f>5525-5525</f>
        <v>0</v>
      </c>
      <c r="L133" s="1336">
        <f>5525-5525</f>
        <v>0</v>
      </c>
      <c r="M133" s="1313">
        <f t="shared" si="87"/>
        <v>0</v>
      </c>
      <c r="N133" s="1313">
        <f t="shared" si="87"/>
        <v>0</v>
      </c>
      <c r="O133" s="3950"/>
      <c r="P133" s="3948"/>
      <c r="Q133" s="3947"/>
      <c r="R133" s="3947"/>
      <c r="S133" s="3947"/>
    </row>
    <row r="134" spans="1:19" s="2562" customFormat="1" ht="14.25" customHeight="1">
      <c r="A134" s="3967"/>
      <c r="B134" s="80" t="s">
        <v>21</v>
      </c>
      <c r="C134" s="173"/>
      <c r="D134" s="337">
        <f>+D135</f>
        <v>2741069</v>
      </c>
      <c r="E134" s="337">
        <f t="shared" ref="E134:L134" si="88">+E135</f>
        <v>236568</v>
      </c>
      <c r="F134" s="337">
        <f t="shared" si="88"/>
        <v>231803</v>
      </c>
      <c r="G134" s="337">
        <f t="shared" si="88"/>
        <v>420176</v>
      </c>
      <c r="H134" s="337">
        <f t="shared" si="88"/>
        <v>1058022</v>
      </c>
      <c r="I134" s="337">
        <f t="shared" si="88"/>
        <v>200000</v>
      </c>
      <c r="J134" s="337">
        <f t="shared" si="88"/>
        <v>200000</v>
      </c>
      <c r="K134" s="337">
        <f t="shared" si="88"/>
        <v>200000</v>
      </c>
      <c r="L134" s="337">
        <f t="shared" si="88"/>
        <v>144500</v>
      </c>
      <c r="M134" s="3938" t="s">
        <v>53</v>
      </c>
      <c r="N134" s="3938" t="s">
        <v>53</v>
      </c>
      <c r="O134" s="3950"/>
      <c r="P134" s="3948"/>
      <c r="Q134" s="3947"/>
      <c r="R134" s="3947"/>
      <c r="S134" s="3947"/>
    </row>
    <row r="135" spans="1:19" s="2562" customFormat="1" ht="15.75" customHeight="1">
      <c r="A135" s="3967"/>
      <c r="B135" s="1395" t="s">
        <v>18</v>
      </c>
      <c r="C135" s="3591" t="s">
        <v>203</v>
      </c>
      <c r="D135" s="1434">
        <f t="shared" ref="D135:L135" si="89">+D136</f>
        <v>2741069</v>
      </c>
      <c r="E135" s="1434">
        <f t="shared" si="89"/>
        <v>236568</v>
      </c>
      <c r="F135" s="1434">
        <f t="shared" si="89"/>
        <v>231803</v>
      </c>
      <c r="G135" s="1434">
        <f t="shared" si="89"/>
        <v>420176</v>
      </c>
      <c r="H135" s="1434">
        <f t="shared" si="89"/>
        <v>1058022</v>
      </c>
      <c r="I135" s="1434">
        <f t="shared" si="89"/>
        <v>200000</v>
      </c>
      <c r="J135" s="1434">
        <f t="shared" si="89"/>
        <v>200000</v>
      </c>
      <c r="K135" s="1434">
        <f t="shared" si="89"/>
        <v>200000</v>
      </c>
      <c r="L135" s="1434">
        <f t="shared" si="89"/>
        <v>144500</v>
      </c>
      <c r="M135" s="3861"/>
      <c r="N135" s="3861"/>
      <c r="O135" s="3950"/>
      <c r="P135" s="3948"/>
      <c r="Q135" s="3947"/>
      <c r="R135" s="3947"/>
      <c r="S135" s="3947"/>
    </row>
    <row r="136" spans="1:19" s="2562" customFormat="1" ht="13.5" customHeight="1" thickBot="1">
      <c r="A136" s="3965"/>
      <c r="B136" s="327" t="s">
        <v>404</v>
      </c>
      <c r="C136" s="3969"/>
      <c r="D136" s="779">
        <f>E136+F136+G136+H136+I136+J136+K136+L136+11590+299481-61071-200000</f>
        <v>2741069</v>
      </c>
      <c r="E136" s="1323">
        <v>236568</v>
      </c>
      <c r="F136" s="1109">
        <f>192515-22515+300021+111973+50000+10000-61590-348601</f>
        <v>231803</v>
      </c>
      <c r="G136" s="1109">
        <f>171700-1700-620+200542-19922+311071-240895</f>
        <v>420176</v>
      </c>
      <c r="H136" s="1109">
        <f>167025-5525+4907+50000+20720+820895</f>
        <v>1058022</v>
      </c>
      <c r="I136" s="1109">
        <f>167025-5525-17000+55500</f>
        <v>200000</v>
      </c>
      <c r="J136" s="1109">
        <f>167025-5525-17000+55500</f>
        <v>200000</v>
      </c>
      <c r="K136" s="1109">
        <f>167025-5525-17000+55500</f>
        <v>200000</v>
      </c>
      <c r="L136" s="1109">
        <f>167025-5525-17000</f>
        <v>144500</v>
      </c>
      <c r="M136" s="3862"/>
      <c r="N136" s="3862"/>
      <c r="O136" s="3951"/>
      <c r="P136" s="3948"/>
      <c r="Q136" s="3947"/>
      <c r="R136" s="3947"/>
      <c r="S136" s="3947"/>
    </row>
    <row r="137" spans="1:19" s="2562" customFormat="1" ht="24.75" customHeight="1">
      <c r="A137" s="3966" t="s">
        <v>80</v>
      </c>
      <c r="B137" s="1197" t="s">
        <v>257</v>
      </c>
      <c r="C137" s="2768" t="s">
        <v>73</v>
      </c>
      <c r="D137" s="181"/>
      <c r="E137" s="358"/>
      <c r="F137" s="180"/>
      <c r="G137" s="180"/>
      <c r="H137" s="180"/>
      <c r="I137" s="180"/>
      <c r="J137" s="180"/>
      <c r="K137" s="180"/>
      <c r="L137" s="246"/>
      <c r="M137" s="3104"/>
      <c r="N137" s="3104"/>
      <c r="O137" s="3949" t="s">
        <v>273</v>
      </c>
      <c r="P137" s="2563">
        <f>G134-'[1]Tab. 6E - Administracja'!$G$134</f>
        <v>50254</v>
      </c>
    </row>
    <row r="138" spans="1:19" s="2562" customFormat="1" ht="13.5" customHeight="1">
      <c r="A138" s="3967"/>
      <c r="B138" s="417" t="s">
        <v>10</v>
      </c>
      <c r="C138" s="3239"/>
      <c r="D138" s="3240">
        <f>+D139+D142</f>
        <v>98152110</v>
      </c>
      <c r="E138" s="3241">
        <f>+E139+E142</f>
        <v>360377</v>
      </c>
      <c r="F138" s="3241">
        <f t="shared" ref="F138:L138" si="90">+F139+F142</f>
        <v>1019503</v>
      </c>
      <c r="G138" s="3241">
        <f t="shared" si="90"/>
        <v>1817275</v>
      </c>
      <c r="H138" s="3241">
        <f t="shared" si="90"/>
        <v>18000000</v>
      </c>
      <c r="I138" s="3241">
        <f t="shared" si="90"/>
        <v>48895582</v>
      </c>
      <c r="J138" s="3241">
        <f t="shared" si="90"/>
        <v>28059373</v>
      </c>
      <c r="K138" s="3241">
        <f t="shared" si="90"/>
        <v>0</v>
      </c>
      <c r="L138" s="3241">
        <f t="shared" si="90"/>
        <v>0</v>
      </c>
      <c r="M138" s="3242">
        <f>+M139+M142</f>
        <v>97791733</v>
      </c>
      <c r="N138" s="3242">
        <f>+N139+N142</f>
        <v>96772230</v>
      </c>
      <c r="O138" s="3950"/>
      <c r="P138" s="2563"/>
    </row>
    <row r="139" spans="1:19" s="2562" customFormat="1" ht="13.5" customHeight="1">
      <c r="A139" s="3967"/>
      <c r="B139" s="545" t="s">
        <v>23</v>
      </c>
      <c r="C139" s="3975" t="s">
        <v>241</v>
      </c>
      <c r="D139" s="3243">
        <f>+D140+D141</f>
        <v>28902110</v>
      </c>
      <c r="E139" s="3244">
        <f t="shared" ref="E139" si="91">+E140+E141</f>
        <v>6785</v>
      </c>
      <c r="F139" s="3244">
        <f t="shared" ref="F139:L139" si="92">+F140+F141</f>
        <v>32934</v>
      </c>
      <c r="G139" s="3244">
        <f t="shared" si="92"/>
        <v>35242</v>
      </c>
      <c r="H139" s="3244">
        <f t="shared" si="92"/>
        <v>5425229</v>
      </c>
      <c r="I139" s="3244">
        <f t="shared" si="92"/>
        <v>12342547</v>
      </c>
      <c r="J139" s="3244">
        <f t="shared" si="92"/>
        <v>11059373</v>
      </c>
      <c r="K139" s="3244">
        <f t="shared" si="92"/>
        <v>0</v>
      </c>
      <c r="L139" s="3244">
        <f t="shared" si="92"/>
        <v>0</v>
      </c>
      <c r="M139" s="3245">
        <f>+M140</f>
        <v>28895325</v>
      </c>
      <c r="N139" s="3245">
        <f>+N140</f>
        <v>28862391</v>
      </c>
      <c r="O139" s="3950"/>
      <c r="P139" s="2563"/>
    </row>
    <row r="140" spans="1:19" s="2562" customFormat="1" ht="13.5" customHeight="1">
      <c r="A140" s="3967"/>
      <c r="B140" s="3246" t="s">
        <v>12</v>
      </c>
      <c r="C140" s="3975"/>
      <c r="D140" s="3247">
        <f>E140+F140+G140+H140+I140+J140+K140+L140</f>
        <v>28902110</v>
      </c>
      <c r="E140" s="3248">
        <f t="shared" ref="E140:L140" si="93">+E158+E172+E188+E199</f>
        <v>6785</v>
      </c>
      <c r="F140" s="1957">
        <f t="shared" si="93"/>
        <v>32934</v>
      </c>
      <c r="G140" s="1957">
        <f t="shared" si="93"/>
        <v>35242</v>
      </c>
      <c r="H140" s="1957">
        <f t="shared" si="93"/>
        <v>5425229</v>
      </c>
      <c r="I140" s="1957">
        <f t="shared" si="93"/>
        <v>12342547</v>
      </c>
      <c r="J140" s="1957">
        <f t="shared" si="93"/>
        <v>11059373</v>
      </c>
      <c r="K140" s="1957">
        <f t="shared" si="93"/>
        <v>0</v>
      </c>
      <c r="L140" s="1957">
        <f t="shared" si="93"/>
        <v>0</v>
      </c>
      <c r="M140" s="3249">
        <f>SUM(F140:L140)</f>
        <v>28895325</v>
      </c>
      <c r="N140" s="3249">
        <f>SUM(G140:L140)</f>
        <v>28862391</v>
      </c>
      <c r="O140" s="3950"/>
      <c r="P140" s="2563"/>
    </row>
    <row r="141" spans="1:19" s="2562" customFormat="1" ht="13.5" hidden="1" customHeight="1">
      <c r="A141" s="3967"/>
      <c r="B141" s="3246" t="s">
        <v>16</v>
      </c>
      <c r="C141" s="3975"/>
      <c r="D141" s="3247">
        <f>E141+F141+G141+H141+I141+J141+K141+L141</f>
        <v>0</v>
      </c>
      <c r="E141" s="3250">
        <v>0</v>
      </c>
      <c r="F141" s="1957">
        <f t="shared" ref="F141:L141" si="94">+F159+F173+F200</f>
        <v>0</v>
      </c>
      <c r="G141" s="1957">
        <f t="shared" si="94"/>
        <v>0</v>
      </c>
      <c r="H141" s="1957">
        <f t="shared" si="94"/>
        <v>0</v>
      </c>
      <c r="I141" s="1957">
        <f t="shared" si="94"/>
        <v>0</v>
      </c>
      <c r="J141" s="1957">
        <f t="shared" si="94"/>
        <v>0</v>
      </c>
      <c r="K141" s="1957">
        <f t="shared" si="94"/>
        <v>0</v>
      </c>
      <c r="L141" s="1957">
        <f t="shared" si="94"/>
        <v>0</v>
      </c>
      <c r="M141" s="3249">
        <f>SUM(F141:K141)</f>
        <v>0</v>
      </c>
      <c r="N141" s="3249">
        <f>SUM(G141:L141)</f>
        <v>0</v>
      </c>
      <c r="O141" s="3950"/>
      <c r="P141" s="2563"/>
    </row>
    <row r="142" spans="1:19" s="2562" customFormat="1" ht="13.5" customHeight="1">
      <c r="A142" s="3967"/>
      <c r="B142" s="3251" t="s">
        <v>18</v>
      </c>
      <c r="C142" s="3975"/>
      <c r="D142" s="3252">
        <f>+D143</f>
        <v>69250000</v>
      </c>
      <c r="E142" s="3252">
        <f t="shared" ref="E142" si="95">+E143</f>
        <v>353592</v>
      </c>
      <c r="F142" s="3253">
        <f t="shared" ref="F142:L142" si="96">+F143</f>
        <v>986569</v>
      </c>
      <c r="G142" s="3253">
        <f t="shared" si="96"/>
        <v>1782033</v>
      </c>
      <c r="H142" s="3253">
        <f t="shared" si="96"/>
        <v>12574771</v>
      </c>
      <c r="I142" s="3253">
        <f t="shared" si="96"/>
        <v>36553035</v>
      </c>
      <c r="J142" s="3253">
        <f t="shared" si="96"/>
        <v>17000000</v>
      </c>
      <c r="K142" s="3253">
        <f t="shared" si="96"/>
        <v>0</v>
      </c>
      <c r="L142" s="3253">
        <f t="shared" si="96"/>
        <v>0</v>
      </c>
      <c r="M142" s="3245">
        <f>+M143</f>
        <v>68896408</v>
      </c>
      <c r="N142" s="3245">
        <f>+N143</f>
        <v>67909839</v>
      </c>
      <c r="O142" s="3950"/>
      <c r="P142" s="2563"/>
    </row>
    <row r="143" spans="1:19" s="2562" customFormat="1" ht="12.75" customHeight="1">
      <c r="A143" s="3967"/>
      <c r="B143" s="588" t="s">
        <v>20</v>
      </c>
      <c r="C143" s="3975"/>
      <c r="D143" s="3247">
        <f>E143+F143+G143+H143+I143+J143+K143+L143</f>
        <v>69250000</v>
      </c>
      <c r="E143" s="3254">
        <f>+E144+E145+E146</f>
        <v>353592</v>
      </c>
      <c r="F143" s="1957">
        <f>+F144+F145+F146</f>
        <v>986569</v>
      </c>
      <c r="G143" s="1957">
        <f t="shared" ref="G143:L143" si="97">+G144+G145+G146</f>
        <v>1782033</v>
      </c>
      <c r="H143" s="1957">
        <f t="shared" si="97"/>
        <v>12574771</v>
      </c>
      <c r="I143" s="1957">
        <f t="shared" si="97"/>
        <v>36553035</v>
      </c>
      <c r="J143" s="1957">
        <f t="shared" si="97"/>
        <v>17000000</v>
      </c>
      <c r="K143" s="1957">
        <f t="shared" si="97"/>
        <v>0</v>
      </c>
      <c r="L143" s="1957">
        <f t="shared" si="97"/>
        <v>0</v>
      </c>
      <c r="M143" s="3249">
        <f>SUM(F143:L143)</f>
        <v>68896408</v>
      </c>
      <c r="N143" s="3249">
        <f t="shared" ref="M143:N146" si="98">SUM(G143:L143)</f>
        <v>67909839</v>
      </c>
      <c r="O143" s="3950"/>
      <c r="P143" s="2563"/>
    </row>
    <row r="144" spans="1:19" s="2562" customFormat="1" ht="23.25" hidden="1" customHeight="1">
      <c r="A144" s="3967"/>
      <c r="B144" s="3246" t="s">
        <v>230</v>
      </c>
      <c r="C144" s="3975"/>
      <c r="D144" s="3254">
        <f>+D176</f>
        <v>18000000</v>
      </c>
      <c r="E144" s="3254">
        <f t="shared" ref="E144:L144" si="99">+E162+E176+E191+E203</f>
        <v>353592</v>
      </c>
      <c r="F144" s="1957">
        <f t="shared" si="99"/>
        <v>986569</v>
      </c>
      <c r="G144" s="1957">
        <f t="shared" si="99"/>
        <v>1782033</v>
      </c>
      <c r="H144" s="1957">
        <f t="shared" si="99"/>
        <v>5574771</v>
      </c>
      <c r="I144" s="1957">
        <f t="shared" si="99"/>
        <v>9303035</v>
      </c>
      <c r="J144" s="1957">
        <f t="shared" si="99"/>
        <v>0</v>
      </c>
      <c r="K144" s="1957">
        <f t="shared" si="99"/>
        <v>0</v>
      </c>
      <c r="L144" s="1957">
        <f t="shared" si="99"/>
        <v>0</v>
      </c>
      <c r="M144" s="3255">
        <f t="shared" si="98"/>
        <v>17646408</v>
      </c>
      <c r="N144" s="3255">
        <f t="shared" si="98"/>
        <v>16659839</v>
      </c>
      <c r="O144" s="3950"/>
      <c r="P144" s="2563"/>
    </row>
    <row r="145" spans="1:16" s="2562" customFormat="1" ht="20.25" hidden="1" customHeight="1">
      <c r="A145" s="3967"/>
      <c r="B145" s="3246" t="s">
        <v>231</v>
      </c>
      <c r="C145" s="3975"/>
      <c r="D145" s="3254">
        <f>+D177</f>
        <v>10250000</v>
      </c>
      <c r="E145" s="1957">
        <v>0</v>
      </c>
      <c r="F145" s="1957">
        <f t="shared" ref="F145:L145" si="100">+F177</f>
        <v>0</v>
      </c>
      <c r="G145" s="1957">
        <f t="shared" si="100"/>
        <v>0</v>
      </c>
      <c r="H145" s="1957">
        <f t="shared" si="100"/>
        <v>3000000</v>
      </c>
      <c r="I145" s="1957">
        <f t="shared" si="100"/>
        <v>7250000</v>
      </c>
      <c r="J145" s="1957">
        <f t="shared" si="100"/>
        <v>0</v>
      </c>
      <c r="K145" s="1957">
        <f t="shared" si="100"/>
        <v>0</v>
      </c>
      <c r="L145" s="1957">
        <f t="shared" si="100"/>
        <v>0</v>
      </c>
      <c r="M145" s="3255">
        <f t="shared" si="98"/>
        <v>10250000</v>
      </c>
      <c r="N145" s="3255">
        <f t="shared" si="98"/>
        <v>10250000</v>
      </c>
      <c r="O145" s="3950"/>
      <c r="P145" s="2563"/>
    </row>
    <row r="146" spans="1:16" s="2562" customFormat="1" ht="27" hidden="1" customHeight="1">
      <c r="A146" s="3967"/>
      <c r="B146" s="3246" t="s">
        <v>232</v>
      </c>
      <c r="C146" s="3975"/>
      <c r="D146" s="3254">
        <f>+D178</f>
        <v>28250000</v>
      </c>
      <c r="E146" s="3256">
        <v>0</v>
      </c>
      <c r="F146" s="3256">
        <f t="shared" ref="F146:L146" si="101">+F204</f>
        <v>0</v>
      </c>
      <c r="G146" s="3256">
        <f t="shared" si="101"/>
        <v>0</v>
      </c>
      <c r="H146" s="3256">
        <f t="shared" si="101"/>
        <v>4000000</v>
      </c>
      <c r="I146" s="3256">
        <f t="shared" si="101"/>
        <v>20000000</v>
      </c>
      <c r="J146" s="3256">
        <f t="shared" si="101"/>
        <v>17000000</v>
      </c>
      <c r="K146" s="3256">
        <f t="shared" si="101"/>
        <v>0</v>
      </c>
      <c r="L146" s="3256">
        <f t="shared" si="101"/>
        <v>0</v>
      </c>
      <c r="M146" s="3255">
        <f t="shared" si="98"/>
        <v>41000000</v>
      </c>
      <c r="N146" s="3255">
        <f t="shared" si="98"/>
        <v>41000000</v>
      </c>
      <c r="O146" s="3950"/>
      <c r="P146" s="2563"/>
    </row>
    <row r="147" spans="1:16" s="2562" customFormat="1" ht="15">
      <c r="A147" s="3967"/>
      <c r="B147" s="182" t="s">
        <v>233</v>
      </c>
      <c r="C147" s="3239"/>
      <c r="D147" s="3240">
        <f t="shared" ref="D147:L147" si="102">+D148+D150</f>
        <v>69250000</v>
      </c>
      <c r="E147" s="3241">
        <f t="shared" si="102"/>
        <v>219395</v>
      </c>
      <c r="F147" s="3241">
        <f t="shared" si="102"/>
        <v>1022720</v>
      </c>
      <c r="G147" s="3241">
        <f t="shared" si="102"/>
        <v>1634324</v>
      </c>
      <c r="H147" s="3241">
        <f t="shared" si="102"/>
        <v>11820526</v>
      </c>
      <c r="I147" s="3241">
        <f t="shared" si="102"/>
        <v>36053035</v>
      </c>
      <c r="J147" s="3241">
        <f t="shared" si="102"/>
        <v>18500000</v>
      </c>
      <c r="K147" s="3241">
        <f t="shared" si="102"/>
        <v>0</v>
      </c>
      <c r="L147" s="3241">
        <f t="shared" si="102"/>
        <v>0</v>
      </c>
      <c r="M147" s="3964" t="s">
        <v>53</v>
      </c>
      <c r="N147" s="3964" t="s">
        <v>53</v>
      </c>
      <c r="O147" s="3950"/>
      <c r="P147" s="2563">
        <f>G147-'[1]Tab. 6E - Administracja'!$G$147</f>
        <v>-7877825</v>
      </c>
    </row>
    <row r="148" spans="1:16" s="2562" customFormat="1" ht="13.5" hidden="1" customHeight="1">
      <c r="A148" s="3967"/>
      <c r="B148" s="545" t="s">
        <v>23</v>
      </c>
      <c r="C148" s="3974" t="s">
        <v>572</v>
      </c>
      <c r="D148" s="3243">
        <f>+D149</f>
        <v>0</v>
      </c>
      <c r="E148" s="3244">
        <f t="shared" ref="E148:L148" si="103">+E149</f>
        <v>0</v>
      </c>
      <c r="F148" s="3244">
        <f t="shared" si="103"/>
        <v>0</v>
      </c>
      <c r="G148" s="3244">
        <f t="shared" si="103"/>
        <v>0</v>
      </c>
      <c r="H148" s="3244">
        <f t="shared" si="103"/>
        <v>0</v>
      </c>
      <c r="I148" s="3244">
        <f t="shared" si="103"/>
        <v>0</v>
      </c>
      <c r="J148" s="3244">
        <f t="shared" si="103"/>
        <v>0</v>
      </c>
      <c r="K148" s="3244">
        <f t="shared" si="103"/>
        <v>0</v>
      </c>
      <c r="L148" s="3244">
        <f t="shared" si="103"/>
        <v>0</v>
      </c>
      <c r="M148" s="3858"/>
      <c r="N148" s="3858"/>
      <c r="O148" s="3950"/>
      <c r="P148" s="2563"/>
    </row>
    <row r="149" spans="1:16" s="2562" customFormat="1" ht="13.5" hidden="1" customHeight="1">
      <c r="A149" s="3967"/>
      <c r="B149" s="3246" t="s">
        <v>16</v>
      </c>
      <c r="C149" s="3975"/>
      <c r="D149" s="3247">
        <f>E149+F149+G149+H149+I149+J149+K149+L149</f>
        <v>0</v>
      </c>
      <c r="E149" s="3429">
        <v>0</v>
      </c>
      <c r="F149" s="3257">
        <f t="shared" ref="F149:L149" si="104">+F180+F207</f>
        <v>0</v>
      </c>
      <c r="G149" s="3257">
        <f t="shared" si="104"/>
        <v>0</v>
      </c>
      <c r="H149" s="3257">
        <f t="shared" si="104"/>
        <v>0</v>
      </c>
      <c r="I149" s="3257">
        <f t="shared" si="104"/>
        <v>0</v>
      </c>
      <c r="J149" s="3257">
        <f t="shared" si="104"/>
        <v>0</v>
      </c>
      <c r="K149" s="3257">
        <f t="shared" si="104"/>
        <v>0</v>
      </c>
      <c r="L149" s="3257">
        <f t="shared" si="104"/>
        <v>0</v>
      </c>
      <c r="M149" s="3858"/>
      <c r="N149" s="3858"/>
      <c r="O149" s="3950"/>
      <c r="P149" s="2563"/>
    </row>
    <row r="150" spans="1:16" s="2562" customFormat="1" ht="19.5" customHeight="1">
      <c r="A150" s="3967"/>
      <c r="B150" s="547" t="s">
        <v>18</v>
      </c>
      <c r="C150" s="3975"/>
      <c r="D150" s="3243">
        <f>+D151</f>
        <v>69250000</v>
      </c>
      <c r="E150" s="3244">
        <f>+E151</f>
        <v>219395</v>
      </c>
      <c r="F150" s="3244">
        <f>+F151</f>
        <v>1022720</v>
      </c>
      <c r="G150" s="3244">
        <f t="shared" ref="G150:L150" si="105">+G151</f>
        <v>1634324</v>
      </c>
      <c r="H150" s="3244">
        <f t="shared" si="105"/>
        <v>11820526</v>
      </c>
      <c r="I150" s="3244">
        <f t="shared" si="105"/>
        <v>36053035</v>
      </c>
      <c r="J150" s="3244">
        <f t="shared" si="105"/>
        <v>18500000</v>
      </c>
      <c r="K150" s="3244">
        <f t="shared" si="105"/>
        <v>0</v>
      </c>
      <c r="L150" s="3244">
        <f t="shared" si="105"/>
        <v>0</v>
      </c>
      <c r="M150" s="3858"/>
      <c r="N150" s="3858"/>
      <c r="O150" s="3950"/>
      <c r="P150" s="2563"/>
    </row>
    <row r="151" spans="1:16" s="2562" customFormat="1" ht="21.75" customHeight="1" thickBot="1">
      <c r="A151" s="3965"/>
      <c r="B151" s="74" t="s">
        <v>20</v>
      </c>
      <c r="C151" s="3976"/>
      <c r="D151" s="3258">
        <f>E151+F151+G151+H151+I151+J151+K151+L151</f>
        <v>69250000</v>
      </c>
      <c r="E151" s="1958">
        <f t="shared" ref="E151:L151" si="106">+E167+E182+E209+E194</f>
        <v>219395</v>
      </c>
      <c r="F151" s="1958">
        <f t="shared" si="106"/>
        <v>1022720</v>
      </c>
      <c r="G151" s="1958">
        <f t="shared" si="106"/>
        <v>1634324</v>
      </c>
      <c r="H151" s="1958">
        <f t="shared" si="106"/>
        <v>11820526</v>
      </c>
      <c r="I151" s="1958">
        <f t="shared" si="106"/>
        <v>36053035</v>
      </c>
      <c r="J151" s="1958">
        <f t="shared" si="106"/>
        <v>18500000</v>
      </c>
      <c r="K151" s="1958">
        <f t="shared" si="106"/>
        <v>0</v>
      </c>
      <c r="L151" s="1958">
        <f t="shared" si="106"/>
        <v>0</v>
      </c>
      <c r="M151" s="3859"/>
      <c r="N151" s="3859"/>
      <c r="O151" s="3951"/>
      <c r="P151" s="2563"/>
    </row>
    <row r="152" spans="1:16" s="2562" customFormat="1" ht="24" hidden="1" customHeight="1">
      <c r="A152" s="3158"/>
      <c r="B152" s="1959" t="s">
        <v>230</v>
      </c>
      <c r="C152" s="1960"/>
      <c r="D152" s="1961">
        <f t="shared" ref="D152:L152" si="107">+D168+D183+D195+D210</f>
        <v>18000000</v>
      </c>
      <c r="E152" s="1961">
        <f>+E168+E183+E195+E210</f>
        <v>219395</v>
      </c>
      <c r="F152" s="1961">
        <f t="shared" si="107"/>
        <v>1022720</v>
      </c>
      <c r="G152" s="1961">
        <f t="shared" si="107"/>
        <v>1634324</v>
      </c>
      <c r="H152" s="1961">
        <f t="shared" si="107"/>
        <v>5820526</v>
      </c>
      <c r="I152" s="1961">
        <f t="shared" si="107"/>
        <v>9303035</v>
      </c>
      <c r="J152" s="1961">
        <f t="shared" si="107"/>
        <v>0</v>
      </c>
      <c r="K152" s="1961">
        <f t="shared" si="107"/>
        <v>0</v>
      </c>
      <c r="L152" s="1961">
        <f t="shared" si="107"/>
        <v>0</v>
      </c>
      <c r="M152" s="1962"/>
      <c r="N152" s="1962"/>
      <c r="O152" s="1963"/>
      <c r="P152" s="2563"/>
    </row>
    <row r="153" spans="1:16" s="2562" customFormat="1" ht="24" hidden="1" customHeight="1">
      <c r="A153" s="3158"/>
      <c r="B153" s="1964" t="s">
        <v>231</v>
      </c>
      <c r="C153" s="1960"/>
      <c r="D153" s="1957">
        <f>+D184</f>
        <v>10250000</v>
      </c>
      <c r="E153" s="1957">
        <v>0</v>
      </c>
      <c r="F153" s="1957">
        <f t="shared" ref="F153:L153" si="108">+F184</f>
        <v>0</v>
      </c>
      <c r="G153" s="1957">
        <f t="shared" si="108"/>
        <v>0</v>
      </c>
      <c r="H153" s="1957">
        <f t="shared" si="108"/>
        <v>2500000</v>
      </c>
      <c r="I153" s="1957">
        <f t="shared" si="108"/>
        <v>7750000</v>
      </c>
      <c r="J153" s="1957">
        <f t="shared" si="108"/>
        <v>0</v>
      </c>
      <c r="K153" s="1957">
        <f t="shared" si="108"/>
        <v>0</v>
      </c>
      <c r="L153" s="1957">
        <f t="shared" si="108"/>
        <v>0</v>
      </c>
      <c r="M153" s="1962"/>
      <c r="N153" s="1962"/>
      <c r="O153" s="1963"/>
      <c r="P153" s="2563"/>
    </row>
    <row r="154" spans="1:16" s="2562" customFormat="1" ht="24" hidden="1" customHeight="1" thickBot="1">
      <c r="A154" s="3157"/>
      <c r="B154" s="1965" t="s">
        <v>232</v>
      </c>
      <c r="C154" s="1966"/>
      <c r="D154" s="1958">
        <f>+D211</f>
        <v>41000000</v>
      </c>
      <c r="E154" s="1958">
        <v>0</v>
      </c>
      <c r="F154" s="1958">
        <f t="shared" ref="F154:L154" si="109">+F211</f>
        <v>0</v>
      </c>
      <c r="G154" s="1958">
        <f t="shared" si="109"/>
        <v>0</v>
      </c>
      <c r="H154" s="1958">
        <f t="shared" si="109"/>
        <v>3500000</v>
      </c>
      <c r="I154" s="1958">
        <f t="shared" si="109"/>
        <v>19000000</v>
      </c>
      <c r="J154" s="1958">
        <f t="shared" si="109"/>
        <v>18500000</v>
      </c>
      <c r="K154" s="1958">
        <f t="shared" si="109"/>
        <v>0</v>
      </c>
      <c r="L154" s="1958">
        <f t="shared" si="109"/>
        <v>0</v>
      </c>
      <c r="M154" s="1967"/>
      <c r="N154" s="1967"/>
      <c r="O154" s="1968"/>
      <c r="P154" s="2563"/>
    </row>
    <row r="155" spans="1:16" s="2562" customFormat="1" ht="18.75" hidden="1" customHeight="1">
      <c r="A155" s="3966" t="s">
        <v>369</v>
      </c>
      <c r="B155" s="1969" t="s">
        <v>234</v>
      </c>
      <c r="C155" s="3259" t="s">
        <v>100</v>
      </c>
      <c r="D155" s="1970"/>
      <c r="E155" s="1971"/>
      <c r="F155" s="1972"/>
      <c r="G155" s="1972"/>
      <c r="H155" s="1972"/>
      <c r="I155" s="1972"/>
      <c r="J155" s="1972"/>
      <c r="K155" s="1972"/>
      <c r="L155" s="1973"/>
      <c r="M155" s="3260"/>
      <c r="N155" s="3260"/>
      <c r="O155" s="1963"/>
      <c r="P155" s="2563"/>
    </row>
    <row r="156" spans="1:16" s="2562" customFormat="1" ht="13.5" hidden="1" customHeight="1">
      <c r="A156" s="3967"/>
      <c r="B156" s="80" t="s">
        <v>10</v>
      </c>
      <c r="C156" s="3261"/>
      <c r="D156" s="1198">
        <f t="shared" ref="D156:D168" si="110">SUM(E156:L156)</f>
        <v>0</v>
      </c>
      <c r="E156" s="337">
        <v>0</v>
      </c>
      <c r="F156" s="337">
        <f t="shared" ref="F156:L156" si="111">+F157+F160</f>
        <v>0</v>
      </c>
      <c r="G156" s="337">
        <f t="shared" si="111"/>
        <v>0</v>
      </c>
      <c r="H156" s="337">
        <f t="shared" si="111"/>
        <v>0</v>
      </c>
      <c r="I156" s="337">
        <f t="shared" si="111"/>
        <v>0</v>
      </c>
      <c r="J156" s="337">
        <f t="shared" si="111"/>
        <v>0</v>
      </c>
      <c r="K156" s="337">
        <f t="shared" si="111"/>
        <v>0</v>
      </c>
      <c r="L156" s="337">
        <f t="shared" si="111"/>
        <v>0</v>
      </c>
      <c r="M156" s="340">
        <f t="shared" ref="M156:N162" si="112">SUM(D156:K156)</f>
        <v>0</v>
      </c>
      <c r="N156" s="340">
        <f t="shared" si="112"/>
        <v>0</v>
      </c>
      <c r="O156" s="1963"/>
      <c r="P156" s="2563"/>
    </row>
    <row r="157" spans="1:16" s="2562" customFormat="1" ht="13.5" hidden="1" customHeight="1">
      <c r="A157" s="3967"/>
      <c r="B157" s="166" t="s">
        <v>23</v>
      </c>
      <c r="C157" s="3977" t="s">
        <v>241</v>
      </c>
      <c r="D157" s="1974">
        <f t="shared" si="110"/>
        <v>0</v>
      </c>
      <c r="E157" s="325">
        <v>0</v>
      </c>
      <c r="F157" s="325">
        <f t="shared" ref="F157:L157" si="113">+F158+F159</f>
        <v>0</v>
      </c>
      <c r="G157" s="325">
        <f t="shared" si="113"/>
        <v>0</v>
      </c>
      <c r="H157" s="325">
        <f t="shared" si="113"/>
        <v>0</v>
      </c>
      <c r="I157" s="325">
        <f t="shared" si="113"/>
        <v>0</v>
      </c>
      <c r="J157" s="325">
        <f t="shared" si="113"/>
        <v>0</v>
      </c>
      <c r="K157" s="325">
        <f t="shared" si="113"/>
        <v>0</v>
      </c>
      <c r="L157" s="325">
        <f t="shared" si="113"/>
        <v>0</v>
      </c>
      <c r="M157" s="340">
        <f t="shared" si="112"/>
        <v>0</v>
      </c>
      <c r="N157" s="340">
        <f t="shared" si="112"/>
        <v>0</v>
      </c>
      <c r="O157" s="1963"/>
      <c r="P157" s="2563"/>
    </row>
    <row r="158" spans="1:16" s="2562" customFormat="1" ht="13.5" hidden="1" customHeight="1">
      <c r="A158" s="3967"/>
      <c r="B158" s="1975" t="s">
        <v>12</v>
      </c>
      <c r="C158" s="4009"/>
      <c r="D158" s="1976">
        <f t="shared" si="110"/>
        <v>0</v>
      </c>
      <c r="E158" s="3262"/>
      <c r="F158" s="1976">
        <f>1524390-1524390</f>
        <v>0</v>
      </c>
      <c r="G158" s="1976">
        <f>1840690-1840690</f>
        <v>0</v>
      </c>
      <c r="H158" s="1976"/>
      <c r="I158" s="1976"/>
      <c r="J158" s="3263"/>
      <c r="K158" s="3263"/>
      <c r="L158" s="3263"/>
      <c r="M158" s="3264">
        <f t="shared" si="112"/>
        <v>0</v>
      </c>
      <c r="N158" s="3264">
        <f t="shared" si="112"/>
        <v>0</v>
      </c>
      <c r="O158" s="1963"/>
      <c r="P158" s="2563"/>
    </row>
    <row r="159" spans="1:16" s="2562" customFormat="1" ht="13.5" hidden="1" customHeight="1">
      <c r="A159" s="3967"/>
      <c r="B159" s="1975" t="s">
        <v>54</v>
      </c>
      <c r="C159" s="4009"/>
      <c r="D159" s="1977">
        <f t="shared" si="110"/>
        <v>0</v>
      </c>
      <c r="E159" s="3265"/>
      <c r="F159" s="1977"/>
      <c r="G159" s="1977"/>
      <c r="H159" s="1977"/>
      <c r="I159" s="1977"/>
      <c r="J159" s="3266"/>
      <c r="K159" s="3266"/>
      <c r="L159" s="3266"/>
      <c r="M159" s="3267">
        <f t="shared" si="112"/>
        <v>0</v>
      </c>
      <c r="N159" s="3267">
        <f t="shared" si="112"/>
        <v>0</v>
      </c>
      <c r="O159" s="1963"/>
      <c r="P159" s="2563"/>
    </row>
    <row r="160" spans="1:16" s="2562" customFormat="1" ht="13.5" hidden="1" customHeight="1">
      <c r="A160" s="3967"/>
      <c r="B160" s="81" t="s">
        <v>18</v>
      </c>
      <c r="C160" s="4009"/>
      <c r="D160" s="1974">
        <f t="shared" si="110"/>
        <v>0</v>
      </c>
      <c r="E160" s="325">
        <v>0</v>
      </c>
      <c r="F160" s="325">
        <f t="shared" ref="F160:L160" si="114">+F161</f>
        <v>0</v>
      </c>
      <c r="G160" s="325">
        <f t="shared" si="114"/>
        <v>0</v>
      </c>
      <c r="H160" s="325">
        <f t="shared" si="114"/>
        <v>0</v>
      </c>
      <c r="I160" s="325">
        <f t="shared" si="114"/>
        <v>0</v>
      </c>
      <c r="J160" s="325">
        <f t="shared" si="114"/>
        <v>0</v>
      </c>
      <c r="K160" s="325">
        <f t="shared" si="114"/>
        <v>0</v>
      </c>
      <c r="L160" s="325">
        <f t="shared" si="114"/>
        <v>0</v>
      </c>
      <c r="M160" s="3268">
        <f t="shared" si="112"/>
        <v>0</v>
      </c>
      <c r="N160" s="3268">
        <f t="shared" si="112"/>
        <v>0</v>
      </c>
      <c r="O160" s="1963"/>
      <c r="P160" s="2563"/>
    </row>
    <row r="161" spans="1:16" s="2562" customFormat="1" ht="13.5" hidden="1" customHeight="1">
      <c r="A161" s="3967"/>
      <c r="B161" s="3269" t="s">
        <v>20</v>
      </c>
      <c r="C161" s="4009"/>
      <c r="D161" s="1976">
        <f t="shared" si="110"/>
        <v>0</v>
      </c>
      <c r="E161" s="3262">
        <v>0</v>
      </c>
      <c r="F161" s="3262">
        <f t="shared" ref="F161:L161" si="115">+F162</f>
        <v>0</v>
      </c>
      <c r="G161" s="3262">
        <f t="shared" si="115"/>
        <v>0</v>
      </c>
      <c r="H161" s="3262">
        <f t="shared" si="115"/>
        <v>0</v>
      </c>
      <c r="I161" s="3262">
        <f t="shared" si="115"/>
        <v>0</v>
      </c>
      <c r="J161" s="3262">
        <f t="shared" si="115"/>
        <v>0</v>
      </c>
      <c r="K161" s="3262">
        <f t="shared" si="115"/>
        <v>0</v>
      </c>
      <c r="L161" s="3262">
        <f t="shared" si="115"/>
        <v>0</v>
      </c>
      <c r="M161" s="3264">
        <f t="shared" si="112"/>
        <v>0</v>
      </c>
      <c r="N161" s="3264">
        <f t="shared" si="112"/>
        <v>0</v>
      </c>
      <c r="O161" s="1963"/>
      <c r="P161" s="2563"/>
    </row>
    <row r="162" spans="1:16" s="2562" customFormat="1" ht="24.75" hidden="1" customHeight="1">
      <c r="A162" s="3967"/>
      <c r="B162" s="3270" t="s">
        <v>235</v>
      </c>
      <c r="C162" s="3978"/>
      <c r="D162" s="1977">
        <f t="shared" si="110"/>
        <v>0</v>
      </c>
      <c r="E162" s="3265"/>
      <c r="F162" s="1977">
        <f>624800-624800</f>
        <v>0</v>
      </c>
      <c r="G162" s="1977">
        <f>312400-312400</f>
        <v>0</v>
      </c>
      <c r="H162" s="1977"/>
      <c r="I162" s="1977"/>
      <c r="J162" s="3266"/>
      <c r="K162" s="3266"/>
      <c r="L162" s="1977"/>
      <c r="M162" s="3267">
        <f t="shared" si="112"/>
        <v>0</v>
      </c>
      <c r="N162" s="3267">
        <f t="shared" si="112"/>
        <v>0</v>
      </c>
      <c r="O162" s="1963"/>
      <c r="P162" s="2563"/>
    </row>
    <row r="163" spans="1:16" s="2562" customFormat="1" ht="13.5" hidden="1" customHeight="1">
      <c r="A163" s="3967"/>
      <c r="B163" s="21" t="s">
        <v>233</v>
      </c>
      <c r="C163" s="169"/>
      <c r="D163" s="3271">
        <f t="shared" si="110"/>
        <v>0</v>
      </c>
      <c r="E163" s="3271">
        <v>0</v>
      </c>
      <c r="F163" s="3271">
        <f t="shared" ref="F163:L163" si="116">+F164+F166</f>
        <v>0</v>
      </c>
      <c r="G163" s="3271">
        <f t="shared" si="116"/>
        <v>0</v>
      </c>
      <c r="H163" s="3271">
        <f t="shared" si="116"/>
        <v>0</v>
      </c>
      <c r="I163" s="3271">
        <f t="shared" si="116"/>
        <v>0</v>
      </c>
      <c r="J163" s="3271">
        <f t="shared" si="116"/>
        <v>0</v>
      </c>
      <c r="K163" s="3271">
        <f t="shared" si="116"/>
        <v>0</v>
      </c>
      <c r="L163" s="3271">
        <f t="shared" si="116"/>
        <v>0</v>
      </c>
      <c r="M163" s="3860" t="s">
        <v>53</v>
      </c>
      <c r="N163" s="3860" t="s">
        <v>53</v>
      </c>
      <c r="O163" s="1963"/>
      <c r="P163" s="2563"/>
    </row>
    <row r="164" spans="1:16" s="2562" customFormat="1" ht="13.5" hidden="1" customHeight="1">
      <c r="A164" s="3967"/>
      <c r="B164" s="166" t="s">
        <v>23</v>
      </c>
      <c r="C164" s="3977" t="s">
        <v>241</v>
      </c>
      <c r="D164" s="3272">
        <f t="shared" si="110"/>
        <v>0</v>
      </c>
      <c r="E164" s="3273">
        <v>0</v>
      </c>
      <c r="F164" s="3273">
        <f t="shared" ref="F164:L164" si="117">+F165</f>
        <v>0</v>
      </c>
      <c r="G164" s="3273">
        <f t="shared" si="117"/>
        <v>0</v>
      </c>
      <c r="H164" s="3273">
        <f t="shared" si="117"/>
        <v>0</v>
      </c>
      <c r="I164" s="3273">
        <f t="shared" si="117"/>
        <v>0</v>
      </c>
      <c r="J164" s="3273">
        <f t="shared" si="117"/>
        <v>0</v>
      </c>
      <c r="K164" s="3273">
        <f t="shared" si="117"/>
        <v>0</v>
      </c>
      <c r="L164" s="3273">
        <f t="shared" si="117"/>
        <v>0</v>
      </c>
      <c r="M164" s="3861"/>
      <c r="N164" s="3861"/>
      <c r="O164" s="1963"/>
      <c r="P164" s="2563"/>
    </row>
    <row r="165" spans="1:16" s="2562" customFormat="1" ht="13.5" hidden="1" customHeight="1">
      <c r="A165" s="3967"/>
      <c r="B165" s="1975" t="s">
        <v>54</v>
      </c>
      <c r="C165" s="3978"/>
      <c r="D165" s="3274">
        <f t="shared" si="110"/>
        <v>0</v>
      </c>
      <c r="E165" s="362"/>
      <c r="F165" s="3275"/>
      <c r="G165" s="3275"/>
      <c r="H165" s="3275"/>
      <c r="I165" s="3275"/>
      <c r="J165" s="3275"/>
      <c r="K165" s="3275"/>
      <c r="L165" s="3275"/>
      <c r="M165" s="3861"/>
      <c r="N165" s="3861"/>
      <c r="O165" s="1963"/>
      <c r="P165" s="2563"/>
    </row>
    <row r="166" spans="1:16" s="2562" customFormat="1" ht="12" hidden="1" customHeight="1">
      <c r="A166" s="3967"/>
      <c r="B166" s="81" t="s">
        <v>18</v>
      </c>
      <c r="C166" s="4006" t="s">
        <v>203</v>
      </c>
      <c r="D166" s="3276">
        <f t="shared" si="110"/>
        <v>0</v>
      </c>
      <c r="E166" s="3277">
        <v>0</v>
      </c>
      <c r="F166" s="3277">
        <f t="shared" ref="F166:L166" si="118">+F167</f>
        <v>0</v>
      </c>
      <c r="G166" s="3277">
        <f t="shared" si="118"/>
        <v>0</v>
      </c>
      <c r="H166" s="3277">
        <f t="shared" si="118"/>
        <v>0</v>
      </c>
      <c r="I166" s="3277">
        <f t="shared" si="118"/>
        <v>0</v>
      </c>
      <c r="J166" s="3277">
        <f t="shared" si="118"/>
        <v>0</v>
      </c>
      <c r="K166" s="3277">
        <f t="shared" si="118"/>
        <v>0</v>
      </c>
      <c r="L166" s="3277">
        <f t="shared" si="118"/>
        <v>0</v>
      </c>
      <c r="M166" s="3861"/>
      <c r="N166" s="3861"/>
      <c r="O166" s="1963"/>
      <c r="P166" s="2563"/>
    </row>
    <row r="167" spans="1:16" s="2562" customFormat="1" ht="15" hidden="1" customHeight="1">
      <c r="A167" s="3967"/>
      <c r="B167" s="3269" t="s">
        <v>20</v>
      </c>
      <c r="C167" s="4007"/>
      <c r="D167" s="3274">
        <f t="shared" si="110"/>
        <v>0</v>
      </c>
      <c r="E167" s="362">
        <v>0</v>
      </c>
      <c r="F167" s="362">
        <f t="shared" ref="F167:L167" si="119">+F168</f>
        <v>0</v>
      </c>
      <c r="G167" s="362">
        <f t="shared" si="119"/>
        <v>0</v>
      </c>
      <c r="H167" s="362">
        <f t="shared" si="119"/>
        <v>0</v>
      </c>
      <c r="I167" s="362">
        <f t="shared" si="119"/>
        <v>0</v>
      </c>
      <c r="J167" s="362">
        <f t="shared" si="119"/>
        <v>0</v>
      </c>
      <c r="K167" s="362">
        <f t="shared" si="119"/>
        <v>0</v>
      </c>
      <c r="L167" s="362">
        <f t="shared" si="119"/>
        <v>0</v>
      </c>
      <c r="M167" s="3861"/>
      <c r="N167" s="3861"/>
      <c r="O167" s="1963"/>
      <c r="P167" s="2563"/>
    </row>
    <row r="168" spans="1:16" s="2562" customFormat="1" ht="24" hidden="1" customHeight="1">
      <c r="A168" s="3278"/>
      <c r="B168" s="3279" t="s">
        <v>230</v>
      </c>
      <c r="C168" s="4008"/>
      <c r="D168" s="3280">
        <f t="shared" si="110"/>
        <v>0</v>
      </c>
      <c r="E168" s="3281"/>
      <c r="F168" s="3280">
        <f>624800-624800</f>
        <v>0</v>
      </c>
      <c r="G168" s="3280">
        <f>312400-312400</f>
        <v>0</v>
      </c>
      <c r="H168" s="3280"/>
      <c r="I168" s="3280"/>
      <c r="J168" s="3280"/>
      <c r="K168" s="3280"/>
      <c r="L168" s="3280"/>
      <c r="M168" s="3981"/>
      <c r="N168" s="3981"/>
      <c r="O168" s="1963"/>
      <c r="P168" s="2563"/>
    </row>
    <row r="169" spans="1:16" s="2562" customFormat="1" ht="15.75" hidden="1" customHeight="1">
      <c r="A169" s="3983" t="s">
        <v>370</v>
      </c>
      <c r="B169" s="3282" t="s">
        <v>234</v>
      </c>
      <c r="C169" s="3283" t="s">
        <v>73</v>
      </c>
      <c r="D169" s="3284"/>
      <c r="E169" s="3285"/>
      <c r="F169" s="3286"/>
      <c r="G169" s="3286"/>
      <c r="H169" s="3286"/>
      <c r="I169" s="3286"/>
      <c r="J169" s="3286"/>
      <c r="K169" s="3286"/>
      <c r="L169" s="3287"/>
      <c r="M169" s="3288"/>
      <c r="N169" s="3288"/>
      <c r="O169" s="1963"/>
      <c r="P169" s="2563"/>
    </row>
    <row r="170" spans="1:16" s="2562" customFormat="1" ht="13.5" hidden="1" customHeight="1">
      <c r="A170" s="3967"/>
      <c r="B170" s="182" t="s">
        <v>10</v>
      </c>
      <c r="C170" s="3289"/>
      <c r="D170" s="365">
        <f t="shared" ref="D170:D177" si="120">SUM(E170:L170)</f>
        <v>33033363</v>
      </c>
      <c r="E170" s="3290">
        <f t="shared" ref="E170" si="121">+E171+E174</f>
        <v>360377</v>
      </c>
      <c r="F170" s="3290">
        <f t="shared" ref="F170:L170" si="122">+F171+F174</f>
        <v>1019503</v>
      </c>
      <c r="G170" s="3290">
        <f t="shared" si="122"/>
        <v>1817275</v>
      </c>
      <c r="H170" s="3290">
        <f t="shared" si="122"/>
        <v>12000000</v>
      </c>
      <c r="I170" s="3290">
        <f t="shared" si="122"/>
        <v>17836208</v>
      </c>
      <c r="J170" s="3290">
        <f t="shared" si="122"/>
        <v>0</v>
      </c>
      <c r="K170" s="3290">
        <f t="shared" si="122"/>
        <v>0</v>
      </c>
      <c r="L170" s="3290">
        <f t="shared" si="122"/>
        <v>0</v>
      </c>
      <c r="M170" s="3242">
        <f>+M171+M174</f>
        <v>32672986</v>
      </c>
      <c r="N170" s="3242">
        <f>+N171+N174</f>
        <v>31653483</v>
      </c>
      <c r="O170" s="1963"/>
      <c r="P170" s="2563"/>
    </row>
    <row r="171" spans="1:16" s="2562" customFormat="1" ht="14.25" hidden="1" customHeight="1">
      <c r="A171" s="3967"/>
      <c r="B171" s="220" t="s">
        <v>23</v>
      </c>
      <c r="C171" s="3985" t="s">
        <v>241</v>
      </c>
      <c r="D171" s="3291">
        <f t="shared" si="120"/>
        <v>4783363</v>
      </c>
      <c r="E171" s="3292">
        <f t="shared" ref="E171" si="123">+E172+E173</f>
        <v>6785</v>
      </c>
      <c r="F171" s="3292">
        <f t="shared" ref="F171:L171" si="124">+F172+F173</f>
        <v>32934</v>
      </c>
      <c r="G171" s="3292">
        <f t="shared" si="124"/>
        <v>35242</v>
      </c>
      <c r="H171" s="3292">
        <f t="shared" si="124"/>
        <v>3425229</v>
      </c>
      <c r="I171" s="3292">
        <f t="shared" si="124"/>
        <v>1283173</v>
      </c>
      <c r="J171" s="3292">
        <f t="shared" si="124"/>
        <v>0</v>
      </c>
      <c r="K171" s="3292">
        <f t="shared" si="124"/>
        <v>0</v>
      </c>
      <c r="L171" s="3292">
        <f t="shared" si="124"/>
        <v>0</v>
      </c>
      <c r="M171" s="3293">
        <f>+M172+M173</f>
        <v>4776578</v>
      </c>
      <c r="N171" s="3293">
        <f>+N172+N173</f>
        <v>4743644</v>
      </c>
      <c r="O171" s="1963"/>
      <c r="P171" s="2563"/>
    </row>
    <row r="172" spans="1:16" s="2562" customFormat="1" ht="15" hidden="1" customHeight="1">
      <c r="A172" s="3967"/>
      <c r="B172" s="1975" t="s">
        <v>12</v>
      </c>
      <c r="C172" s="4009"/>
      <c r="D172" s="3294">
        <f t="shared" si="120"/>
        <v>4783363</v>
      </c>
      <c r="E172" s="3295">
        <v>6785</v>
      </c>
      <c r="F172" s="3294">
        <f>2771900+1650960-4222860-196679+14324+15289</f>
        <v>32934</v>
      </c>
      <c r="G172" s="3294">
        <f>1331570+1528290+1746993-424083+157710-2889542-1412421-3275</f>
        <v>35242</v>
      </c>
      <c r="H172" s="3294">
        <f>2870218+1290507-735496</f>
        <v>3425229</v>
      </c>
      <c r="I172" s="3294">
        <f>5000+1274578+3595</f>
        <v>1283173</v>
      </c>
      <c r="J172" s="3294"/>
      <c r="K172" s="3294"/>
      <c r="L172" s="3294"/>
      <c r="M172" s="2916">
        <f>SUM(F172:K172)</f>
        <v>4776578</v>
      </c>
      <c r="N172" s="2916">
        <f>SUM(G172:L172)</f>
        <v>4743644</v>
      </c>
      <c r="O172" s="1963"/>
      <c r="P172" s="2563"/>
    </row>
    <row r="173" spans="1:16" s="2562" customFormat="1" ht="17.25" hidden="1" customHeight="1">
      <c r="A173" s="3967"/>
      <c r="B173" s="1975" t="s">
        <v>54</v>
      </c>
      <c r="C173" s="4009"/>
      <c r="D173" s="3296">
        <f t="shared" si="120"/>
        <v>0</v>
      </c>
      <c r="E173" s="3297"/>
      <c r="F173" s="3296"/>
      <c r="G173" s="3296"/>
      <c r="H173" s="3296"/>
      <c r="I173" s="3296"/>
      <c r="J173" s="3296"/>
      <c r="K173" s="3296"/>
      <c r="L173" s="3296"/>
      <c r="M173" s="2916">
        <f>SUM(F173:K173)</f>
        <v>0</v>
      </c>
      <c r="N173" s="2916">
        <f>SUM(G173:L173)</f>
        <v>0</v>
      </c>
      <c r="O173" s="1963"/>
      <c r="P173" s="2563"/>
    </row>
    <row r="174" spans="1:16" s="3166" customFormat="1" ht="15.75" hidden="1" customHeight="1">
      <c r="A174" s="3967"/>
      <c r="B174" s="711" t="s">
        <v>18</v>
      </c>
      <c r="C174" s="4009"/>
      <c r="D174" s="3291">
        <f t="shared" si="120"/>
        <v>28250000</v>
      </c>
      <c r="E174" s="3291">
        <f>+E175</f>
        <v>353592</v>
      </c>
      <c r="F174" s="3291">
        <f>+F175</f>
        <v>986569</v>
      </c>
      <c r="G174" s="3291">
        <f t="shared" ref="G174:L174" si="125">+G175</f>
        <v>1782033</v>
      </c>
      <c r="H174" s="3291">
        <f t="shared" si="125"/>
        <v>8574771</v>
      </c>
      <c r="I174" s="3291">
        <f t="shared" si="125"/>
        <v>16553035</v>
      </c>
      <c r="J174" s="3291">
        <f t="shared" si="125"/>
        <v>0</v>
      </c>
      <c r="K174" s="3291">
        <f t="shared" si="125"/>
        <v>0</v>
      </c>
      <c r="L174" s="3291">
        <f t="shared" si="125"/>
        <v>0</v>
      </c>
      <c r="M174" s="3293">
        <f>+M175</f>
        <v>27896408</v>
      </c>
      <c r="N174" s="3293">
        <f>+N175</f>
        <v>26909839</v>
      </c>
      <c r="O174" s="1963"/>
      <c r="P174" s="673"/>
    </row>
    <row r="175" spans="1:16" s="2562" customFormat="1" ht="13.5" hidden="1" customHeight="1" thickBot="1">
      <c r="A175" s="3965"/>
      <c r="B175" s="3269" t="s">
        <v>20</v>
      </c>
      <c r="C175" s="4009"/>
      <c r="D175" s="3294">
        <f t="shared" si="120"/>
        <v>28250000</v>
      </c>
      <c r="E175" s="3295">
        <f>+E176+E177</f>
        <v>353592</v>
      </c>
      <c r="F175" s="3295">
        <f>+F176+F177</f>
        <v>986569</v>
      </c>
      <c r="G175" s="3295">
        <f t="shared" ref="G175:L175" si="126">+G176+G177</f>
        <v>1782033</v>
      </c>
      <c r="H175" s="3295">
        <f t="shared" si="126"/>
        <v>8574771</v>
      </c>
      <c r="I175" s="3295">
        <f t="shared" si="126"/>
        <v>16553035</v>
      </c>
      <c r="J175" s="3295">
        <f t="shared" si="126"/>
        <v>0</v>
      </c>
      <c r="K175" s="3295">
        <f t="shared" si="126"/>
        <v>0</v>
      </c>
      <c r="L175" s="3295">
        <f t="shared" si="126"/>
        <v>0</v>
      </c>
      <c r="M175" s="2916">
        <f>+M176+M177</f>
        <v>27896408</v>
      </c>
      <c r="N175" s="2916">
        <f>+N176+N177</f>
        <v>26909839</v>
      </c>
      <c r="O175" s="1963"/>
      <c r="P175" s="2563"/>
    </row>
    <row r="176" spans="1:16" s="2562" customFormat="1" ht="27" hidden="1" customHeight="1" thickBot="1">
      <c r="A176" s="3844"/>
      <c r="B176" s="3270" t="s">
        <v>230</v>
      </c>
      <c r="C176" s="4009"/>
      <c r="D176" s="3296">
        <f t="shared" si="120"/>
        <v>18000000</v>
      </c>
      <c r="E176" s="3296">
        <f>360377-6785</f>
        <v>353592</v>
      </c>
      <c r="F176" s="3296">
        <f>6627800+624800-3893137-346286-1929747-81572-15289</f>
        <v>986569</v>
      </c>
      <c r="G176" s="3296">
        <f>8003000+624800+1372200+2609637-7314788-2168789-1344027</f>
        <v>1782033</v>
      </c>
      <c r="H176" s="3296">
        <f>3584737+432072+5314788+1929747+81572-5768145</f>
        <v>5574771</v>
      </c>
      <c r="I176" s="3296">
        <f>7959008+1344027</f>
        <v>9303035</v>
      </c>
      <c r="J176" s="3296">
        <v>0</v>
      </c>
      <c r="K176" s="3296">
        <v>0</v>
      </c>
      <c r="L176" s="3296">
        <v>0</v>
      </c>
      <c r="M176" s="2916">
        <f>SUM(F176:K176)</f>
        <v>17646408</v>
      </c>
      <c r="N176" s="2916">
        <f>SUM(G176:L176)</f>
        <v>16659839</v>
      </c>
      <c r="O176" s="1963"/>
      <c r="P176" s="2563"/>
    </row>
    <row r="177" spans="1:16" s="2562" customFormat="1" ht="21.75" hidden="1" customHeight="1" thickBot="1">
      <c r="A177" s="3844"/>
      <c r="B177" s="3270" t="s">
        <v>231</v>
      </c>
      <c r="C177" s="3978"/>
      <c r="D177" s="3296">
        <f t="shared" si="120"/>
        <v>10250000</v>
      </c>
      <c r="E177" s="3297">
        <v>0</v>
      </c>
      <c r="F177" s="3296">
        <f>3000000-3000000</f>
        <v>0</v>
      </c>
      <c r="G177" s="3296">
        <f>7000000+143000-583000-2342700-2034502-2144085-38713</f>
        <v>0</v>
      </c>
      <c r="H177" s="3296">
        <f>2857000+833000+2295496+2081706-2544380-2522822</f>
        <v>3000000</v>
      </c>
      <c r="I177" s="3296">
        <f>4688465+2561535</f>
        <v>7250000</v>
      </c>
      <c r="J177" s="3296">
        <v>0</v>
      </c>
      <c r="K177" s="3296">
        <v>0</v>
      </c>
      <c r="L177" s="3296">
        <v>0</v>
      </c>
      <c r="M177" s="2916">
        <f>SUM(F177:K177)</f>
        <v>10250000</v>
      </c>
      <c r="N177" s="2916">
        <f>SUM(G177:L177)</f>
        <v>10250000</v>
      </c>
      <c r="O177" s="1963"/>
      <c r="P177" s="2563"/>
    </row>
    <row r="178" spans="1:16" s="2562" customFormat="1" ht="17.25" hidden="1" customHeight="1" thickBot="1">
      <c r="A178" s="3844"/>
      <c r="B178" s="182" t="s">
        <v>233</v>
      </c>
      <c r="C178" s="169"/>
      <c r="D178" s="3290">
        <f t="shared" ref="D178:L178" si="127">+D179+D181</f>
        <v>28250000</v>
      </c>
      <c r="E178" s="3290">
        <f t="shared" ref="E178" si="128">+E179+E181</f>
        <v>219395</v>
      </c>
      <c r="F178" s="3290">
        <f t="shared" si="127"/>
        <v>1022720</v>
      </c>
      <c r="G178" s="3290">
        <f t="shared" si="127"/>
        <v>1634324</v>
      </c>
      <c r="H178" s="3290">
        <f t="shared" si="127"/>
        <v>8320526</v>
      </c>
      <c r="I178" s="3290">
        <f t="shared" si="127"/>
        <v>17053035</v>
      </c>
      <c r="J178" s="3290">
        <f t="shared" si="127"/>
        <v>0</v>
      </c>
      <c r="K178" s="3290">
        <f t="shared" si="127"/>
        <v>0</v>
      </c>
      <c r="L178" s="3290">
        <f t="shared" si="127"/>
        <v>0</v>
      </c>
      <c r="M178" s="3979" t="s">
        <v>53</v>
      </c>
      <c r="N178" s="3979" t="s">
        <v>53</v>
      </c>
      <c r="O178" s="1963"/>
      <c r="P178" s="2563"/>
    </row>
    <row r="179" spans="1:16" s="2562" customFormat="1" ht="13.5" hidden="1" customHeight="1" thickBot="1">
      <c r="A179" s="3844"/>
      <c r="B179" s="220" t="s">
        <v>23</v>
      </c>
      <c r="C179" s="3985" t="s">
        <v>241</v>
      </c>
      <c r="D179" s="3291">
        <f t="shared" ref="D179:D184" si="129">SUM(E179:L179)</f>
        <v>0</v>
      </c>
      <c r="E179" s="3292">
        <f t="shared" ref="E179:L179" si="130">+E180</f>
        <v>0</v>
      </c>
      <c r="F179" s="3292">
        <f t="shared" si="130"/>
        <v>0</v>
      </c>
      <c r="G179" s="3292">
        <f t="shared" si="130"/>
        <v>0</v>
      </c>
      <c r="H179" s="3292">
        <f t="shared" si="130"/>
        <v>0</v>
      </c>
      <c r="I179" s="3292">
        <f t="shared" si="130"/>
        <v>0</v>
      </c>
      <c r="J179" s="3292">
        <f t="shared" si="130"/>
        <v>0</v>
      </c>
      <c r="K179" s="3292">
        <f t="shared" si="130"/>
        <v>0</v>
      </c>
      <c r="L179" s="3292">
        <f t="shared" si="130"/>
        <v>0</v>
      </c>
      <c r="M179" s="3858"/>
      <c r="N179" s="3858"/>
      <c r="O179" s="1963"/>
      <c r="P179" s="2563"/>
    </row>
    <row r="180" spans="1:16" s="2562" customFormat="1" ht="15" hidden="1" customHeight="1" thickBot="1">
      <c r="A180" s="3844"/>
      <c r="B180" s="1975" t="s">
        <v>54</v>
      </c>
      <c r="C180" s="3978"/>
      <c r="D180" s="3296">
        <f t="shared" si="129"/>
        <v>0</v>
      </c>
      <c r="E180" s="3296"/>
      <c r="F180" s="3296"/>
      <c r="G180" s="3296"/>
      <c r="H180" s="3296"/>
      <c r="I180" s="3296"/>
      <c r="J180" s="3296"/>
      <c r="K180" s="3296"/>
      <c r="L180" s="3296"/>
      <c r="M180" s="3858"/>
      <c r="N180" s="3858"/>
      <c r="O180" s="1963"/>
      <c r="P180" s="2563"/>
    </row>
    <row r="181" spans="1:16" s="2562" customFormat="1" ht="18.75" hidden="1" customHeight="1" thickBot="1">
      <c r="A181" s="3844"/>
      <c r="B181" s="711" t="s">
        <v>18</v>
      </c>
      <c r="C181" s="3985" t="s">
        <v>247</v>
      </c>
      <c r="D181" s="3291">
        <f t="shared" si="129"/>
        <v>28250000</v>
      </c>
      <c r="E181" s="3292">
        <f t="shared" ref="E181:L181" si="131">+E182</f>
        <v>219395</v>
      </c>
      <c r="F181" s="3292">
        <f t="shared" si="131"/>
        <v>1022720</v>
      </c>
      <c r="G181" s="3292">
        <f t="shared" si="131"/>
        <v>1634324</v>
      </c>
      <c r="H181" s="3292">
        <f t="shared" si="131"/>
        <v>8320526</v>
      </c>
      <c r="I181" s="3292">
        <f t="shared" si="131"/>
        <v>17053035</v>
      </c>
      <c r="J181" s="3292">
        <f t="shared" si="131"/>
        <v>0</v>
      </c>
      <c r="K181" s="3292">
        <f t="shared" si="131"/>
        <v>0</v>
      </c>
      <c r="L181" s="3292">
        <f t="shared" si="131"/>
        <v>0</v>
      </c>
      <c r="M181" s="3858"/>
      <c r="N181" s="3858"/>
      <c r="O181" s="1963"/>
      <c r="P181" s="2563"/>
    </row>
    <row r="182" spans="1:16" s="2562" customFormat="1" ht="18" hidden="1" customHeight="1" thickBot="1">
      <c r="A182" s="3844"/>
      <c r="B182" s="382" t="s">
        <v>20</v>
      </c>
      <c r="C182" s="4037"/>
      <c r="D182" s="3294">
        <f t="shared" si="129"/>
        <v>28250000</v>
      </c>
      <c r="E182" s="3294">
        <f t="shared" ref="E182:L182" si="132">+E183+E184</f>
        <v>219395</v>
      </c>
      <c r="F182" s="3294">
        <f t="shared" si="132"/>
        <v>1022720</v>
      </c>
      <c r="G182" s="3294">
        <f t="shared" si="132"/>
        <v>1634324</v>
      </c>
      <c r="H182" s="3294">
        <f t="shared" si="132"/>
        <v>8320526</v>
      </c>
      <c r="I182" s="3294">
        <f t="shared" si="132"/>
        <v>17053035</v>
      </c>
      <c r="J182" s="3294">
        <f t="shared" si="132"/>
        <v>0</v>
      </c>
      <c r="K182" s="3294">
        <f t="shared" si="132"/>
        <v>0</v>
      </c>
      <c r="L182" s="3294">
        <f t="shared" si="132"/>
        <v>0</v>
      </c>
      <c r="M182" s="3858"/>
      <c r="N182" s="3858"/>
      <c r="O182" s="1963"/>
      <c r="P182" s="2563"/>
    </row>
    <row r="183" spans="1:16" s="2562" customFormat="1" ht="22.5" hidden="1" customHeight="1" thickBot="1">
      <c r="A183" s="3298"/>
      <c r="B183" s="1959" t="s">
        <v>236</v>
      </c>
      <c r="C183" s="3299" t="s">
        <v>203</v>
      </c>
      <c r="D183" s="3296">
        <f t="shared" si="129"/>
        <v>18000000</v>
      </c>
      <c r="E183" s="3296">
        <f>226180-6785</f>
        <v>219395</v>
      </c>
      <c r="F183" s="3296">
        <f>6627800+624800-3893137-212089-2062295-62359</f>
        <v>1022720</v>
      </c>
      <c r="G183" s="3296">
        <f>8003000+624800+1372200+2609637-7314788-2611664-1048861</f>
        <v>1634324</v>
      </c>
      <c r="H183" s="3296">
        <f>3584737+432072+5314788+2062295-50976-5325270-197120</f>
        <v>5820526</v>
      </c>
      <c r="I183" s="3296">
        <f>113335+7943719+1245981</f>
        <v>9303035</v>
      </c>
      <c r="J183" s="3296"/>
      <c r="K183" s="3296"/>
      <c r="L183" s="3296"/>
      <c r="M183" s="3858"/>
      <c r="N183" s="3858"/>
      <c r="O183" s="1963"/>
      <c r="P183" s="2563"/>
    </row>
    <row r="184" spans="1:16" s="2562" customFormat="1" ht="24" hidden="1" customHeight="1" thickBot="1">
      <c r="A184" s="3298"/>
      <c r="B184" s="3270" t="s">
        <v>237</v>
      </c>
      <c r="C184" s="3299" t="s">
        <v>182</v>
      </c>
      <c r="D184" s="3294">
        <f t="shared" si="129"/>
        <v>10250000</v>
      </c>
      <c r="E184" s="3295"/>
      <c r="F184" s="3294">
        <f>3000000-3000000</f>
        <v>0</v>
      </c>
      <c r="G184" s="3294">
        <f>7000000+143000-583000-2342700-2034502-2182798</f>
        <v>0</v>
      </c>
      <c r="H184" s="3294">
        <f>2857000+833000+2295496+2081706-2505667-3061535</f>
        <v>2500000</v>
      </c>
      <c r="I184" s="3294">
        <f>4688465+3061535</f>
        <v>7750000</v>
      </c>
      <c r="J184" s="3294"/>
      <c r="K184" s="3294"/>
      <c r="L184" s="3294"/>
      <c r="M184" s="3980"/>
      <c r="N184" s="3980"/>
      <c r="O184" s="1963"/>
      <c r="P184" s="2563"/>
    </row>
    <row r="185" spans="1:16" s="2562" customFormat="1" ht="15" hidden="1" customHeight="1" thickBot="1">
      <c r="A185" s="3844" t="s">
        <v>253</v>
      </c>
      <c r="B185" s="1969" t="s">
        <v>238</v>
      </c>
      <c r="C185" s="3259" t="s">
        <v>100</v>
      </c>
      <c r="D185" s="3300"/>
      <c r="E185" s="3301"/>
      <c r="F185" s="3302"/>
      <c r="G185" s="3302"/>
      <c r="H185" s="3302"/>
      <c r="I185" s="3302"/>
      <c r="J185" s="3302"/>
      <c r="K185" s="3302"/>
      <c r="L185" s="3303"/>
      <c r="M185" s="3304"/>
      <c r="N185" s="3304"/>
      <c r="O185" s="1963"/>
      <c r="P185" s="2563"/>
    </row>
    <row r="186" spans="1:16" s="2562" customFormat="1" ht="13.5" hidden="1" customHeight="1" thickBot="1">
      <c r="A186" s="3844"/>
      <c r="B186" s="3305" t="s">
        <v>10</v>
      </c>
      <c r="C186" s="3306"/>
      <c r="D186" s="1198">
        <f>+D187+D189</f>
        <v>0</v>
      </c>
      <c r="E186" s="1198">
        <v>0</v>
      </c>
      <c r="F186" s="1198">
        <f t="shared" ref="F186:L186" si="133">+F187+F189</f>
        <v>0</v>
      </c>
      <c r="G186" s="1198">
        <f t="shared" si="133"/>
        <v>0</v>
      </c>
      <c r="H186" s="1198">
        <f t="shared" si="133"/>
        <v>0</v>
      </c>
      <c r="I186" s="1198">
        <f t="shared" si="133"/>
        <v>0</v>
      </c>
      <c r="J186" s="1198">
        <f t="shared" si="133"/>
        <v>0</v>
      </c>
      <c r="K186" s="1198">
        <f t="shared" si="133"/>
        <v>0</v>
      </c>
      <c r="L186" s="1198">
        <f t="shared" si="133"/>
        <v>0</v>
      </c>
      <c r="M186" s="3307">
        <f>+M187+M189</f>
        <v>0</v>
      </c>
      <c r="N186" s="3307">
        <f>+N187+N189</f>
        <v>0</v>
      </c>
      <c r="O186" s="1963"/>
      <c r="P186" s="2563"/>
    </row>
    <row r="187" spans="1:16" s="2562" customFormat="1" ht="13.5" hidden="1" customHeight="1" thickBot="1">
      <c r="A187" s="3844"/>
      <c r="B187" s="2477" t="s">
        <v>23</v>
      </c>
      <c r="C187" s="3986" t="s">
        <v>241</v>
      </c>
      <c r="D187" s="3272">
        <f>SUM(E187:L187)</f>
        <v>0</v>
      </c>
      <c r="E187" s="3273">
        <v>0</v>
      </c>
      <c r="F187" s="3273">
        <f t="shared" ref="F187:L187" si="134">+F188</f>
        <v>0</v>
      </c>
      <c r="G187" s="3273">
        <f t="shared" si="134"/>
        <v>0</v>
      </c>
      <c r="H187" s="3273">
        <f t="shared" si="134"/>
        <v>0</v>
      </c>
      <c r="I187" s="3273">
        <f t="shared" si="134"/>
        <v>0</v>
      </c>
      <c r="J187" s="3273">
        <f t="shared" si="134"/>
        <v>0</v>
      </c>
      <c r="K187" s="3273">
        <f t="shared" si="134"/>
        <v>0</v>
      </c>
      <c r="L187" s="3273">
        <f t="shared" si="134"/>
        <v>0</v>
      </c>
      <c r="M187" s="3308">
        <f t="shared" ref="M187:N191" si="135">SUM(D187:K187)</f>
        <v>0</v>
      </c>
      <c r="N187" s="3308">
        <f t="shared" si="135"/>
        <v>0</v>
      </c>
      <c r="O187" s="1963"/>
      <c r="P187" s="2563"/>
    </row>
    <row r="188" spans="1:16" s="2562" customFormat="1" ht="13.5" hidden="1" customHeight="1" thickBot="1">
      <c r="A188" s="3844"/>
      <c r="B188" s="3309" t="s">
        <v>12</v>
      </c>
      <c r="C188" s="3987"/>
      <c r="D188" s="3275">
        <f>SUM(E188:L188)</f>
        <v>0</v>
      </c>
      <c r="E188" s="3310">
        <v>0</v>
      </c>
      <c r="F188" s="3275">
        <v>0</v>
      </c>
      <c r="G188" s="3275">
        <v>0</v>
      </c>
      <c r="H188" s="3275">
        <v>0</v>
      </c>
      <c r="I188" s="3275">
        <v>0</v>
      </c>
      <c r="J188" s="3275">
        <v>0</v>
      </c>
      <c r="K188" s="3275">
        <v>0</v>
      </c>
      <c r="L188" s="3275"/>
      <c r="M188" s="3311">
        <f t="shared" si="135"/>
        <v>0</v>
      </c>
      <c r="N188" s="3311">
        <f t="shared" si="135"/>
        <v>0</v>
      </c>
      <c r="O188" s="1963"/>
      <c r="P188" s="2563"/>
    </row>
    <row r="189" spans="1:16" s="2562" customFormat="1" ht="13.5" hidden="1" customHeight="1" thickBot="1">
      <c r="A189" s="3844"/>
      <c r="B189" s="81" t="s">
        <v>18</v>
      </c>
      <c r="C189" s="4031" t="s">
        <v>139</v>
      </c>
      <c r="D189" s="3272">
        <f>SUM(E189:L189)</f>
        <v>0</v>
      </c>
      <c r="E189" s="3273">
        <v>0</v>
      </c>
      <c r="F189" s="3273">
        <f t="shared" ref="F189:L189" si="136">+F190</f>
        <v>0</v>
      </c>
      <c r="G189" s="3273">
        <f t="shared" si="136"/>
        <v>0</v>
      </c>
      <c r="H189" s="3273">
        <f t="shared" si="136"/>
        <v>0</v>
      </c>
      <c r="I189" s="3273">
        <f t="shared" si="136"/>
        <v>0</v>
      </c>
      <c r="J189" s="3273">
        <f t="shared" si="136"/>
        <v>0</v>
      </c>
      <c r="K189" s="3273">
        <f t="shared" si="136"/>
        <v>0</v>
      </c>
      <c r="L189" s="3273">
        <f t="shared" si="136"/>
        <v>0</v>
      </c>
      <c r="M189" s="3308">
        <f t="shared" si="135"/>
        <v>0</v>
      </c>
      <c r="N189" s="3308">
        <f t="shared" si="135"/>
        <v>0</v>
      </c>
      <c r="O189" s="1963"/>
      <c r="P189" s="2563"/>
    </row>
    <row r="190" spans="1:16" s="2562" customFormat="1" ht="13.5" hidden="1" customHeight="1" thickBot="1">
      <c r="A190" s="3844"/>
      <c r="B190" s="3269" t="s">
        <v>20</v>
      </c>
      <c r="C190" s="4033"/>
      <c r="D190" s="3274">
        <f>SUM(E190:L190)</f>
        <v>0</v>
      </c>
      <c r="E190" s="362">
        <v>0</v>
      </c>
      <c r="F190" s="362">
        <f t="shared" ref="F190:L190" si="137">+F191</f>
        <v>0</v>
      </c>
      <c r="G190" s="362">
        <f t="shared" si="137"/>
        <v>0</v>
      </c>
      <c r="H190" s="362">
        <f t="shared" si="137"/>
        <v>0</v>
      </c>
      <c r="I190" s="362">
        <f t="shared" si="137"/>
        <v>0</v>
      </c>
      <c r="J190" s="362">
        <f t="shared" si="137"/>
        <v>0</v>
      </c>
      <c r="K190" s="362">
        <f t="shared" si="137"/>
        <v>0</v>
      </c>
      <c r="L190" s="362">
        <f t="shared" si="137"/>
        <v>0</v>
      </c>
      <c r="M190" s="3312">
        <f t="shared" si="135"/>
        <v>0</v>
      </c>
      <c r="N190" s="3312">
        <f t="shared" si="135"/>
        <v>0</v>
      </c>
      <c r="O190" s="1963"/>
      <c r="P190" s="2563"/>
    </row>
    <row r="191" spans="1:16" s="2562" customFormat="1" ht="22.5" hidden="1" customHeight="1" thickBot="1">
      <c r="A191" s="3844"/>
      <c r="B191" s="3313" t="s">
        <v>235</v>
      </c>
      <c r="C191" s="4034"/>
      <c r="D191" s="3275">
        <f>SUM(E191:L191)</f>
        <v>0</v>
      </c>
      <c r="E191" s="3310">
        <v>0</v>
      </c>
      <c r="F191" s="3275">
        <v>0</v>
      </c>
      <c r="G191" s="3275">
        <f>312400-312400</f>
        <v>0</v>
      </c>
      <c r="H191" s="3275">
        <f>624800-624800</f>
        <v>0</v>
      </c>
      <c r="I191" s="3275">
        <f>625000-625000</f>
        <v>0</v>
      </c>
      <c r="J191" s="3275">
        <v>0</v>
      </c>
      <c r="K191" s="3275">
        <v>0</v>
      </c>
      <c r="L191" s="3275">
        <v>0</v>
      </c>
      <c r="M191" s="3311">
        <f t="shared" si="135"/>
        <v>0</v>
      </c>
      <c r="N191" s="3311">
        <f t="shared" si="135"/>
        <v>0</v>
      </c>
      <c r="O191" s="1963"/>
      <c r="P191" s="2563"/>
    </row>
    <row r="192" spans="1:16" s="2562" customFormat="1" ht="13.5" hidden="1" customHeight="1" thickBot="1">
      <c r="A192" s="3844"/>
      <c r="B192" s="80" t="s">
        <v>233</v>
      </c>
      <c r="C192" s="173"/>
      <c r="D192" s="337">
        <f>+D193</f>
        <v>0</v>
      </c>
      <c r="E192" s="337">
        <v>0</v>
      </c>
      <c r="F192" s="337">
        <f t="shared" ref="F192:L192" si="138">+F193</f>
        <v>0</v>
      </c>
      <c r="G192" s="337">
        <f t="shared" si="138"/>
        <v>0</v>
      </c>
      <c r="H192" s="337">
        <f t="shared" si="138"/>
        <v>0</v>
      </c>
      <c r="I192" s="337">
        <f t="shared" si="138"/>
        <v>0</v>
      </c>
      <c r="J192" s="337">
        <f t="shared" si="138"/>
        <v>0</v>
      </c>
      <c r="K192" s="337">
        <f t="shared" si="138"/>
        <v>0</v>
      </c>
      <c r="L192" s="337">
        <f t="shared" si="138"/>
        <v>0</v>
      </c>
      <c r="M192" s="3988" t="s">
        <v>53</v>
      </c>
      <c r="N192" s="3988" t="s">
        <v>53</v>
      </c>
      <c r="O192" s="1963"/>
      <c r="P192" s="2563"/>
    </row>
    <row r="193" spans="1:16" s="2562" customFormat="1" ht="13.5" hidden="1" customHeight="1" thickBot="1">
      <c r="A193" s="3844"/>
      <c r="B193" s="81" t="s">
        <v>18</v>
      </c>
      <c r="C193" s="4031" t="s">
        <v>203</v>
      </c>
      <c r="D193" s="3272">
        <f>SUM(E193:L193)</f>
        <v>0</v>
      </c>
      <c r="E193" s="369">
        <v>0</v>
      </c>
      <c r="F193" s="369">
        <f t="shared" ref="F193:L194" si="139">+F194</f>
        <v>0</v>
      </c>
      <c r="G193" s="369">
        <f t="shared" si="139"/>
        <v>0</v>
      </c>
      <c r="H193" s="369">
        <f t="shared" si="139"/>
        <v>0</v>
      </c>
      <c r="I193" s="369">
        <f t="shared" si="139"/>
        <v>0</v>
      </c>
      <c r="J193" s="369">
        <f t="shared" si="139"/>
        <v>0</v>
      </c>
      <c r="K193" s="369">
        <f t="shared" si="139"/>
        <v>0</v>
      </c>
      <c r="L193" s="369">
        <f t="shared" si="139"/>
        <v>0</v>
      </c>
      <c r="M193" s="3861"/>
      <c r="N193" s="3861"/>
      <c r="O193" s="1963"/>
      <c r="P193" s="2563"/>
    </row>
    <row r="194" spans="1:16" s="2562" customFormat="1" ht="13.5" hidden="1" customHeight="1" thickBot="1">
      <c r="A194" s="3844"/>
      <c r="B194" s="79" t="s">
        <v>20</v>
      </c>
      <c r="C194" s="4032"/>
      <c r="D194" s="3314">
        <f>SUM(E194:L194)</f>
        <v>0</v>
      </c>
      <c r="E194" s="3315">
        <v>0</v>
      </c>
      <c r="F194" s="3315">
        <f t="shared" si="139"/>
        <v>0</v>
      </c>
      <c r="G194" s="3315">
        <f t="shared" si="139"/>
        <v>0</v>
      </c>
      <c r="H194" s="3315">
        <f t="shared" si="139"/>
        <v>0</v>
      </c>
      <c r="I194" s="3315">
        <f t="shared" si="139"/>
        <v>0</v>
      </c>
      <c r="J194" s="3315">
        <f t="shared" si="139"/>
        <v>0</v>
      </c>
      <c r="K194" s="3315">
        <f t="shared" si="139"/>
        <v>0</v>
      </c>
      <c r="L194" s="3315">
        <f t="shared" si="139"/>
        <v>0</v>
      </c>
      <c r="M194" s="3862"/>
      <c r="N194" s="3862"/>
      <c r="O194" s="1968"/>
      <c r="P194" s="2563">
        <f>+D190+D201</f>
        <v>41000000</v>
      </c>
    </row>
    <row r="195" spans="1:16" s="2562" customFormat="1" ht="12" hidden="1" customHeight="1" thickBot="1">
      <c r="A195" s="3298"/>
      <c r="B195" s="3316" t="s">
        <v>230</v>
      </c>
      <c r="C195" s="3317"/>
      <c r="D195" s="3318">
        <f>SUM(E195:L195)</f>
        <v>0</v>
      </c>
      <c r="E195" s="3319"/>
      <c r="F195" s="3318">
        <v>0</v>
      </c>
      <c r="G195" s="3318">
        <f>312400-312400</f>
        <v>0</v>
      </c>
      <c r="H195" s="3318">
        <f>624800-624800</f>
        <v>0</v>
      </c>
      <c r="I195" s="3318">
        <f>625000-625000</f>
        <v>0</v>
      </c>
      <c r="J195" s="3320"/>
      <c r="K195" s="3320"/>
      <c r="L195" s="3318"/>
      <c r="M195" s="3321"/>
      <c r="N195" s="3321"/>
      <c r="O195" s="1968"/>
      <c r="P195" s="2563"/>
    </row>
    <row r="196" spans="1:16" s="2562" customFormat="1" ht="16.5" hidden="1" customHeight="1" thickBot="1">
      <c r="A196" s="3844" t="s">
        <v>252</v>
      </c>
      <c r="B196" s="1969" t="s">
        <v>238</v>
      </c>
      <c r="C196" s="2917" t="s">
        <v>73</v>
      </c>
      <c r="D196" s="1970"/>
      <c r="E196" s="1971"/>
      <c r="F196" s="1972"/>
      <c r="G196" s="1972"/>
      <c r="H196" s="1972"/>
      <c r="I196" s="1972"/>
      <c r="J196" s="1972"/>
      <c r="K196" s="1972"/>
      <c r="L196" s="1973"/>
      <c r="M196" s="2688"/>
      <c r="N196" s="2688"/>
      <c r="O196" s="1963"/>
      <c r="P196" s="2563"/>
    </row>
    <row r="197" spans="1:16" s="2562" customFormat="1" ht="13.5" hidden="1" customHeight="1" thickBot="1">
      <c r="A197" s="3844"/>
      <c r="B197" s="80" t="s">
        <v>10</v>
      </c>
      <c r="C197" s="2918"/>
      <c r="D197" s="1198">
        <f t="shared" ref="D197:N197" si="140">+D198+D201</f>
        <v>65118747</v>
      </c>
      <c r="E197" s="1198">
        <v>0</v>
      </c>
      <c r="F197" s="1198">
        <f t="shared" si="140"/>
        <v>0</v>
      </c>
      <c r="G197" s="1198">
        <f t="shared" si="140"/>
        <v>0</v>
      </c>
      <c r="H197" s="1198">
        <f t="shared" si="140"/>
        <v>6000000</v>
      </c>
      <c r="I197" s="1198">
        <f t="shared" si="140"/>
        <v>31059374</v>
      </c>
      <c r="J197" s="1198">
        <f t="shared" si="140"/>
        <v>28059373</v>
      </c>
      <c r="K197" s="1198">
        <f t="shared" si="140"/>
        <v>0</v>
      </c>
      <c r="L197" s="1198">
        <f t="shared" si="140"/>
        <v>0</v>
      </c>
      <c r="M197" s="340">
        <f t="shared" ref="M197" si="141">+M198+M201</f>
        <v>65118747</v>
      </c>
      <c r="N197" s="340">
        <f t="shared" si="140"/>
        <v>65118747</v>
      </c>
      <c r="O197" s="1963"/>
      <c r="P197" s="2563"/>
    </row>
    <row r="198" spans="1:16" s="2562" customFormat="1" ht="13.5" hidden="1" customHeight="1" thickBot="1">
      <c r="A198" s="3844"/>
      <c r="B198" s="2733" t="s">
        <v>23</v>
      </c>
      <c r="C198" s="3985" t="s">
        <v>241</v>
      </c>
      <c r="D198" s="1974">
        <f>SUM(E198:L198)</f>
        <v>24118747</v>
      </c>
      <c r="E198" s="325">
        <v>0</v>
      </c>
      <c r="F198" s="325">
        <f>+F199+F200</f>
        <v>0</v>
      </c>
      <c r="G198" s="325">
        <f>+G199+G200</f>
        <v>0</v>
      </c>
      <c r="H198" s="325">
        <f>+H199+H200</f>
        <v>2000000</v>
      </c>
      <c r="I198" s="325">
        <f>+I199+I200</f>
        <v>11059374</v>
      </c>
      <c r="J198" s="325">
        <f t="shared" ref="J198:L198" si="142">+J199+J200</f>
        <v>11059373</v>
      </c>
      <c r="K198" s="325">
        <f t="shared" si="142"/>
        <v>0</v>
      </c>
      <c r="L198" s="325">
        <f t="shared" si="142"/>
        <v>0</v>
      </c>
      <c r="M198" s="2919">
        <f>SUM(F198:L198)</f>
        <v>24118747</v>
      </c>
      <c r="N198" s="2919">
        <f>SUM(E198:L198)</f>
        <v>24118747</v>
      </c>
      <c r="O198" s="1963"/>
      <c r="P198" s="2563"/>
    </row>
    <row r="199" spans="1:16" s="2562" customFormat="1" ht="13.5" hidden="1" customHeight="1" thickBot="1">
      <c r="A199" s="3844"/>
      <c r="B199" s="1975" t="s">
        <v>12</v>
      </c>
      <c r="C199" s="4009"/>
      <c r="D199" s="1976">
        <f>SUM(E199:L199)</f>
        <v>24118747</v>
      </c>
      <c r="E199" s="326"/>
      <c r="F199" s="1976">
        <v>0</v>
      </c>
      <c r="G199" s="1976">
        <f>298890-145175+17079-170794</f>
        <v>0</v>
      </c>
      <c r="H199" s="1976">
        <f>4006159-2149730+11478766-1254345+1284139-1290507-10074482</f>
        <v>2000000</v>
      </c>
      <c r="I199" s="1976">
        <f>825200-119869+1136000+9043924+1438489-1284139+98690-78921</f>
        <v>11059374</v>
      </c>
      <c r="J199" s="1976">
        <v>11059373</v>
      </c>
      <c r="K199" s="1976"/>
      <c r="L199" s="1976"/>
      <c r="M199" s="2916">
        <f>SUM(F199:K199)</f>
        <v>24118747</v>
      </c>
      <c r="N199" s="2916">
        <f>SUM(G199:L199)</f>
        <v>24118747</v>
      </c>
      <c r="O199" s="1963"/>
      <c r="P199" s="2563"/>
    </row>
    <row r="200" spans="1:16" s="2562" customFormat="1" ht="13.5" hidden="1" customHeight="1" thickBot="1">
      <c r="A200" s="3844"/>
      <c r="B200" s="1975" t="s">
        <v>16</v>
      </c>
      <c r="C200" s="4009"/>
      <c r="D200" s="1976">
        <f>SUM(E200:L200)</f>
        <v>0</v>
      </c>
      <c r="E200" s="326"/>
      <c r="F200" s="1976">
        <v>0</v>
      </c>
      <c r="G200" s="1976">
        <f>277300-277300</f>
        <v>0</v>
      </c>
      <c r="H200" s="1976">
        <f>3328200-3328200</f>
        <v>0</v>
      </c>
      <c r="I200" s="1976">
        <f>1394500+277300-1671800</f>
        <v>0</v>
      </c>
      <c r="J200" s="1976"/>
      <c r="K200" s="1976"/>
      <c r="L200" s="1976"/>
      <c r="M200" s="2916">
        <f>SUM(F200:K200)</f>
        <v>0</v>
      </c>
      <c r="N200" s="2920">
        <f>SUM(G200:L200)</f>
        <v>0</v>
      </c>
      <c r="O200" s="1968"/>
      <c r="P200" s="2563"/>
    </row>
    <row r="201" spans="1:16" s="2562" customFormat="1" ht="15.75" hidden="1" customHeight="1" thickBot="1">
      <c r="A201" s="3844"/>
      <c r="B201" s="399" t="s">
        <v>18</v>
      </c>
      <c r="C201" s="4035"/>
      <c r="D201" s="1974">
        <f>SUM(E201:L201)</f>
        <v>41000000</v>
      </c>
      <c r="E201" s="1974">
        <v>0</v>
      </c>
      <c r="F201" s="1974">
        <f t="shared" ref="F201:L201" si="143">+F202</f>
        <v>0</v>
      </c>
      <c r="G201" s="1974">
        <f t="shared" si="143"/>
        <v>0</v>
      </c>
      <c r="H201" s="1974">
        <f t="shared" si="143"/>
        <v>4000000</v>
      </c>
      <c r="I201" s="1974">
        <f t="shared" si="143"/>
        <v>20000000</v>
      </c>
      <c r="J201" s="1974">
        <f t="shared" si="143"/>
        <v>17000000</v>
      </c>
      <c r="K201" s="1974">
        <f t="shared" si="143"/>
        <v>0</v>
      </c>
      <c r="L201" s="1974">
        <f t="shared" si="143"/>
        <v>0</v>
      </c>
      <c r="M201" s="2921">
        <f>SUM(F201:K201)</f>
        <v>41000000</v>
      </c>
      <c r="N201" s="2922">
        <f>SUM(E201:L201)</f>
        <v>41000000</v>
      </c>
      <c r="O201" s="2923"/>
      <c r="P201" s="2563"/>
    </row>
    <row r="202" spans="1:16" s="2562" customFormat="1" ht="12" hidden="1" customHeight="1" thickBot="1">
      <c r="A202" s="3844"/>
      <c r="B202" s="382" t="s">
        <v>20</v>
      </c>
      <c r="C202" s="4036"/>
      <c r="D202" s="1976">
        <f>+D203+D204</f>
        <v>41000000</v>
      </c>
      <c r="E202" s="1976">
        <v>0</v>
      </c>
      <c r="F202" s="1976">
        <f t="shared" ref="F202:L202" si="144">+F203+F204</f>
        <v>0</v>
      </c>
      <c r="G202" s="1976">
        <f t="shared" si="144"/>
        <v>0</v>
      </c>
      <c r="H202" s="1976">
        <f t="shared" si="144"/>
        <v>4000000</v>
      </c>
      <c r="I202" s="1976">
        <f t="shared" si="144"/>
        <v>20000000</v>
      </c>
      <c r="J202" s="1976">
        <f t="shared" si="144"/>
        <v>17000000</v>
      </c>
      <c r="K202" s="1976">
        <f t="shared" si="144"/>
        <v>0</v>
      </c>
      <c r="L202" s="1976">
        <f t="shared" si="144"/>
        <v>0</v>
      </c>
      <c r="M202" s="2916">
        <f>SUM(F202:K202)</f>
        <v>41000000</v>
      </c>
      <c r="N202" s="2924">
        <f t="shared" ref="M202:N204" si="145">SUM(G202:L202)</f>
        <v>41000000</v>
      </c>
      <c r="O202" s="2923"/>
      <c r="P202" s="2563"/>
    </row>
    <row r="203" spans="1:16" s="2562" customFormat="1" ht="22.5" hidden="1" customHeight="1" thickBot="1">
      <c r="A203" s="3844"/>
      <c r="B203" s="1959" t="s">
        <v>239</v>
      </c>
      <c r="C203" s="4036"/>
      <c r="D203" s="1977">
        <f>+E203+F203+G203+H203+I203+J203+K203+L203</f>
        <v>0</v>
      </c>
      <c r="E203" s="2925">
        <v>0</v>
      </c>
      <c r="F203" s="1977">
        <v>0</v>
      </c>
      <c r="G203" s="1977">
        <v>0</v>
      </c>
      <c r="H203" s="1977">
        <f>915000+624800-1539800</f>
        <v>0</v>
      </c>
      <c r="I203" s="1977">
        <f>511000+625000-1136000</f>
        <v>0</v>
      </c>
      <c r="J203" s="1977">
        <v>0</v>
      </c>
      <c r="K203" s="1977">
        <v>0</v>
      </c>
      <c r="L203" s="1977">
        <v>0</v>
      </c>
      <c r="M203" s="2916">
        <f t="shared" si="145"/>
        <v>0</v>
      </c>
      <c r="N203" s="2924">
        <f t="shared" si="145"/>
        <v>0</v>
      </c>
      <c r="O203" s="2923"/>
      <c r="P203" s="2563"/>
    </row>
    <row r="204" spans="1:16" s="2562" customFormat="1" ht="23.25" hidden="1" customHeight="1" thickBot="1">
      <c r="A204" s="3966"/>
      <c r="B204" s="2926" t="s">
        <v>232</v>
      </c>
      <c r="C204" s="4036"/>
      <c r="D204" s="2927">
        <f>+E204+F204+G204+H204+I204+J204+K204+L204</f>
        <v>41000000</v>
      </c>
      <c r="E204" s="2928">
        <v>0</v>
      </c>
      <c r="F204" s="2927">
        <v>0</v>
      </c>
      <c r="G204" s="2927">
        <f>2328000-2328000</f>
        <v>0</v>
      </c>
      <c r="H204" s="2927">
        <f>27936000-5731740+345740-2337736+2238756-2236767-16214253</f>
        <v>4000000</v>
      </c>
      <c r="I204" s="2927">
        <f>11600000+8059740-1209740+2337736-2238756+2236767-785747</f>
        <v>20000000</v>
      </c>
      <c r="J204" s="2927">
        <v>17000000</v>
      </c>
      <c r="K204" s="2927">
        <v>0</v>
      </c>
      <c r="L204" s="2927">
        <v>0</v>
      </c>
      <c r="M204" s="2916">
        <f t="shared" si="145"/>
        <v>41000000</v>
      </c>
      <c r="N204" s="2924">
        <f t="shared" si="145"/>
        <v>41000000</v>
      </c>
      <c r="O204" s="2923"/>
      <c r="P204" s="2563"/>
    </row>
    <row r="205" spans="1:16" s="2562" customFormat="1" ht="13.5" hidden="1" customHeight="1" thickBot="1">
      <c r="A205" s="3967"/>
      <c r="B205" s="21" t="s">
        <v>233</v>
      </c>
      <c r="C205" s="2929"/>
      <c r="D205" s="2930">
        <f t="shared" ref="D205:L205" si="146">+D206+D208</f>
        <v>41000000</v>
      </c>
      <c r="E205" s="2930">
        <v>0</v>
      </c>
      <c r="F205" s="2930">
        <f t="shared" si="146"/>
        <v>0</v>
      </c>
      <c r="G205" s="2930">
        <f t="shared" si="146"/>
        <v>0</v>
      </c>
      <c r="H205" s="2930">
        <f t="shared" si="146"/>
        <v>3500000</v>
      </c>
      <c r="I205" s="2930">
        <f t="shared" si="146"/>
        <v>19000000</v>
      </c>
      <c r="J205" s="2930">
        <f t="shared" si="146"/>
        <v>18500000</v>
      </c>
      <c r="K205" s="2930">
        <f t="shared" si="146"/>
        <v>0</v>
      </c>
      <c r="L205" s="2930">
        <f t="shared" si="146"/>
        <v>0</v>
      </c>
      <c r="M205" s="3946" t="s">
        <v>53</v>
      </c>
      <c r="N205" s="3984" t="s">
        <v>53</v>
      </c>
      <c r="O205" s="2923"/>
      <c r="P205" s="2563"/>
    </row>
    <row r="206" spans="1:16" s="2562" customFormat="1" ht="15" hidden="1" customHeight="1" thickBot="1">
      <c r="A206" s="3967"/>
      <c r="B206" s="2733" t="s">
        <v>23</v>
      </c>
      <c r="C206" s="4028" t="s">
        <v>247</v>
      </c>
      <c r="D206" s="1974">
        <f>+D207</f>
        <v>0</v>
      </c>
      <c r="E206" s="1974">
        <v>0</v>
      </c>
      <c r="F206" s="1974">
        <f t="shared" ref="F206:L206" si="147">+F207</f>
        <v>0</v>
      </c>
      <c r="G206" s="1974">
        <f t="shared" si="147"/>
        <v>0</v>
      </c>
      <c r="H206" s="1974">
        <f t="shared" si="147"/>
        <v>0</v>
      </c>
      <c r="I206" s="1974">
        <f t="shared" si="147"/>
        <v>0</v>
      </c>
      <c r="J206" s="1974">
        <f t="shared" si="147"/>
        <v>0</v>
      </c>
      <c r="K206" s="1974">
        <f t="shared" si="147"/>
        <v>0</v>
      </c>
      <c r="L206" s="1974">
        <f t="shared" si="147"/>
        <v>0</v>
      </c>
      <c r="M206" s="3861"/>
      <c r="N206" s="3861"/>
      <c r="O206" s="2923"/>
      <c r="P206" s="2563"/>
    </row>
    <row r="207" spans="1:16" s="2562" customFormat="1" ht="16.5" hidden="1" customHeight="1" thickBot="1">
      <c r="A207" s="3967"/>
      <c r="B207" s="1975" t="s">
        <v>16</v>
      </c>
      <c r="C207" s="4029"/>
      <c r="D207" s="1976">
        <f>SUM(E207:L207)</f>
        <v>0</v>
      </c>
      <c r="E207" s="326"/>
      <c r="F207" s="1976">
        <v>0</v>
      </c>
      <c r="G207" s="1976">
        <f>277300-277300</f>
        <v>0</v>
      </c>
      <c r="H207" s="1976">
        <f>3328200-3328200</f>
        <v>0</v>
      </c>
      <c r="I207" s="1976">
        <f>1394500+277300-1671800</f>
        <v>0</v>
      </c>
      <c r="J207" s="1976"/>
      <c r="K207" s="1976"/>
      <c r="L207" s="1976"/>
      <c r="M207" s="3861"/>
      <c r="N207" s="3861"/>
      <c r="O207" s="2923"/>
      <c r="P207" s="2563"/>
    </row>
    <row r="208" spans="1:16" s="2562" customFormat="1" ht="16.5" hidden="1" customHeight="1" thickBot="1">
      <c r="A208" s="3967"/>
      <c r="B208" s="399" t="s">
        <v>18</v>
      </c>
      <c r="C208" s="4029"/>
      <c r="D208" s="1974">
        <f>SUM(E208:L208)</f>
        <v>41000000</v>
      </c>
      <c r="E208" s="1974">
        <v>0</v>
      </c>
      <c r="F208" s="1974">
        <f t="shared" ref="F208:L208" si="148">+F209</f>
        <v>0</v>
      </c>
      <c r="G208" s="1974">
        <f t="shared" si="148"/>
        <v>0</v>
      </c>
      <c r="H208" s="1974">
        <f t="shared" si="148"/>
        <v>3500000</v>
      </c>
      <c r="I208" s="1974">
        <f t="shared" si="148"/>
        <v>19000000</v>
      </c>
      <c r="J208" s="1974">
        <f t="shared" si="148"/>
        <v>18500000</v>
      </c>
      <c r="K208" s="1974">
        <f t="shared" si="148"/>
        <v>0</v>
      </c>
      <c r="L208" s="1974">
        <f t="shared" si="148"/>
        <v>0</v>
      </c>
      <c r="M208" s="3861"/>
      <c r="N208" s="3861"/>
      <c r="O208" s="2923"/>
      <c r="P208" s="2563"/>
    </row>
    <row r="209" spans="1:16" s="2562" customFormat="1" ht="15" hidden="1" customHeight="1" thickBot="1">
      <c r="A209" s="2931"/>
      <c r="B209" s="382" t="s">
        <v>20</v>
      </c>
      <c r="C209" s="4030"/>
      <c r="D209" s="1976">
        <f>SUM(E209:L209)</f>
        <v>41000000</v>
      </c>
      <c r="E209" s="1976">
        <v>0</v>
      </c>
      <c r="F209" s="1976">
        <f t="shared" ref="F209:L209" si="149">+F210+F211</f>
        <v>0</v>
      </c>
      <c r="G209" s="1976">
        <f>+G210+G211</f>
        <v>0</v>
      </c>
      <c r="H209" s="1976">
        <f t="shared" si="149"/>
        <v>3500000</v>
      </c>
      <c r="I209" s="1976">
        <f t="shared" si="149"/>
        <v>19000000</v>
      </c>
      <c r="J209" s="1976">
        <f t="shared" si="149"/>
        <v>18500000</v>
      </c>
      <c r="K209" s="1976">
        <f t="shared" si="149"/>
        <v>0</v>
      </c>
      <c r="L209" s="1976">
        <f t="shared" si="149"/>
        <v>0</v>
      </c>
      <c r="M209" s="3861"/>
      <c r="N209" s="3861"/>
      <c r="O209" s="2923"/>
      <c r="P209" s="2563"/>
    </row>
    <row r="210" spans="1:16" s="2562" customFormat="1" ht="27.75" hidden="1" customHeight="1" thickBot="1">
      <c r="A210" s="2931"/>
      <c r="B210" s="1959" t="s">
        <v>230</v>
      </c>
      <c r="C210" s="2689" t="s">
        <v>203</v>
      </c>
      <c r="D210" s="1977">
        <f>SUM(E210:L210)</f>
        <v>0</v>
      </c>
      <c r="E210" s="2925">
        <v>0</v>
      </c>
      <c r="F210" s="1977">
        <v>0</v>
      </c>
      <c r="G210" s="1977">
        <v>0</v>
      </c>
      <c r="H210" s="1977">
        <f>915000+624800-1539800</f>
        <v>0</v>
      </c>
      <c r="I210" s="1977">
        <f>511000+625000-1136000</f>
        <v>0</v>
      </c>
      <c r="J210" s="1977">
        <v>0</v>
      </c>
      <c r="K210" s="1977">
        <v>0</v>
      </c>
      <c r="L210" s="1977">
        <v>0</v>
      </c>
      <c r="M210" s="3861"/>
      <c r="N210" s="3861"/>
      <c r="O210" s="2932"/>
      <c r="P210" s="2563"/>
    </row>
    <row r="211" spans="1:16" s="2562" customFormat="1" ht="21.75" hidden="1" customHeight="1" thickBot="1">
      <c r="A211" s="2931"/>
      <c r="B211" s="1965" t="s">
        <v>240</v>
      </c>
      <c r="C211" s="2689" t="s">
        <v>182</v>
      </c>
      <c r="D211" s="2933">
        <f>SUM(E211:L211)</f>
        <v>41000000</v>
      </c>
      <c r="E211" s="2934">
        <v>0</v>
      </c>
      <c r="F211" s="2933">
        <v>0</v>
      </c>
      <c r="G211" s="2933">
        <f>2328000-2328000</f>
        <v>0</v>
      </c>
      <c r="H211" s="2933">
        <f>27936000-5731740+345740-2337736+2238756-2236767-16714253</f>
        <v>3500000</v>
      </c>
      <c r="I211" s="2933">
        <f>11600000+8059740-1209740+2337736-2238756+2236767-1785747</f>
        <v>19000000</v>
      </c>
      <c r="J211" s="2933">
        <v>18500000</v>
      </c>
      <c r="K211" s="2933">
        <v>0</v>
      </c>
      <c r="L211" s="2933">
        <v>0</v>
      </c>
      <c r="M211" s="3862"/>
      <c r="N211" s="3862"/>
      <c r="O211" s="2932"/>
      <c r="P211" s="2563"/>
    </row>
    <row r="212" spans="1:16" s="2562" customFormat="1" ht="27" customHeight="1" thickBot="1">
      <c r="A212" s="3966" t="s">
        <v>81</v>
      </c>
      <c r="B212" s="164" t="s">
        <v>251</v>
      </c>
      <c r="C212" s="165" t="s">
        <v>100</v>
      </c>
      <c r="D212" s="358"/>
      <c r="E212" s="358"/>
      <c r="F212" s="358"/>
      <c r="G212" s="358"/>
      <c r="H212" s="358"/>
      <c r="I212" s="358"/>
      <c r="J212" s="358"/>
      <c r="K212" s="358"/>
      <c r="L212" s="358"/>
      <c r="M212" s="358"/>
      <c r="N212" s="358"/>
      <c r="O212" s="4011" t="s">
        <v>272</v>
      </c>
      <c r="P212" s="2563"/>
    </row>
    <row r="213" spans="1:16" s="2562" customFormat="1" ht="13.5" thickBot="1">
      <c r="A213" s="3967"/>
      <c r="B213" s="21" t="s">
        <v>10</v>
      </c>
      <c r="C213" s="378"/>
      <c r="D213" s="335">
        <f>+D214+D218</f>
        <v>5491442</v>
      </c>
      <c r="E213" s="335">
        <f t="shared" ref="E213" si="150">+E214+E218</f>
        <v>131150</v>
      </c>
      <c r="F213" s="335">
        <f t="shared" ref="F213" si="151">+F214+F218</f>
        <v>1052265</v>
      </c>
      <c r="G213" s="335">
        <f>+G214+G218</f>
        <v>4308027</v>
      </c>
      <c r="H213" s="322"/>
      <c r="I213" s="322"/>
      <c r="J213" s="322"/>
      <c r="K213" s="322"/>
      <c r="L213" s="322"/>
      <c r="M213" s="379">
        <f>M214+M218</f>
        <v>4905086</v>
      </c>
      <c r="N213" s="379">
        <f>N214+N218</f>
        <v>3939204</v>
      </c>
      <c r="O213" s="4003"/>
      <c r="P213" s="2563"/>
    </row>
    <row r="214" spans="1:16" s="2562" customFormat="1">
      <c r="A214" s="3967"/>
      <c r="B214" s="166" t="s">
        <v>23</v>
      </c>
      <c r="C214" s="4027" t="s">
        <v>169</v>
      </c>
      <c r="D214" s="323">
        <f>SUM(D215:D217)</f>
        <v>1295641</v>
      </c>
      <c r="E214" s="323">
        <f>SUM(E215:E217)</f>
        <v>28691</v>
      </c>
      <c r="F214" s="323">
        <f t="shared" ref="F214:G214" si="152">SUM(F215:F217)</f>
        <v>252967</v>
      </c>
      <c r="G214" s="323">
        <f t="shared" si="152"/>
        <v>1013983</v>
      </c>
      <c r="H214" s="323"/>
      <c r="I214" s="323"/>
      <c r="J214" s="323"/>
      <c r="K214" s="323"/>
      <c r="L214" s="323"/>
      <c r="M214" s="324">
        <f>SUM(M215:M216)</f>
        <v>811744</v>
      </c>
      <c r="N214" s="324">
        <f>SUM(N215:N216)</f>
        <v>645160</v>
      </c>
      <c r="O214" s="4026"/>
      <c r="P214" s="2563"/>
    </row>
    <row r="215" spans="1:16" s="2562" customFormat="1">
      <c r="A215" s="3967"/>
      <c r="B215" s="167" t="s">
        <v>12</v>
      </c>
      <c r="C215" s="3992"/>
      <c r="D215" s="236">
        <f>E215+F215+G215+H215+I215+J215+K215+L215</f>
        <v>100000</v>
      </c>
      <c r="E215" s="1149">
        <v>10611</v>
      </c>
      <c r="F215" s="1946">
        <f>50000+1902-22258-4113</f>
        <v>25531</v>
      </c>
      <c r="G215" s="1946">
        <f>12500+24987+22258+4113</f>
        <v>63858</v>
      </c>
      <c r="H215" s="380"/>
      <c r="I215" s="380"/>
      <c r="J215" s="380"/>
      <c r="K215" s="380"/>
      <c r="L215" s="380"/>
      <c r="M215" s="572">
        <f>SUM(F215:L215)</f>
        <v>89389</v>
      </c>
      <c r="N215" s="572">
        <f>SUM(G215:L215)</f>
        <v>63858</v>
      </c>
      <c r="O215" s="3962"/>
      <c r="P215" s="2563"/>
    </row>
    <row r="216" spans="1:16" s="2562" customFormat="1">
      <c r="A216" s="3967"/>
      <c r="B216" s="167" t="s">
        <v>13</v>
      </c>
      <c r="C216" s="3971"/>
      <c r="D216" s="236">
        <f>E216+F216+G216+H216+I216+J216+K216+L216</f>
        <v>740435</v>
      </c>
      <c r="E216" s="1149">
        <v>18080</v>
      </c>
      <c r="F216" s="1978">
        <f>412301+81979+118367-457832-13762</f>
        <v>141053</v>
      </c>
      <c r="G216" s="1978">
        <f>163259+60000-113551+457832+13762</f>
        <v>581302</v>
      </c>
      <c r="H216" s="168"/>
      <c r="I216" s="168"/>
      <c r="J216" s="168"/>
      <c r="K216" s="168"/>
      <c r="L216" s="168"/>
      <c r="M216" s="572">
        <f>SUM(F216:L216)</f>
        <v>722355</v>
      </c>
      <c r="N216" s="572">
        <f>SUM(G216:L216)</f>
        <v>581302</v>
      </c>
      <c r="O216" s="3962"/>
      <c r="P216" s="2563"/>
    </row>
    <row r="217" spans="1:16" s="2562" customFormat="1">
      <c r="A217" s="3967"/>
      <c r="B217" s="1979" t="s">
        <v>31</v>
      </c>
      <c r="C217" s="3971"/>
      <c r="D217" s="236">
        <f>E217+F217+G217+H217+I217+J217+K217+L217</f>
        <v>455206</v>
      </c>
      <c r="E217" s="1149">
        <v>0</v>
      </c>
      <c r="F217" s="168">
        <f>255556+48066-239676+22437</f>
        <v>86383</v>
      </c>
      <c r="G217" s="168">
        <f>110761+40823+239676-22437</f>
        <v>368823</v>
      </c>
      <c r="H217" s="168"/>
      <c r="I217" s="168"/>
      <c r="J217" s="168"/>
      <c r="K217" s="168"/>
      <c r="L217" s="168"/>
      <c r="M217" s="381" t="s">
        <v>53</v>
      </c>
      <c r="N217" s="2223">
        <v>0</v>
      </c>
      <c r="O217" s="3962"/>
      <c r="P217" s="2563"/>
    </row>
    <row r="218" spans="1:16" s="2562" customFormat="1">
      <c r="A218" s="3967"/>
      <c r="B218" s="81" t="s">
        <v>18</v>
      </c>
      <c r="C218" s="3971"/>
      <c r="D218" s="325">
        <f>+D219</f>
        <v>4195801</v>
      </c>
      <c r="E218" s="325">
        <f t="shared" ref="E218:G218" si="153">E219</f>
        <v>102459</v>
      </c>
      <c r="F218" s="1980">
        <f t="shared" si="153"/>
        <v>799298</v>
      </c>
      <c r="G218" s="1980">
        <f t="shared" si="153"/>
        <v>3294044</v>
      </c>
      <c r="H218" s="325"/>
      <c r="I218" s="325"/>
      <c r="J218" s="325"/>
      <c r="K218" s="325"/>
      <c r="L218" s="325"/>
      <c r="M218" s="324">
        <f>+M219</f>
        <v>4093342</v>
      </c>
      <c r="N218" s="324">
        <f>+N219</f>
        <v>3294044</v>
      </c>
      <c r="O218" s="3962"/>
      <c r="P218" s="2563"/>
    </row>
    <row r="219" spans="1:16" s="2562" customFormat="1">
      <c r="A219" s="3967"/>
      <c r="B219" s="1981" t="s">
        <v>20</v>
      </c>
      <c r="C219" s="3972"/>
      <c r="D219" s="236">
        <f>E219+F219+G219+H219+I219+J219+K219+L219</f>
        <v>4195801</v>
      </c>
      <c r="E219" s="1149">
        <v>102459</v>
      </c>
      <c r="F219" s="1982">
        <f>2336375+464546+670747-2594379-77991</f>
        <v>799298</v>
      </c>
      <c r="G219" s="1982">
        <f>925133+340000-643459+2594379+77991</f>
        <v>3294044</v>
      </c>
      <c r="H219" s="130"/>
      <c r="I219" s="130"/>
      <c r="J219" s="130"/>
      <c r="K219" s="130"/>
      <c r="L219" s="130"/>
      <c r="M219" s="572">
        <f>SUM(F219:L219)</f>
        <v>4093342</v>
      </c>
      <c r="N219" s="572">
        <f>SUM(G219:L219)</f>
        <v>3294044</v>
      </c>
      <c r="O219" s="3962"/>
      <c r="P219" s="2563"/>
    </row>
    <row r="220" spans="1:16" s="2562" customFormat="1">
      <c r="A220" s="3514"/>
      <c r="B220" s="21" t="s">
        <v>21</v>
      </c>
      <c r="C220" s="169"/>
      <c r="D220" s="322">
        <f>+D221+D223</f>
        <v>4936236</v>
      </c>
      <c r="E220" s="322">
        <f t="shared" ref="E220" si="154">E221+E223</f>
        <v>120539</v>
      </c>
      <c r="F220" s="322">
        <f t="shared" ref="F220:G220" si="155">F221+F223</f>
        <v>940351</v>
      </c>
      <c r="G220" s="322">
        <f t="shared" si="155"/>
        <v>3875346</v>
      </c>
      <c r="H220" s="328"/>
      <c r="I220" s="322"/>
      <c r="J220" s="322"/>
      <c r="K220" s="322"/>
      <c r="L220" s="322"/>
      <c r="M220" s="3946" t="s">
        <v>53</v>
      </c>
      <c r="N220" s="3946" t="s">
        <v>53</v>
      </c>
      <c r="O220" s="3962"/>
      <c r="P220" s="2563">
        <f>G220-'[1]Tab. 6E - Administracja'!$G$220</f>
        <v>91753</v>
      </c>
    </row>
    <row r="221" spans="1:16" s="2562" customFormat="1">
      <c r="A221" s="3514"/>
      <c r="B221" s="170" t="s">
        <v>23</v>
      </c>
      <c r="C221" s="4027" t="s">
        <v>169</v>
      </c>
      <c r="D221" s="323">
        <f>+D222</f>
        <v>740435</v>
      </c>
      <c r="E221" s="323">
        <f t="shared" ref="E221:G221" si="156">E222</f>
        <v>18080</v>
      </c>
      <c r="F221" s="323">
        <f t="shared" si="156"/>
        <v>141053</v>
      </c>
      <c r="G221" s="323">
        <f t="shared" si="156"/>
        <v>581302</v>
      </c>
      <c r="H221" s="329"/>
      <c r="I221" s="323"/>
      <c r="J221" s="323"/>
      <c r="K221" s="323"/>
      <c r="L221" s="323"/>
      <c r="M221" s="3861"/>
      <c r="N221" s="3861"/>
      <c r="O221" s="3962"/>
      <c r="P221" s="2563"/>
    </row>
    <row r="222" spans="1:16" s="2562" customFormat="1">
      <c r="A222" s="3514"/>
      <c r="B222" s="171" t="s">
        <v>13</v>
      </c>
      <c r="C222" s="3971"/>
      <c r="D222" s="236">
        <f>E222+F222+G222+H222+I222+J222+K222+L222</f>
        <v>740435</v>
      </c>
      <c r="E222" s="1149">
        <v>18080</v>
      </c>
      <c r="F222" s="546">
        <f>412301+81979+118367-457832-13762</f>
        <v>141053</v>
      </c>
      <c r="G222" s="546">
        <f>163259+60000-113551+457832+13762</f>
        <v>581302</v>
      </c>
      <c r="H222" s="326"/>
      <c r="I222" s="326"/>
      <c r="J222" s="326"/>
      <c r="K222" s="326"/>
      <c r="L222" s="326"/>
      <c r="M222" s="3861"/>
      <c r="N222" s="3861"/>
      <c r="O222" s="3962"/>
      <c r="P222" s="2563"/>
    </row>
    <row r="223" spans="1:16" s="2562" customFormat="1">
      <c r="A223" s="3514"/>
      <c r="B223" s="1944" t="s">
        <v>18</v>
      </c>
      <c r="C223" s="3971"/>
      <c r="D223" s="325">
        <f>+D224</f>
        <v>4195801</v>
      </c>
      <c r="E223" s="325">
        <f t="shared" ref="E223:G223" si="157">E224</f>
        <v>102459</v>
      </c>
      <c r="F223" s="1980">
        <f t="shared" si="157"/>
        <v>799298</v>
      </c>
      <c r="G223" s="1980">
        <f t="shared" si="157"/>
        <v>3294044</v>
      </c>
      <c r="H223" s="330"/>
      <c r="I223" s="325"/>
      <c r="J223" s="325"/>
      <c r="K223" s="325"/>
      <c r="L223" s="325"/>
      <c r="M223" s="3861"/>
      <c r="N223" s="3861"/>
      <c r="O223" s="3962"/>
      <c r="P223" s="2563"/>
    </row>
    <row r="224" spans="1:16" s="2562" customFormat="1" ht="13.5" thickBot="1">
      <c r="A224" s="3515"/>
      <c r="B224" s="327" t="s">
        <v>20</v>
      </c>
      <c r="C224" s="3969"/>
      <c r="D224" s="236">
        <f>E224+F224+G224+H224+I224+J224+K224+L224</f>
        <v>4195801</v>
      </c>
      <c r="E224" s="1149">
        <v>102459</v>
      </c>
      <c r="F224" s="1983">
        <f>2336375+464546+670747-2594379-77991</f>
        <v>799298</v>
      </c>
      <c r="G224" s="1983">
        <f>925133+340000-643459+2594379+77991</f>
        <v>3294044</v>
      </c>
      <c r="H224" s="172"/>
      <c r="I224" s="172"/>
      <c r="J224" s="172"/>
      <c r="K224" s="172"/>
      <c r="L224" s="172"/>
      <c r="M224" s="3862"/>
      <c r="N224" s="3862"/>
      <c r="O224" s="3963"/>
      <c r="P224" s="2563"/>
    </row>
    <row r="225" spans="1:16" s="2562" customFormat="1" ht="36" customHeight="1">
      <c r="A225" s="3966" t="s">
        <v>82</v>
      </c>
      <c r="B225" s="164" t="s">
        <v>295</v>
      </c>
      <c r="C225" s="165" t="s">
        <v>73</v>
      </c>
      <c r="D225" s="181"/>
      <c r="E225" s="180"/>
      <c r="F225" s="180"/>
      <c r="G225" s="180"/>
      <c r="H225" s="180"/>
      <c r="I225" s="180"/>
      <c r="J225" s="180"/>
      <c r="K225" s="180"/>
      <c r="L225" s="246"/>
      <c r="M225" s="321"/>
      <c r="N225" s="321"/>
      <c r="O225" s="3961" t="s">
        <v>272</v>
      </c>
      <c r="P225" s="2563"/>
    </row>
    <row r="226" spans="1:16" s="2562" customFormat="1">
      <c r="A226" s="3967"/>
      <c r="B226" s="539" t="s">
        <v>10</v>
      </c>
      <c r="C226" s="1350"/>
      <c r="D226" s="1325">
        <f t="shared" ref="D226:G226" si="158">+D227+D229</f>
        <v>5764</v>
      </c>
      <c r="E226" s="1325">
        <f t="shared" ref="E226" si="159">+E227+E229</f>
        <v>5764</v>
      </c>
      <c r="F226" s="1325">
        <f t="shared" si="158"/>
        <v>0</v>
      </c>
      <c r="G226" s="1325">
        <f t="shared" si="158"/>
        <v>0</v>
      </c>
      <c r="H226" s="1319"/>
      <c r="I226" s="1319"/>
      <c r="J226" s="1319"/>
      <c r="K226" s="1319"/>
      <c r="L226" s="1319"/>
      <c r="M226" s="1351">
        <f>M227+M229</f>
        <v>0</v>
      </c>
      <c r="N226" s="1351">
        <f>N227+N229</f>
        <v>0</v>
      </c>
      <c r="O226" s="3962"/>
      <c r="P226" s="2563"/>
    </row>
    <row r="227" spans="1:16" s="2562" customFormat="1">
      <c r="A227" s="3967"/>
      <c r="B227" s="515" t="s">
        <v>23</v>
      </c>
      <c r="C227" s="3982" t="s">
        <v>169</v>
      </c>
      <c r="D227" s="1309">
        <f t="shared" ref="D227:G227" si="160">SUM(D228:D228)</f>
        <v>865</v>
      </c>
      <c r="E227" s="1309">
        <f t="shared" si="160"/>
        <v>865</v>
      </c>
      <c r="F227" s="1309">
        <f t="shared" si="160"/>
        <v>0</v>
      </c>
      <c r="G227" s="1309">
        <f t="shared" si="160"/>
        <v>0</v>
      </c>
      <c r="H227" s="1309"/>
      <c r="I227" s="1309"/>
      <c r="J227" s="1309"/>
      <c r="K227" s="1309"/>
      <c r="L227" s="1309"/>
      <c r="M227" s="572">
        <f>SUM(F227:K227)</f>
        <v>0</v>
      </c>
      <c r="N227" s="572">
        <f>SUM(G227:L227)</f>
        <v>0</v>
      </c>
      <c r="O227" s="3962"/>
      <c r="P227" s="2563"/>
    </row>
    <row r="228" spans="1:16" s="2562" customFormat="1">
      <c r="A228" s="3967"/>
      <c r="B228" s="167" t="s">
        <v>13</v>
      </c>
      <c r="C228" s="3971"/>
      <c r="D228" s="1288">
        <f>E228+F228+G228+H228+I228+J228+K228+L228</f>
        <v>865</v>
      </c>
      <c r="E228" s="1311">
        <v>865</v>
      </c>
      <c r="F228" s="168">
        <v>0</v>
      </c>
      <c r="G228" s="168">
        <v>0</v>
      </c>
      <c r="H228" s="168"/>
      <c r="I228" s="168"/>
      <c r="J228" s="168"/>
      <c r="K228" s="168"/>
      <c r="L228" s="168"/>
      <c r="M228" s="572">
        <f>SUM(F228:K228)</f>
        <v>0</v>
      </c>
      <c r="N228" s="572">
        <f>SUM(G228:L228)</f>
        <v>0</v>
      </c>
      <c r="O228" s="3962"/>
      <c r="P228" s="2563"/>
    </row>
    <row r="229" spans="1:16" s="2562" customFormat="1">
      <c r="A229" s="3967"/>
      <c r="B229" s="562" t="s">
        <v>18</v>
      </c>
      <c r="C229" s="3971"/>
      <c r="D229" s="1314">
        <f>+D230</f>
        <v>4899</v>
      </c>
      <c r="E229" s="1314">
        <f t="shared" ref="E229:G229" si="161">E230</f>
        <v>4899</v>
      </c>
      <c r="F229" s="1314">
        <f t="shared" si="161"/>
        <v>0</v>
      </c>
      <c r="G229" s="1314">
        <f t="shared" si="161"/>
        <v>0</v>
      </c>
      <c r="H229" s="1314"/>
      <c r="I229" s="1314"/>
      <c r="J229" s="1314"/>
      <c r="K229" s="1314"/>
      <c r="L229" s="1314"/>
      <c r="M229" s="1310">
        <f>+M230</f>
        <v>0</v>
      </c>
      <c r="N229" s="1310">
        <f>+N230</f>
        <v>0</v>
      </c>
      <c r="O229" s="3962"/>
      <c r="P229" s="2563"/>
    </row>
    <row r="230" spans="1:16" s="2562" customFormat="1">
      <c r="A230" s="3967"/>
      <c r="B230" s="1352" t="s">
        <v>20</v>
      </c>
      <c r="C230" s="3972"/>
      <c r="D230" s="1288">
        <f>E230+F230+G230+H230+I230+J230+K230+L230</f>
        <v>4899</v>
      </c>
      <c r="E230" s="1311">
        <v>4899</v>
      </c>
      <c r="F230" s="130">
        <v>0</v>
      </c>
      <c r="G230" s="130">
        <v>0</v>
      </c>
      <c r="H230" s="130"/>
      <c r="I230" s="130"/>
      <c r="J230" s="130"/>
      <c r="K230" s="130"/>
      <c r="L230" s="130"/>
      <c r="M230" s="572">
        <f>SUM(F230:K230)</f>
        <v>0</v>
      </c>
      <c r="N230" s="572">
        <f>SUM(G230:L230)</f>
        <v>0</v>
      </c>
      <c r="O230" s="3962"/>
      <c r="P230" s="2563"/>
    </row>
    <row r="231" spans="1:16" s="2562" customFormat="1">
      <c r="A231" s="3514"/>
      <c r="B231" s="539" t="s">
        <v>21</v>
      </c>
      <c r="C231" s="1318"/>
      <c r="D231" s="1319">
        <f>+D232+D234</f>
        <v>5764</v>
      </c>
      <c r="E231" s="1319">
        <f t="shared" ref="E231" si="162">E232+E234</f>
        <v>5764</v>
      </c>
      <c r="F231" s="1319">
        <f t="shared" ref="F231:G231" si="163">F232+F234</f>
        <v>0</v>
      </c>
      <c r="G231" s="1319">
        <f t="shared" si="163"/>
        <v>0</v>
      </c>
      <c r="H231" s="1353"/>
      <c r="I231" s="1319"/>
      <c r="J231" s="1319"/>
      <c r="K231" s="1319"/>
      <c r="L231" s="1319"/>
      <c r="M231" s="3860" t="s">
        <v>53</v>
      </c>
      <c r="N231" s="3860" t="s">
        <v>53</v>
      </c>
      <c r="O231" s="3962"/>
      <c r="P231" s="2563"/>
    </row>
    <row r="232" spans="1:16" s="2562" customFormat="1">
      <c r="A232" s="3514"/>
      <c r="B232" s="1320" t="s">
        <v>23</v>
      </c>
      <c r="C232" s="3982" t="s">
        <v>169</v>
      </c>
      <c r="D232" s="1309">
        <f>+D233</f>
        <v>865</v>
      </c>
      <c r="E232" s="1309">
        <f t="shared" ref="E232:G232" si="164">E233</f>
        <v>865</v>
      </c>
      <c r="F232" s="1309">
        <f t="shared" si="164"/>
        <v>0</v>
      </c>
      <c r="G232" s="1309">
        <f t="shared" si="164"/>
        <v>0</v>
      </c>
      <c r="H232" s="1354"/>
      <c r="I232" s="1309"/>
      <c r="J232" s="1309"/>
      <c r="K232" s="1309"/>
      <c r="L232" s="1309"/>
      <c r="M232" s="3861"/>
      <c r="N232" s="3861"/>
      <c r="O232" s="3962"/>
      <c r="P232" s="2563"/>
    </row>
    <row r="233" spans="1:16" s="2562" customFormat="1">
      <c r="A233" s="3514"/>
      <c r="B233" s="171" t="s">
        <v>13</v>
      </c>
      <c r="C233" s="3971"/>
      <c r="D233" s="1288">
        <f>E233+F233+G233+H233+I233+J233+K233+L233</f>
        <v>865</v>
      </c>
      <c r="E233" s="1311">
        <v>865</v>
      </c>
      <c r="F233" s="1321">
        <v>0</v>
      </c>
      <c r="G233" s="1321">
        <v>0</v>
      </c>
      <c r="H233" s="1321"/>
      <c r="I233" s="1321"/>
      <c r="J233" s="1321"/>
      <c r="K233" s="1321"/>
      <c r="L233" s="1321"/>
      <c r="M233" s="3861"/>
      <c r="N233" s="3861"/>
      <c r="O233" s="3962"/>
      <c r="P233" s="2563"/>
    </row>
    <row r="234" spans="1:16" s="2562" customFormat="1">
      <c r="A234" s="3514"/>
      <c r="B234" s="1322" t="s">
        <v>18</v>
      </c>
      <c r="C234" s="3971"/>
      <c r="D234" s="1314">
        <f>+D235</f>
        <v>4899</v>
      </c>
      <c r="E234" s="1314">
        <f t="shared" ref="E234:G234" si="165">E235</f>
        <v>4899</v>
      </c>
      <c r="F234" s="1314">
        <f t="shared" si="165"/>
        <v>0</v>
      </c>
      <c r="G234" s="1314">
        <f t="shared" si="165"/>
        <v>0</v>
      </c>
      <c r="H234" s="1338"/>
      <c r="I234" s="1314"/>
      <c r="J234" s="1314"/>
      <c r="K234" s="1314"/>
      <c r="L234" s="1314"/>
      <c r="M234" s="3861"/>
      <c r="N234" s="3861"/>
      <c r="O234" s="3962"/>
      <c r="P234" s="2563"/>
    </row>
    <row r="235" spans="1:16" s="2562" customFormat="1" ht="11.25" customHeight="1" thickBot="1">
      <c r="A235" s="3515"/>
      <c r="B235" s="327" t="s">
        <v>20</v>
      </c>
      <c r="C235" s="3969"/>
      <c r="D235" s="779">
        <f>E235+F235+G235+H235+I235+J235+K235+L235</f>
        <v>4899</v>
      </c>
      <c r="E235" s="1323">
        <v>4899</v>
      </c>
      <c r="F235" s="535">
        <v>0</v>
      </c>
      <c r="G235" s="535">
        <v>0</v>
      </c>
      <c r="H235" s="535"/>
      <c r="I235" s="535"/>
      <c r="J235" s="535"/>
      <c r="K235" s="535"/>
      <c r="L235" s="535"/>
      <c r="M235" s="3862"/>
      <c r="N235" s="3862"/>
      <c r="O235" s="3963"/>
      <c r="P235" s="2563"/>
    </row>
    <row r="236" spans="1:16" s="2562" customFormat="1" ht="13.5" hidden="1" thickBot="1">
      <c r="A236" s="3322"/>
      <c r="B236" s="435"/>
      <c r="C236" s="436"/>
      <c r="D236" s="437"/>
      <c r="E236" s="437"/>
      <c r="F236" s="438"/>
      <c r="G236" s="438"/>
      <c r="H236" s="438"/>
      <c r="I236" s="438"/>
      <c r="J236" s="438"/>
      <c r="K236" s="438"/>
      <c r="L236" s="438"/>
      <c r="M236" s="439"/>
      <c r="N236" s="439"/>
      <c r="O236" s="440"/>
      <c r="P236" s="2563"/>
    </row>
    <row r="237" spans="1:16" s="292" customFormat="1" ht="30" customHeight="1" thickBot="1">
      <c r="A237" s="186" t="s">
        <v>145</v>
      </c>
      <c r="B237" s="187"/>
      <c r="C237" s="187"/>
      <c r="D237" s="187"/>
      <c r="E237" s="1284"/>
      <c r="F237" s="187"/>
      <c r="G237" s="187"/>
      <c r="H237" s="187"/>
      <c r="I237" s="187"/>
      <c r="J237" s="187"/>
      <c r="K237" s="187"/>
      <c r="L237" s="187"/>
      <c r="M237" s="865"/>
      <c r="N237" s="865"/>
      <c r="O237" s="188"/>
    </row>
    <row r="238" spans="1:16" s="2562" customFormat="1">
      <c r="A238" s="1213"/>
      <c r="B238" s="202" t="s">
        <v>68</v>
      </c>
      <c r="C238" s="203"/>
      <c r="D238" s="204">
        <f>+D239+D240</f>
        <v>85094859</v>
      </c>
      <c r="E238" s="204">
        <f>+E239+E240</f>
        <v>28119865</v>
      </c>
      <c r="F238" s="204">
        <f t="shared" ref="F238" si="166">+F239+F240</f>
        <v>6344982</v>
      </c>
      <c r="G238" s="204">
        <f>+G239+G240</f>
        <v>8406775</v>
      </c>
      <c r="H238" s="204">
        <f>+H239+H240</f>
        <v>8774144</v>
      </c>
      <c r="I238" s="204">
        <f>+I239+I240</f>
        <v>9378093</v>
      </c>
      <c r="J238" s="204">
        <f t="shared" ref="J238:L238" si="167">+J239+J240</f>
        <v>9430000</v>
      </c>
      <c r="K238" s="204">
        <f t="shared" si="167"/>
        <v>8669000</v>
      </c>
      <c r="L238" s="204">
        <f t="shared" si="167"/>
        <v>5972000</v>
      </c>
      <c r="M238" s="16">
        <f>+M239+M240</f>
        <v>51002994</v>
      </c>
      <c r="N238" s="16">
        <f>+N239+N240</f>
        <v>50630012</v>
      </c>
      <c r="O238" s="4013" t="s">
        <v>53</v>
      </c>
      <c r="P238" s="2563"/>
    </row>
    <row r="239" spans="1:16" s="2562" customFormat="1" ht="13.5" customHeight="1">
      <c r="A239" s="184"/>
      <c r="B239" s="205" t="s">
        <v>69</v>
      </c>
      <c r="C239" s="206"/>
      <c r="D239" s="207">
        <f>+D253+D259</f>
        <v>82978135</v>
      </c>
      <c r="E239" s="207">
        <f t="shared" ref="E239:I239" si="168">+E253+E259</f>
        <v>26008965</v>
      </c>
      <c r="F239" s="207">
        <f t="shared" si="168"/>
        <v>6344982</v>
      </c>
      <c r="G239" s="207">
        <f t="shared" si="168"/>
        <v>8400951</v>
      </c>
      <c r="H239" s="207">
        <f t="shared" si="168"/>
        <v>8774144</v>
      </c>
      <c r="I239" s="207">
        <f t="shared" si="168"/>
        <v>9378093</v>
      </c>
      <c r="J239" s="207">
        <f t="shared" ref="J239:L239" si="169">+J253+J259</f>
        <v>9430000</v>
      </c>
      <c r="K239" s="207">
        <f t="shared" si="169"/>
        <v>8669000</v>
      </c>
      <c r="L239" s="207">
        <f t="shared" si="169"/>
        <v>5972000</v>
      </c>
      <c r="M239" s="18">
        <f>SUM(F239:K239)</f>
        <v>50997170</v>
      </c>
      <c r="N239" s="18">
        <f>SUM(G239:L239)</f>
        <v>50624188</v>
      </c>
      <c r="O239" s="4014"/>
    </row>
    <row r="240" spans="1:16" s="2562" customFormat="1" ht="13.5" customHeight="1" thickBot="1">
      <c r="A240" s="184"/>
      <c r="B240" s="216" t="s">
        <v>9</v>
      </c>
      <c r="C240" s="206"/>
      <c r="D240" s="207">
        <f>+D249</f>
        <v>2116724</v>
      </c>
      <c r="E240" s="207">
        <f>+E249</f>
        <v>2110900</v>
      </c>
      <c r="F240" s="207">
        <f t="shared" ref="F240" si="170">+F249</f>
        <v>0</v>
      </c>
      <c r="G240" s="338">
        <f>+G249</f>
        <v>5824</v>
      </c>
      <c r="H240" s="338">
        <f>+H249</f>
        <v>0</v>
      </c>
      <c r="I240" s="338">
        <f>+I249</f>
        <v>0</v>
      </c>
      <c r="J240" s="338">
        <f t="shared" ref="J240:L240" si="171">+J249</f>
        <v>0</v>
      </c>
      <c r="K240" s="338">
        <f t="shared" si="171"/>
        <v>0</v>
      </c>
      <c r="L240" s="338">
        <f t="shared" si="171"/>
        <v>0</v>
      </c>
      <c r="M240" s="147">
        <f>SUM(F240:K240)</f>
        <v>5824</v>
      </c>
      <c r="N240" s="147">
        <f>SUM(G240:L240)</f>
        <v>5824</v>
      </c>
      <c r="O240" s="4014"/>
    </row>
    <row r="241" spans="1:27" s="342" customFormat="1" ht="13.5" customHeight="1">
      <c r="A241" s="339"/>
      <c r="B241" s="176" t="s">
        <v>10</v>
      </c>
      <c r="C241" s="177"/>
      <c r="D241" s="151">
        <f>+D242</f>
        <v>85094859</v>
      </c>
      <c r="E241" s="151">
        <f t="shared" ref="E241:L242" si="172">+E242</f>
        <v>28119865</v>
      </c>
      <c r="F241" s="151">
        <f t="shared" si="172"/>
        <v>6344982</v>
      </c>
      <c r="G241" s="151">
        <f t="shared" si="172"/>
        <v>8406775</v>
      </c>
      <c r="H241" s="151">
        <f t="shared" si="172"/>
        <v>8774144</v>
      </c>
      <c r="I241" s="151">
        <f t="shared" si="172"/>
        <v>9378093</v>
      </c>
      <c r="J241" s="151">
        <f t="shared" si="172"/>
        <v>9430000</v>
      </c>
      <c r="K241" s="151">
        <f t="shared" si="172"/>
        <v>8669000</v>
      </c>
      <c r="L241" s="151">
        <f t="shared" si="172"/>
        <v>5972000</v>
      </c>
      <c r="M241" s="340">
        <f>+M242</f>
        <v>56974994</v>
      </c>
      <c r="N241" s="340">
        <f>+N242</f>
        <v>50630012</v>
      </c>
      <c r="O241" s="4014"/>
      <c r="P241" s="341"/>
      <c r="Q241" s="341"/>
    </row>
    <row r="242" spans="1:27" s="345" customFormat="1" ht="13.5" customHeight="1">
      <c r="A242" s="190"/>
      <c r="B242" s="152" t="s">
        <v>11</v>
      </c>
      <c r="C242" s="3853" t="s">
        <v>53</v>
      </c>
      <c r="D242" s="1435">
        <f>+D243+D244</f>
        <v>85094859</v>
      </c>
      <c r="E242" s="1435">
        <f t="shared" si="172"/>
        <v>28119865</v>
      </c>
      <c r="F242" s="1435">
        <f t="shared" si="172"/>
        <v>6344982</v>
      </c>
      <c r="G242" s="1435">
        <f t="shared" si="172"/>
        <v>8406775</v>
      </c>
      <c r="H242" s="1435">
        <f t="shared" si="172"/>
        <v>8774144</v>
      </c>
      <c r="I242" s="1435">
        <f t="shared" si="172"/>
        <v>9378093</v>
      </c>
      <c r="J242" s="1435">
        <f t="shared" si="172"/>
        <v>9430000</v>
      </c>
      <c r="K242" s="1435">
        <f t="shared" si="172"/>
        <v>8669000</v>
      </c>
      <c r="L242" s="1435">
        <f t="shared" si="172"/>
        <v>5972000</v>
      </c>
      <c r="M242" s="1436">
        <f>+M243+M244</f>
        <v>56974994</v>
      </c>
      <c r="N242" s="1436">
        <f>+N243+N244</f>
        <v>50630012</v>
      </c>
      <c r="O242" s="4014"/>
      <c r="P242" s="343"/>
      <c r="Q242" s="344"/>
      <c r="R242" s="343"/>
      <c r="S242" s="343"/>
      <c r="T242" s="343"/>
      <c r="U242" s="343"/>
      <c r="V242" s="343"/>
      <c r="W242" s="343"/>
      <c r="X242" s="343"/>
      <c r="Y242" s="343"/>
      <c r="Z242" s="343"/>
      <c r="AA242" s="343"/>
    </row>
    <row r="243" spans="1:27" s="307" customFormat="1" ht="13.5" thickBot="1">
      <c r="A243" s="154"/>
      <c r="B243" s="155" t="s">
        <v>12</v>
      </c>
      <c r="C243" s="3854"/>
      <c r="D243" s="1437">
        <f>+D251+D255+D261</f>
        <v>85094859</v>
      </c>
      <c r="E243" s="1437">
        <f>+E251+E255+E261</f>
        <v>28119865</v>
      </c>
      <c r="F243" s="1437">
        <f>+F251+F255+F261</f>
        <v>6344982</v>
      </c>
      <c r="G243" s="1437">
        <f t="shared" ref="G243" si="173">+G251+G255+G261</f>
        <v>8406775</v>
      </c>
      <c r="H243" s="1437">
        <f>+H251+H255+H261</f>
        <v>8774144</v>
      </c>
      <c r="I243" s="1437">
        <f>+I251+I255</f>
        <v>9378093</v>
      </c>
      <c r="J243" s="1437">
        <f t="shared" ref="J243:L243" si="174">+J251+J255</f>
        <v>9430000</v>
      </c>
      <c r="K243" s="1437">
        <f t="shared" si="174"/>
        <v>8669000</v>
      </c>
      <c r="L243" s="1437">
        <f t="shared" si="174"/>
        <v>5972000</v>
      </c>
      <c r="M243" s="1438">
        <f>SUM(F243:L243)</f>
        <v>56974994</v>
      </c>
      <c r="N243" s="1438">
        <f>SUM(G243:L243)</f>
        <v>50630012</v>
      </c>
      <c r="O243" s="4014"/>
      <c r="P243" s="2563"/>
    </row>
    <row r="244" spans="1:27" s="307" customFormat="1" ht="13.5" hidden="1" customHeight="1">
      <c r="A244" s="154"/>
      <c r="B244" s="155" t="s">
        <v>14</v>
      </c>
      <c r="C244" s="3854"/>
      <c r="D244" s="1437">
        <f t="shared" ref="D244" si="175">+D262</f>
        <v>0</v>
      </c>
      <c r="E244" s="1437">
        <f t="shared" ref="E244" si="176">+E262</f>
        <v>0</v>
      </c>
      <c r="F244" s="1437">
        <f>+F262</f>
        <v>0</v>
      </c>
      <c r="G244" s="1437">
        <f>+G262</f>
        <v>0</v>
      </c>
      <c r="H244" s="1437">
        <f>+H262</f>
        <v>0</v>
      </c>
      <c r="I244" s="1437">
        <f>+I262</f>
        <v>0</v>
      </c>
      <c r="J244" s="1437"/>
      <c r="K244" s="1437"/>
      <c r="L244" s="1437"/>
      <c r="M244" s="1438">
        <f>SUM(E244:K244)</f>
        <v>0</v>
      </c>
      <c r="N244" s="1438">
        <f>SUM(F244:L244)</f>
        <v>0</v>
      </c>
      <c r="O244" s="4014"/>
      <c r="P244" s="2563"/>
    </row>
    <row r="245" spans="1:27" s="299" customFormat="1" ht="15" hidden="1" customHeight="1">
      <c r="A245" s="148"/>
      <c r="B245" s="80" t="s">
        <v>21</v>
      </c>
      <c r="C245" s="88"/>
      <c r="D245" s="189">
        <f>+D246</f>
        <v>0</v>
      </c>
      <c r="E245" s="189">
        <f t="shared" ref="E245" si="177">+E246</f>
        <v>0</v>
      </c>
      <c r="F245" s="189">
        <f t="shared" ref="F245:I246" si="178">+F246</f>
        <v>0</v>
      </c>
      <c r="G245" s="189">
        <f t="shared" si="178"/>
        <v>0</v>
      </c>
      <c r="H245" s="189">
        <f t="shared" si="178"/>
        <v>0</v>
      </c>
      <c r="I245" s="189">
        <f t="shared" si="178"/>
        <v>0</v>
      </c>
      <c r="J245" s="189"/>
      <c r="K245" s="189"/>
      <c r="L245" s="189"/>
      <c r="M245" s="3938" t="s">
        <v>53</v>
      </c>
      <c r="N245" s="3938" t="s">
        <v>53</v>
      </c>
      <c r="O245" s="4014"/>
      <c r="P245" s="298"/>
      <c r="Q245" s="298"/>
    </row>
    <row r="246" spans="1:27" s="299" customFormat="1" ht="14.25" hidden="1" customHeight="1">
      <c r="A246" s="148"/>
      <c r="B246" s="152" t="s">
        <v>11</v>
      </c>
      <c r="C246" s="3853" t="s">
        <v>53</v>
      </c>
      <c r="D246" s="1435">
        <f>+D247</f>
        <v>0</v>
      </c>
      <c r="E246" s="1435">
        <f>+E247</f>
        <v>0</v>
      </c>
      <c r="F246" s="1435">
        <f t="shared" si="178"/>
        <v>0</v>
      </c>
      <c r="G246" s="1435">
        <f t="shared" si="178"/>
        <v>0</v>
      </c>
      <c r="H246" s="1435">
        <f t="shared" si="178"/>
        <v>0</v>
      </c>
      <c r="I246" s="1435">
        <f t="shared" si="178"/>
        <v>0</v>
      </c>
      <c r="J246" s="1435"/>
      <c r="K246" s="1435"/>
      <c r="L246" s="1435"/>
      <c r="M246" s="3861"/>
      <c r="N246" s="3861"/>
      <c r="O246" s="4014"/>
      <c r="P246" s="298"/>
      <c r="Q246" s="298"/>
    </row>
    <row r="247" spans="1:27" s="307" customFormat="1" ht="16.5" hidden="1" customHeight="1" thickBot="1">
      <c r="A247" s="154"/>
      <c r="B247" s="155" t="s">
        <v>14</v>
      </c>
      <c r="C247" s="3854"/>
      <c r="D247" s="1437">
        <f>+D265</f>
        <v>0</v>
      </c>
      <c r="E247" s="1437">
        <f>+E265</f>
        <v>0</v>
      </c>
      <c r="F247" s="1437">
        <f t="shared" ref="F247:I247" si="179">+F265</f>
        <v>0</v>
      </c>
      <c r="G247" s="1437">
        <f t="shared" si="179"/>
        <v>0</v>
      </c>
      <c r="H247" s="1437">
        <f t="shared" si="179"/>
        <v>0</v>
      </c>
      <c r="I247" s="1437">
        <f t="shared" si="179"/>
        <v>0</v>
      </c>
      <c r="J247" s="346"/>
      <c r="K247" s="346"/>
      <c r="L247" s="346"/>
      <c r="M247" s="3862"/>
      <c r="N247" s="3862"/>
      <c r="O247" s="4015"/>
      <c r="P247" s="297"/>
    </row>
    <row r="248" spans="1:27" s="315" customFormat="1" ht="25.5" customHeight="1" thickBot="1">
      <c r="A248" s="3966" t="s">
        <v>55</v>
      </c>
      <c r="B248" s="347" t="s">
        <v>439</v>
      </c>
      <c r="C248" s="348" t="s">
        <v>73</v>
      </c>
      <c r="D248" s="357"/>
      <c r="E248" s="356"/>
      <c r="F248" s="356"/>
      <c r="G248" s="356"/>
      <c r="H248" s="356"/>
      <c r="I248" s="356"/>
      <c r="J248" s="356"/>
      <c r="K248" s="356"/>
      <c r="L248" s="1273"/>
      <c r="M248" s="331"/>
      <c r="N248" s="331"/>
      <c r="O248" s="4011" t="s">
        <v>274</v>
      </c>
    </row>
    <row r="249" spans="1:27" s="315" customFormat="1" ht="13.5" thickBot="1">
      <c r="A249" s="3967"/>
      <c r="B249" s="80" t="s">
        <v>10</v>
      </c>
      <c r="C249" s="1308"/>
      <c r="D249" s="1319">
        <f>+D250</f>
        <v>2116724</v>
      </c>
      <c r="E249" s="1319">
        <f t="shared" ref="E249:N250" si="180">+E250</f>
        <v>2110900</v>
      </c>
      <c r="F249" s="1319">
        <f>+F250</f>
        <v>0</v>
      </c>
      <c r="G249" s="1319">
        <f>+G250</f>
        <v>5824</v>
      </c>
      <c r="H249" s="1422">
        <v>0</v>
      </c>
      <c r="I249" s="1422">
        <v>0</v>
      </c>
      <c r="J249" s="1422">
        <v>0</v>
      </c>
      <c r="K249" s="1422">
        <v>0</v>
      </c>
      <c r="L249" s="1422">
        <v>0</v>
      </c>
      <c r="M249" s="1423">
        <f t="shared" si="180"/>
        <v>5824</v>
      </c>
      <c r="N249" s="1423">
        <f t="shared" si="180"/>
        <v>5824</v>
      </c>
      <c r="O249" s="4011"/>
      <c r="P249" s="2563"/>
    </row>
    <row r="250" spans="1:27" s="315" customFormat="1" ht="12" customHeight="1" thickBot="1">
      <c r="A250" s="3967"/>
      <c r="B250" s="515" t="s">
        <v>23</v>
      </c>
      <c r="C250" s="4016" t="s">
        <v>146</v>
      </c>
      <c r="D250" s="1314">
        <f>+D251</f>
        <v>2116724</v>
      </c>
      <c r="E250" s="1314">
        <f t="shared" si="180"/>
        <v>2110900</v>
      </c>
      <c r="F250" s="1314">
        <f>+F251</f>
        <v>0</v>
      </c>
      <c r="G250" s="1314">
        <f>+G251</f>
        <v>5824</v>
      </c>
      <c r="H250" s="1315">
        <v>0</v>
      </c>
      <c r="I250" s="1315">
        <v>0</v>
      </c>
      <c r="J250" s="1315">
        <v>0</v>
      </c>
      <c r="K250" s="1315">
        <v>0</v>
      </c>
      <c r="L250" s="1315">
        <v>0</v>
      </c>
      <c r="M250" s="1439">
        <f t="shared" si="180"/>
        <v>5824</v>
      </c>
      <c r="N250" s="1439">
        <f t="shared" si="180"/>
        <v>5824</v>
      </c>
      <c r="O250" s="4011"/>
    </row>
    <row r="251" spans="1:27" s="315" customFormat="1" thickBot="1">
      <c r="A251" s="3965"/>
      <c r="B251" s="1153" t="s">
        <v>12</v>
      </c>
      <c r="C251" s="3969"/>
      <c r="D251" s="785">
        <f>E251+F251+G251+H251+I251+J251+K251+L251</f>
        <v>2116724</v>
      </c>
      <c r="E251" s="1311">
        <f>2110900</f>
        <v>2110900</v>
      </c>
      <c r="F251" s="455">
        <f>5824-5824</f>
        <v>0</v>
      </c>
      <c r="G251" s="455">
        <v>5824</v>
      </c>
      <c r="H251" s="556">
        <v>0</v>
      </c>
      <c r="I251" s="556">
        <v>0</v>
      </c>
      <c r="J251" s="556">
        <v>0</v>
      </c>
      <c r="K251" s="556">
        <v>0</v>
      </c>
      <c r="L251" s="556">
        <v>0</v>
      </c>
      <c r="M251" s="1313">
        <f>SUM(F251:L251)</f>
        <v>5824</v>
      </c>
      <c r="N251" s="1313">
        <f>SUM(G251:L251)</f>
        <v>5824</v>
      </c>
      <c r="O251" s="4012"/>
    </row>
    <row r="252" spans="1:27" s="315" customFormat="1" ht="20.25" customHeight="1">
      <c r="A252" s="4023" t="s">
        <v>56</v>
      </c>
      <c r="B252" s="1197" t="s">
        <v>549</v>
      </c>
      <c r="C252" s="2041" t="s">
        <v>100</v>
      </c>
      <c r="D252" s="181"/>
      <c r="E252" s="358"/>
      <c r="F252" s="358"/>
      <c r="G252" s="358"/>
      <c r="H252" s="358"/>
      <c r="I252" s="358"/>
      <c r="J252" s="358"/>
      <c r="K252" s="358"/>
      <c r="L252" s="2384"/>
      <c r="M252" s="331"/>
      <c r="N252" s="331"/>
      <c r="O252" s="3961" t="s">
        <v>275</v>
      </c>
      <c r="P252" s="2563"/>
    </row>
    <row r="253" spans="1:27" s="315" customFormat="1" ht="17.25" customHeight="1">
      <c r="A253" s="4024"/>
      <c r="B253" s="2131" t="s">
        <v>10</v>
      </c>
      <c r="C253" s="2986"/>
      <c r="D253" s="3323">
        <f>+D254</f>
        <v>82293135</v>
      </c>
      <c r="E253" s="3323">
        <f t="shared" ref="E253:N254" si="181">+E254</f>
        <v>26008965</v>
      </c>
      <c r="F253" s="3323">
        <f t="shared" si="181"/>
        <v>6344982</v>
      </c>
      <c r="G253" s="3323">
        <f t="shared" si="181"/>
        <v>8355951</v>
      </c>
      <c r="H253" s="3323">
        <f t="shared" si="181"/>
        <v>8134144</v>
      </c>
      <c r="I253" s="3323">
        <f t="shared" si="181"/>
        <v>9378093</v>
      </c>
      <c r="J253" s="3323">
        <f t="shared" si="181"/>
        <v>9430000</v>
      </c>
      <c r="K253" s="3323">
        <f t="shared" si="181"/>
        <v>8669000</v>
      </c>
      <c r="L253" s="3323">
        <f t="shared" si="181"/>
        <v>5972000</v>
      </c>
      <c r="M253" s="1984">
        <f t="shared" si="181"/>
        <v>56284170</v>
      </c>
      <c r="N253" s="1984">
        <f t="shared" si="181"/>
        <v>49939188</v>
      </c>
      <c r="O253" s="4018"/>
    </row>
    <row r="254" spans="1:27" s="315" customFormat="1" ht="14.25" customHeight="1">
      <c r="A254" s="4024"/>
      <c r="B254" s="2846" t="s">
        <v>23</v>
      </c>
      <c r="C254" s="4020" t="s">
        <v>139</v>
      </c>
      <c r="D254" s="3324">
        <f>+D255</f>
        <v>82293135</v>
      </c>
      <c r="E254" s="3325">
        <f t="shared" si="181"/>
        <v>26008965</v>
      </c>
      <c r="F254" s="3326">
        <f t="shared" si="181"/>
        <v>6344982</v>
      </c>
      <c r="G254" s="3327">
        <f t="shared" si="181"/>
        <v>8355951</v>
      </c>
      <c r="H254" s="3327">
        <f t="shared" si="181"/>
        <v>8134144</v>
      </c>
      <c r="I254" s="3327">
        <f t="shared" si="181"/>
        <v>9378093</v>
      </c>
      <c r="J254" s="3327">
        <f t="shared" si="181"/>
        <v>9430000</v>
      </c>
      <c r="K254" s="3327">
        <f t="shared" si="181"/>
        <v>8669000</v>
      </c>
      <c r="L254" s="3327">
        <f t="shared" si="181"/>
        <v>5972000</v>
      </c>
      <c r="M254" s="1987">
        <f t="shared" si="181"/>
        <v>56284170</v>
      </c>
      <c r="N254" s="1987">
        <f t="shared" si="181"/>
        <v>49939188</v>
      </c>
      <c r="O254" s="4018"/>
    </row>
    <row r="255" spans="1:27" s="315" customFormat="1" ht="15" customHeight="1" thickBot="1">
      <c r="A255" s="4024"/>
      <c r="B255" s="3328" t="s">
        <v>12</v>
      </c>
      <c r="C255" s="4021"/>
      <c r="D255" s="3329">
        <f>E255+F255+G255+H255+I255+J255+K255+L255</f>
        <v>82293135</v>
      </c>
      <c r="E255" s="3330">
        <f>20241982+5766983</f>
        <v>26008965</v>
      </c>
      <c r="F255" s="3331">
        <f>0+8835105-2490123</f>
        <v>6344982</v>
      </c>
      <c r="G255" s="3332">
        <f>0+7382305+973646</f>
        <v>8355951</v>
      </c>
      <c r="H255" s="3332">
        <f>H256+H257</f>
        <v>8134144</v>
      </c>
      <c r="I255" s="3332">
        <f>I256+I257</f>
        <v>9378093</v>
      </c>
      <c r="J255" s="3332">
        <f t="shared" ref="J255:L255" si="182">J256+J257</f>
        <v>9430000</v>
      </c>
      <c r="K255" s="3332">
        <f t="shared" si="182"/>
        <v>8669000</v>
      </c>
      <c r="L255" s="3332">
        <f t="shared" si="182"/>
        <v>5972000</v>
      </c>
      <c r="M255" s="3333">
        <f>SUM(F255:L255)</f>
        <v>56284170</v>
      </c>
      <c r="N255" s="3333">
        <f>SUM(G255:L255)</f>
        <v>49939188</v>
      </c>
      <c r="O255" s="4018"/>
    </row>
    <row r="256" spans="1:27" s="315" customFormat="1" ht="15" hidden="1" customHeight="1">
      <c r="A256" s="4024"/>
      <c r="B256" s="3334" t="s">
        <v>543</v>
      </c>
      <c r="C256" s="4021"/>
      <c r="D256" s="3335"/>
      <c r="E256" s="3336"/>
      <c r="F256" s="3337"/>
      <c r="G256" s="3337"/>
      <c r="H256" s="3338">
        <v>7856850</v>
      </c>
      <c r="I256" s="3338">
        <v>9160000</v>
      </c>
      <c r="J256" s="3338">
        <v>9220000</v>
      </c>
      <c r="K256" s="3338">
        <v>8459000</v>
      </c>
      <c r="L256" s="3338">
        <v>5762000</v>
      </c>
      <c r="M256" s="3339"/>
      <c r="N256" s="3333">
        <f>SUM(G256:L256)</f>
        <v>40457850</v>
      </c>
      <c r="O256" s="4018"/>
    </row>
    <row r="257" spans="1:16" s="315" customFormat="1" ht="15" hidden="1" customHeight="1" thickBot="1">
      <c r="A257" s="4025"/>
      <c r="B257" s="3340" t="s">
        <v>542</v>
      </c>
      <c r="C257" s="4022"/>
      <c r="D257" s="3341"/>
      <c r="E257" s="3342"/>
      <c r="F257" s="3343"/>
      <c r="G257" s="3343"/>
      <c r="H257" s="3344">
        <v>277294</v>
      </c>
      <c r="I257" s="3344">
        <v>218093</v>
      </c>
      <c r="J257" s="3344">
        <v>210000</v>
      </c>
      <c r="K257" s="3344">
        <v>210000</v>
      </c>
      <c r="L257" s="3344">
        <v>210000</v>
      </c>
      <c r="M257" s="3345"/>
      <c r="N257" s="3346">
        <f>SUM(G257:L257)</f>
        <v>1125387</v>
      </c>
      <c r="O257" s="4019"/>
    </row>
    <row r="258" spans="1:16" s="315" customFormat="1" ht="24.75" customHeight="1" thickBot="1">
      <c r="A258" s="3966" t="s">
        <v>57</v>
      </c>
      <c r="B258" s="164" t="s">
        <v>462</v>
      </c>
      <c r="C258" s="348" t="s">
        <v>100</v>
      </c>
      <c r="D258" s="181"/>
      <c r="E258" s="358"/>
      <c r="F258" s="358"/>
      <c r="G258" s="358"/>
      <c r="H258" s="358"/>
      <c r="I258" s="358"/>
      <c r="J258" s="358"/>
      <c r="K258" s="358"/>
      <c r="L258" s="2384"/>
      <c r="M258" s="3103"/>
      <c r="N258" s="3104"/>
      <c r="O258" s="4011" t="s">
        <v>274</v>
      </c>
      <c r="P258" s="2563"/>
    </row>
    <row r="259" spans="1:16" s="315" customFormat="1" thickBot="1">
      <c r="A259" s="3967"/>
      <c r="B259" s="2149" t="s">
        <v>10</v>
      </c>
      <c r="C259" s="3105"/>
      <c r="D259" s="1319">
        <f>+D260</f>
        <v>685000</v>
      </c>
      <c r="E259" s="1319">
        <f t="shared" ref="E259:L259" si="183">+E260</f>
        <v>0</v>
      </c>
      <c r="F259" s="1319">
        <f t="shared" si="183"/>
        <v>0</v>
      </c>
      <c r="G259" s="1319">
        <f t="shared" si="183"/>
        <v>45000</v>
      </c>
      <c r="H259" s="1319">
        <f t="shared" si="183"/>
        <v>640000</v>
      </c>
      <c r="I259" s="1422">
        <f t="shared" si="183"/>
        <v>0</v>
      </c>
      <c r="J259" s="1422">
        <f t="shared" si="183"/>
        <v>0</v>
      </c>
      <c r="K259" s="1422">
        <f t="shared" si="183"/>
        <v>0</v>
      </c>
      <c r="L259" s="1422">
        <f t="shared" si="183"/>
        <v>0</v>
      </c>
      <c r="M259" s="1984">
        <f>+M260</f>
        <v>685000</v>
      </c>
      <c r="N259" s="340">
        <f>+N260</f>
        <v>685000</v>
      </c>
      <c r="O259" s="4011"/>
    </row>
    <row r="260" spans="1:16" s="315" customFormat="1" thickBot="1">
      <c r="A260" s="3967"/>
      <c r="B260" s="2187" t="s">
        <v>23</v>
      </c>
      <c r="C260" s="3982">
        <v>75018</v>
      </c>
      <c r="D260" s="1986">
        <f>+D261+D262</f>
        <v>685000</v>
      </c>
      <c r="E260" s="1986">
        <f t="shared" ref="E260" si="184">+E261+E262</f>
        <v>0</v>
      </c>
      <c r="F260" s="1986">
        <f t="shared" ref="F260:N260" si="185">+F261+F262</f>
        <v>0</v>
      </c>
      <c r="G260" s="1327">
        <f t="shared" si="185"/>
        <v>45000</v>
      </c>
      <c r="H260" s="1327">
        <f t="shared" si="185"/>
        <v>640000</v>
      </c>
      <c r="I260" s="1657">
        <f t="shared" si="185"/>
        <v>0</v>
      </c>
      <c r="J260" s="1657">
        <f t="shared" si="185"/>
        <v>0</v>
      </c>
      <c r="K260" s="1657">
        <f t="shared" si="185"/>
        <v>0</v>
      </c>
      <c r="L260" s="1657">
        <f t="shared" si="185"/>
        <v>0</v>
      </c>
      <c r="M260" s="1987">
        <f t="shared" ref="M260" si="186">+M261+M262</f>
        <v>685000</v>
      </c>
      <c r="N260" s="3106">
        <f t="shared" si="185"/>
        <v>685000</v>
      </c>
      <c r="O260" s="4011"/>
    </row>
    <row r="261" spans="1:16" s="315" customFormat="1" ht="13.5" thickBot="1">
      <c r="A261" s="3965"/>
      <c r="B261" s="3347" t="s">
        <v>12</v>
      </c>
      <c r="C261" s="4017"/>
      <c r="D261" s="1643">
        <f>E261+F261+G261+H261+I261+J261+K261+L261</f>
        <v>685000</v>
      </c>
      <c r="E261" s="3107">
        <v>0</v>
      </c>
      <c r="F261" s="3108"/>
      <c r="G261" s="3109">
        <v>45000</v>
      </c>
      <c r="H261" s="3109">
        <v>640000</v>
      </c>
      <c r="I261" s="3348">
        <v>0</v>
      </c>
      <c r="J261" s="3348">
        <v>0</v>
      </c>
      <c r="K261" s="3348">
        <v>0</v>
      </c>
      <c r="L261" s="3348">
        <v>0</v>
      </c>
      <c r="M261" s="3110">
        <f>SUM(F261:K261)</f>
        <v>685000</v>
      </c>
      <c r="N261" s="3110">
        <f>SUM(G261:L261)</f>
        <v>685000</v>
      </c>
      <c r="O261" s="4012"/>
    </row>
    <row r="262" spans="1:16" s="315" customFormat="1" ht="13.5" hidden="1" customHeight="1" thickBot="1">
      <c r="A262" s="835"/>
      <c r="B262" s="2562" t="s">
        <v>14</v>
      </c>
      <c r="C262" s="836"/>
      <c r="D262" s="778">
        <f>E262+F262+G262+H262+I262+J262+K262+L262</f>
        <v>0</v>
      </c>
      <c r="E262" s="838"/>
      <c r="F262" s="839">
        <v>0</v>
      </c>
      <c r="G262" s="839">
        <v>0</v>
      </c>
      <c r="H262" s="839">
        <v>0</v>
      </c>
      <c r="I262" s="839">
        <v>0</v>
      </c>
      <c r="J262" s="839">
        <v>0</v>
      </c>
      <c r="K262" s="839">
        <v>0</v>
      </c>
      <c r="L262" s="839">
        <v>0</v>
      </c>
      <c r="M262" s="638">
        <f>SUM(E262:K262)</f>
        <v>0</v>
      </c>
      <c r="N262" s="638">
        <f>SUM(F262:L262)</f>
        <v>0</v>
      </c>
      <c r="O262" s="2437"/>
    </row>
    <row r="263" spans="1:16" s="2562" customFormat="1" ht="13.5" hidden="1" customHeight="1">
      <c r="A263" s="835"/>
      <c r="B263" s="539" t="s">
        <v>21</v>
      </c>
      <c r="C263" s="833"/>
      <c r="D263" s="560">
        <f>+D264</f>
        <v>0</v>
      </c>
      <c r="E263" s="560">
        <f t="shared" ref="E263:L263" si="187">+E264</f>
        <v>0</v>
      </c>
      <c r="F263" s="569">
        <f t="shared" si="187"/>
        <v>0</v>
      </c>
      <c r="G263" s="569">
        <f t="shared" si="187"/>
        <v>0</v>
      </c>
      <c r="H263" s="541">
        <f t="shared" si="187"/>
        <v>0</v>
      </c>
      <c r="I263" s="569">
        <f t="shared" si="187"/>
        <v>0</v>
      </c>
      <c r="J263" s="569">
        <f t="shared" si="187"/>
        <v>0</v>
      </c>
      <c r="K263" s="541">
        <f t="shared" si="187"/>
        <v>0</v>
      </c>
      <c r="L263" s="569">
        <f t="shared" si="187"/>
        <v>0</v>
      </c>
      <c r="M263" s="3938" t="s">
        <v>22</v>
      </c>
      <c r="N263" s="3938" t="s">
        <v>22</v>
      </c>
      <c r="O263" s="2437"/>
    </row>
    <row r="264" spans="1:16" s="2562" customFormat="1" ht="13.5" hidden="1" customHeight="1">
      <c r="A264" s="2870"/>
      <c r="B264" s="515" t="s">
        <v>23</v>
      </c>
      <c r="C264" s="3855" t="s">
        <v>293</v>
      </c>
      <c r="D264" s="834">
        <f t="shared" ref="D264:L264" si="188">+D265</f>
        <v>0</v>
      </c>
      <c r="E264" s="834">
        <f t="shared" si="188"/>
        <v>0</v>
      </c>
      <c r="F264" s="557">
        <f t="shared" si="188"/>
        <v>0</v>
      </c>
      <c r="G264" s="557">
        <f t="shared" si="188"/>
        <v>0</v>
      </c>
      <c r="H264" s="573">
        <f t="shared" si="188"/>
        <v>0</v>
      </c>
      <c r="I264" s="574">
        <f t="shared" si="188"/>
        <v>0</v>
      </c>
      <c r="J264" s="557">
        <f t="shared" si="188"/>
        <v>0</v>
      </c>
      <c r="K264" s="573">
        <f t="shared" si="188"/>
        <v>0</v>
      </c>
      <c r="L264" s="574">
        <f t="shared" si="188"/>
        <v>0</v>
      </c>
      <c r="M264" s="3861"/>
      <c r="N264" s="3861"/>
      <c r="O264" s="2438"/>
    </row>
    <row r="265" spans="1:16" s="2562" customFormat="1" ht="22.5" hidden="1" customHeight="1" thickBot="1">
      <c r="A265" s="2862"/>
      <c r="B265" s="2935" t="s">
        <v>14</v>
      </c>
      <c r="C265" s="3856"/>
      <c r="D265" s="778">
        <f>E265+F265+G265+H265+I265+J265+K265+L265</f>
        <v>0</v>
      </c>
      <c r="E265" s="570">
        <v>0</v>
      </c>
      <c r="F265" s="575">
        <v>0</v>
      </c>
      <c r="G265" s="575">
        <v>0</v>
      </c>
      <c r="H265" s="576">
        <v>0</v>
      </c>
      <c r="I265" s="576">
        <v>0</v>
      </c>
      <c r="J265" s="575">
        <v>0</v>
      </c>
      <c r="K265" s="576">
        <v>0</v>
      </c>
      <c r="L265" s="576">
        <v>0</v>
      </c>
      <c r="M265" s="3862"/>
      <c r="N265" s="3862"/>
      <c r="O265" s="1110"/>
    </row>
    <row r="266" spans="1:16" ht="14.25" customHeight="1">
      <c r="A266" s="3993" t="s">
        <v>318</v>
      </c>
      <c r="B266" s="3993"/>
      <c r="C266" s="3993"/>
      <c r="D266" s="3993"/>
      <c r="E266" s="3993"/>
      <c r="F266" s="3993"/>
      <c r="G266" s="3993"/>
      <c r="H266" s="3993"/>
      <c r="I266" s="3993"/>
      <c r="J266" s="3993"/>
      <c r="K266" s="3993"/>
      <c r="L266" s="3993"/>
      <c r="M266" s="3993"/>
      <c r="N266" s="3993"/>
      <c r="O266" s="3993"/>
    </row>
    <row r="267" spans="1:16" ht="14.25" customHeight="1">
      <c r="A267" s="3993" t="s">
        <v>534</v>
      </c>
      <c r="B267" s="3993"/>
      <c r="C267" s="3993"/>
      <c r="D267" s="3993"/>
      <c r="E267" s="3993"/>
      <c r="F267" s="3993"/>
      <c r="G267" s="3993"/>
      <c r="H267" s="3993"/>
      <c r="I267" s="3993"/>
      <c r="J267" s="3993"/>
      <c r="K267" s="3993"/>
      <c r="L267" s="3993"/>
      <c r="M267" s="3993"/>
      <c r="N267" s="3993"/>
      <c r="O267" s="3993"/>
    </row>
    <row r="268" spans="1:16" ht="12.75" customHeight="1">
      <c r="A268" s="3993" t="s">
        <v>533</v>
      </c>
      <c r="B268" s="3993"/>
      <c r="C268" s="3993"/>
      <c r="D268" s="3993"/>
      <c r="E268" s="3993"/>
      <c r="F268" s="3993"/>
      <c r="G268" s="3993"/>
      <c r="H268" s="3993"/>
      <c r="I268" s="3993"/>
      <c r="J268" s="3993"/>
      <c r="K268" s="3993"/>
      <c r="L268" s="3993"/>
      <c r="M268" s="3993"/>
      <c r="N268" s="3993"/>
      <c r="O268" s="3993"/>
    </row>
    <row r="269" spans="1:16" ht="13.5" hidden="1" customHeight="1">
      <c r="A269" s="3159"/>
      <c r="B269" s="1139" t="s">
        <v>338</v>
      </c>
      <c r="C269" s="2881"/>
      <c r="D269" s="2881"/>
      <c r="E269" s="2881"/>
      <c r="F269" s="2881"/>
      <c r="G269" s="2881"/>
      <c r="H269" s="2881"/>
      <c r="I269" s="2881"/>
      <c r="J269" s="2881"/>
      <c r="K269" s="2881"/>
      <c r="L269" s="2881"/>
      <c r="M269" s="3159"/>
      <c r="N269" s="3159"/>
      <c r="O269" s="3159"/>
    </row>
    <row r="270" spans="1:16" ht="13.5" hidden="1" customHeight="1">
      <c r="A270" s="3159"/>
      <c r="B270" s="1172" t="s">
        <v>339</v>
      </c>
      <c r="C270" s="2881"/>
      <c r="D270" s="2882">
        <f t="shared" ref="D270:L270" si="189">+D220+D115+D77+D54+D35</f>
        <v>199693184</v>
      </c>
      <c r="E270" s="2882">
        <f t="shared" si="189"/>
        <v>17210565</v>
      </c>
      <c r="F270" s="2882">
        <f t="shared" si="189"/>
        <v>25237472</v>
      </c>
      <c r="G270" s="2882">
        <f t="shared" si="189"/>
        <v>28992234</v>
      </c>
      <c r="H270" s="2882">
        <f t="shared" si="189"/>
        <v>29236900</v>
      </c>
      <c r="I270" s="2882">
        <f t="shared" si="189"/>
        <v>16257962</v>
      </c>
      <c r="J270" s="2882">
        <f t="shared" si="189"/>
        <v>23112431</v>
      </c>
      <c r="K270" s="2882">
        <f t="shared" si="189"/>
        <v>23572239</v>
      </c>
      <c r="L270" s="2882">
        <f t="shared" si="189"/>
        <v>22656667</v>
      </c>
      <c r="M270" s="3159"/>
      <c r="N270" s="3159"/>
      <c r="O270" s="3159"/>
    </row>
    <row r="271" spans="1:16" ht="13.5" hidden="1" customHeight="1">
      <c r="A271" s="3159"/>
      <c r="B271" s="1172" t="s">
        <v>340</v>
      </c>
      <c r="C271" s="2881"/>
      <c r="D271" s="2882">
        <f t="shared" ref="D271:L271" si="190">+D66+D88+D134+D147+D231</f>
        <v>72050516</v>
      </c>
      <c r="E271" s="2882">
        <f t="shared" si="190"/>
        <v>499765</v>
      </c>
      <c r="F271" s="2882">
        <f t="shared" si="190"/>
        <v>1258342</v>
      </c>
      <c r="G271" s="2882">
        <f t="shared" si="190"/>
        <v>2066326</v>
      </c>
      <c r="H271" s="2882">
        <f t="shared" si="190"/>
        <v>12878548</v>
      </c>
      <c r="I271" s="2882">
        <f t="shared" si="190"/>
        <v>36253035</v>
      </c>
      <c r="J271" s="2882">
        <f t="shared" si="190"/>
        <v>18700000</v>
      </c>
      <c r="K271" s="2882">
        <f t="shared" si="190"/>
        <v>200000</v>
      </c>
      <c r="L271" s="2882">
        <f t="shared" si="190"/>
        <v>144500</v>
      </c>
      <c r="M271" s="3159"/>
      <c r="N271" s="3159"/>
      <c r="O271" s="3159"/>
    </row>
    <row r="272" spans="1:16" ht="13.5" hidden="1" customHeight="1">
      <c r="A272" s="3159"/>
      <c r="B272" s="1172" t="s">
        <v>341</v>
      </c>
      <c r="C272" s="2881"/>
      <c r="D272" s="1137">
        <f>D270+D271</f>
        <v>271743700</v>
      </c>
      <c r="E272" s="1137">
        <f t="shared" ref="E272:L272" si="191">E270+E271</f>
        <v>17710330</v>
      </c>
      <c r="F272" s="1137">
        <f>F270+F271</f>
        <v>26495814</v>
      </c>
      <c r="G272" s="1137">
        <f t="shared" si="191"/>
        <v>31058560</v>
      </c>
      <c r="H272" s="1137">
        <f t="shared" si="191"/>
        <v>42115448</v>
      </c>
      <c r="I272" s="1137">
        <f t="shared" si="191"/>
        <v>52510997</v>
      </c>
      <c r="J272" s="1137">
        <f t="shared" si="191"/>
        <v>41812431</v>
      </c>
      <c r="K272" s="1137">
        <f t="shared" si="191"/>
        <v>23772239</v>
      </c>
      <c r="L272" s="1137">
        <f t="shared" si="191"/>
        <v>22801167</v>
      </c>
      <c r="M272" s="3159"/>
      <c r="N272" s="3159"/>
      <c r="O272" s="3159"/>
    </row>
    <row r="273" spans="1:15" ht="13.5" hidden="1" customHeight="1">
      <c r="A273" s="3159"/>
      <c r="B273" s="1134" t="s">
        <v>41</v>
      </c>
      <c r="C273" s="1136"/>
      <c r="D273" s="1138">
        <f t="shared" ref="D273:L273" si="192">D20-D272</f>
        <v>0</v>
      </c>
      <c r="E273" s="1138">
        <f t="shared" si="192"/>
        <v>0</v>
      </c>
      <c r="F273" s="1138">
        <f t="shared" si="192"/>
        <v>0</v>
      </c>
      <c r="G273" s="1138">
        <f t="shared" si="192"/>
        <v>0</v>
      </c>
      <c r="H273" s="1138">
        <f t="shared" si="192"/>
        <v>0</v>
      </c>
      <c r="I273" s="1138">
        <f t="shared" si="192"/>
        <v>0</v>
      </c>
      <c r="J273" s="1138">
        <f t="shared" si="192"/>
        <v>0</v>
      </c>
      <c r="K273" s="1138">
        <f t="shared" si="192"/>
        <v>0</v>
      </c>
      <c r="L273" s="1138">
        <f t="shared" si="192"/>
        <v>0</v>
      </c>
      <c r="M273" s="3159"/>
      <c r="N273" s="3159"/>
      <c r="O273" s="3159"/>
    </row>
    <row r="274" spans="1:15" ht="31.5" hidden="1" customHeight="1">
      <c r="A274" s="3159"/>
      <c r="B274" s="3159"/>
      <c r="C274" s="3159"/>
      <c r="D274" s="3159"/>
      <c r="E274" s="3159"/>
      <c r="F274" s="3159"/>
      <c r="G274" s="3159"/>
      <c r="H274" s="3159"/>
      <c r="I274" s="3159"/>
      <c r="J274" s="3159"/>
      <c r="K274" s="3159"/>
      <c r="L274" s="3159"/>
      <c r="M274" s="3159"/>
      <c r="N274" s="3159"/>
      <c r="O274" s="3159"/>
    </row>
    <row r="275" spans="1:15" ht="31.5" hidden="1" customHeight="1">
      <c r="A275" s="3159"/>
      <c r="B275" s="3159"/>
      <c r="C275" s="3159"/>
      <c r="D275" s="3159"/>
      <c r="E275" s="3159"/>
      <c r="F275" s="3159"/>
      <c r="G275" s="3159"/>
      <c r="H275" s="3159"/>
      <c r="I275" s="3159"/>
      <c r="J275" s="3159"/>
      <c r="K275" s="3159"/>
      <c r="L275" s="3159"/>
      <c r="M275" s="3159"/>
      <c r="N275" s="3159"/>
      <c r="O275" s="3159"/>
    </row>
    <row r="276" spans="1:15" hidden="1">
      <c r="B276" s="3349" t="s">
        <v>41</v>
      </c>
    </row>
    <row r="277" spans="1:15" hidden="1">
      <c r="B277" s="4010" t="s">
        <v>207</v>
      </c>
      <c r="C277" s="2936" t="s">
        <v>100</v>
      </c>
      <c r="D277" s="2938" t="e">
        <f>D115-#REF!-#REF!-F115-G115-H115-I115-J115-K115-L115</f>
        <v>#REF!</v>
      </c>
      <c r="E277" s="2936" t="s">
        <v>100</v>
      </c>
    </row>
    <row r="278" spans="1:15" hidden="1">
      <c r="B278" s="4010"/>
      <c r="C278" s="2936" t="s">
        <v>73</v>
      </c>
      <c r="D278" s="2938" t="e">
        <f>D134-#REF!-#REF!-F134-G134-H134-I134-J134-K134-L134</f>
        <v>#REF!</v>
      </c>
      <c r="E278" s="2936" t="s">
        <v>73</v>
      </c>
    </row>
    <row r="279" spans="1:15" hidden="1">
      <c r="B279" s="4010"/>
      <c r="D279" s="351" t="e">
        <f>D277+D278</f>
        <v>#REF!</v>
      </c>
    </row>
    <row r="280" spans="1:15" hidden="1"/>
    <row r="281" spans="1:15" hidden="1">
      <c r="B281" s="3350" t="s">
        <v>557</v>
      </c>
      <c r="C281" s="2936" t="s">
        <v>100</v>
      </c>
      <c r="D281" s="2938" t="e">
        <f>+D105-#REF!-#REF!-F105-G105-H105-I105-J105-K105-L105</f>
        <v>#REF!</v>
      </c>
    </row>
    <row r="282" spans="1:15" hidden="1">
      <c r="C282" s="2936" t="s">
        <v>73</v>
      </c>
      <c r="D282" s="2938" t="e">
        <f>D124-#REF!-#REF!-F124-G124-H124-I124-J124-K124-L124</f>
        <v>#REF!</v>
      </c>
    </row>
    <row r="283" spans="1:15" hidden="1">
      <c r="D283" s="351" t="e">
        <f>D281+D282</f>
        <v>#REF!</v>
      </c>
    </row>
    <row r="284" spans="1:15" hidden="1"/>
    <row r="285" spans="1:15" hidden="1">
      <c r="B285" s="3350" t="s">
        <v>209</v>
      </c>
      <c r="D285" s="351" t="e">
        <f>+D96-#REF!-#REF!-F96-G96-H96-I96-J96-K96-L96</f>
        <v>#REF!</v>
      </c>
    </row>
    <row r="286" spans="1:15" hidden="1"/>
    <row r="287" spans="1:15" hidden="1">
      <c r="B287" s="2936" t="s">
        <v>208</v>
      </c>
      <c r="D287" s="351" t="e">
        <f>D283+D285</f>
        <v>#REF!</v>
      </c>
    </row>
    <row r="288" spans="1:15" hidden="1">
      <c r="E288" s="2938"/>
    </row>
    <row r="289" spans="2:14" hidden="1">
      <c r="B289" s="2936" t="s">
        <v>283</v>
      </c>
      <c r="D289" s="2938">
        <f t="shared" ref="D289:L289" si="193">+D96+D106</f>
        <v>217427656</v>
      </c>
      <c r="E289" s="2938">
        <f t="shared" si="193"/>
        <v>23889218</v>
      </c>
      <c r="F289" s="2938">
        <f t="shared" si="193"/>
        <v>25563976</v>
      </c>
      <c r="G289" s="2938">
        <f t="shared" si="193"/>
        <v>29167993</v>
      </c>
      <c r="H289" s="2938">
        <f t="shared" si="193"/>
        <v>31341732</v>
      </c>
      <c r="I289" s="2938">
        <f t="shared" si="193"/>
        <v>30064390</v>
      </c>
      <c r="J289" s="2938">
        <f t="shared" si="193"/>
        <v>26593043</v>
      </c>
      <c r="K289" s="2938">
        <f t="shared" si="193"/>
        <v>25498869</v>
      </c>
      <c r="L289" s="2938">
        <f t="shared" si="193"/>
        <v>25308435</v>
      </c>
      <c r="M289" s="2938">
        <f>SUM(D289:K289)-C289</f>
        <v>409546877</v>
      </c>
      <c r="N289" s="2938">
        <f>SUM(E289:L289)-D289</f>
        <v>0</v>
      </c>
    </row>
    <row r="290" spans="2:14" hidden="1">
      <c r="B290" s="2936" t="s">
        <v>284</v>
      </c>
      <c r="D290" s="2938">
        <f t="shared" ref="D290:L290" si="194">+D125</f>
        <v>2741069</v>
      </c>
      <c r="E290" s="2938">
        <f t="shared" si="194"/>
        <v>357504</v>
      </c>
      <c r="F290" s="2938">
        <f t="shared" si="194"/>
        <v>421938</v>
      </c>
      <c r="G290" s="2938">
        <f t="shared" si="194"/>
        <v>600000</v>
      </c>
      <c r="H290" s="2938">
        <f t="shared" si="194"/>
        <v>617127</v>
      </c>
      <c r="I290" s="2938">
        <f t="shared" si="194"/>
        <v>200000</v>
      </c>
      <c r="J290" s="2938">
        <f t="shared" si="194"/>
        <v>200000</v>
      </c>
      <c r="K290" s="2938">
        <f t="shared" si="194"/>
        <v>200000</v>
      </c>
      <c r="L290" s="2938">
        <f t="shared" si="194"/>
        <v>144500</v>
      </c>
      <c r="M290" s="2938">
        <f>SUM(D290:K290)-C290</f>
        <v>5337638</v>
      </c>
      <c r="N290" s="2938">
        <f>SUM(E290:L290)-D290</f>
        <v>0</v>
      </c>
    </row>
    <row r="291" spans="2:14" hidden="1"/>
    <row r="292" spans="2:14" hidden="1">
      <c r="B292" s="2936" t="s">
        <v>282</v>
      </c>
      <c r="D292" s="2938">
        <f>+D115+'Tab. 6B Polit społ i rozwój prz'!D92+D134+'Tab. 6B Polit społ i rozwój prz'!D104</f>
        <v>249298062</v>
      </c>
      <c r="F292" s="2938">
        <f>+F115+'Tab. 6B Polit społ i rozwój prz'!F92+F134+'Tab. 6B Polit społ i rozwój prz'!F104</f>
        <v>31107442</v>
      </c>
      <c r="G292" s="2938">
        <f>+G115+'Tab. 6B Polit społ i rozwój prz'!G92+G134+'Tab. 6B Polit społ i rozwój prz'!G104</f>
        <v>31772176</v>
      </c>
      <c r="H292" s="2938">
        <f>+H115+'Tab. 6B Polit społ i rozwój prz'!H92+H134+'Tab. 6B Polit społ i rozwój prz'!H104</f>
        <v>37179474</v>
      </c>
      <c r="I292" s="2938">
        <f>+I115+'Tab. 6B Polit społ i rozwój prz'!I92+I134+'Tab. 6B Polit społ i rozwój prz'!I104</f>
        <v>22696965</v>
      </c>
      <c r="J292" s="2938">
        <f>+J115+'Tab. 6B Polit społ i rozwój prz'!J92+J134+'Tab. 6B Polit społ i rozwój prz'!J104</f>
        <v>31000000</v>
      </c>
      <c r="K292" s="2938">
        <f>+K115+'Tab. 6B Polit społ i rozwój prz'!K92+K134+'Tab. 6B Polit społ i rozwój prz'!K104</f>
        <v>31000000</v>
      </c>
      <c r="L292" s="2938">
        <f>+L115+'Tab. 6B Polit społ i rozwój prz'!L92+L134+'Tab. 6B Polit społ i rozwój prz'!L104</f>
        <v>28958648</v>
      </c>
      <c r="M292" s="2938">
        <f>SUM(D292:K292)-C292</f>
        <v>434054119</v>
      </c>
      <c r="N292" s="2938">
        <f>SUM(E292:L292)-D292</f>
        <v>-35583357</v>
      </c>
    </row>
    <row r="293" spans="2:14" hidden="1">
      <c r="B293" s="2936" t="s">
        <v>281</v>
      </c>
      <c r="D293" s="2938">
        <f>+D94+D119+'Tab. 6B Polit społ i rozwój prz'!D86+'Tab. 6B Polit społ i rozwój prz'!D98</f>
        <v>296468308</v>
      </c>
      <c r="E293" s="2938">
        <f>+E94+E119+'Tab. 6B Polit społ i rozwój prz'!E86+'Tab. 6B Polit społ i rozwój prz'!E98</f>
        <v>33319105</v>
      </c>
      <c r="F293" s="2938">
        <f>+F94+F119+'Tab. 6B Polit społ i rozwój prz'!F86+'Tab. 6B Polit społ i rozwój prz'!F98</f>
        <v>35816680</v>
      </c>
      <c r="G293" s="2938">
        <f>+G94+G119+'Tab. 6B Polit społ i rozwój prz'!G86+'Tab. 6B Polit społ i rozwój prz'!G98</f>
        <v>40317986</v>
      </c>
      <c r="H293" s="2938">
        <f>+H94+H119+'Tab. 6B Polit społ i rozwój prz'!H86+'Tab. 6B Polit społ i rozwój prz'!H98</f>
        <v>42647402</v>
      </c>
      <c r="I293" s="2938">
        <f>+I94+I119+'Tab. 6B Polit społ i rozwój prz'!I86+'Tab. 6B Polit społ i rozwój prz'!I98</f>
        <v>40043130</v>
      </c>
      <c r="J293" s="2938">
        <f>+J94+J119+'Tab. 6B Polit społ i rozwój prz'!J86+'Tab. 6B Polit społ i rozwój prz'!J98</f>
        <v>36454337</v>
      </c>
      <c r="K293" s="2938">
        <f>+K94+K119+'Tab. 6B Polit społ i rozwój prz'!K86+'Tab. 6B Polit społ i rozwój prz'!K98</f>
        <v>34640162</v>
      </c>
      <c r="L293" s="2938">
        <f>+L94+L119+'Tab. 6B Polit społ i rozwój prz'!L86+'Tab. 6B Polit społ i rozwój prz'!L98</f>
        <v>33229506</v>
      </c>
      <c r="M293" s="2938">
        <f>SUM(D293:K293)-C293</f>
        <v>559707110</v>
      </c>
      <c r="N293" s="2938">
        <f>SUM(E293:L293)-D293</f>
        <v>0</v>
      </c>
    </row>
    <row r="294" spans="2:14" hidden="1"/>
    <row r="295" spans="2:14" hidden="1"/>
    <row r="296" spans="2:14" hidden="1"/>
    <row r="297" spans="2:14" hidden="1"/>
    <row r="298" spans="2:14" hidden="1">
      <c r="B298" s="2936" t="s">
        <v>246</v>
      </c>
      <c r="C298" s="2936" t="s">
        <v>244</v>
      </c>
      <c r="D298" s="2938">
        <f>+D210+D176</f>
        <v>18000000</v>
      </c>
      <c r="F298" s="2938">
        <f t="shared" ref="F298:K298" si="195">+F210+F176</f>
        <v>986569</v>
      </c>
      <c r="G298" s="2938">
        <f t="shared" si="195"/>
        <v>1782033</v>
      </c>
      <c r="H298" s="2938">
        <f t="shared" si="195"/>
        <v>5574771</v>
      </c>
      <c r="I298" s="2938">
        <f t="shared" si="195"/>
        <v>9303035</v>
      </c>
      <c r="J298" s="2938">
        <f t="shared" si="195"/>
        <v>0</v>
      </c>
      <c r="K298" s="2938">
        <f t="shared" si="195"/>
        <v>0</v>
      </c>
      <c r="M298" s="2938" t="e">
        <f t="shared" ref="M298:N301" si="196">SUM(D298:K298)-C298</f>
        <v>#VALUE!</v>
      </c>
      <c r="N298" s="2938">
        <f t="shared" si="196"/>
        <v>-353592</v>
      </c>
    </row>
    <row r="299" spans="2:14" hidden="1">
      <c r="C299" s="2936" t="s">
        <v>245</v>
      </c>
      <c r="D299" s="2938">
        <f>+D168+D195</f>
        <v>0</v>
      </c>
      <c r="F299" s="2938">
        <f t="shared" ref="F299:K299" si="197">+F168+F195</f>
        <v>0</v>
      </c>
      <c r="G299" s="2938">
        <f t="shared" si="197"/>
        <v>0</v>
      </c>
      <c r="H299" s="2938">
        <f t="shared" si="197"/>
        <v>0</v>
      </c>
      <c r="I299" s="2938">
        <f t="shared" si="197"/>
        <v>0</v>
      </c>
      <c r="J299" s="2938">
        <f t="shared" si="197"/>
        <v>0</v>
      </c>
      <c r="K299" s="2938">
        <f t="shared" si="197"/>
        <v>0</v>
      </c>
      <c r="M299" s="2938" t="e">
        <f t="shared" si="196"/>
        <v>#VALUE!</v>
      </c>
      <c r="N299" s="2938">
        <f t="shared" si="196"/>
        <v>0</v>
      </c>
    </row>
    <row r="300" spans="2:14" hidden="1">
      <c r="D300" s="2938">
        <f>SUM(D298:D299)</f>
        <v>18000000</v>
      </c>
      <c r="E300" s="2938">
        <f t="shared" ref="E300:K300" si="198">SUM(E298:E299)</f>
        <v>0</v>
      </c>
      <c r="F300" s="2938">
        <f t="shared" si="198"/>
        <v>986569</v>
      </c>
      <c r="G300" s="2938">
        <f t="shared" si="198"/>
        <v>1782033</v>
      </c>
      <c r="H300" s="2938">
        <f t="shared" si="198"/>
        <v>5574771</v>
      </c>
      <c r="I300" s="2938">
        <f t="shared" si="198"/>
        <v>9303035</v>
      </c>
      <c r="J300" s="2938">
        <f t="shared" si="198"/>
        <v>0</v>
      </c>
      <c r="K300" s="2938">
        <f t="shared" si="198"/>
        <v>0</v>
      </c>
      <c r="M300" s="2938">
        <f t="shared" si="196"/>
        <v>35646408</v>
      </c>
      <c r="N300" s="2938">
        <f t="shared" si="196"/>
        <v>-353592</v>
      </c>
    </row>
    <row r="301" spans="2:14" hidden="1">
      <c r="B301" s="2936" t="s">
        <v>285</v>
      </c>
      <c r="D301" s="2938">
        <f t="shared" ref="D301:K301" si="199">D144</f>
        <v>18000000</v>
      </c>
      <c r="E301" s="2938">
        <f t="shared" si="199"/>
        <v>353592</v>
      </c>
      <c r="F301" s="2938">
        <f t="shared" si="199"/>
        <v>986569</v>
      </c>
      <c r="G301" s="2938">
        <f t="shared" si="199"/>
        <v>1782033</v>
      </c>
      <c r="H301" s="2938">
        <f t="shared" si="199"/>
        <v>5574771</v>
      </c>
      <c r="I301" s="2938">
        <f t="shared" si="199"/>
        <v>9303035</v>
      </c>
      <c r="J301" s="2938">
        <f t="shared" si="199"/>
        <v>0</v>
      </c>
      <c r="K301" s="2938">
        <f t="shared" si="199"/>
        <v>0</v>
      </c>
      <c r="M301" s="2938">
        <f t="shared" si="196"/>
        <v>36000000</v>
      </c>
      <c r="N301" s="2938">
        <f t="shared" si="196"/>
        <v>0</v>
      </c>
    </row>
    <row r="302" spans="2:14" hidden="1"/>
    <row r="303" spans="2:14" hidden="1">
      <c r="B303" s="2936" t="s">
        <v>286</v>
      </c>
      <c r="D303" s="2938">
        <f>+D292+D300</f>
        <v>267298062</v>
      </c>
      <c r="E303" s="2938">
        <f t="shared" ref="E303:L303" si="200">+E292+E300</f>
        <v>0</v>
      </c>
      <c r="F303" s="2938">
        <f t="shared" si="200"/>
        <v>32094011</v>
      </c>
      <c r="G303" s="2938">
        <f t="shared" si="200"/>
        <v>33554209</v>
      </c>
      <c r="H303" s="2938">
        <f t="shared" si="200"/>
        <v>42754245</v>
      </c>
      <c r="I303" s="2938">
        <f t="shared" si="200"/>
        <v>32000000</v>
      </c>
      <c r="J303" s="2938">
        <f t="shared" si="200"/>
        <v>31000000</v>
      </c>
      <c r="K303" s="2938">
        <f t="shared" si="200"/>
        <v>31000000</v>
      </c>
      <c r="L303" s="2938">
        <f t="shared" si="200"/>
        <v>28958648</v>
      </c>
      <c r="M303" s="2938">
        <f>SUM(D303:K303)-C303</f>
        <v>469700527</v>
      </c>
      <c r="N303" s="2938">
        <f>SUM(E303:L303)-D303</f>
        <v>-35936949</v>
      </c>
    </row>
    <row r="304" spans="2:14" hidden="1">
      <c r="B304" s="2936" t="s">
        <v>287</v>
      </c>
      <c r="D304" s="2938">
        <f>+D293+D301</f>
        <v>314468308</v>
      </c>
      <c r="E304" s="2938">
        <f t="shared" ref="E304:L304" si="201">+E293+E301</f>
        <v>33672697</v>
      </c>
      <c r="F304" s="2938">
        <f t="shared" si="201"/>
        <v>36803249</v>
      </c>
      <c r="G304" s="2938">
        <f t="shared" si="201"/>
        <v>42100019</v>
      </c>
      <c r="H304" s="2938">
        <f t="shared" si="201"/>
        <v>48222173</v>
      </c>
      <c r="I304" s="2938">
        <f t="shared" si="201"/>
        <v>49346165</v>
      </c>
      <c r="J304" s="2938">
        <f t="shared" si="201"/>
        <v>36454337</v>
      </c>
      <c r="K304" s="2938">
        <f t="shared" si="201"/>
        <v>34640162</v>
      </c>
      <c r="L304" s="2938">
        <f t="shared" si="201"/>
        <v>33229506</v>
      </c>
      <c r="M304" s="2938">
        <f>SUM(D304:K304)-C304</f>
        <v>595707110</v>
      </c>
      <c r="N304" s="2938">
        <f>SUM(E304:L304)-D304</f>
        <v>0</v>
      </c>
    </row>
    <row r="305" hidden="1"/>
    <row r="306" hidden="1"/>
    <row r="307" hidden="1"/>
    <row r="308" hidden="1"/>
    <row r="309" hidden="1"/>
    <row r="310" hidden="1"/>
    <row r="311" hidden="1"/>
    <row r="312" hidden="1"/>
    <row r="313" hidden="1"/>
    <row r="314" hidden="1"/>
    <row r="315" hidden="1"/>
    <row r="316" hidden="1"/>
    <row r="317" hidden="1"/>
    <row r="318" hidden="1"/>
    <row r="319" hidden="1"/>
    <row r="320" hidden="1"/>
    <row r="321" hidden="1"/>
    <row r="322" hidden="1"/>
    <row r="323" hidden="1"/>
    <row r="324" hidden="1"/>
    <row r="325" hidden="1"/>
    <row r="326" hidden="1"/>
    <row r="327" hidden="1"/>
    <row r="328" hidden="1"/>
    <row r="329" hidden="1"/>
    <row r="330" hidden="1"/>
    <row r="331" hidden="1"/>
    <row r="332" hidden="1"/>
    <row r="333" hidden="1"/>
    <row r="334" hidden="1"/>
    <row r="335" hidden="1"/>
    <row r="336" hidden="1"/>
    <row r="337" hidden="1"/>
    <row r="338" hidden="1"/>
    <row r="339" hidden="1"/>
    <row r="340" hidden="1"/>
    <row r="341" hidden="1"/>
    <row r="342" hidden="1"/>
    <row r="343" hidden="1"/>
    <row r="344" hidden="1"/>
    <row r="345" hidden="1"/>
    <row r="346" hidden="1"/>
    <row r="347" hidden="1"/>
    <row r="348" hidden="1"/>
    <row r="349" hidden="1"/>
    <row r="350" hidden="1"/>
    <row r="351" hidden="1"/>
    <row r="352" hidden="1"/>
    <row r="353" hidden="1"/>
    <row r="354" hidden="1"/>
    <row r="355" hidden="1"/>
    <row r="356" hidden="1"/>
    <row r="357" hidden="1"/>
    <row r="358" hidden="1"/>
    <row r="359" hidden="1"/>
    <row r="360" hidden="1"/>
    <row r="361" hidden="1"/>
    <row r="362" hidden="1"/>
    <row r="363" hidden="1"/>
    <row r="364" hidden="1"/>
    <row r="365" hidden="1"/>
    <row r="366" hidden="1"/>
    <row r="367" hidden="1"/>
    <row r="368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spans="1:15" hidden="1"/>
    <row r="402" spans="1:15" hidden="1"/>
    <row r="403" spans="1:15" ht="13.5" hidden="1" thickBot="1">
      <c r="A403" s="2091"/>
    </row>
    <row r="404" spans="1:15" ht="13.5" hidden="1" thickBot="1">
      <c r="A404" s="2465"/>
    </row>
    <row r="405" spans="1:15" ht="13.5" hidden="1" thickBot="1">
      <c r="A405" s="2465"/>
    </row>
    <row r="406" spans="1:15" ht="13.5" hidden="1" thickBot="1">
      <c r="A406" s="2465"/>
    </row>
    <row r="407" spans="1:15" ht="13.5" hidden="1" thickBot="1">
      <c r="A407" s="2465"/>
    </row>
    <row r="408" spans="1:15" ht="13.5" hidden="1" thickBot="1">
      <c r="A408" s="2465"/>
    </row>
    <row r="409" spans="1:15" ht="13.5" hidden="1" thickBot="1">
      <c r="A409" s="2465"/>
      <c r="N409" s="2939"/>
      <c r="O409" s="2940"/>
    </row>
    <row r="410" spans="1:15" ht="13.5" hidden="1" thickBot="1">
      <c r="A410" s="2465"/>
      <c r="C410" s="2939"/>
      <c r="N410" s="2941"/>
      <c r="O410" s="2942"/>
    </row>
    <row r="411" spans="1:15" ht="13.5" hidden="1" thickBot="1">
      <c r="A411" s="2465"/>
      <c r="C411" s="2941"/>
      <c r="D411" s="2939"/>
      <c r="E411" s="2939"/>
      <c r="F411" s="2939"/>
      <c r="G411" s="2939"/>
      <c r="H411" s="2939"/>
      <c r="I411" s="2939"/>
      <c r="J411" s="2939"/>
      <c r="K411" s="2939"/>
      <c r="L411" s="2939"/>
      <c r="N411" s="2941"/>
      <c r="O411" s="2942"/>
    </row>
    <row r="412" spans="1:15" ht="13.5" hidden="1" thickBot="1">
      <c r="A412" s="2465"/>
      <c r="C412" s="2943"/>
      <c r="D412" s="2943"/>
      <c r="E412" s="2943"/>
      <c r="F412" s="2943"/>
      <c r="G412" s="2943"/>
      <c r="H412" s="2943"/>
      <c r="I412" s="2943"/>
      <c r="J412" s="2943"/>
      <c r="K412" s="2943"/>
      <c r="L412" s="2943"/>
      <c r="N412" s="2943"/>
      <c r="O412" s="2942"/>
    </row>
    <row r="413" spans="1:15" ht="13.5" hidden="1" thickBot="1">
      <c r="A413" s="2465"/>
      <c r="O413" s="2942"/>
    </row>
    <row r="414" spans="1:15" ht="13.5" hidden="1" thickBot="1">
      <c r="A414" s="2465"/>
      <c r="O414" s="2942"/>
    </row>
    <row r="415" spans="1:15" ht="13.5" hidden="1" thickBot="1">
      <c r="A415" s="2465"/>
      <c r="O415" s="2942"/>
    </row>
    <row r="416" spans="1:15" ht="13.5" hidden="1" thickBot="1">
      <c r="A416" s="2465"/>
      <c r="O416" s="2942"/>
    </row>
    <row r="417" spans="1:15" ht="13.5" hidden="1" thickBot="1">
      <c r="A417" s="2465"/>
      <c r="O417" s="2944"/>
    </row>
    <row r="418" spans="1:15" ht="13.5" hidden="1" thickBot="1">
      <c r="A418" s="2465"/>
    </row>
    <row r="419" spans="1:15" ht="13.5" hidden="1" thickBot="1">
      <c r="A419" s="2465"/>
    </row>
    <row r="420" spans="1:15" hidden="1">
      <c r="A420" s="2466"/>
    </row>
    <row r="421" spans="1:15" hidden="1"/>
    <row r="422" spans="1:15" hidden="1"/>
    <row r="423" spans="1:15" hidden="1"/>
    <row r="424" spans="1:15" hidden="1"/>
    <row r="425" spans="1:15" hidden="1"/>
    <row r="426" spans="1:15" hidden="1"/>
    <row r="427" spans="1:15" hidden="1"/>
    <row r="428" spans="1:15" hidden="1"/>
    <row r="429" spans="1:15" hidden="1"/>
    <row r="518" spans="1:15" ht="13.5" thickBot="1">
      <c r="O518" s="2940"/>
    </row>
    <row r="519" spans="1:15" ht="13.5" thickBot="1">
      <c r="O519" s="2942"/>
    </row>
    <row r="520" spans="1:15" ht="13.5" thickBot="1">
      <c r="O520" s="2942"/>
    </row>
    <row r="521" spans="1:15" ht="13.5" thickBot="1">
      <c r="O521" s="2942"/>
    </row>
    <row r="522" spans="1:15" ht="13.5" thickBot="1">
      <c r="N522" s="2939"/>
      <c r="O522" s="2942"/>
    </row>
    <row r="523" spans="1:15" ht="13.5" thickBot="1">
      <c r="N523" s="2941"/>
      <c r="O523" s="2942"/>
    </row>
    <row r="524" spans="1:15" ht="13.5" thickBot="1">
      <c r="N524" s="2941"/>
      <c r="O524" s="2942"/>
    </row>
    <row r="525" spans="1:15" ht="13.5" thickBot="1">
      <c r="N525" s="2941"/>
      <c r="O525" s="2942"/>
    </row>
    <row r="526" spans="1:15" ht="13.5" thickBot="1">
      <c r="N526" s="2941"/>
      <c r="O526" s="2942"/>
    </row>
    <row r="527" spans="1:15" ht="13.5" thickBot="1">
      <c r="A527" s="2091"/>
      <c r="B527" s="2939"/>
      <c r="C527" s="2939"/>
      <c r="D527" s="2939"/>
      <c r="E527" s="2939"/>
      <c r="F527" s="2939"/>
      <c r="G527" s="2939"/>
      <c r="H527" s="2939"/>
      <c r="I527" s="2939"/>
      <c r="J527" s="2939"/>
      <c r="K527" s="2939"/>
      <c r="L527" s="2939"/>
      <c r="N527" s="2941"/>
      <c r="O527" s="2942"/>
    </row>
    <row r="528" spans="1:15" ht="13.5" thickBot="1">
      <c r="A528" s="2465"/>
      <c r="B528" s="2943"/>
      <c r="C528" s="2943"/>
      <c r="D528" s="2943"/>
      <c r="E528" s="2943"/>
      <c r="F528" s="2943"/>
      <c r="G528" s="2943"/>
      <c r="H528" s="2943"/>
      <c r="I528" s="2943"/>
      <c r="J528" s="2943"/>
      <c r="K528" s="2943"/>
      <c r="L528" s="2943"/>
      <c r="N528" s="2943"/>
      <c r="O528" s="2942"/>
    </row>
    <row r="529" spans="1:15" ht="13.5" thickBot="1">
      <c r="A529" s="2465"/>
      <c r="O529" s="2942"/>
    </row>
    <row r="530" spans="1:15" ht="13.5" thickBot="1">
      <c r="A530" s="2465"/>
      <c r="O530" s="2942"/>
    </row>
    <row r="531" spans="1:15" ht="13.5" thickBot="1">
      <c r="A531" s="2465"/>
      <c r="O531" s="2942"/>
    </row>
    <row r="532" spans="1:15" ht="13.5" thickBot="1">
      <c r="A532" s="2465"/>
      <c r="O532" s="2942"/>
    </row>
    <row r="533" spans="1:15" ht="13.5" thickBot="1">
      <c r="A533" s="2465"/>
      <c r="O533" s="2942"/>
    </row>
    <row r="534" spans="1:15" ht="13.5" thickBot="1">
      <c r="A534" s="2465"/>
      <c r="O534" s="2942"/>
    </row>
    <row r="535" spans="1:15">
      <c r="A535" s="2466"/>
      <c r="O535" s="2944"/>
    </row>
    <row r="542" spans="1:15" ht="13.5" thickBot="1"/>
    <row r="543" spans="1:15" ht="33.75">
      <c r="A543" s="352"/>
      <c r="B543" s="353" t="s">
        <v>61</v>
      </c>
      <c r="C543" s="353"/>
      <c r="D543" s="2943"/>
      <c r="E543" s="2943"/>
      <c r="F543" s="2943"/>
      <c r="G543" s="2943"/>
      <c r="H543" s="2943"/>
      <c r="I543" s="2943"/>
      <c r="J543" s="2943"/>
      <c r="K543" s="2943"/>
      <c r="L543" s="2943"/>
      <c r="M543" s="2943"/>
      <c r="N543" s="2943"/>
      <c r="O543" s="3009"/>
    </row>
    <row r="544" spans="1:15">
      <c r="A544" s="354"/>
      <c r="O544" s="3010"/>
    </row>
    <row r="545" spans="1:15">
      <c r="A545" s="354"/>
      <c r="O545" s="3010"/>
    </row>
    <row r="546" spans="1:15">
      <c r="A546" s="354"/>
      <c r="O546" s="3010"/>
    </row>
    <row r="547" spans="1:15">
      <c r="A547" s="354"/>
      <c r="O547" s="3010"/>
    </row>
    <row r="548" spans="1:15">
      <c r="A548" s="354"/>
      <c r="O548" s="3010"/>
    </row>
    <row r="549" spans="1:15">
      <c r="A549" s="354"/>
      <c r="O549" s="3010"/>
    </row>
    <row r="550" spans="1:15">
      <c r="A550" s="354"/>
      <c r="O550" s="3010"/>
    </row>
    <row r="551" spans="1:15">
      <c r="A551" s="354"/>
      <c r="O551" s="3010"/>
    </row>
    <row r="552" spans="1:15">
      <c r="A552" s="354"/>
      <c r="O552" s="3010"/>
    </row>
    <row r="553" spans="1:15">
      <c r="A553" s="354"/>
      <c r="O553" s="3010"/>
    </row>
    <row r="554" spans="1:15" ht="13.5" thickBot="1">
      <c r="A554" s="355"/>
      <c r="B554" s="2939"/>
      <c r="C554" s="2939"/>
      <c r="D554" s="2939"/>
      <c r="E554" s="2939"/>
      <c r="F554" s="2939"/>
      <c r="G554" s="2939"/>
      <c r="H554" s="2939"/>
      <c r="I554" s="2939"/>
      <c r="J554" s="2939"/>
      <c r="K554" s="2939"/>
      <c r="L554" s="2939"/>
      <c r="M554" s="2939"/>
      <c r="N554" s="2939"/>
      <c r="O554" s="3011"/>
    </row>
  </sheetData>
  <mergeCells count="117">
    <mergeCell ref="O212:O224"/>
    <mergeCell ref="C214:C219"/>
    <mergeCell ref="N220:N224"/>
    <mergeCell ref="C221:C224"/>
    <mergeCell ref="C206:C209"/>
    <mergeCell ref="C193:C194"/>
    <mergeCell ref="N192:N194"/>
    <mergeCell ref="C171:C177"/>
    <mergeCell ref="C189:C191"/>
    <mergeCell ref="C198:C204"/>
    <mergeCell ref="C181:C182"/>
    <mergeCell ref="B277:B279"/>
    <mergeCell ref="A266:O266"/>
    <mergeCell ref="A248:A251"/>
    <mergeCell ref="O248:O251"/>
    <mergeCell ref="O238:O247"/>
    <mergeCell ref="C242:C244"/>
    <mergeCell ref="C246:C247"/>
    <mergeCell ref="C264:C265"/>
    <mergeCell ref="N263:N265"/>
    <mergeCell ref="C250:C251"/>
    <mergeCell ref="A258:A261"/>
    <mergeCell ref="C260:C261"/>
    <mergeCell ref="O258:O261"/>
    <mergeCell ref="M263:M265"/>
    <mergeCell ref="A267:O267"/>
    <mergeCell ref="O252:O257"/>
    <mergeCell ref="C254:C257"/>
    <mergeCell ref="A252:A257"/>
    <mergeCell ref="C73:C76"/>
    <mergeCell ref="C78:C81"/>
    <mergeCell ref="A71:A81"/>
    <mergeCell ref="M88:M92"/>
    <mergeCell ref="A268:O268"/>
    <mergeCell ref="A5:O5"/>
    <mergeCell ref="B6:B7"/>
    <mergeCell ref="C6:C7"/>
    <mergeCell ref="D6:D7"/>
    <mergeCell ref="O6:O7"/>
    <mergeCell ref="N6:N7"/>
    <mergeCell ref="N20:N25"/>
    <mergeCell ref="N35:N37"/>
    <mergeCell ref="G6:L6"/>
    <mergeCell ref="F6:F7"/>
    <mergeCell ref="E6:E7"/>
    <mergeCell ref="A82:A92"/>
    <mergeCell ref="O82:O92"/>
    <mergeCell ref="C84:C87"/>
    <mergeCell ref="C89:C92"/>
    <mergeCell ref="C166:C168"/>
    <mergeCell ref="C157:C162"/>
    <mergeCell ref="O225:O235"/>
    <mergeCell ref="C227:C230"/>
    <mergeCell ref="A26:A37"/>
    <mergeCell ref="O26:O37"/>
    <mergeCell ref="C28:C31"/>
    <mergeCell ref="C36:C37"/>
    <mergeCell ref="A59:A70"/>
    <mergeCell ref="O59:O70"/>
    <mergeCell ref="C61:C65"/>
    <mergeCell ref="C67:C70"/>
    <mergeCell ref="O38:O58"/>
    <mergeCell ref="C40:C50"/>
    <mergeCell ref="N54:N58"/>
    <mergeCell ref="C55:C58"/>
    <mergeCell ref="A38:A58"/>
    <mergeCell ref="A196:A208"/>
    <mergeCell ref="A212:A224"/>
    <mergeCell ref="A225:A235"/>
    <mergeCell ref="N245:N247"/>
    <mergeCell ref="C139:C146"/>
    <mergeCell ref="C164:C165"/>
    <mergeCell ref="N178:N184"/>
    <mergeCell ref="N163:N168"/>
    <mergeCell ref="A137:A151"/>
    <mergeCell ref="A155:A167"/>
    <mergeCell ref="C232:C235"/>
    <mergeCell ref="A169:A182"/>
    <mergeCell ref="A185:A194"/>
    <mergeCell ref="N205:N211"/>
    <mergeCell ref="C179:C180"/>
    <mergeCell ref="C187:C188"/>
    <mergeCell ref="N231:N235"/>
    <mergeCell ref="M220:M224"/>
    <mergeCell ref="M231:M235"/>
    <mergeCell ref="M245:M247"/>
    <mergeCell ref="M163:M168"/>
    <mergeCell ref="M178:M184"/>
    <mergeCell ref="M192:M194"/>
    <mergeCell ref="M205:M211"/>
    <mergeCell ref="A93:A117"/>
    <mergeCell ref="A118:A136"/>
    <mergeCell ref="C135:C136"/>
    <mergeCell ref="C120:C125"/>
    <mergeCell ref="C116:C117"/>
    <mergeCell ref="C95:C106"/>
    <mergeCell ref="O118:O136"/>
    <mergeCell ref="N134:N136"/>
    <mergeCell ref="C148:C151"/>
    <mergeCell ref="N147:N151"/>
    <mergeCell ref="M115:M117"/>
    <mergeCell ref="M134:M136"/>
    <mergeCell ref="M6:M7"/>
    <mergeCell ref="M20:M25"/>
    <mergeCell ref="M35:M37"/>
    <mergeCell ref="M54:M58"/>
    <mergeCell ref="M66:M70"/>
    <mergeCell ref="P115:S136"/>
    <mergeCell ref="O137:O151"/>
    <mergeCell ref="O93:O117"/>
    <mergeCell ref="N115:N117"/>
    <mergeCell ref="N66:N70"/>
    <mergeCell ref="N77:N81"/>
    <mergeCell ref="M77:M81"/>
    <mergeCell ref="N88:N92"/>
    <mergeCell ref="O71:O81"/>
    <mergeCell ref="M147:M151"/>
  </mergeCells>
  <printOptions horizontalCentered="1"/>
  <pageMargins left="3.937007874015748E-2" right="7.874015748031496E-2" top="0.51181102362204722" bottom="0.51181102362204722" header="0.15748031496062992" footer="0.15748031496062992"/>
  <pageSetup paperSize="9" scale="64" firstPageNumber="45" fitToHeight="3" orientation="landscape" useFirstPageNumber="1" r:id="rId1"/>
  <headerFooter alignWithMargins="0">
    <oddHeader>&amp;C&amp;"Arial,Kursywa"Wieloletnia prognoza finansowa Województwa Zachodniopomorskiego&amp;"Arial,Normalny"
______________________________________________________________________________________________________________________</oddHeader>
    <oddFooter>&amp;C&amp;8&amp;P</oddFooter>
  </headerFooter>
  <rowBreaks count="2" manualBreakCount="2">
    <brk id="70" max="14" man="1"/>
    <brk id="151" max="14" man="1"/>
  </rowBreaks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00B050"/>
  </sheetPr>
  <dimension ref="A1:BY598"/>
  <sheetViews>
    <sheetView showGridLines="0" view="pageBreakPreview" zoomScaleSheetLayoutView="100" workbookViewId="0">
      <pane xSplit="3" ySplit="6" topLeftCell="D7" activePane="bottomRight" state="frozen"/>
      <selection activeCell="A4" sqref="A1:XFD1048576"/>
      <selection pane="topRight" activeCell="A4" sqref="A1:XFD1048576"/>
      <selection pane="bottomLeft" activeCell="A4" sqref="A1:XFD1048576"/>
      <selection pane="bottomRight" activeCell="A528" sqref="A528:XFD598"/>
    </sheetView>
  </sheetViews>
  <sheetFormatPr defaultColWidth="9.140625" defaultRowHeight="11.25"/>
  <cols>
    <col min="1" max="1" width="4.140625" style="363" customWidth="1"/>
    <col min="2" max="2" width="59.28515625" style="294" customWidth="1"/>
    <col min="3" max="3" width="10.5703125" style="294" customWidth="1"/>
    <col min="4" max="4" width="16.140625" style="294" customWidth="1"/>
    <col min="5" max="5" width="12.42578125" style="294" customWidth="1"/>
    <col min="6" max="6" width="10.42578125" style="294" customWidth="1"/>
    <col min="7" max="7" width="10" style="294" customWidth="1"/>
    <col min="8" max="8" width="10.28515625" style="294" customWidth="1"/>
    <col min="9" max="10" width="9.85546875" style="294" customWidth="1"/>
    <col min="11" max="11" width="10" style="294" customWidth="1"/>
    <col min="12" max="12" width="8.28515625" style="294" customWidth="1"/>
    <col min="13" max="13" width="12.42578125" style="294" hidden="1" customWidth="1"/>
    <col min="14" max="14" width="12.42578125" style="294" customWidth="1"/>
    <col min="15" max="15" width="15.28515625" style="432" customWidth="1"/>
    <col min="16" max="16" width="3.28515625" style="294" hidden="1" customWidth="1"/>
    <col min="17" max="17" width="13.42578125" style="294" hidden="1" customWidth="1"/>
    <col min="18" max="25" width="18.28515625" style="294" hidden="1" customWidth="1"/>
    <col min="26" max="34" width="18.28515625" style="294" customWidth="1"/>
    <col min="35" max="76" width="3.28515625" style="294" customWidth="1"/>
    <col min="77" max="16384" width="9.140625" style="294"/>
  </cols>
  <sheetData>
    <row r="1" spans="1:77" s="431" customFormat="1" ht="18" customHeight="1">
      <c r="A1" s="441"/>
      <c r="B1" s="442"/>
      <c r="C1" s="441"/>
      <c r="D1" s="441"/>
      <c r="E1" s="441"/>
      <c r="F1" s="441"/>
      <c r="G1" s="290" t="s">
        <v>382</v>
      </c>
      <c r="H1" s="290"/>
      <c r="I1" s="290"/>
      <c r="J1" s="290"/>
      <c r="K1" s="290"/>
      <c r="L1" s="290"/>
      <c r="M1" s="6"/>
      <c r="N1" s="6"/>
      <c r="O1" s="7"/>
      <c r="P1" s="430"/>
      <c r="Q1" s="430"/>
      <c r="R1" s="430"/>
      <c r="S1" s="430"/>
      <c r="T1" s="430"/>
      <c r="U1" s="430"/>
      <c r="V1" s="430"/>
      <c r="W1" s="430"/>
      <c r="X1" s="430"/>
      <c r="Y1" s="430"/>
      <c r="Z1" s="430"/>
      <c r="AA1" s="430"/>
      <c r="AB1" s="430"/>
      <c r="AC1" s="430"/>
      <c r="AD1" s="430"/>
      <c r="AE1" s="430"/>
      <c r="AF1" s="430"/>
      <c r="AG1" s="430"/>
      <c r="AH1" s="430"/>
      <c r="AI1" s="430"/>
      <c r="AJ1" s="430"/>
      <c r="AK1" s="430"/>
      <c r="AL1" s="430"/>
      <c r="AM1" s="430"/>
      <c r="AN1" s="430"/>
      <c r="AO1" s="430"/>
      <c r="AP1" s="430"/>
      <c r="AQ1" s="430"/>
      <c r="AR1" s="430"/>
      <c r="AS1" s="430"/>
      <c r="AT1" s="430"/>
      <c r="AU1" s="430"/>
      <c r="AV1" s="430"/>
      <c r="AW1" s="430"/>
      <c r="AX1" s="430"/>
      <c r="AY1" s="430"/>
      <c r="AZ1" s="430"/>
      <c r="BA1" s="430"/>
      <c r="BB1" s="430"/>
      <c r="BC1" s="430"/>
      <c r="BD1" s="430"/>
      <c r="BE1" s="430"/>
      <c r="BF1" s="430"/>
      <c r="BG1" s="430"/>
      <c r="BH1" s="430"/>
      <c r="BI1" s="430"/>
      <c r="BJ1" s="430"/>
      <c r="BK1" s="430"/>
      <c r="BL1" s="430"/>
      <c r="BM1" s="430"/>
      <c r="BN1" s="430"/>
      <c r="BO1" s="430"/>
      <c r="BP1" s="430"/>
      <c r="BQ1" s="430"/>
      <c r="BR1" s="430"/>
      <c r="BS1" s="430"/>
      <c r="BT1" s="430"/>
      <c r="BU1" s="430"/>
      <c r="BV1" s="430"/>
      <c r="BW1" s="430"/>
      <c r="BX1" s="430"/>
      <c r="BY1" s="293"/>
    </row>
    <row r="2" spans="1:77" s="431" customFormat="1" ht="16.5" customHeight="1">
      <c r="A2" s="443"/>
      <c r="B2" s="442"/>
      <c r="C2" s="441"/>
      <c r="D2" s="444"/>
      <c r="E2" s="444"/>
      <c r="F2" s="444"/>
      <c r="G2" s="444"/>
      <c r="H2" s="444"/>
      <c r="I2" s="444"/>
      <c r="J2" s="444"/>
      <c r="K2" s="444"/>
      <c r="L2" s="444"/>
      <c r="M2" s="444"/>
      <c r="N2" s="444"/>
      <c r="O2" s="7"/>
      <c r="P2" s="430"/>
      <c r="Q2" s="430"/>
      <c r="R2" s="430"/>
      <c r="S2" s="430"/>
      <c r="T2" s="430"/>
      <c r="U2" s="430"/>
      <c r="V2" s="430"/>
      <c r="W2" s="430"/>
      <c r="X2" s="430"/>
      <c r="Y2" s="430"/>
      <c r="Z2" s="430"/>
      <c r="AA2" s="430"/>
      <c r="AB2" s="430"/>
      <c r="AC2" s="430"/>
      <c r="AD2" s="430"/>
      <c r="AE2" s="430"/>
      <c r="AF2" s="430"/>
      <c r="AG2" s="430"/>
      <c r="AH2" s="430"/>
      <c r="AI2" s="430"/>
      <c r="AJ2" s="430"/>
      <c r="AK2" s="430"/>
      <c r="AL2" s="430"/>
      <c r="AM2" s="430"/>
      <c r="AN2" s="430"/>
      <c r="AO2" s="430"/>
      <c r="AP2" s="430"/>
      <c r="AQ2" s="430"/>
      <c r="AR2" s="430"/>
      <c r="AS2" s="430"/>
      <c r="AT2" s="430"/>
      <c r="AU2" s="430"/>
      <c r="AV2" s="430"/>
      <c r="AW2" s="430"/>
      <c r="AX2" s="430"/>
      <c r="AY2" s="430"/>
      <c r="AZ2" s="430"/>
      <c r="BA2" s="430"/>
      <c r="BB2" s="430"/>
      <c r="BC2" s="430"/>
      <c r="BD2" s="430"/>
      <c r="BE2" s="430"/>
      <c r="BF2" s="430"/>
      <c r="BG2" s="430"/>
      <c r="BH2" s="430"/>
      <c r="BI2" s="430"/>
      <c r="BJ2" s="430"/>
      <c r="BK2" s="430"/>
      <c r="BL2" s="430"/>
      <c r="BM2" s="430"/>
      <c r="BN2" s="430"/>
      <c r="BO2" s="430"/>
      <c r="BP2" s="430"/>
      <c r="BQ2" s="430"/>
      <c r="BR2" s="430"/>
      <c r="BS2" s="430"/>
      <c r="BT2" s="430"/>
      <c r="BU2" s="430"/>
      <c r="BV2" s="430"/>
      <c r="BW2" s="430"/>
      <c r="BX2" s="430"/>
      <c r="BY2" s="293"/>
    </row>
    <row r="3" spans="1:77" s="431" customFormat="1" ht="18" customHeight="1" thickBot="1">
      <c r="A3" s="780" t="s">
        <v>147</v>
      </c>
      <c r="B3" s="781"/>
      <c r="C3" s="441"/>
      <c r="D3" s="441"/>
      <c r="E3" s="441"/>
      <c r="F3" s="441"/>
      <c r="G3" s="441"/>
      <c r="H3" s="441"/>
      <c r="I3" s="441"/>
      <c r="J3" s="441"/>
      <c r="K3" s="441"/>
      <c r="L3" s="441"/>
      <c r="M3" s="6"/>
      <c r="N3" s="6"/>
      <c r="O3" s="7"/>
      <c r="P3" s="430"/>
      <c r="Q3" s="430"/>
      <c r="R3" s="430"/>
      <c r="S3" s="430"/>
      <c r="T3" s="430"/>
      <c r="U3" s="430"/>
      <c r="V3" s="430"/>
      <c r="W3" s="430"/>
      <c r="X3" s="430"/>
      <c r="Y3" s="430"/>
      <c r="Z3" s="430"/>
      <c r="AA3" s="430"/>
      <c r="AB3" s="430"/>
      <c r="AC3" s="430"/>
      <c r="AD3" s="430"/>
      <c r="AE3" s="430"/>
      <c r="AF3" s="430"/>
      <c r="AG3" s="430"/>
      <c r="AH3" s="430"/>
      <c r="AI3" s="430"/>
      <c r="AJ3" s="430"/>
      <c r="AK3" s="430"/>
      <c r="AL3" s="430"/>
      <c r="AM3" s="430"/>
      <c r="AN3" s="430"/>
      <c r="AO3" s="430"/>
      <c r="AP3" s="430"/>
      <c r="AQ3" s="430"/>
      <c r="AR3" s="430"/>
      <c r="AS3" s="430"/>
      <c r="AT3" s="430"/>
      <c r="AU3" s="430"/>
      <c r="AV3" s="430"/>
      <c r="AW3" s="430"/>
      <c r="AX3" s="430"/>
      <c r="AY3" s="430"/>
      <c r="AZ3" s="430"/>
      <c r="BA3" s="430"/>
      <c r="BB3" s="430"/>
      <c r="BC3" s="430"/>
      <c r="BD3" s="430"/>
      <c r="BE3" s="430"/>
      <c r="BF3" s="430"/>
      <c r="BG3" s="430"/>
      <c r="BH3" s="430"/>
      <c r="BI3" s="430"/>
      <c r="BJ3" s="430"/>
      <c r="BK3" s="430"/>
      <c r="BL3" s="430"/>
      <c r="BM3" s="430"/>
      <c r="BN3" s="430"/>
      <c r="BO3" s="430"/>
      <c r="BP3" s="430"/>
      <c r="BQ3" s="430"/>
      <c r="BR3" s="430"/>
      <c r="BS3" s="430"/>
      <c r="BT3" s="430"/>
      <c r="BU3" s="430"/>
      <c r="BV3" s="430"/>
      <c r="BW3" s="430"/>
      <c r="BX3" s="430"/>
      <c r="BY3" s="293"/>
    </row>
    <row r="4" spans="1:77" ht="71.25" customHeight="1" thickBot="1">
      <c r="A4" s="445"/>
      <c r="B4" s="4096" t="s">
        <v>67</v>
      </c>
      <c r="C4" s="4097" t="s">
        <v>63</v>
      </c>
      <c r="D4" s="3996" t="s">
        <v>64</v>
      </c>
      <c r="E4" s="4000" t="s">
        <v>380</v>
      </c>
      <c r="F4" s="3504" t="s">
        <v>420</v>
      </c>
      <c r="G4" s="3646" t="s">
        <v>376</v>
      </c>
      <c r="H4" s="3647"/>
      <c r="I4" s="3647"/>
      <c r="J4" s="3647"/>
      <c r="K4" s="3647"/>
      <c r="L4" s="3648"/>
      <c r="M4" s="4106" t="s">
        <v>390</v>
      </c>
      <c r="N4" s="4106" t="s">
        <v>377</v>
      </c>
      <c r="O4" s="3998" t="s">
        <v>65</v>
      </c>
      <c r="P4" s="293"/>
      <c r="Q4" s="293"/>
      <c r="R4" s="293"/>
      <c r="S4" s="293"/>
      <c r="T4" s="293"/>
      <c r="U4" s="293"/>
      <c r="V4" s="293"/>
      <c r="W4" s="293"/>
      <c r="X4" s="293"/>
      <c r="Y4" s="293"/>
      <c r="Z4" s="293"/>
      <c r="AA4" s="293"/>
      <c r="AB4" s="293"/>
      <c r="AC4" s="293"/>
      <c r="AD4" s="293"/>
      <c r="AE4" s="293"/>
      <c r="AF4" s="293"/>
      <c r="AG4" s="293"/>
      <c r="AH4" s="293"/>
      <c r="AI4" s="293"/>
      <c r="AJ4" s="293"/>
      <c r="AK4" s="293"/>
      <c r="AL4" s="293"/>
      <c r="AM4" s="293"/>
      <c r="AN4" s="293"/>
      <c r="AO4" s="293"/>
      <c r="AP4" s="293"/>
      <c r="AQ4" s="293"/>
      <c r="AR4" s="293"/>
      <c r="AS4" s="293"/>
      <c r="AT4" s="293"/>
      <c r="AU4" s="293"/>
      <c r="AV4" s="293"/>
      <c r="AW4" s="293"/>
      <c r="AX4" s="293"/>
      <c r="AY4" s="293"/>
      <c r="AZ4" s="293"/>
      <c r="BA4" s="293"/>
      <c r="BB4" s="293"/>
      <c r="BC4" s="293"/>
      <c r="BD4" s="293"/>
      <c r="BE4" s="293"/>
      <c r="BF4" s="293"/>
      <c r="BG4" s="293"/>
      <c r="BH4" s="293"/>
      <c r="BI4" s="293"/>
      <c r="BJ4" s="293"/>
      <c r="BK4" s="293"/>
      <c r="BL4" s="293"/>
      <c r="BM4" s="293"/>
      <c r="BN4" s="293"/>
      <c r="BO4" s="293"/>
      <c r="BP4" s="293"/>
      <c r="BQ4" s="293"/>
      <c r="BR4" s="293"/>
      <c r="BS4" s="293"/>
      <c r="BT4" s="293"/>
      <c r="BU4" s="293"/>
      <c r="BV4" s="293"/>
      <c r="BW4" s="293"/>
      <c r="BX4" s="293"/>
      <c r="BY4" s="293"/>
    </row>
    <row r="5" spans="1:77" ht="18" customHeight="1" thickBot="1">
      <c r="A5" s="446"/>
      <c r="B5" s="4096"/>
      <c r="C5" s="4098"/>
      <c r="D5" s="3997"/>
      <c r="E5" s="4001"/>
      <c r="F5" s="3506"/>
      <c r="G5" s="3127" t="s">
        <v>6</v>
      </c>
      <c r="H5" s="295" t="s">
        <v>170</v>
      </c>
      <c r="I5" s="295" t="s">
        <v>171</v>
      </c>
      <c r="J5" s="295" t="s">
        <v>214</v>
      </c>
      <c r="K5" s="295" t="s">
        <v>215</v>
      </c>
      <c r="L5" s="295" t="s">
        <v>216</v>
      </c>
      <c r="M5" s="4107"/>
      <c r="N5" s="4107"/>
      <c r="O5" s="3999"/>
      <c r="P5" s="293"/>
      <c r="Q5" s="293"/>
      <c r="R5" s="293"/>
      <c r="S5" s="293"/>
      <c r="T5" s="293"/>
      <c r="U5" s="293"/>
      <c r="V5" s="293"/>
      <c r="W5" s="293"/>
      <c r="X5" s="293"/>
      <c r="Y5" s="293"/>
      <c r="Z5" s="293"/>
      <c r="AA5" s="293"/>
      <c r="AB5" s="293"/>
      <c r="AC5" s="293"/>
      <c r="AD5" s="293"/>
      <c r="AE5" s="293"/>
      <c r="AF5" s="293"/>
      <c r="AG5" s="293"/>
      <c r="AH5" s="293"/>
      <c r="AI5" s="293"/>
      <c r="AJ5" s="293"/>
      <c r="AK5" s="293"/>
      <c r="AL5" s="293"/>
      <c r="AM5" s="293"/>
      <c r="AN5" s="293"/>
      <c r="AO5" s="293"/>
      <c r="AP5" s="293"/>
      <c r="AQ5" s="293"/>
      <c r="AR5" s="293"/>
      <c r="AS5" s="293"/>
      <c r="AT5" s="293"/>
      <c r="AU5" s="293"/>
      <c r="AV5" s="293"/>
      <c r="AW5" s="293"/>
      <c r="AX5" s="293"/>
      <c r="AY5" s="293"/>
      <c r="AZ5" s="293"/>
      <c r="BA5" s="293"/>
      <c r="BB5" s="293"/>
      <c r="BC5" s="293"/>
      <c r="BD5" s="293"/>
      <c r="BE5" s="293"/>
      <c r="BF5" s="293"/>
      <c r="BG5" s="293"/>
      <c r="BH5" s="293"/>
      <c r="BI5" s="293"/>
      <c r="BJ5" s="293"/>
      <c r="BK5" s="293"/>
      <c r="BL5" s="293"/>
      <c r="BM5" s="293"/>
      <c r="BN5" s="293"/>
      <c r="BO5" s="293"/>
      <c r="BP5" s="293"/>
      <c r="BQ5" s="293"/>
      <c r="BR5" s="293"/>
      <c r="BS5" s="293"/>
      <c r="BT5" s="293"/>
      <c r="BU5" s="293"/>
      <c r="BV5" s="293"/>
      <c r="BW5" s="293"/>
      <c r="BX5" s="293"/>
      <c r="BY5" s="293"/>
    </row>
    <row r="6" spans="1:77" ht="14.25" customHeight="1">
      <c r="A6" s="856">
        <v>1</v>
      </c>
      <c r="B6" s="857">
        <v>2</v>
      </c>
      <c r="C6" s="858" t="s">
        <v>109</v>
      </c>
      <c r="D6" s="858" t="s">
        <v>110</v>
      </c>
      <c r="E6" s="1287">
        <v>5</v>
      </c>
      <c r="F6" s="858">
        <v>6</v>
      </c>
      <c r="G6" s="858">
        <v>7</v>
      </c>
      <c r="H6" s="858">
        <v>8</v>
      </c>
      <c r="I6" s="858">
        <v>9</v>
      </c>
      <c r="J6" s="858">
        <v>10</v>
      </c>
      <c r="K6" s="858">
        <v>11</v>
      </c>
      <c r="L6" s="858">
        <v>12</v>
      </c>
      <c r="M6" s="859">
        <v>13</v>
      </c>
      <c r="N6" s="859">
        <v>13</v>
      </c>
      <c r="O6" s="860">
        <v>14</v>
      </c>
      <c r="P6" s="293"/>
      <c r="Q6" s="293"/>
      <c r="R6" s="293"/>
      <c r="S6" s="293"/>
      <c r="T6" s="293"/>
      <c r="U6" s="293"/>
      <c r="V6" s="293"/>
      <c r="W6" s="293"/>
      <c r="X6" s="293"/>
      <c r="Y6" s="293"/>
      <c r="Z6" s="293"/>
      <c r="AA6" s="293"/>
      <c r="AB6" s="293"/>
      <c r="AC6" s="293"/>
      <c r="AD6" s="293"/>
      <c r="AE6" s="293"/>
      <c r="AF6" s="293"/>
      <c r="AG6" s="293"/>
      <c r="AH6" s="293"/>
      <c r="AI6" s="293"/>
      <c r="AJ6" s="293"/>
      <c r="AK6" s="293"/>
      <c r="AL6" s="293"/>
      <c r="AM6" s="293"/>
      <c r="AN6" s="293"/>
      <c r="AO6" s="293"/>
      <c r="AP6" s="293"/>
      <c r="AQ6" s="293"/>
      <c r="AR6" s="293"/>
      <c r="AS6" s="293"/>
      <c r="AT6" s="293"/>
      <c r="AU6" s="293"/>
      <c r="AV6" s="293"/>
      <c r="AW6" s="293"/>
      <c r="AX6" s="293"/>
      <c r="AY6" s="293"/>
      <c r="AZ6" s="293"/>
      <c r="BA6" s="293"/>
      <c r="BB6" s="293"/>
      <c r="BC6" s="293"/>
      <c r="BD6" s="293"/>
      <c r="BE6" s="293"/>
      <c r="BF6" s="293"/>
      <c r="BG6" s="293"/>
      <c r="BH6" s="293"/>
      <c r="BI6" s="293"/>
      <c r="BJ6" s="293"/>
      <c r="BK6" s="293"/>
      <c r="BL6" s="293"/>
      <c r="BM6" s="293"/>
      <c r="BN6" s="293"/>
      <c r="BO6" s="293"/>
      <c r="BP6" s="293"/>
      <c r="BQ6" s="293"/>
      <c r="BR6" s="293"/>
      <c r="BS6" s="293"/>
      <c r="BT6" s="293"/>
      <c r="BU6" s="293"/>
      <c r="BV6" s="293"/>
      <c r="BW6" s="293"/>
      <c r="BX6" s="293"/>
      <c r="BY6" s="293"/>
    </row>
    <row r="7" spans="1:77" ht="14.25" customHeight="1">
      <c r="A7" s="577"/>
      <c r="B7" s="2788" t="s">
        <v>68</v>
      </c>
      <c r="C7" s="2789"/>
      <c r="D7" s="2790">
        <f>+D9+D8</f>
        <v>133145158</v>
      </c>
      <c r="E7" s="2790">
        <f t="shared" ref="E7:L7" si="0">+E9+E8</f>
        <v>474568</v>
      </c>
      <c r="F7" s="2790">
        <f t="shared" si="0"/>
        <v>5274823</v>
      </c>
      <c r="G7" s="2790">
        <f t="shared" si="0"/>
        <v>14580273</v>
      </c>
      <c r="H7" s="2790">
        <f t="shared" si="0"/>
        <v>64253930</v>
      </c>
      <c r="I7" s="2790">
        <f t="shared" si="0"/>
        <v>30232378</v>
      </c>
      <c r="J7" s="2790">
        <f>+J9+J8</f>
        <v>16856941</v>
      </c>
      <c r="K7" s="2790">
        <f t="shared" si="0"/>
        <v>1472245</v>
      </c>
      <c r="L7" s="2790">
        <f t="shared" si="0"/>
        <v>0</v>
      </c>
      <c r="M7" s="145">
        <f>+M9+M8</f>
        <v>96513253</v>
      </c>
      <c r="N7" s="145">
        <f t="shared" ref="N7" si="1">+N9</f>
        <v>115025118</v>
      </c>
      <c r="O7" s="447"/>
      <c r="P7" s="293"/>
      <c r="Q7" s="174">
        <f>+F7+G7</f>
        <v>19855096</v>
      </c>
      <c r="R7" s="293"/>
      <c r="S7" s="293"/>
      <c r="T7" s="293"/>
      <c r="U7" s="293"/>
      <c r="V7" s="293"/>
      <c r="W7" s="293"/>
      <c r="X7" s="293"/>
      <c r="Y7" s="293"/>
      <c r="Z7" s="293"/>
      <c r="AA7" s="293"/>
      <c r="AB7" s="293"/>
      <c r="AC7" s="293"/>
      <c r="AD7" s="293"/>
      <c r="AE7" s="293"/>
      <c r="AF7" s="293"/>
      <c r="AG7" s="293"/>
      <c r="AH7" s="293"/>
      <c r="AI7" s="293"/>
      <c r="AJ7" s="293"/>
      <c r="AK7" s="293"/>
      <c r="AL7" s="293"/>
      <c r="AM7" s="293"/>
      <c r="AN7" s="293"/>
      <c r="AO7" s="293"/>
      <c r="AP7" s="293"/>
      <c r="AQ7" s="293"/>
      <c r="AR7" s="293"/>
      <c r="AS7" s="293"/>
      <c r="AT7" s="293"/>
      <c r="AU7" s="293"/>
      <c r="AV7" s="293"/>
      <c r="AW7" s="293"/>
      <c r="AX7" s="293"/>
      <c r="AY7" s="293"/>
      <c r="AZ7" s="293"/>
      <c r="BA7" s="293"/>
      <c r="BB7" s="293"/>
      <c r="BC7" s="293"/>
      <c r="BD7" s="293"/>
      <c r="BE7" s="293"/>
      <c r="BF7" s="293"/>
      <c r="BG7" s="293"/>
      <c r="BH7" s="293"/>
      <c r="BI7" s="293"/>
      <c r="BJ7" s="293"/>
      <c r="BK7" s="293"/>
      <c r="BL7" s="293"/>
      <c r="BM7" s="293"/>
      <c r="BN7" s="293"/>
      <c r="BO7" s="293"/>
      <c r="BP7" s="293"/>
      <c r="BQ7" s="293"/>
      <c r="BR7" s="293"/>
      <c r="BS7" s="293"/>
      <c r="BT7" s="293"/>
      <c r="BU7" s="293"/>
      <c r="BV7" s="293"/>
      <c r="BW7" s="293"/>
      <c r="BX7" s="293"/>
      <c r="BY7" s="293"/>
    </row>
    <row r="8" spans="1:77" ht="14.25" customHeight="1">
      <c r="A8" s="577"/>
      <c r="B8" s="2791" t="s">
        <v>69</v>
      </c>
      <c r="C8" s="2792"/>
      <c r="D8" s="207">
        <f>D35+D159+D70</f>
        <v>13331341</v>
      </c>
      <c r="E8" s="207">
        <f t="shared" ref="E8:L8" si="2">E35+E159+E70</f>
        <v>0</v>
      </c>
      <c r="F8" s="207">
        <f t="shared" si="2"/>
        <v>4099273</v>
      </c>
      <c r="G8" s="207">
        <f t="shared" si="2"/>
        <v>6849872</v>
      </c>
      <c r="H8" s="207">
        <f t="shared" si="2"/>
        <v>2024663</v>
      </c>
      <c r="I8" s="207">
        <f t="shared" si="2"/>
        <v>356812</v>
      </c>
      <c r="J8" s="207">
        <f>J35+J159+J70</f>
        <v>721</v>
      </c>
      <c r="K8" s="207">
        <f t="shared" si="2"/>
        <v>0</v>
      </c>
      <c r="L8" s="207">
        <f t="shared" si="2"/>
        <v>0</v>
      </c>
      <c r="M8" s="1649">
        <f t="shared" ref="M8" si="3">M35+M159</f>
        <v>13238150</v>
      </c>
      <c r="N8" s="18">
        <v>0</v>
      </c>
      <c r="O8" s="447"/>
      <c r="P8" s="293"/>
      <c r="Q8" s="293"/>
      <c r="R8" s="293"/>
      <c r="S8" s="293"/>
      <c r="T8" s="293"/>
      <c r="U8" s="293"/>
      <c r="V8" s="293"/>
      <c r="W8" s="293"/>
      <c r="X8" s="293"/>
      <c r="Y8" s="293"/>
      <c r="Z8" s="293"/>
      <c r="AA8" s="293"/>
      <c r="AB8" s="293"/>
      <c r="AC8" s="293"/>
      <c r="AD8" s="293"/>
      <c r="AE8" s="293"/>
      <c r="AF8" s="293"/>
      <c r="AG8" s="293"/>
      <c r="AH8" s="293"/>
      <c r="AI8" s="293"/>
      <c r="AJ8" s="293"/>
      <c r="AK8" s="293"/>
      <c r="AL8" s="293"/>
      <c r="AM8" s="293"/>
      <c r="AN8" s="293"/>
      <c r="AO8" s="293"/>
      <c r="AP8" s="293"/>
      <c r="AQ8" s="293"/>
      <c r="AR8" s="293"/>
      <c r="AS8" s="293"/>
      <c r="AT8" s="293"/>
      <c r="AU8" s="293"/>
      <c r="AV8" s="293"/>
      <c r="AW8" s="293"/>
      <c r="AX8" s="293"/>
      <c r="AY8" s="293"/>
      <c r="AZ8" s="293"/>
      <c r="BA8" s="293"/>
      <c r="BB8" s="293"/>
      <c r="BC8" s="293"/>
      <c r="BD8" s="293"/>
      <c r="BE8" s="293"/>
      <c r="BF8" s="293"/>
      <c r="BG8" s="293"/>
      <c r="BH8" s="293"/>
      <c r="BI8" s="293"/>
      <c r="BJ8" s="293"/>
      <c r="BK8" s="293"/>
      <c r="BL8" s="293"/>
      <c r="BM8" s="293"/>
      <c r="BN8" s="293"/>
      <c r="BO8" s="293"/>
      <c r="BP8" s="293"/>
      <c r="BQ8" s="293"/>
      <c r="BR8" s="293"/>
      <c r="BS8" s="293"/>
      <c r="BT8" s="293"/>
      <c r="BU8" s="293"/>
      <c r="BV8" s="293"/>
      <c r="BW8" s="293"/>
      <c r="BX8" s="293"/>
      <c r="BY8" s="293"/>
    </row>
    <row r="9" spans="1:77" ht="14.25" customHeight="1" thickBot="1">
      <c r="A9" s="577"/>
      <c r="B9" s="2793" t="s">
        <v>9</v>
      </c>
      <c r="C9" s="2794"/>
      <c r="D9" s="217">
        <f>+D26+D47+D58+D83+D109+D121+D133+D145+D171+D95</f>
        <v>119813817</v>
      </c>
      <c r="E9" s="217">
        <f t="shared" ref="E9:L9" si="4">+E26+E47+E58+E83+E109+E121+E133+E145+E171+E95</f>
        <v>474568</v>
      </c>
      <c r="F9" s="217">
        <f t="shared" si="4"/>
        <v>1175550</v>
      </c>
      <c r="G9" s="217">
        <f t="shared" si="4"/>
        <v>7730401</v>
      </c>
      <c r="H9" s="217">
        <f t="shared" si="4"/>
        <v>62229267</v>
      </c>
      <c r="I9" s="217">
        <f t="shared" si="4"/>
        <v>29875566</v>
      </c>
      <c r="J9" s="217">
        <f t="shared" si="4"/>
        <v>16856220</v>
      </c>
      <c r="K9" s="217">
        <f t="shared" si="4"/>
        <v>1472245</v>
      </c>
      <c r="L9" s="217">
        <f t="shared" si="4"/>
        <v>0</v>
      </c>
      <c r="M9" s="147">
        <f t="shared" ref="M9" si="5">+M26+M47+M58+M70+M83+M109+M121+M133+M145+M171</f>
        <v>83275103</v>
      </c>
      <c r="N9" s="147">
        <f>+N26+N47+N58+N70+N83+N109</f>
        <v>115025118</v>
      </c>
      <c r="O9" s="447"/>
      <c r="P9" s="293"/>
      <c r="Q9" s="293"/>
      <c r="R9" s="293"/>
      <c r="S9" s="293"/>
      <c r="T9" s="293"/>
      <c r="U9" s="293"/>
      <c r="V9" s="293"/>
      <c r="W9" s="293"/>
      <c r="X9" s="293"/>
      <c r="Y9" s="293"/>
      <c r="Z9" s="293"/>
      <c r="AA9" s="293"/>
      <c r="AB9" s="293"/>
      <c r="AC9" s="293"/>
      <c r="AD9" s="293"/>
      <c r="AE9" s="293"/>
      <c r="AF9" s="293"/>
      <c r="AG9" s="293"/>
      <c r="AH9" s="293"/>
      <c r="AI9" s="293"/>
      <c r="AJ9" s="293"/>
      <c r="AK9" s="293"/>
      <c r="AL9" s="293"/>
      <c r="AM9" s="293"/>
      <c r="AN9" s="293"/>
      <c r="AO9" s="293"/>
      <c r="AP9" s="293"/>
      <c r="AQ9" s="293"/>
      <c r="AR9" s="293"/>
      <c r="AS9" s="293"/>
      <c r="AT9" s="293"/>
      <c r="AU9" s="293"/>
      <c r="AV9" s="293"/>
      <c r="AW9" s="293"/>
      <c r="AX9" s="293"/>
      <c r="AY9" s="293"/>
      <c r="AZ9" s="293"/>
      <c r="BA9" s="293"/>
      <c r="BB9" s="293"/>
      <c r="BC9" s="293"/>
      <c r="BD9" s="293"/>
      <c r="BE9" s="293"/>
      <c r="BF9" s="293"/>
      <c r="BG9" s="293"/>
      <c r="BH9" s="293"/>
      <c r="BI9" s="293"/>
      <c r="BJ9" s="293"/>
      <c r="BK9" s="293"/>
      <c r="BL9" s="293"/>
      <c r="BM9" s="293"/>
      <c r="BN9" s="293"/>
      <c r="BO9" s="293"/>
      <c r="BP9" s="293"/>
      <c r="BQ9" s="293"/>
      <c r="BR9" s="293"/>
      <c r="BS9" s="293"/>
      <c r="BT9" s="293"/>
      <c r="BU9" s="293"/>
      <c r="BV9" s="293"/>
      <c r="BW9" s="293"/>
      <c r="BX9" s="293"/>
      <c r="BY9" s="293"/>
    </row>
    <row r="10" spans="1:77" s="470" customFormat="1" ht="12">
      <c r="A10" s="577"/>
      <c r="B10" s="1199" t="s">
        <v>10</v>
      </c>
      <c r="C10" s="1199"/>
      <c r="D10" s="1198">
        <f>+D11+D15</f>
        <v>249393701</v>
      </c>
      <c r="E10" s="1198">
        <f t="shared" ref="E10" si="6">+E11+E15</f>
        <v>1016201</v>
      </c>
      <c r="F10" s="1198">
        <f t="shared" ref="F10:L10" si="7">+F11+F15</f>
        <v>5356113</v>
      </c>
      <c r="G10" s="1198">
        <f t="shared" si="7"/>
        <v>21150918</v>
      </c>
      <c r="H10" s="1198">
        <f t="shared" si="7"/>
        <v>99156698</v>
      </c>
      <c r="I10" s="1198">
        <f t="shared" si="7"/>
        <v>77947477</v>
      </c>
      <c r="J10" s="1198">
        <f t="shared" si="7"/>
        <v>33201433</v>
      </c>
      <c r="K10" s="1198">
        <f t="shared" si="7"/>
        <v>11564745</v>
      </c>
      <c r="L10" s="1198">
        <f t="shared" si="7"/>
        <v>0</v>
      </c>
      <c r="M10" s="340">
        <f>+M11</f>
        <v>132670590</v>
      </c>
      <c r="N10" s="340">
        <f>+N11</f>
        <v>127395767</v>
      </c>
      <c r="O10" s="4099"/>
      <c r="P10" s="293"/>
      <c r="Q10" s="174"/>
      <c r="R10" s="174">
        <f>+D24+D44+D56+D68+D80+D106</f>
        <v>221640688</v>
      </c>
      <c r="S10" s="293"/>
      <c r="T10" s="293"/>
      <c r="U10" s="293"/>
      <c r="V10" s="293"/>
      <c r="W10" s="293"/>
      <c r="X10" s="293"/>
      <c r="Y10" s="293"/>
      <c r="Z10" s="293"/>
      <c r="AA10" s="293"/>
      <c r="AB10" s="293"/>
      <c r="AC10" s="293"/>
      <c r="AD10" s="293"/>
      <c r="AE10" s="293"/>
      <c r="AF10" s="293"/>
      <c r="AG10" s="293"/>
      <c r="AH10" s="293"/>
      <c r="AI10" s="293"/>
      <c r="AJ10" s="293"/>
      <c r="AK10" s="293"/>
      <c r="AL10" s="293"/>
      <c r="AM10" s="293"/>
      <c r="AN10" s="293"/>
      <c r="AO10" s="293"/>
      <c r="AP10" s="293"/>
      <c r="AQ10" s="293"/>
      <c r="AR10" s="293"/>
      <c r="AS10" s="293"/>
      <c r="AT10" s="293"/>
      <c r="AU10" s="293"/>
      <c r="AV10" s="293"/>
      <c r="AW10" s="293"/>
      <c r="AX10" s="293"/>
      <c r="AY10" s="293"/>
      <c r="AZ10" s="293"/>
      <c r="BA10" s="293"/>
      <c r="BB10" s="293"/>
      <c r="BC10" s="293"/>
      <c r="BD10" s="293"/>
      <c r="BE10" s="293"/>
      <c r="BF10" s="293"/>
      <c r="BG10" s="293"/>
      <c r="BH10" s="293"/>
      <c r="BI10" s="293"/>
      <c r="BJ10" s="293"/>
      <c r="BK10" s="293"/>
      <c r="BL10" s="293"/>
      <c r="BM10" s="293"/>
      <c r="BN10" s="293"/>
      <c r="BO10" s="293"/>
      <c r="BP10" s="293"/>
      <c r="BQ10" s="293"/>
      <c r="BR10" s="293"/>
      <c r="BS10" s="293"/>
      <c r="BT10" s="293"/>
      <c r="BU10" s="293"/>
      <c r="BV10" s="293"/>
      <c r="BW10" s="293"/>
      <c r="BX10" s="293"/>
      <c r="BY10" s="293"/>
    </row>
    <row r="11" spans="1:77" s="470" customFormat="1" ht="14.1" customHeight="1">
      <c r="A11" s="577"/>
      <c r="B11" s="2795" t="s">
        <v>11</v>
      </c>
      <c r="C11" s="4101" t="s">
        <v>53</v>
      </c>
      <c r="D11" s="2796">
        <f>+D12+D13+D14</f>
        <v>134023122</v>
      </c>
      <c r="E11" s="2796">
        <f t="shared" ref="E11:L11" si="8">+E12+E13+E14</f>
        <v>491301</v>
      </c>
      <c r="F11" s="2796">
        <f>+F12+F13+F14</f>
        <v>5320081</v>
      </c>
      <c r="G11" s="2796">
        <f>+G12+G13+G14</f>
        <v>14773165</v>
      </c>
      <c r="H11" s="2796">
        <f t="shared" si="8"/>
        <v>64876895</v>
      </c>
      <c r="I11" s="2796">
        <f t="shared" si="8"/>
        <v>30232378</v>
      </c>
      <c r="J11" s="2796">
        <f t="shared" si="8"/>
        <v>16856941</v>
      </c>
      <c r="K11" s="2796">
        <f t="shared" si="8"/>
        <v>1472245</v>
      </c>
      <c r="L11" s="2796">
        <f t="shared" si="8"/>
        <v>0</v>
      </c>
      <c r="M11" s="2797">
        <f>+M13</f>
        <v>132670590</v>
      </c>
      <c r="N11" s="2797">
        <f>+N13</f>
        <v>127395767</v>
      </c>
      <c r="O11" s="4099"/>
      <c r="P11" s="293"/>
      <c r="Q11" s="174"/>
      <c r="R11" s="174">
        <f>+R10-D10</f>
        <v>-27753013</v>
      </c>
      <c r="S11" s="293"/>
      <c r="T11" s="293"/>
      <c r="U11" s="293"/>
      <c r="V11" s="293"/>
      <c r="W11" s="293"/>
      <c r="X11" s="293"/>
      <c r="Y11" s="293"/>
      <c r="Z11" s="293"/>
      <c r="AA11" s="293"/>
      <c r="AB11" s="293"/>
      <c r="AC11" s="293"/>
      <c r="AD11" s="293"/>
      <c r="AE11" s="293"/>
      <c r="AF11" s="293"/>
      <c r="AG11" s="293"/>
      <c r="AH11" s="293"/>
      <c r="AI11" s="293"/>
      <c r="AJ11" s="293"/>
      <c r="AK11" s="293"/>
      <c r="AL11" s="293"/>
      <c r="AM11" s="293"/>
      <c r="AN11" s="293"/>
      <c r="AO11" s="293"/>
      <c r="AP11" s="293"/>
      <c r="AQ11" s="293"/>
      <c r="AR11" s="293"/>
      <c r="AS11" s="293"/>
      <c r="AT11" s="293"/>
      <c r="AU11" s="293"/>
      <c r="AV11" s="293"/>
      <c r="AW11" s="293"/>
      <c r="AX11" s="293"/>
      <c r="AY11" s="293"/>
      <c r="AZ11" s="293"/>
      <c r="BA11" s="293"/>
      <c r="BB11" s="293"/>
      <c r="BC11" s="293"/>
      <c r="BD11" s="293"/>
      <c r="BE11" s="293"/>
      <c r="BF11" s="293"/>
      <c r="BG11" s="293"/>
      <c r="BH11" s="293"/>
      <c r="BI11" s="293"/>
      <c r="BJ11" s="293"/>
      <c r="BK11" s="293"/>
      <c r="BL11" s="293"/>
      <c r="BM11" s="293"/>
      <c r="BN11" s="293"/>
      <c r="BO11" s="293"/>
      <c r="BP11" s="293"/>
      <c r="BQ11" s="293"/>
      <c r="BR11" s="293"/>
      <c r="BS11" s="293"/>
      <c r="BT11" s="293"/>
      <c r="BU11" s="293"/>
      <c r="BV11" s="293"/>
      <c r="BW11" s="293"/>
      <c r="BX11" s="293"/>
      <c r="BY11" s="293"/>
    </row>
    <row r="12" spans="1:77" s="470" customFormat="1" ht="12">
      <c r="A12" s="577"/>
      <c r="B12" s="2798" t="s">
        <v>31</v>
      </c>
      <c r="C12" s="4101"/>
      <c r="D12" s="2799">
        <f>D144+D158+D170+D120+D108+D94+D71+D82</f>
        <v>145381</v>
      </c>
      <c r="E12" s="2799">
        <f t="shared" ref="E12:L12" si="9">E144+E158+E170+E120+E108+E94</f>
        <v>16733</v>
      </c>
      <c r="F12" s="2799">
        <f t="shared" si="9"/>
        <v>40908</v>
      </c>
      <c r="G12" s="2799">
        <f t="shared" si="9"/>
        <v>47624</v>
      </c>
      <c r="H12" s="2799">
        <f t="shared" si="9"/>
        <v>40000</v>
      </c>
      <c r="I12" s="2799">
        <f t="shared" si="9"/>
        <v>0</v>
      </c>
      <c r="J12" s="2799">
        <f t="shared" si="9"/>
        <v>0</v>
      </c>
      <c r="K12" s="2799">
        <f t="shared" si="9"/>
        <v>0</v>
      </c>
      <c r="L12" s="2799">
        <f t="shared" si="9"/>
        <v>0</v>
      </c>
      <c r="M12" s="2800" t="s">
        <v>53</v>
      </c>
      <c r="N12" s="2800" t="s">
        <v>53</v>
      </c>
      <c r="O12" s="4099"/>
      <c r="P12" s="293"/>
      <c r="Q12" s="174"/>
      <c r="R12" s="293"/>
      <c r="S12" s="293"/>
      <c r="T12" s="293"/>
      <c r="U12" s="293"/>
      <c r="V12" s="293"/>
      <c r="W12" s="293"/>
      <c r="X12" s="293"/>
      <c r="Y12" s="293"/>
      <c r="Z12" s="293"/>
      <c r="AA12" s="293"/>
      <c r="AB12" s="293"/>
      <c r="AC12" s="293"/>
      <c r="AD12" s="293"/>
      <c r="AE12" s="293"/>
      <c r="AF12" s="293"/>
      <c r="AG12" s="293"/>
      <c r="AH12" s="293"/>
      <c r="AI12" s="293"/>
      <c r="AJ12" s="293"/>
      <c r="AK12" s="293"/>
      <c r="AL12" s="293"/>
      <c r="AM12" s="293"/>
      <c r="AN12" s="293"/>
      <c r="AO12" s="293"/>
      <c r="AP12" s="293"/>
      <c r="AQ12" s="293"/>
      <c r="AR12" s="293"/>
      <c r="AS12" s="293"/>
      <c r="AT12" s="293"/>
      <c r="AU12" s="293"/>
      <c r="AV12" s="293"/>
      <c r="AW12" s="293"/>
      <c r="AX12" s="293"/>
      <c r="AY12" s="293"/>
      <c r="AZ12" s="293"/>
      <c r="BA12" s="293"/>
      <c r="BB12" s="293"/>
      <c r="BC12" s="293"/>
      <c r="BD12" s="293"/>
      <c r="BE12" s="293"/>
      <c r="BF12" s="293"/>
      <c r="BG12" s="293"/>
      <c r="BH12" s="293"/>
      <c r="BI12" s="293"/>
      <c r="BJ12" s="293"/>
      <c r="BK12" s="293"/>
      <c r="BL12" s="293"/>
      <c r="BM12" s="293"/>
      <c r="BN12" s="293"/>
      <c r="BO12" s="293"/>
      <c r="BP12" s="293"/>
      <c r="BQ12" s="293"/>
      <c r="BR12" s="293"/>
      <c r="BS12" s="293"/>
      <c r="BT12" s="293"/>
      <c r="BU12" s="293"/>
      <c r="BV12" s="293"/>
      <c r="BW12" s="293"/>
      <c r="BX12" s="293"/>
      <c r="BY12" s="293"/>
    </row>
    <row r="13" spans="1:77" s="470" customFormat="1" ht="12">
      <c r="A13" s="577"/>
      <c r="B13" s="2798" t="s">
        <v>148</v>
      </c>
      <c r="C13" s="4101"/>
      <c r="D13" s="2799">
        <f>+D26+D47+D58+D70+D109+D83+D121+D133+D35+D145+D159+D171+D95</f>
        <v>133145158</v>
      </c>
      <c r="E13" s="2799">
        <f t="shared" ref="E13:L13" si="10">+E26+E47+E58+E70+E109+E83+E121+E133+E35+E145+E159+E171+E95</f>
        <v>474568</v>
      </c>
      <c r="F13" s="2799">
        <f t="shared" si="10"/>
        <v>5274823</v>
      </c>
      <c r="G13" s="2799">
        <f>+G26+G47+G58+G70+G109+G83+G121+G133+G35+G145+G159+G171+G95</f>
        <v>14580273</v>
      </c>
      <c r="H13" s="2799">
        <f>+H26+H47+H58+H70+H109+H83+H121+H133+H35+H145+H159+H171+H95</f>
        <v>64253930</v>
      </c>
      <c r="I13" s="2799">
        <f t="shared" si="10"/>
        <v>30232378</v>
      </c>
      <c r="J13" s="2799">
        <f>+J26+J47+J58+J70+J109+J83+J121+J133+J35+J145+J159+J171+J95</f>
        <v>16856941</v>
      </c>
      <c r="K13" s="2799">
        <f t="shared" si="10"/>
        <v>1472245</v>
      </c>
      <c r="L13" s="2799">
        <f t="shared" si="10"/>
        <v>0</v>
      </c>
      <c r="M13" s="448">
        <f>SUM(F13:L13)</f>
        <v>132670590</v>
      </c>
      <c r="N13" s="448">
        <f>SUM(G13:L13)</f>
        <v>127395767</v>
      </c>
      <c r="O13" s="4099"/>
      <c r="P13" s="293"/>
      <c r="Q13" s="174"/>
      <c r="R13" s="174"/>
      <c r="S13" s="293"/>
      <c r="T13" s="293"/>
      <c r="U13" s="293"/>
      <c r="V13" s="293"/>
      <c r="W13" s="293"/>
      <c r="X13" s="293"/>
      <c r="Y13" s="293"/>
      <c r="Z13" s="293"/>
      <c r="AA13" s="293"/>
      <c r="AB13" s="293"/>
      <c r="AC13" s="293"/>
      <c r="AD13" s="293"/>
      <c r="AE13" s="293"/>
      <c r="AF13" s="293"/>
      <c r="AG13" s="293"/>
      <c r="AH13" s="293"/>
      <c r="AI13" s="293"/>
      <c r="AJ13" s="293"/>
      <c r="AK13" s="293"/>
      <c r="AL13" s="293"/>
      <c r="AM13" s="293"/>
      <c r="AN13" s="293"/>
      <c r="AO13" s="293"/>
      <c r="AP13" s="293"/>
      <c r="AQ13" s="293"/>
      <c r="AR13" s="293"/>
      <c r="AS13" s="293"/>
      <c r="AT13" s="293"/>
      <c r="AU13" s="293"/>
      <c r="AV13" s="293"/>
      <c r="AW13" s="293"/>
      <c r="AX13" s="293"/>
      <c r="AY13" s="293"/>
      <c r="AZ13" s="293"/>
      <c r="BA13" s="293"/>
      <c r="BB13" s="293"/>
      <c r="BC13" s="293"/>
      <c r="BD13" s="293"/>
      <c r="BE13" s="293"/>
      <c r="BF13" s="293"/>
      <c r="BG13" s="293"/>
      <c r="BH13" s="293"/>
      <c r="BI13" s="293"/>
      <c r="BJ13" s="293"/>
      <c r="BK13" s="293"/>
      <c r="BL13" s="293"/>
      <c r="BM13" s="293"/>
      <c r="BN13" s="293"/>
      <c r="BO13" s="293"/>
      <c r="BP13" s="293"/>
      <c r="BQ13" s="293"/>
      <c r="BR13" s="293"/>
      <c r="BS13" s="293"/>
      <c r="BT13" s="293"/>
      <c r="BU13" s="293"/>
      <c r="BV13" s="293"/>
      <c r="BW13" s="293"/>
      <c r="BX13" s="293"/>
      <c r="BY13" s="293"/>
    </row>
    <row r="14" spans="1:77" s="470" customFormat="1" ht="12">
      <c r="A14" s="577"/>
      <c r="B14" s="2731" t="s">
        <v>397</v>
      </c>
      <c r="C14" s="4102"/>
      <c r="D14" s="2732">
        <f>D146+D96</f>
        <v>732583</v>
      </c>
      <c r="E14" s="2732">
        <f t="shared" ref="E14:L14" si="11">E146+E96</f>
        <v>0</v>
      </c>
      <c r="F14" s="2732">
        <f t="shared" si="11"/>
        <v>4350</v>
      </c>
      <c r="G14" s="2732">
        <f t="shared" si="11"/>
        <v>145268</v>
      </c>
      <c r="H14" s="2732">
        <f t="shared" si="11"/>
        <v>582965</v>
      </c>
      <c r="I14" s="2732">
        <f t="shared" si="11"/>
        <v>0</v>
      </c>
      <c r="J14" s="2732">
        <f t="shared" si="11"/>
        <v>0</v>
      </c>
      <c r="K14" s="2732">
        <f t="shared" si="11"/>
        <v>0</v>
      </c>
      <c r="L14" s="2732">
        <f t="shared" si="11"/>
        <v>0</v>
      </c>
      <c r="M14" s="1451"/>
      <c r="N14" s="1451"/>
      <c r="O14" s="4099"/>
      <c r="P14" s="293"/>
      <c r="Q14" s="174"/>
      <c r="R14" s="174"/>
      <c r="S14" s="293"/>
      <c r="T14" s="293"/>
      <c r="U14" s="293"/>
      <c r="V14" s="293"/>
      <c r="W14" s="293"/>
      <c r="X14" s="293"/>
      <c r="Y14" s="293"/>
      <c r="Z14" s="293"/>
      <c r="AA14" s="293"/>
      <c r="AB14" s="293"/>
      <c r="AC14" s="293"/>
      <c r="AD14" s="293"/>
      <c r="AE14" s="293"/>
      <c r="AF14" s="293"/>
      <c r="AG14" s="293"/>
      <c r="AH14" s="293"/>
      <c r="AI14" s="293"/>
      <c r="AJ14" s="293"/>
      <c r="AK14" s="293"/>
      <c r="AL14" s="293"/>
      <c r="AM14" s="293"/>
      <c r="AN14" s="293"/>
      <c r="AO14" s="293"/>
      <c r="AP14" s="293"/>
      <c r="AQ14" s="293"/>
      <c r="AR14" s="293"/>
      <c r="AS14" s="293"/>
      <c r="AT14" s="293"/>
      <c r="AU14" s="293"/>
      <c r="AV14" s="293"/>
      <c r="AW14" s="293"/>
      <c r="AX14" s="293"/>
      <c r="AY14" s="293"/>
      <c r="AZ14" s="293"/>
      <c r="BA14" s="293"/>
      <c r="BB14" s="293"/>
      <c r="BC14" s="293"/>
      <c r="BD14" s="293"/>
      <c r="BE14" s="293"/>
      <c r="BF14" s="293"/>
      <c r="BG14" s="293"/>
      <c r="BH14" s="293"/>
      <c r="BI14" s="293"/>
      <c r="BJ14" s="293"/>
      <c r="BK14" s="293"/>
      <c r="BL14" s="293"/>
      <c r="BM14" s="293"/>
      <c r="BN14" s="293"/>
      <c r="BO14" s="293"/>
      <c r="BP14" s="293"/>
      <c r="BQ14" s="293"/>
      <c r="BR14" s="293"/>
      <c r="BS14" s="293"/>
      <c r="BT14" s="293"/>
      <c r="BU14" s="293"/>
      <c r="BV14" s="293"/>
      <c r="BW14" s="293"/>
      <c r="BX14" s="293"/>
      <c r="BY14" s="293"/>
    </row>
    <row r="15" spans="1:77" s="470" customFormat="1" ht="12">
      <c r="A15" s="577"/>
      <c r="B15" s="2795" t="s">
        <v>18</v>
      </c>
      <c r="C15" s="4101"/>
      <c r="D15" s="2796">
        <f>+D16</f>
        <v>115370579</v>
      </c>
      <c r="E15" s="2796">
        <f t="shared" ref="E15:L15" si="12">+E16</f>
        <v>524900</v>
      </c>
      <c r="F15" s="2796">
        <f t="shared" si="12"/>
        <v>36032</v>
      </c>
      <c r="G15" s="2796">
        <f t="shared" si="12"/>
        <v>6377753</v>
      </c>
      <c r="H15" s="2796">
        <f t="shared" si="12"/>
        <v>34279803</v>
      </c>
      <c r="I15" s="2796">
        <f t="shared" si="12"/>
        <v>47715099</v>
      </c>
      <c r="J15" s="2796">
        <f t="shared" si="12"/>
        <v>16344492</v>
      </c>
      <c r="K15" s="2796">
        <f t="shared" si="12"/>
        <v>10092500</v>
      </c>
      <c r="L15" s="2796">
        <f t="shared" si="12"/>
        <v>0</v>
      </c>
      <c r="M15" s="2801" t="str">
        <f>+M16</f>
        <v>x</v>
      </c>
      <c r="N15" s="2801" t="str">
        <f>+N16</f>
        <v>x</v>
      </c>
      <c r="O15" s="4099"/>
      <c r="P15" s="293"/>
      <c r="Q15" s="174"/>
      <c r="R15" s="293"/>
      <c r="S15" s="293"/>
      <c r="T15" s="293"/>
      <c r="U15" s="293"/>
      <c r="V15" s="293"/>
      <c r="W15" s="293"/>
      <c r="X15" s="293"/>
      <c r="Y15" s="293"/>
      <c r="Z15" s="293"/>
      <c r="AA15" s="293"/>
      <c r="AB15" s="293"/>
      <c r="AC15" s="293"/>
      <c r="AD15" s="293"/>
      <c r="AE15" s="293"/>
      <c r="AF15" s="293"/>
      <c r="AG15" s="293"/>
      <c r="AH15" s="293"/>
      <c r="AI15" s="293"/>
      <c r="AJ15" s="293"/>
      <c r="AK15" s="293"/>
      <c r="AL15" s="293"/>
      <c r="AM15" s="293"/>
      <c r="AN15" s="293"/>
      <c r="AO15" s="293"/>
      <c r="AP15" s="293"/>
      <c r="AQ15" s="293"/>
      <c r="AR15" s="293"/>
      <c r="AS15" s="293"/>
      <c r="AT15" s="293"/>
      <c r="AU15" s="293"/>
      <c r="AV15" s="293"/>
      <c r="AW15" s="293"/>
      <c r="AX15" s="293"/>
      <c r="AY15" s="293"/>
      <c r="AZ15" s="293"/>
      <c r="BA15" s="293"/>
      <c r="BB15" s="293"/>
      <c r="BC15" s="293"/>
      <c r="BD15" s="293"/>
      <c r="BE15" s="293"/>
      <c r="BF15" s="293"/>
      <c r="BG15" s="293"/>
      <c r="BH15" s="293"/>
      <c r="BI15" s="293"/>
      <c r="BJ15" s="293"/>
      <c r="BK15" s="293"/>
      <c r="BL15" s="293"/>
      <c r="BM15" s="293"/>
      <c r="BN15" s="293"/>
      <c r="BO15" s="293"/>
      <c r="BP15" s="293"/>
      <c r="BQ15" s="293"/>
      <c r="BR15" s="293"/>
      <c r="BS15" s="293"/>
      <c r="BT15" s="293"/>
      <c r="BU15" s="293"/>
      <c r="BV15" s="293"/>
      <c r="BW15" s="293"/>
      <c r="BX15" s="293"/>
      <c r="BY15" s="293"/>
    </row>
    <row r="16" spans="1:77" s="470" customFormat="1" ht="12">
      <c r="A16" s="577"/>
      <c r="B16" s="2802" t="s">
        <v>34</v>
      </c>
      <c r="C16" s="4101"/>
      <c r="D16" s="2799">
        <f t="shared" ref="D16:L16" si="13">D28+D49+D61+D85+D111+D73+D123+D148+D161+D173</f>
        <v>115370579</v>
      </c>
      <c r="E16" s="2799">
        <f t="shared" si="13"/>
        <v>524900</v>
      </c>
      <c r="F16" s="2799">
        <f t="shared" si="13"/>
        <v>36032</v>
      </c>
      <c r="G16" s="2799">
        <f t="shared" si="13"/>
        <v>6377753</v>
      </c>
      <c r="H16" s="2799">
        <f t="shared" si="13"/>
        <v>34279803</v>
      </c>
      <c r="I16" s="2799">
        <f t="shared" si="13"/>
        <v>47715099</v>
      </c>
      <c r="J16" s="2799">
        <f t="shared" si="13"/>
        <v>16344492</v>
      </c>
      <c r="K16" s="2799">
        <f t="shared" si="13"/>
        <v>10092500</v>
      </c>
      <c r="L16" s="2799">
        <f t="shared" si="13"/>
        <v>0</v>
      </c>
      <c r="M16" s="2803" t="s">
        <v>53</v>
      </c>
      <c r="N16" s="2803" t="s">
        <v>53</v>
      </c>
      <c r="O16" s="4099"/>
      <c r="P16" s="293"/>
      <c r="Q16" s="174"/>
      <c r="R16" s="293"/>
      <c r="S16" s="293"/>
      <c r="T16" s="293"/>
      <c r="U16" s="293"/>
      <c r="V16" s="293"/>
      <c r="W16" s="293"/>
      <c r="X16" s="293"/>
      <c r="Y16" s="293"/>
      <c r="Z16" s="293"/>
      <c r="AA16" s="293"/>
      <c r="AB16" s="293"/>
      <c r="AC16" s="293"/>
      <c r="AD16" s="293"/>
      <c r="AE16" s="293"/>
      <c r="AF16" s="293"/>
      <c r="AG16" s="293"/>
      <c r="AH16" s="293"/>
      <c r="AI16" s="293"/>
      <c r="AJ16" s="293"/>
      <c r="AK16" s="293"/>
      <c r="AL16" s="293"/>
      <c r="AM16" s="293"/>
      <c r="AN16" s="293"/>
      <c r="AO16" s="293"/>
      <c r="AP16" s="293"/>
      <c r="AQ16" s="293"/>
      <c r="AR16" s="293"/>
      <c r="AS16" s="293"/>
      <c r="AT16" s="293"/>
      <c r="AU16" s="293"/>
      <c r="AV16" s="293"/>
      <c r="AW16" s="293"/>
      <c r="AX16" s="293"/>
      <c r="AY16" s="293"/>
      <c r="AZ16" s="293"/>
      <c r="BA16" s="293"/>
      <c r="BB16" s="293"/>
      <c r="BC16" s="293"/>
      <c r="BD16" s="293"/>
      <c r="BE16" s="293"/>
      <c r="BF16" s="293"/>
      <c r="BG16" s="293"/>
      <c r="BH16" s="293"/>
      <c r="BI16" s="293"/>
      <c r="BJ16" s="293"/>
      <c r="BK16" s="293"/>
      <c r="BL16" s="293"/>
      <c r="BM16" s="293"/>
      <c r="BN16" s="293"/>
      <c r="BO16" s="293"/>
      <c r="BP16" s="293"/>
      <c r="BQ16" s="293"/>
      <c r="BR16" s="293"/>
      <c r="BS16" s="293"/>
      <c r="BT16" s="293"/>
      <c r="BU16" s="293"/>
      <c r="BV16" s="293"/>
      <c r="BW16" s="293"/>
      <c r="BX16" s="293"/>
      <c r="BY16" s="293"/>
    </row>
    <row r="17" spans="1:77" s="470" customFormat="1" ht="12">
      <c r="A17" s="577"/>
      <c r="B17" s="424" t="s">
        <v>21</v>
      </c>
      <c r="C17" s="424"/>
      <c r="D17" s="449">
        <f>+D18+D21</f>
        <v>156430215</v>
      </c>
      <c r="E17" s="449">
        <f t="shared" ref="E17" si="14">+E18+E21</f>
        <v>644420</v>
      </c>
      <c r="F17" s="449">
        <f t="shared" ref="F17:L17" si="15">+F18+F21</f>
        <v>380606</v>
      </c>
      <c r="G17" s="449">
        <f t="shared" si="15"/>
        <v>10652597</v>
      </c>
      <c r="H17" s="449">
        <f t="shared" si="15"/>
        <v>50903749</v>
      </c>
      <c r="I17" s="449">
        <f t="shared" si="15"/>
        <v>60086049</v>
      </c>
      <c r="J17" s="449">
        <f t="shared" si="15"/>
        <v>22019565</v>
      </c>
      <c r="K17" s="449">
        <f t="shared" si="15"/>
        <v>11743229</v>
      </c>
      <c r="L17" s="449">
        <f t="shared" si="15"/>
        <v>0</v>
      </c>
      <c r="M17" s="4108" t="s">
        <v>53</v>
      </c>
      <c r="N17" s="4108" t="s">
        <v>53</v>
      </c>
      <c r="O17" s="4099"/>
      <c r="P17" s="293"/>
      <c r="Q17" s="174"/>
      <c r="R17" s="293"/>
      <c r="S17" s="293"/>
      <c r="T17" s="293"/>
      <c r="U17" s="293"/>
      <c r="V17" s="293"/>
      <c r="W17" s="293"/>
      <c r="X17" s="293"/>
      <c r="Y17" s="293"/>
      <c r="Z17" s="293"/>
      <c r="AA17" s="293"/>
      <c r="AB17" s="293"/>
      <c r="AC17" s="293"/>
      <c r="AD17" s="293"/>
      <c r="AE17" s="293"/>
      <c r="AF17" s="293"/>
      <c r="AG17" s="293"/>
      <c r="AH17" s="293"/>
      <c r="AI17" s="293"/>
      <c r="AJ17" s="293"/>
      <c r="AK17" s="293"/>
      <c r="AL17" s="293"/>
      <c r="AM17" s="293"/>
      <c r="AN17" s="293"/>
      <c r="AO17" s="293"/>
      <c r="AP17" s="293"/>
      <c r="AQ17" s="293"/>
      <c r="AR17" s="293"/>
      <c r="AS17" s="293"/>
      <c r="AT17" s="293"/>
      <c r="AU17" s="293"/>
      <c r="AV17" s="293"/>
      <c r="AW17" s="293"/>
      <c r="AX17" s="293"/>
      <c r="AY17" s="293"/>
      <c r="AZ17" s="293"/>
      <c r="BA17" s="293"/>
      <c r="BB17" s="293"/>
      <c r="BC17" s="293"/>
      <c r="BD17" s="293"/>
      <c r="BE17" s="293"/>
      <c r="BF17" s="293"/>
      <c r="BG17" s="293"/>
      <c r="BH17" s="293"/>
      <c r="BI17" s="293"/>
      <c r="BJ17" s="293"/>
      <c r="BK17" s="293"/>
      <c r="BL17" s="293"/>
      <c r="BM17" s="293"/>
      <c r="BN17" s="293"/>
      <c r="BO17" s="293"/>
      <c r="BP17" s="293"/>
      <c r="BQ17" s="293"/>
      <c r="BR17" s="293"/>
      <c r="BS17" s="293"/>
      <c r="BT17" s="293"/>
      <c r="BU17" s="293"/>
      <c r="BV17" s="293"/>
      <c r="BW17" s="293"/>
      <c r="BX17" s="293"/>
      <c r="BY17" s="293"/>
    </row>
    <row r="18" spans="1:77" s="470" customFormat="1" ht="12">
      <c r="A18" s="577"/>
      <c r="B18" s="2795" t="s">
        <v>23</v>
      </c>
      <c r="C18" s="4103" t="s">
        <v>53</v>
      </c>
      <c r="D18" s="2796">
        <f>+D19+D20</f>
        <v>41059636</v>
      </c>
      <c r="E18" s="2796">
        <f t="shared" ref="E18:L18" si="16">+E19+E20</f>
        <v>119520</v>
      </c>
      <c r="F18" s="2796">
        <f t="shared" si="16"/>
        <v>370406</v>
      </c>
      <c r="G18" s="2796">
        <f t="shared" si="16"/>
        <v>4579602</v>
      </c>
      <c r="H18" s="2796">
        <f t="shared" si="16"/>
        <v>16913356</v>
      </c>
      <c r="I18" s="2796">
        <f t="shared" si="16"/>
        <v>11750950</v>
      </c>
      <c r="J18" s="2796">
        <f t="shared" si="16"/>
        <v>5675073</v>
      </c>
      <c r="K18" s="2796">
        <f t="shared" si="16"/>
        <v>1650729</v>
      </c>
      <c r="L18" s="2796">
        <f t="shared" si="16"/>
        <v>0</v>
      </c>
      <c r="M18" s="4109"/>
      <c r="N18" s="4109"/>
      <c r="O18" s="4099"/>
      <c r="P18" s="293"/>
      <c r="Q18" s="174"/>
      <c r="R18" s="293"/>
      <c r="S18" s="293"/>
      <c r="T18" s="293"/>
      <c r="U18" s="293"/>
      <c r="V18" s="293"/>
      <c r="W18" s="293"/>
      <c r="X18" s="293"/>
      <c r="Y18" s="293"/>
      <c r="Z18" s="293"/>
      <c r="AA18" s="293"/>
      <c r="AB18" s="293"/>
      <c r="AC18" s="293"/>
      <c r="AD18" s="293"/>
      <c r="AE18" s="293"/>
      <c r="AF18" s="293"/>
      <c r="AG18" s="293"/>
      <c r="AH18" s="293"/>
      <c r="AI18" s="293"/>
      <c r="AJ18" s="293"/>
      <c r="AK18" s="293"/>
      <c r="AL18" s="293"/>
      <c r="AM18" s="293"/>
      <c r="AN18" s="293"/>
      <c r="AO18" s="293"/>
      <c r="AP18" s="293"/>
      <c r="AQ18" s="293"/>
      <c r="AR18" s="293"/>
      <c r="AS18" s="293"/>
      <c r="AT18" s="293"/>
      <c r="AU18" s="293"/>
      <c r="AV18" s="293"/>
      <c r="AW18" s="293"/>
      <c r="AX18" s="293"/>
      <c r="AY18" s="293"/>
      <c r="AZ18" s="293"/>
      <c r="BA18" s="293"/>
      <c r="BB18" s="293"/>
      <c r="BC18" s="293"/>
      <c r="BD18" s="293"/>
      <c r="BE18" s="293"/>
      <c r="BF18" s="293"/>
      <c r="BG18" s="293"/>
      <c r="BH18" s="293"/>
      <c r="BI18" s="293"/>
      <c r="BJ18" s="293"/>
      <c r="BK18" s="293"/>
      <c r="BL18" s="293"/>
      <c r="BM18" s="293"/>
      <c r="BN18" s="293"/>
      <c r="BO18" s="293"/>
      <c r="BP18" s="293"/>
      <c r="BQ18" s="293"/>
      <c r="BR18" s="293"/>
      <c r="BS18" s="293"/>
      <c r="BT18" s="293"/>
      <c r="BU18" s="293"/>
      <c r="BV18" s="293"/>
      <c r="BW18" s="293"/>
      <c r="BX18" s="293"/>
      <c r="BY18" s="293"/>
    </row>
    <row r="19" spans="1:77" s="470" customFormat="1" ht="12">
      <c r="A19" s="577"/>
      <c r="B19" s="2802" t="s">
        <v>137</v>
      </c>
      <c r="C19" s="4104"/>
      <c r="D19" s="2799">
        <f t="shared" ref="D19:L19" si="17">+D64+D114+D52+D76+D88+D31+D40+D151+D164+D176</f>
        <v>40327053</v>
      </c>
      <c r="E19" s="2799">
        <f t="shared" si="17"/>
        <v>119520</v>
      </c>
      <c r="F19" s="2799">
        <f t="shared" si="17"/>
        <v>370406</v>
      </c>
      <c r="G19" s="2799">
        <f t="shared" si="17"/>
        <v>4443323</v>
      </c>
      <c r="H19" s="2799">
        <f t="shared" si="17"/>
        <v>16317052</v>
      </c>
      <c r="I19" s="2799">
        <f t="shared" si="17"/>
        <v>11750950</v>
      </c>
      <c r="J19" s="2799">
        <f t="shared" si="17"/>
        <v>5675073</v>
      </c>
      <c r="K19" s="2799">
        <f t="shared" si="17"/>
        <v>1650729</v>
      </c>
      <c r="L19" s="2799">
        <f t="shared" si="17"/>
        <v>0</v>
      </c>
      <c r="M19" s="4109"/>
      <c r="N19" s="4109"/>
      <c r="O19" s="4099"/>
      <c r="P19" s="293"/>
      <c r="Q19" s="174"/>
      <c r="R19" s="293"/>
      <c r="S19" s="293"/>
      <c r="T19" s="293"/>
      <c r="U19" s="293"/>
      <c r="V19" s="293"/>
      <c r="W19" s="293"/>
      <c r="X19" s="293"/>
      <c r="Y19" s="293"/>
      <c r="Z19" s="293"/>
      <c r="AA19" s="293"/>
      <c r="AB19" s="293"/>
      <c r="AC19" s="293"/>
      <c r="AD19" s="293"/>
      <c r="AE19" s="293"/>
      <c r="AF19" s="293"/>
      <c r="AG19" s="293"/>
      <c r="AH19" s="293"/>
      <c r="AI19" s="293"/>
      <c r="AJ19" s="293"/>
      <c r="AK19" s="293"/>
      <c r="AL19" s="293"/>
      <c r="AM19" s="293"/>
      <c r="AN19" s="293"/>
      <c r="AO19" s="293"/>
      <c r="AP19" s="293"/>
      <c r="AQ19" s="293"/>
      <c r="AR19" s="293"/>
      <c r="AS19" s="293"/>
      <c r="AT19" s="293"/>
      <c r="AU19" s="293"/>
      <c r="AV19" s="293"/>
      <c r="AW19" s="293"/>
      <c r="AX19" s="293"/>
      <c r="AY19" s="293"/>
      <c r="AZ19" s="293"/>
      <c r="BA19" s="293"/>
      <c r="BB19" s="293"/>
      <c r="BC19" s="293"/>
      <c r="BD19" s="293"/>
      <c r="BE19" s="293"/>
      <c r="BF19" s="293"/>
      <c r="BG19" s="293"/>
      <c r="BH19" s="293"/>
      <c r="BI19" s="293"/>
      <c r="BJ19" s="293"/>
      <c r="BK19" s="293"/>
      <c r="BL19" s="293"/>
      <c r="BM19" s="293"/>
      <c r="BN19" s="293"/>
      <c r="BO19" s="293"/>
      <c r="BP19" s="293"/>
      <c r="BQ19" s="293"/>
      <c r="BR19" s="293"/>
      <c r="BS19" s="293"/>
      <c r="BT19" s="293"/>
      <c r="BU19" s="293"/>
      <c r="BV19" s="293"/>
      <c r="BW19" s="293"/>
      <c r="BX19" s="293"/>
      <c r="BY19" s="293"/>
    </row>
    <row r="20" spans="1:77" s="470" customFormat="1" ht="12">
      <c r="A20" s="577"/>
      <c r="B20" s="2804" t="s">
        <v>397</v>
      </c>
      <c r="C20" s="4104"/>
      <c r="D20" s="450">
        <f>D152+D102</f>
        <v>732583</v>
      </c>
      <c r="E20" s="450">
        <f t="shared" ref="E20:L20" si="18">E152+E102</f>
        <v>0</v>
      </c>
      <c r="F20" s="450">
        <f t="shared" si="18"/>
        <v>0</v>
      </c>
      <c r="G20" s="450">
        <f t="shared" si="18"/>
        <v>136279</v>
      </c>
      <c r="H20" s="450">
        <f t="shared" si="18"/>
        <v>596304</v>
      </c>
      <c r="I20" s="450">
        <f t="shared" si="18"/>
        <v>0</v>
      </c>
      <c r="J20" s="450">
        <f t="shared" si="18"/>
        <v>0</v>
      </c>
      <c r="K20" s="450">
        <f t="shared" si="18"/>
        <v>0</v>
      </c>
      <c r="L20" s="450">
        <f t="shared" si="18"/>
        <v>0</v>
      </c>
      <c r="M20" s="4109"/>
      <c r="N20" s="4109"/>
      <c r="O20" s="4099"/>
      <c r="P20" s="293"/>
      <c r="Q20" s="174"/>
      <c r="R20" s="293"/>
      <c r="S20" s="293"/>
      <c r="T20" s="293"/>
      <c r="U20" s="293"/>
      <c r="V20" s="293"/>
      <c r="W20" s="293"/>
      <c r="X20" s="293"/>
      <c r="Y20" s="293"/>
      <c r="Z20" s="293"/>
      <c r="AA20" s="293"/>
      <c r="AB20" s="293"/>
      <c r="AC20" s="293"/>
      <c r="AD20" s="293"/>
      <c r="AE20" s="293"/>
      <c r="AF20" s="293"/>
      <c r="AG20" s="293"/>
      <c r="AH20" s="293"/>
      <c r="AI20" s="293"/>
      <c r="AJ20" s="293"/>
      <c r="AK20" s="293"/>
      <c r="AL20" s="293"/>
      <c r="AM20" s="293"/>
      <c r="AN20" s="293"/>
      <c r="AO20" s="293"/>
      <c r="AP20" s="293"/>
      <c r="AQ20" s="293"/>
      <c r="AR20" s="293"/>
      <c r="AS20" s="293"/>
      <c r="AT20" s="293"/>
      <c r="AU20" s="293"/>
      <c r="AV20" s="293"/>
      <c r="AW20" s="293"/>
      <c r="AX20" s="293"/>
      <c r="AY20" s="293"/>
      <c r="AZ20" s="293"/>
      <c r="BA20" s="293"/>
      <c r="BB20" s="293"/>
      <c r="BC20" s="293"/>
      <c r="BD20" s="293"/>
      <c r="BE20" s="293"/>
      <c r="BF20" s="293"/>
      <c r="BG20" s="293"/>
      <c r="BH20" s="293"/>
      <c r="BI20" s="293"/>
      <c r="BJ20" s="293"/>
      <c r="BK20" s="293"/>
      <c r="BL20" s="293"/>
      <c r="BM20" s="293"/>
      <c r="BN20" s="293"/>
      <c r="BO20" s="293"/>
      <c r="BP20" s="293"/>
      <c r="BQ20" s="293"/>
      <c r="BR20" s="293"/>
      <c r="BS20" s="293"/>
      <c r="BT20" s="293"/>
      <c r="BU20" s="293"/>
      <c r="BV20" s="293"/>
      <c r="BW20" s="293"/>
      <c r="BX20" s="293"/>
      <c r="BY20" s="293"/>
    </row>
    <row r="21" spans="1:77" s="470" customFormat="1" ht="12">
      <c r="A21" s="577"/>
      <c r="B21" s="2805" t="s">
        <v>18</v>
      </c>
      <c r="C21" s="4104"/>
      <c r="D21" s="2806">
        <f>+D22</f>
        <v>115370579</v>
      </c>
      <c r="E21" s="2806">
        <f t="shared" ref="E21:L21" si="19">+E22</f>
        <v>524900</v>
      </c>
      <c r="F21" s="2806">
        <f t="shared" si="19"/>
        <v>10200</v>
      </c>
      <c r="G21" s="2806">
        <f t="shared" si="19"/>
        <v>6072995</v>
      </c>
      <c r="H21" s="2806">
        <f t="shared" si="19"/>
        <v>33990393</v>
      </c>
      <c r="I21" s="2806">
        <f t="shared" si="19"/>
        <v>48335099</v>
      </c>
      <c r="J21" s="2806">
        <f t="shared" si="19"/>
        <v>16344492</v>
      </c>
      <c r="K21" s="2806">
        <f t="shared" si="19"/>
        <v>10092500</v>
      </c>
      <c r="L21" s="2806">
        <f t="shared" si="19"/>
        <v>0</v>
      </c>
      <c r="M21" s="4109"/>
      <c r="N21" s="4109"/>
      <c r="O21" s="4099"/>
      <c r="P21" s="293"/>
      <c r="Q21" s="174"/>
      <c r="R21" s="293"/>
      <c r="S21" s="293"/>
      <c r="T21" s="293"/>
      <c r="U21" s="293"/>
      <c r="V21" s="293"/>
      <c r="W21" s="293"/>
      <c r="X21" s="293"/>
      <c r="Y21" s="293"/>
      <c r="Z21" s="293"/>
      <c r="AA21" s="293"/>
      <c r="AB21" s="293"/>
      <c r="AC21" s="293"/>
      <c r="AD21" s="293"/>
      <c r="AE21" s="293"/>
      <c r="AF21" s="293"/>
      <c r="AG21" s="293"/>
      <c r="AH21" s="293"/>
      <c r="AI21" s="293"/>
      <c r="AJ21" s="293"/>
      <c r="AK21" s="293"/>
      <c r="AL21" s="293"/>
      <c r="AM21" s="293"/>
      <c r="AN21" s="293"/>
      <c r="AO21" s="293"/>
      <c r="AP21" s="293"/>
      <c r="AQ21" s="293"/>
      <c r="AR21" s="293"/>
      <c r="AS21" s="293"/>
      <c r="AT21" s="293"/>
      <c r="AU21" s="293"/>
      <c r="AV21" s="293"/>
      <c r="AW21" s="293"/>
      <c r="AX21" s="293"/>
      <c r="AY21" s="293"/>
      <c r="AZ21" s="293"/>
      <c r="BA21" s="293"/>
      <c r="BB21" s="293"/>
      <c r="BC21" s="293"/>
      <c r="BD21" s="293"/>
      <c r="BE21" s="293"/>
      <c r="BF21" s="293"/>
      <c r="BG21" s="293"/>
      <c r="BH21" s="293"/>
      <c r="BI21" s="293"/>
      <c r="BJ21" s="293"/>
      <c r="BK21" s="293"/>
      <c r="BL21" s="293"/>
      <c r="BM21" s="293"/>
      <c r="BN21" s="293"/>
      <c r="BO21" s="293"/>
      <c r="BP21" s="293"/>
      <c r="BQ21" s="293"/>
      <c r="BR21" s="293"/>
      <c r="BS21" s="293"/>
      <c r="BT21" s="293"/>
      <c r="BU21" s="293"/>
      <c r="BV21" s="293"/>
      <c r="BW21" s="293"/>
      <c r="BX21" s="293"/>
      <c r="BY21" s="293"/>
    </row>
    <row r="22" spans="1:77" s="470" customFormat="1" ht="14.1" customHeight="1" thickBot="1">
      <c r="A22" s="578"/>
      <c r="B22" s="2807" t="s">
        <v>34</v>
      </c>
      <c r="C22" s="4105"/>
      <c r="D22" s="1200">
        <f t="shared" ref="D22:L22" si="20">+D54+D66+D116+D90+D78+D128+D154+D166+D178</f>
        <v>115370579</v>
      </c>
      <c r="E22" s="1200">
        <f t="shared" si="20"/>
        <v>524900</v>
      </c>
      <c r="F22" s="1200">
        <f t="shared" si="20"/>
        <v>10200</v>
      </c>
      <c r="G22" s="1200">
        <f t="shared" si="20"/>
        <v>6072995</v>
      </c>
      <c r="H22" s="1200">
        <f t="shared" si="20"/>
        <v>33990393</v>
      </c>
      <c r="I22" s="1200">
        <f t="shared" si="20"/>
        <v>48335099</v>
      </c>
      <c r="J22" s="1200">
        <f t="shared" si="20"/>
        <v>16344492</v>
      </c>
      <c r="K22" s="1200">
        <f t="shared" si="20"/>
        <v>10092500</v>
      </c>
      <c r="L22" s="1200">
        <f t="shared" si="20"/>
        <v>0</v>
      </c>
      <c r="M22" s="4110"/>
      <c r="N22" s="4110"/>
      <c r="O22" s="4100"/>
      <c r="P22" s="293"/>
      <c r="Q22" s="174"/>
      <c r="R22" s="293"/>
      <c r="S22" s="293"/>
      <c r="T22" s="293"/>
      <c r="U22" s="293"/>
      <c r="V22" s="293"/>
      <c r="W22" s="293"/>
      <c r="X22" s="293"/>
      <c r="Y22" s="293"/>
      <c r="Z22" s="293"/>
      <c r="AA22" s="293"/>
      <c r="AB22" s="293"/>
      <c r="AC22" s="293"/>
      <c r="AD22" s="293"/>
      <c r="AE22" s="293"/>
      <c r="AF22" s="293"/>
      <c r="AG22" s="293"/>
      <c r="AH22" s="293"/>
      <c r="AI22" s="293"/>
      <c r="AJ22" s="293"/>
      <c r="AK22" s="293"/>
      <c r="AL22" s="293"/>
      <c r="AM22" s="293"/>
      <c r="AN22" s="293"/>
      <c r="AO22" s="293"/>
      <c r="AP22" s="293"/>
      <c r="AQ22" s="293"/>
      <c r="AR22" s="293"/>
      <c r="AS22" s="293"/>
      <c r="AT22" s="293"/>
      <c r="AU22" s="293"/>
      <c r="AV22" s="293"/>
      <c r="AW22" s="293"/>
      <c r="AX22" s="293"/>
      <c r="AY22" s="293"/>
      <c r="AZ22" s="293"/>
      <c r="BA22" s="293"/>
      <c r="BB22" s="293"/>
      <c r="BC22" s="293"/>
      <c r="BD22" s="293"/>
      <c r="BE22" s="293"/>
      <c r="BF22" s="293"/>
      <c r="BG22" s="293"/>
      <c r="BH22" s="293"/>
      <c r="BI22" s="293"/>
      <c r="BJ22" s="293"/>
      <c r="BK22" s="293"/>
      <c r="BL22" s="293"/>
      <c r="BM22" s="293"/>
      <c r="BN22" s="293"/>
      <c r="BO22" s="293"/>
      <c r="BP22" s="293"/>
      <c r="BQ22" s="293"/>
      <c r="BR22" s="293"/>
      <c r="BS22" s="293"/>
      <c r="BT22" s="293"/>
      <c r="BU22" s="293"/>
      <c r="BV22" s="293"/>
      <c r="BW22" s="293"/>
      <c r="BX22" s="293"/>
      <c r="BY22" s="293"/>
    </row>
    <row r="23" spans="1:77" s="293" customFormat="1" ht="23.25" customHeight="1">
      <c r="A23" s="4078" t="s">
        <v>55</v>
      </c>
      <c r="B23" s="1201" t="s">
        <v>503</v>
      </c>
      <c r="C23" s="2767" t="s">
        <v>73</v>
      </c>
      <c r="D23" s="2766"/>
      <c r="E23" s="356"/>
      <c r="F23" s="356"/>
      <c r="G23" s="356"/>
      <c r="H23" s="356"/>
      <c r="I23" s="356"/>
      <c r="J23" s="356"/>
      <c r="K23" s="356"/>
      <c r="L23" s="1273"/>
      <c r="M23" s="451"/>
      <c r="N23" s="451"/>
      <c r="O23" s="4063" t="s">
        <v>292</v>
      </c>
    </row>
    <row r="24" spans="1:77" s="293" customFormat="1" ht="12">
      <c r="A24" s="4048"/>
      <c r="B24" s="424" t="s">
        <v>10</v>
      </c>
      <c r="C24" s="424"/>
      <c r="D24" s="449">
        <f t="shared" ref="D24" si="21">+D25+D27</f>
        <v>1805000</v>
      </c>
      <c r="E24" s="449">
        <f t="shared" ref="E24" si="22">+E25+E27</f>
        <v>0</v>
      </c>
      <c r="F24" s="449">
        <f t="shared" ref="F24:N24" si="23">+F25</f>
        <v>242386</v>
      </c>
      <c r="G24" s="449">
        <f t="shared" si="23"/>
        <v>0</v>
      </c>
      <c r="H24" s="449">
        <f t="shared" si="23"/>
        <v>0</v>
      </c>
      <c r="I24" s="449">
        <f t="shared" si="23"/>
        <v>1562614</v>
      </c>
      <c r="J24" s="449"/>
      <c r="K24" s="449"/>
      <c r="L24" s="449"/>
      <c r="M24" s="452">
        <f t="shared" si="23"/>
        <v>1805000</v>
      </c>
      <c r="N24" s="452">
        <f t="shared" si="23"/>
        <v>1562614</v>
      </c>
      <c r="O24" s="4050"/>
    </row>
    <row r="25" spans="1:77" s="293" customFormat="1" ht="12">
      <c r="A25" s="4048"/>
      <c r="B25" s="2724" t="s">
        <v>23</v>
      </c>
      <c r="C25" s="4075" t="s">
        <v>291</v>
      </c>
      <c r="D25" s="1338">
        <f>D26</f>
        <v>1805000</v>
      </c>
      <c r="E25" s="421">
        <f t="shared" ref="E25:I25" si="24">E26</f>
        <v>0</v>
      </c>
      <c r="F25" s="421">
        <f t="shared" si="24"/>
        <v>242386</v>
      </c>
      <c r="G25" s="421">
        <f t="shared" si="24"/>
        <v>0</v>
      </c>
      <c r="H25" s="421">
        <f t="shared" si="24"/>
        <v>0</v>
      </c>
      <c r="I25" s="421">
        <f t="shared" si="24"/>
        <v>1562614</v>
      </c>
      <c r="J25" s="421"/>
      <c r="K25" s="421"/>
      <c r="L25" s="421"/>
      <c r="M25" s="454">
        <f>+M26</f>
        <v>1805000</v>
      </c>
      <c r="N25" s="454">
        <f>+N26</f>
        <v>1562614</v>
      </c>
      <c r="O25" s="4050"/>
    </row>
    <row r="26" spans="1:77" s="293" customFormat="1" ht="12.75" customHeight="1">
      <c r="A26" s="4048"/>
      <c r="B26" s="2808" t="s">
        <v>112</v>
      </c>
      <c r="C26" s="4076"/>
      <c r="D26" s="1339">
        <f>E26+F26+G26+H26+I26+J26+K26+L26</f>
        <v>1805000</v>
      </c>
      <c r="E26" s="418">
        <v>0</v>
      </c>
      <c r="F26" s="418">
        <f>355000-112614</f>
        <v>242386</v>
      </c>
      <c r="G26" s="418">
        <f>1450000+112614-1562614</f>
        <v>0</v>
      </c>
      <c r="H26" s="418">
        <v>0</v>
      </c>
      <c r="I26" s="418">
        <v>1562614</v>
      </c>
      <c r="J26" s="418"/>
      <c r="K26" s="418"/>
      <c r="L26" s="418"/>
      <c r="M26" s="448">
        <f>SUM(F26:K26)</f>
        <v>1805000</v>
      </c>
      <c r="N26" s="448">
        <f>SUM(G26:L26)</f>
        <v>1562614</v>
      </c>
      <c r="O26" s="4050"/>
    </row>
    <row r="27" spans="1:77" s="293" customFormat="1" ht="12.75" hidden="1" customHeight="1">
      <c r="A27" s="4048"/>
      <c r="B27" s="456" t="s">
        <v>18</v>
      </c>
      <c r="C27" s="4076"/>
      <c r="D27" s="457">
        <f>+D28</f>
        <v>0</v>
      </c>
      <c r="E27" s="457"/>
      <c r="F27" s="457"/>
      <c r="G27" s="457"/>
      <c r="H27" s="457"/>
      <c r="I27" s="457"/>
      <c r="J27" s="457"/>
      <c r="K27" s="457"/>
      <c r="L27" s="457"/>
      <c r="M27" s="1202" t="s">
        <v>53</v>
      </c>
      <c r="N27" s="1202" t="s">
        <v>53</v>
      </c>
      <c r="O27" s="4050"/>
    </row>
    <row r="28" spans="1:77" s="293" customFormat="1" ht="13.5" hidden="1" customHeight="1">
      <c r="A28" s="4048"/>
      <c r="B28" s="2725" t="s">
        <v>34</v>
      </c>
      <c r="C28" s="4076"/>
      <c r="D28" s="1339">
        <f>E28+F28+G28+H28+I28+J28+K28+L28</f>
        <v>0</v>
      </c>
      <c r="E28" s="418"/>
      <c r="F28" s="418"/>
      <c r="G28" s="418"/>
      <c r="H28" s="418"/>
      <c r="I28" s="418"/>
      <c r="J28" s="418"/>
      <c r="K28" s="418"/>
      <c r="L28" s="418"/>
      <c r="M28" s="465" t="s">
        <v>53</v>
      </c>
      <c r="N28" s="465" t="s">
        <v>53</v>
      </c>
      <c r="O28" s="4050"/>
    </row>
    <row r="29" spans="1:77" s="458" customFormat="1" ht="12">
      <c r="A29" s="4048"/>
      <c r="B29" s="1199" t="s">
        <v>21</v>
      </c>
      <c r="C29" s="4076"/>
      <c r="D29" s="1203">
        <f>D30</f>
        <v>23142</v>
      </c>
      <c r="E29" s="1203">
        <f>E30</f>
        <v>0</v>
      </c>
      <c r="F29" s="1204"/>
      <c r="G29" s="1204">
        <f>G30</f>
        <v>0</v>
      </c>
      <c r="H29" s="1204"/>
      <c r="I29" s="1204">
        <f>I30</f>
        <v>23142</v>
      </c>
      <c r="J29" s="1204"/>
      <c r="K29" s="1204"/>
      <c r="L29" s="1204"/>
      <c r="M29" s="4089"/>
      <c r="N29" s="4089"/>
      <c r="O29" s="4050"/>
    </row>
    <row r="30" spans="1:77" s="293" customFormat="1" ht="12.75">
      <c r="A30" s="4048"/>
      <c r="B30" s="1453" t="s">
        <v>23</v>
      </c>
      <c r="C30" s="4076"/>
      <c r="D30" s="1338">
        <f>+D31</f>
        <v>23142</v>
      </c>
      <c r="E30" s="1338">
        <f>+E31</f>
        <v>0</v>
      </c>
      <c r="F30" s="3201"/>
      <c r="G30" s="421">
        <f>G31</f>
        <v>0</v>
      </c>
      <c r="H30" s="3201"/>
      <c r="I30" s="421">
        <f>I31</f>
        <v>23142</v>
      </c>
      <c r="J30" s="3201"/>
      <c r="K30" s="3201"/>
      <c r="L30" s="3201"/>
      <c r="M30" s="4081"/>
      <c r="N30" s="4081"/>
      <c r="O30" s="4050"/>
    </row>
    <row r="31" spans="1:77" s="293" customFormat="1" ht="13.5" thickBot="1">
      <c r="A31" s="4049"/>
      <c r="B31" s="1454" t="s">
        <v>137</v>
      </c>
      <c r="C31" s="4091"/>
      <c r="D31" s="1455">
        <f>E31+F31+G31+H31+I31+J31+K31+L31</f>
        <v>23142</v>
      </c>
      <c r="E31" s="455">
        <v>0</v>
      </c>
      <c r="F31" s="3202"/>
      <c r="G31" s="455">
        <f>55657-55657</f>
        <v>0</v>
      </c>
      <c r="H31" s="3202"/>
      <c r="I31" s="3202">
        <v>23142</v>
      </c>
      <c r="J31" s="3202"/>
      <c r="K31" s="3202"/>
      <c r="L31" s="3202"/>
      <c r="M31" s="4090"/>
      <c r="N31" s="4090"/>
      <c r="O31" s="4087"/>
    </row>
    <row r="32" spans="1:77" s="293" customFormat="1" ht="27" customHeight="1">
      <c r="A32" s="4078" t="s">
        <v>56</v>
      </c>
      <c r="B32" s="1201" t="s">
        <v>547</v>
      </c>
      <c r="C32" s="2767" t="s">
        <v>100</v>
      </c>
      <c r="D32" s="2766"/>
      <c r="E32" s="356"/>
      <c r="F32" s="356"/>
      <c r="G32" s="356"/>
      <c r="H32" s="356"/>
      <c r="I32" s="356"/>
      <c r="J32" s="356"/>
      <c r="K32" s="356"/>
      <c r="L32" s="1273"/>
      <c r="M32" s="468"/>
      <c r="N32" s="468"/>
      <c r="O32" s="4063" t="s">
        <v>292</v>
      </c>
    </row>
    <row r="33" spans="1:15" s="293" customFormat="1" ht="12.75" customHeight="1">
      <c r="A33" s="4048"/>
      <c r="B33" s="424" t="s">
        <v>10</v>
      </c>
      <c r="C33" s="424"/>
      <c r="D33" s="449">
        <f t="shared" ref="D33:E33" si="25">+D34+D36</f>
        <v>11765000</v>
      </c>
      <c r="E33" s="449">
        <f t="shared" si="25"/>
        <v>0</v>
      </c>
      <c r="F33" s="1353">
        <f t="shared" ref="F33:N33" si="26">+F34</f>
        <v>4099273</v>
      </c>
      <c r="G33" s="1353">
        <f t="shared" si="26"/>
        <v>6449841</v>
      </c>
      <c r="H33" s="1353">
        <f t="shared" si="26"/>
        <v>1215886</v>
      </c>
      <c r="I33" s="1353">
        <f t="shared" si="26"/>
        <v>0</v>
      </c>
      <c r="J33" s="1353"/>
      <c r="K33" s="1353"/>
      <c r="L33" s="1353"/>
      <c r="M33" s="1450">
        <f t="shared" si="26"/>
        <v>11765000</v>
      </c>
      <c r="N33" s="1450">
        <f t="shared" si="26"/>
        <v>7665727</v>
      </c>
      <c r="O33" s="4050"/>
    </row>
    <row r="34" spans="1:15" s="293" customFormat="1" ht="12.75" customHeight="1">
      <c r="A34" s="4048"/>
      <c r="B34" s="453" t="s">
        <v>23</v>
      </c>
      <c r="C34" s="4093" t="s">
        <v>291</v>
      </c>
      <c r="D34" s="421">
        <f>D35</f>
        <v>11765000</v>
      </c>
      <c r="E34" s="421">
        <f t="shared" ref="E34:I34" si="27">E35</f>
        <v>0</v>
      </c>
      <c r="F34" s="1338">
        <f t="shared" si="27"/>
        <v>4099273</v>
      </c>
      <c r="G34" s="1338">
        <f t="shared" si="27"/>
        <v>6449841</v>
      </c>
      <c r="H34" s="1338">
        <f t="shared" si="27"/>
        <v>1215886</v>
      </c>
      <c r="I34" s="1338">
        <f t="shared" si="27"/>
        <v>0</v>
      </c>
      <c r="J34" s="1338"/>
      <c r="K34" s="1338"/>
      <c r="L34" s="1338"/>
      <c r="M34" s="1310">
        <f>+M35</f>
        <v>11765000</v>
      </c>
      <c r="N34" s="1310">
        <f>+N35</f>
        <v>7665727</v>
      </c>
      <c r="O34" s="4050"/>
    </row>
    <row r="35" spans="1:15" s="293" customFormat="1" ht="12.75" customHeight="1">
      <c r="A35" s="4048"/>
      <c r="B35" s="469" t="s">
        <v>112</v>
      </c>
      <c r="C35" s="4094"/>
      <c r="D35" s="1182">
        <f>E35+F35+G35+H35+I35+J35+K35+L35</f>
        <v>11765000</v>
      </c>
      <c r="E35" s="418">
        <v>0</v>
      </c>
      <c r="F35" s="1321">
        <f>4813876-714603</f>
        <v>4099273</v>
      </c>
      <c r="G35" s="1321">
        <f>3451124+714603+3500000-1215886</f>
        <v>6449841</v>
      </c>
      <c r="H35" s="1321">
        <v>1215886</v>
      </c>
      <c r="I35" s="1321">
        <v>0</v>
      </c>
      <c r="J35" s="1321"/>
      <c r="K35" s="1321"/>
      <c r="L35" s="1321"/>
      <c r="M35" s="1451">
        <f>SUM(F35:K35)</f>
        <v>11765000</v>
      </c>
      <c r="N35" s="1451">
        <f>SUM(G35:L35)</f>
        <v>7665727</v>
      </c>
      <c r="O35" s="4050"/>
    </row>
    <row r="36" spans="1:15" s="293" customFormat="1" ht="12" hidden="1" customHeight="1">
      <c r="A36" s="4048"/>
      <c r="B36" s="456" t="s">
        <v>18</v>
      </c>
      <c r="C36" s="4094"/>
      <c r="D36" s="457">
        <f>+D37</f>
        <v>0</v>
      </c>
      <c r="E36" s="457"/>
      <c r="F36" s="457"/>
      <c r="G36" s="457"/>
      <c r="H36" s="457"/>
      <c r="I36" s="457"/>
      <c r="J36" s="457"/>
      <c r="K36" s="457"/>
      <c r="L36" s="457"/>
      <c r="M36" s="3092" t="s">
        <v>53</v>
      </c>
      <c r="N36" s="3092" t="s">
        <v>53</v>
      </c>
      <c r="O36" s="4050"/>
    </row>
    <row r="37" spans="1:15" s="293" customFormat="1" ht="12" hidden="1" customHeight="1">
      <c r="A37" s="4048"/>
      <c r="B37" s="3203" t="s">
        <v>34</v>
      </c>
      <c r="C37" s="4094"/>
      <c r="D37" s="1182">
        <f>E37+F37+G37+H37+I37+J37+K37+L37</f>
        <v>0</v>
      </c>
      <c r="E37" s="418"/>
      <c r="F37" s="1321"/>
      <c r="G37" s="1321"/>
      <c r="H37" s="1321"/>
      <c r="I37" s="1321"/>
      <c r="J37" s="1321"/>
      <c r="K37" s="1321"/>
      <c r="L37" s="1321"/>
      <c r="M37" s="3093" t="s">
        <v>53</v>
      </c>
      <c r="N37" s="3093" t="s">
        <v>53</v>
      </c>
      <c r="O37" s="4050"/>
    </row>
    <row r="38" spans="1:15" s="293" customFormat="1" ht="12.75" customHeight="1">
      <c r="A38" s="4048"/>
      <c r="B38" s="1199" t="s">
        <v>21</v>
      </c>
      <c r="C38" s="4094"/>
      <c r="D38" s="1203">
        <f>D39</f>
        <v>3926474</v>
      </c>
      <c r="E38" s="1203"/>
      <c r="F38" s="1204">
        <f t="shared" ref="F38:H39" si="28">F39</f>
        <v>272966</v>
      </c>
      <c r="G38" s="1204">
        <f t="shared" si="28"/>
        <v>3635501</v>
      </c>
      <c r="H38" s="1204">
        <f t="shared" si="28"/>
        <v>18007</v>
      </c>
      <c r="I38" s="1204"/>
      <c r="J38" s="1204"/>
      <c r="K38" s="1204"/>
      <c r="L38" s="1204"/>
      <c r="M38" s="4080"/>
      <c r="N38" s="4080"/>
      <c r="O38" s="4050"/>
    </row>
    <row r="39" spans="1:15" s="293" customFormat="1" ht="12.75">
      <c r="A39" s="4048"/>
      <c r="B39" s="1991" t="s">
        <v>23</v>
      </c>
      <c r="C39" s="4094"/>
      <c r="D39" s="421">
        <f>+D40</f>
        <v>3926474</v>
      </c>
      <c r="E39" s="421"/>
      <c r="F39" s="3094">
        <f t="shared" si="28"/>
        <v>272966</v>
      </c>
      <c r="G39" s="1338">
        <f t="shared" si="28"/>
        <v>3635501</v>
      </c>
      <c r="H39" s="1338">
        <f t="shared" si="28"/>
        <v>18007</v>
      </c>
      <c r="I39" s="2887"/>
      <c r="J39" s="2887"/>
      <c r="K39" s="2887"/>
      <c r="L39" s="2887"/>
      <c r="M39" s="4081"/>
      <c r="N39" s="4081"/>
      <c r="O39" s="4050"/>
    </row>
    <row r="40" spans="1:15" s="293" customFormat="1" ht="12.75">
      <c r="A40" s="4048"/>
      <c r="B40" s="1992" t="s">
        <v>546</v>
      </c>
      <c r="C40" s="4094"/>
      <c r="D40" s="236">
        <f>E40+F40+G40+H40+I40+J40+K40+L40</f>
        <v>3926474</v>
      </c>
      <c r="E40" s="1321">
        <v>0</v>
      </c>
      <c r="F40" s="2889">
        <f>F41+F42</f>
        <v>272966</v>
      </c>
      <c r="G40" s="2889">
        <f t="shared" ref="G40:H40" si="29">G41+G42</f>
        <v>3635501</v>
      </c>
      <c r="H40" s="2889">
        <f t="shared" si="29"/>
        <v>18007</v>
      </c>
      <c r="I40" s="2887"/>
      <c r="J40" s="2887"/>
      <c r="K40" s="2887"/>
      <c r="L40" s="2887"/>
      <c r="M40" s="4082"/>
      <c r="N40" s="4082"/>
      <c r="O40" s="4092"/>
    </row>
    <row r="41" spans="1:15" s="293" customFormat="1" ht="12.75">
      <c r="A41" s="4048"/>
      <c r="B41" s="3204" t="s">
        <v>544</v>
      </c>
      <c r="C41" s="4094"/>
      <c r="D41" s="3095">
        <f t="shared" ref="D41:D42" si="30">E41+F41+G41+H41+I41+J41+K41+L41</f>
        <v>219752</v>
      </c>
      <c r="E41" s="3096">
        <v>0</v>
      </c>
      <c r="F41" s="3097">
        <v>106202</v>
      </c>
      <c r="G41" s="3096">
        <f>113550-18007</f>
        <v>95543</v>
      </c>
      <c r="H41" s="3096">
        <v>18007</v>
      </c>
      <c r="I41" s="2887"/>
      <c r="J41" s="2887"/>
      <c r="K41" s="2887"/>
      <c r="L41" s="2887"/>
      <c r="M41" s="3091"/>
      <c r="N41" s="3091"/>
      <c r="O41" s="3205"/>
    </row>
    <row r="42" spans="1:15" s="293" customFormat="1" ht="13.5" thickBot="1">
      <c r="A42" s="4049"/>
      <c r="B42" s="3204" t="s">
        <v>545</v>
      </c>
      <c r="C42" s="4095"/>
      <c r="D42" s="3095">
        <f t="shared" si="30"/>
        <v>3706722</v>
      </c>
      <c r="E42" s="3098">
        <v>0</v>
      </c>
      <c r="F42" s="3099">
        <v>166764</v>
      </c>
      <c r="G42" s="2928">
        <v>3539958</v>
      </c>
      <c r="H42" s="2928">
        <v>0</v>
      </c>
      <c r="I42" s="3206"/>
      <c r="J42" s="3206"/>
      <c r="K42" s="3206"/>
      <c r="L42" s="3206"/>
      <c r="M42" s="3091"/>
      <c r="N42" s="3091"/>
      <c r="O42" s="3205"/>
    </row>
    <row r="43" spans="1:15" s="293" customFormat="1" ht="26.25" customHeight="1">
      <c r="A43" s="4078" t="s">
        <v>57</v>
      </c>
      <c r="B43" s="459" t="s">
        <v>395</v>
      </c>
      <c r="C43" s="2763" t="s">
        <v>73</v>
      </c>
      <c r="D43" s="2764"/>
      <c r="E43" s="356"/>
      <c r="F43" s="356"/>
      <c r="G43" s="356"/>
      <c r="H43" s="356"/>
      <c r="I43" s="356"/>
      <c r="J43" s="356"/>
      <c r="K43" s="356"/>
      <c r="L43" s="1273"/>
      <c r="M43" s="468"/>
      <c r="N43" s="468"/>
      <c r="O43" s="4063" t="s">
        <v>396</v>
      </c>
    </row>
    <row r="44" spans="1:15" s="293" customFormat="1" ht="11.25" customHeight="1">
      <c r="A44" s="4048"/>
      <c r="B44" s="1993" t="s">
        <v>10</v>
      </c>
      <c r="C44" s="1994"/>
      <c r="D44" s="1995">
        <f>+D45+D48</f>
        <v>86880466</v>
      </c>
      <c r="E44" s="1995">
        <f t="shared" ref="E44" si="31">+E45+E48</f>
        <v>353841</v>
      </c>
      <c r="F44" s="1995">
        <f t="shared" ref="F44:G44" si="32">+F45+F48</f>
        <v>917164</v>
      </c>
      <c r="G44" s="1995">
        <f t="shared" si="32"/>
        <v>7106931</v>
      </c>
      <c r="H44" s="1995">
        <f>+H45+H48</f>
        <v>37270905</v>
      </c>
      <c r="I44" s="1995">
        <f>+I45+I48</f>
        <v>17600000</v>
      </c>
      <c r="J44" s="1995">
        <f t="shared" ref="J44:K44" si="33">+J45+J48</f>
        <v>12066880</v>
      </c>
      <c r="K44" s="1995">
        <f t="shared" si="33"/>
        <v>11564745</v>
      </c>
      <c r="L44" s="1995"/>
      <c r="M44" s="1996">
        <f>+M45</f>
        <v>26326625</v>
      </c>
      <c r="N44" s="1996">
        <f>+N45</f>
        <v>25409461</v>
      </c>
      <c r="O44" s="4050"/>
    </row>
    <row r="45" spans="1:15" s="293" customFormat="1" ht="12" customHeight="1">
      <c r="A45" s="4048"/>
      <c r="B45" s="1997" t="s">
        <v>23</v>
      </c>
      <c r="C45" s="4083" t="s">
        <v>435</v>
      </c>
      <c r="D45" s="1998">
        <f>D47+D46</f>
        <v>26680466</v>
      </c>
      <c r="E45" s="1998">
        <f t="shared" ref="E45" si="34">E47+E46</f>
        <v>353841</v>
      </c>
      <c r="F45" s="1998">
        <f t="shared" ref="F45:K45" si="35">F47+F46</f>
        <v>917164</v>
      </c>
      <c r="G45" s="1998">
        <f t="shared" si="35"/>
        <v>5106931</v>
      </c>
      <c r="H45" s="1998">
        <f t="shared" si="35"/>
        <v>9605905</v>
      </c>
      <c r="I45" s="1998">
        <f t="shared" si="35"/>
        <v>5657500</v>
      </c>
      <c r="J45" s="1998">
        <f t="shared" si="35"/>
        <v>3566880</v>
      </c>
      <c r="K45" s="1998">
        <f t="shared" si="35"/>
        <v>1472245</v>
      </c>
      <c r="L45" s="1998"/>
      <c r="M45" s="1999">
        <f>+M47</f>
        <v>26326625</v>
      </c>
      <c r="N45" s="1999">
        <f>+N47</f>
        <v>25409461</v>
      </c>
      <c r="O45" s="4050"/>
    </row>
    <row r="46" spans="1:15" s="293" customFormat="1" ht="12" hidden="1" customHeight="1">
      <c r="A46" s="4048"/>
      <c r="B46" s="2000" t="s">
        <v>31</v>
      </c>
      <c r="C46" s="4084"/>
      <c r="D46" s="785">
        <f>E46+F46+G46+H46+I46+J46+K46+L46</f>
        <v>0</v>
      </c>
      <c r="E46" s="2001"/>
      <c r="F46" s="2002">
        <v>0</v>
      </c>
      <c r="G46" s="2002">
        <v>0</v>
      </c>
      <c r="H46" s="2002">
        <v>0</v>
      </c>
      <c r="I46" s="2002">
        <v>0</v>
      </c>
      <c r="J46" s="2003"/>
      <c r="K46" s="2003"/>
      <c r="L46" s="2003"/>
      <c r="M46" s="461" t="s">
        <v>53</v>
      </c>
      <c r="N46" s="461" t="s">
        <v>53</v>
      </c>
      <c r="O46" s="4050"/>
    </row>
    <row r="47" spans="1:15" s="293" customFormat="1" ht="12">
      <c r="A47" s="4048"/>
      <c r="B47" s="2004" t="s">
        <v>112</v>
      </c>
      <c r="C47" s="4084"/>
      <c r="D47" s="785">
        <f>E47+F47+G47+H47+I47+J47+K47+L47</f>
        <v>26680466</v>
      </c>
      <c r="E47" s="2001">
        <v>353841</v>
      </c>
      <c r="F47" s="2005">
        <f>3000000-2076931-5905</f>
        <v>917164</v>
      </c>
      <c r="G47" s="2005">
        <f>3030000+2076931</f>
        <v>5106931</v>
      </c>
      <c r="H47" s="2005">
        <f>9600000+5905</f>
        <v>9605905</v>
      </c>
      <c r="I47" s="2005">
        <v>5657500</v>
      </c>
      <c r="J47" s="2005">
        <v>3566880</v>
      </c>
      <c r="K47" s="2005">
        <f>1467579+4666</f>
        <v>1472245</v>
      </c>
      <c r="L47" s="2005"/>
      <c r="M47" s="2006">
        <f>SUM(F47:L47)</f>
        <v>26326625</v>
      </c>
      <c r="N47" s="2006">
        <f>SUM(G47:L47)</f>
        <v>25409461</v>
      </c>
      <c r="O47" s="4050"/>
    </row>
    <row r="48" spans="1:15" s="343" customFormat="1" ht="12">
      <c r="A48" s="4048"/>
      <c r="B48" s="2007" t="s">
        <v>18</v>
      </c>
      <c r="C48" s="4084"/>
      <c r="D48" s="2008">
        <f>+D49</f>
        <v>60200000</v>
      </c>
      <c r="E48" s="2008">
        <f t="shared" ref="E48:N48" si="36">+E49</f>
        <v>0</v>
      </c>
      <c r="F48" s="2008">
        <f t="shared" si="36"/>
        <v>0</v>
      </c>
      <c r="G48" s="2008">
        <f t="shared" si="36"/>
        <v>2000000</v>
      </c>
      <c r="H48" s="2008">
        <f t="shared" si="36"/>
        <v>27665000</v>
      </c>
      <c r="I48" s="2008">
        <f t="shared" si="36"/>
        <v>11942500</v>
      </c>
      <c r="J48" s="2008">
        <f t="shared" si="36"/>
        <v>8500000</v>
      </c>
      <c r="K48" s="2008">
        <f t="shared" si="36"/>
        <v>10092500</v>
      </c>
      <c r="L48" s="2009"/>
      <c r="M48" s="2010" t="str">
        <f t="shared" si="36"/>
        <v>x</v>
      </c>
      <c r="N48" s="2010" t="str">
        <f t="shared" si="36"/>
        <v>x</v>
      </c>
      <c r="O48" s="4050"/>
    </row>
    <row r="49" spans="1:77" s="343" customFormat="1" ht="12">
      <c r="A49" s="4048"/>
      <c r="B49" s="2004" t="s">
        <v>34</v>
      </c>
      <c r="C49" s="4085"/>
      <c r="D49" s="785">
        <f>E49+F49+G49+H49+I49+J49+K49+L49</f>
        <v>60200000</v>
      </c>
      <c r="E49" s="2001">
        <v>0</v>
      </c>
      <c r="F49" s="1258">
        <v>0</v>
      </c>
      <c r="G49" s="1258">
        <f>9265000-7265000</f>
        <v>2000000</v>
      </c>
      <c r="H49" s="1258">
        <f>20400000+7265000</f>
        <v>27665000</v>
      </c>
      <c r="I49" s="1258">
        <v>11942500</v>
      </c>
      <c r="J49" s="2011">
        <v>8500000</v>
      </c>
      <c r="K49" s="2011">
        <v>10092500</v>
      </c>
      <c r="L49" s="2011"/>
      <c r="M49" s="2012" t="s">
        <v>53</v>
      </c>
      <c r="N49" s="2012" t="s">
        <v>53</v>
      </c>
      <c r="O49" s="4050"/>
    </row>
    <row r="50" spans="1:77" s="462" customFormat="1" ht="12">
      <c r="A50" s="4048"/>
      <c r="B50" s="1993" t="s">
        <v>21</v>
      </c>
      <c r="C50" s="2013"/>
      <c r="D50" s="2014">
        <f>D53+D51</f>
        <v>76000729</v>
      </c>
      <c r="E50" s="2014">
        <f t="shared" ref="E50" si="37">E53+E51</f>
        <v>0</v>
      </c>
      <c r="F50" s="2014">
        <f t="shared" ref="F50:G50" si="38">F53+F51</f>
        <v>97440</v>
      </c>
      <c r="G50" s="2014">
        <f t="shared" si="38"/>
        <v>2481236</v>
      </c>
      <c r="H50" s="2014">
        <f>H53+H51</f>
        <v>35236324</v>
      </c>
      <c r="I50" s="2014">
        <f>I53+I51</f>
        <v>15942500</v>
      </c>
      <c r="J50" s="2014">
        <f t="shared" ref="J50:K50" si="39">J53+J51</f>
        <v>10500000</v>
      </c>
      <c r="K50" s="2014">
        <f t="shared" si="39"/>
        <v>11743229</v>
      </c>
      <c r="L50" s="2014"/>
      <c r="M50" s="4088" t="s">
        <v>53</v>
      </c>
      <c r="N50" s="4088" t="s">
        <v>53</v>
      </c>
      <c r="O50" s="4050"/>
    </row>
    <row r="51" spans="1:77" s="462" customFormat="1" ht="12">
      <c r="A51" s="4048"/>
      <c r="B51" s="2015" t="s">
        <v>23</v>
      </c>
      <c r="C51" s="4083" t="s">
        <v>436</v>
      </c>
      <c r="D51" s="1257">
        <f>+D52</f>
        <v>15800729</v>
      </c>
      <c r="E51" s="1257">
        <f t="shared" ref="E51:K51" si="40">+E52</f>
        <v>0</v>
      </c>
      <c r="F51" s="1257">
        <f t="shared" si="40"/>
        <v>97440</v>
      </c>
      <c r="G51" s="1257">
        <f t="shared" si="40"/>
        <v>481236</v>
      </c>
      <c r="H51" s="1257">
        <f t="shared" si="40"/>
        <v>7571324</v>
      </c>
      <c r="I51" s="1257">
        <f t="shared" si="40"/>
        <v>4000000</v>
      </c>
      <c r="J51" s="1257">
        <f t="shared" si="40"/>
        <v>2000000</v>
      </c>
      <c r="K51" s="1257">
        <f t="shared" si="40"/>
        <v>1650729</v>
      </c>
      <c r="L51" s="1257"/>
      <c r="M51" s="4053"/>
      <c r="N51" s="4053"/>
      <c r="O51" s="4050"/>
    </row>
    <row r="52" spans="1:77" s="462" customFormat="1" ht="12.75" customHeight="1">
      <c r="A52" s="4048"/>
      <c r="B52" s="2004" t="s">
        <v>137</v>
      </c>
      <c r="C52" s="4084"/>
      <c r="D52" s="785">
        <f>E52+F52+G52+H52+I52+J52+K52+L52</f>
        <v>15800729</v>
      </c>
      <c r="E52" s="2001">
        <v>0</v>
      </c>
      <c r="F52" s="2005">
        <f>350000-252560</f>
        <v>97440</v>
      </c>
      <c r="G52" s="2005">
        <f>1800000+252560-1571324</f>
        <v>481236</v>
      </c>
      <c r="H52" s="2005">
        <f>6000000+1571324</f>
        <v>7571324</v>
      </c>
      <c r="I52" s="2005">
        <v>4000000</v>
      </c>
      <c r="J52" s="2005">
        <v>2000000</v>
      </c>
      <c r="K52" s="2005">
        <v>1650729</v>
      </c>
      <c r="L52" s="2005"/>
      <c r="M52" s="4053"/>
      <c r="N52" s="4053"/>
      <c r="O52" s="4050"/>
      <c r="Q52" s="463">
        <v>10989251</v>
      </c>
    </row>
    <row r="53" spans="1:77" s="343" customFormat="1" ht="13.5" customHeight="1">
      <c r="A53" s="4048"/>
      <c r="B53" s="2007" t="s">
        <v>18</v>
      </c>
      <c r="C53" s="4084"/>
      <c r="D53" s="2008">
        <f>+D54</f>
        <v>60200000</v>
      </c>
      <c r="E53" s="2008">
        <f t="shared" ref="E53:K53" si="41">+E54</f>
        <v>0</v>
      </c>
      <c r="F53" s="2008">
        <f t="shared" si="41"/>
        <v>0</v>
      </c>
      <c r="G53" s="2008">
        <f t="shared" si="41"/>
        <v>2000000</v>
      </c>
      <c r="H53" s="2008">
        <f t="shared" si="41"/>
        <v>27665000</v>
      </c>
      <c r="I53" s="2008">
        <f t="shared" si="41"/>
        <v>11942500</v>
      </c>
      <c r="J53" s="2008">
        <f t="shared" si="41"/>
        <v>8500000</v>
      </c>
      <c r="K53" s="2008">
        <f t="shared" si="41"/>
        <v>10092500</v>
      </c>
      <c r="L53" s="2008"/>
      <c r="M53" s="4053"/>
      <c r="N53" s="4053"/>
      <c r="O53" s="4050"/>
    </row>
    <row r="54" spans="1:77" s="343" customFormat="1" ht="13.5" customHeight="1" thickBot="1">
      <c r="A54" s="4049"/>
      <c r="B54" s="1936" t="s">
        <v>34</v>
      </c>
      <c r="C54" s="4086"/>
      <c r="D54" s="1742">
        <f>E54+F54+G54+H54+I54+J54+K54+L54</f>
        <v>60200000</v>
      </c>
      <c r="E54" s="455">
        <v>0</v>
      </c>
      <c r="F54" s="464">
        <v>0</v>
      </c>
      <c r="G54" s="464">
        <f>9265000-7265000</f>
        <v>2000000</v>
      </c>
      <c r="H54" s="464">
        <f>20400000+7265000</f>
        <v>27665000</v>
      </c>
      <c r="I54" s="464">
        <v>11942500</v>
      </c>
      <c r="J54" s="464">
        <v>8500000</v>
      </c>
      <c r="K54" s="464">
        <v>10092500</v>
      </c>
      <c r="L54" s="464"/>
      <c r="M54" s="4044"/>
      <c r="N54" s="4044"/>
      <c r="O54" s="4051"/>
    </row>
    <row r="55" spans="1:77" s="293" customFormat="1" ht="27" customHeight="1">
      <c r="A55" s="4078" t="s">
        <v>58</v>
      </c>
      <c r="B55" s="459" t="s">
        <v>425</v>
      </c>
      <c r="C55" s="2763" t="s">
        <v>73</v>
      </c>
      <c r="D55" s="2766"/>
      <c r="E55" s="356"/>
      <c r="F55" s="356"/>
      <c r="G55" s="356"/>
      <c r="H55" s="356"/>
      <c r="I55" s="356"/>
      <c r="J55" s="356"/>
      <c r="K55" s="356"/>
      <c r="L55" s="1273"/>
      <c r="M55" s="2016"/>
      <c r="N55" s="2016"/>
      <c r="O55" s="4063" t="s">
        <v>531</v>
      </c>
      <c r="BY55" s="458"/>
    </row>
    <row r="56" spans="1:77" s="293" customFormat="1" ht="14.25" customHeight="1">
      <c r="A56" s="4048"/>
      <c r="B56" s="424" t="s">
        <v>10</v>
      </c>
      <c r="C56" s="460"/>
      <c r="D56" s="449">
        <f>D57+D60</f>
        <v>105070947</v>
      </c>
      <c r="E56" s="449">
        <v>0</v>
      </c>
      <c r="F56" s="449">
        <f t="shared" ref="F56:J56" si="42">+F57+F60</f>
        <v>0</v>
      </c>
      <c r="G56" s="449">
        <f t="shared" si="42"/>
        <v>720400</v>
      </c>
      <c r="H56" s="449">
        <f t="shared" si="42"/>
        <v>41610400</v>
      </c>
      <c r="I56" s="449">
        <f t="shared" si="42"/>
        <v>41610400</v>
      </c>
      <c r="J56" s="449">
        <f t="shared" si="42"/>
        <v>21129747</v>
      </c>
      <c r="K56" s="449"/>
      <c r="L56" s="449"/>
      <c r="M56" s="452">
        <f>+M57</f>
        <v>42330800</v>
      </c>
      <c r="N56" s="452">
        <f>+N57</f>
        <v>63400947</v>
      </c>
      <c r="O56" s="4050"/>
    </row>
    <row r="57" spans="1:77" s="293" customFormat="1" ht="14.25" customHeight="1">
      <c r="A57" s="4048"/>
      <c r="B57" s="1991" t="s">
        <v>23</v>
      </c>
      <c r="C57" s="3776" t="s">
        <v>152</v>
      </c>
      <c r="D57" s="421">
        <f>D58+D59</f>
        <v>63400947</v>
      </c>
      <c r="E57" s="421">
        <v>0</v>
      </c>
      <c r="F57" s="421">
        <f t="shared" ref="F57:G57" si="43">F58+F59</f>
        <v>0</v>
      </c>
      <c r="G57" s="421">
        <f t="shared" si="43"/>
        <v>720400</v>
      </c>
      <c r="H57" s="421">
        <f>H58+H59</f>
        <v>41610400</v>
      </c>
      <c r="I57" s="421">
        <f>I58+I59</f>
        <v>7780807</v>
      </c>
      <c r="J57" s="421">
        <f>J58+J59</f>
        <v>13289340</v>
      </c>
      <c r="K57" s="421"/>
      <c r="L57" s="421"/>
      <c r="M57" s="454">
        <f>+M58</f>
        <v>42330800</v>
      </c>
      <c r="N57" s="454">
        <f>+N58</f>
        <v>63400947</v>
      </c>
      <c r="O57" s="4050"/>
    </row>
    <row r="58" spans="1:77" s="293" customFormat="1" ht="14.25" customHeight="1">
      <c r="A58" s="4048"/>
      <c r="B58" s="1992" t="s">
        <v>112</v>
      </c>
      <c r="C58" s="4117"/>
      <c r="D58" s="420">
        <f>E58+F58+G58+H58+I58+J58+K58+L58</f>
        <v>63400947</v>
      </c>
      <c r="E58" s="418"/>
      <c r="F58" s="418">
        <v>0</v>
      </c>
      <c r="G58" s="418">
        <v>720400</v>
      </c>
      <c r="H58" s="418">
        <v>41610400</v>
      </c>
      <c r="I58" s="418">
        <v>7780807</v>
      </c>
      <c r="J58" s="418">
        <v>13289340</v>
      </c>
      <c r="K58" s="418"/>
      <c r="L58" s="418"/>
      <c r="M58" s="448">
        <f>SUM(E58:H58)</f>
        <v>42330800</v>
      </c>
      <c r="N58" s="2006">
        <f>SUM(G58:L58)</f>
        <v>63400947</v>
      </c>
      <c r="O58" s="4050"/>
    </row>
    <row r="59" spans="1:77" s="293" customFormat="1" ht="14.25" hidden="1" customHeight="1">
      <c r="A59" s="4048"/>
      <c r="B59" s="2017" t="s">
        <v>31</v>
      </c>
      <c r="C59" s="4111" t="s">
        <v>22</v>
      </c>
      <c r="D59" s="420">
        <f>E59+F59+G59+H59+I59+J59+K59+L59</f>
        <v>0</v>
      </c>
      <c r="E59" s="418"/>
      <c r="F59" s="2018"/>
      <c r="G59" s="2018">
        <v>0</v>
      </c>
      <c r="H59" s="2018">
        <v>0</v>
      </c>
      <c r="I59" s="2018">
        <v>0</v>
      </c>
      <c r="J59" s="2018"/>
      <c r="K59" s="2018"/>
      <c r="L59" s="2018"/>
      <c r="M59" s="2019" t="s">
        <v>53</v>
      </c>
      <c r="N59" s="2019" t="s">
        <v>53</v>
      </c>
      <c r="O59" s="4050"/>
    </row>
    <row r="60" spans="1:77" s="293" customFormat="1" ht="14.25" customHeight="1">
      <c r="A60" s="4048"/>
      <c r="B60" s="2020" t="s">
        <v>18</v>
      </c>
      <c r="C60" s="4079"/>
      <c r="D60" s="457">
        <f>D61</f>
        <v>41670000</v>
      </c>
      <c r="E60" s="457">
        <v>0</v>
      </c>
      <c r="F60" s="457">
        <f t="shared" ref="F60:N60" si="44">+F61</f>
        <v>0</v>
      </c>
      <c r="G60" s="457">
        <f t="shared" si="44"/>
        <v>0</v>
      </c>
      <c r="H60" s="457">
        <f t="shared" si="44"/>
        <v>0</v>
      </c>
      <c r="I60" s="457">
        <f t="shared" si="44"/>
        <v>33829593</v>
      </c>
      <c r="J60" s="457">
        <f t="shared" si="44"/>
        <v>7840407</v>
      </c>
      <c r="K60" s="457"/>
      <c r="L60" s="457"/>
      <c r="M60" s="461" t="str">
        <f t="shared" si="44"/>
        <v>x</v>
      </c>
      <c r="N60" s="461" t="str">
        <f t="shared" si="44"/>
        <v>x</v>
      </c>
      <c r="O60" s="4050"/>
    </row>
    <row r="61" spans="1:77" s="293" customFormat="1" ht="14.25" customHeight="1">
      <c r="A61" s="4048"/>
      <c r="B61" s="2017" t="s">
        <v>34</v>
      </c>
      <c r="C61" s="4040"/>
      <c r="D61" s="420">
        <f>E61+F61+G61+H61+I61+J61+K61+L61</f>
        <v>41670000</v>
      </c>
      <c r="E61" s="418"/>
      <c r="F61" s="418">
        <v>0</v>
      </c>
      <c r="G61" s="418">
        <v>0</v>
      </c>
      <c r="H61" s="418">
        <v>0</v>
      </c>
      <c r="I61" s="418">
        <v>33829593</v>
      </c>
      <c r="J61" s="418">
        <v>7840407</v>
      </c>
      <c r="K61" s="418"/>
      <c r="L61" s="418"/>
      <c r="M61" s="465" t="s">
        <v>53</v>
      </c>
      <c r="N61" s="465" t="s">
        <v>53</v>
      </c>
      <c r="O61" s="4050"/>
    </row>
    <row r="62" spans="1:77" s="458" customFormat="1" ht="14.25" customHeight="1">
      <c r="A62" s="4048"/>
      <c r="B62" s="424" t="s">
        <v>21</v>
      </c>
      <c r="C62" s="460"/>
      <c r="D62" s="449">
        <f>D63+D65</f>
        <v>59942652</v>
      </c>
      <c r="E62" s="449">
        <v>0</v>
      </c>
      <c r="F62" s="449">
        <f>F65+F63</f>
        <v>0</v>
      </c>
      <c r="G62" s="449">
        <f>G65+G63</f>
        <v>125279</v>
      </c>
      <c r="H62" s="449">
        <f>H65+H63</f>
        <v>7236150</v>
      </c>
      <c r="I62" s="449">
        <f>I65+I63</f>
        <v>41065743</v>
      </c>
      <c r="J62" s="449">
        <f>J65+J63</f>
        <v>11515480</v>
      </c>
      <c r="K62" s="449"/>
      <c r="L62" s="449"/>
      <c r="M62" s="4114" t="s">
        <v>53</v>
      </c>
      <c r="N62" s="4114" t="s">
        <v>53</v>
      </c>
      <c r="O62" s="4050"/>
    </row>
    <row r="63" spans="1:77" s="458" customFormat="1" ht="14.25" customHeight="1">
      <c r="A63" s="4048"/>
      <c r="B63" s="1991" t="s">
        <v>23</v>
      </c>
      <c r="C63" s="4112" t="s">
        <v>152</v>
      </c>
      <c r="D63" s="466">
        <f>D64</f>
        <v>18272652</v>
      </c>
      <c r="E63" s="466">
        <v>0</v>
      </c>
      <c r="F63" s="466">
        <f t="shared" ref="F63:J63" si="45">+F64</f>
        <v>0</v>
      </c>
      <c r="G63" s="466">
        <f t="shared" si="45"/>
        <v>125279</v>
      </c>
      <c r="H63" s="466">
        <f t="shared" si="45"/>
        <v>7236150</v>
      </c>
      <c r="I63" s="466">
        <f t="shared" si="45"/>
        <v>7236150</v>
      </c>
      <c r="J63" s="466">
        <f t="shared" si="45"/>
        <v>3675073</v>
      </c>
      <c r="K63" s="466"/>
      <c r="L63" s="466"/>
      <c r="M63" s="4115"/>
      <c r="N63" s="4115"/>
      <c r="O63" s="4050"/>
    </row>
    <row r="64" spans="1:77" s="458" customFormat="1" ht="14.25" customHeight="1">
      <c r="A64" s="4048"/>
      <c r="B64" s="2017" t="s">
        <v>137</v>
      </c>
      <c r="C64" s="4113"/>
      <c r="D64" s="420">
        <f>E64+F64+G64+H64+I64+J64+K64+L64</f>
        <v>18272652</v>
      </c>
      <c r="E64" s="418"/>
      <c r="F64" s="418">
        <v>0</v>
      </c>
      <c r="G64" s="418">
        <v>125279</v>
      </c>
      <c r="H64" s="418">
        <v>7236150</v>
      </c>
      <c r="I64" s="418">
        <v>7236150</v>
      </c>
      <c r="J64" s="418">
        <v>3675073</v>
      </c>
      <c r="K64" s="418"/>
      <c r="L64" s="418"/>
      <c r="M64" s="4115"/>
      <c r="N64" s="4115"/>
      <c r="O64" s="4050"/>
      <c r="Q64" s="467">
        <v>-13525758</v>
      </c>
    </row>
    <row r="65" spans="1:77" s="293" customFormat="1" ht="14.25" customHeight="1">
      <c r="A65" s="4048"/>
      <c r="B65" s="2020" t="s">
        <v>18</v>
      </c>
      <c r="C65" s="4111" t="s">
        <v>22</v>
      </c>
      <c r="D65" s="421">
        <f>D66</f>
        <v>41670000</v>
      </c>
      <c r="E65" s="421">
        <v>0</v>
      </c>
      <c r="F65" s="421">
        <f t="shared" ref="F65:J65" si="46">+F66</f>
        <v>0</v>
      </c>
      <c r="G65" s="421">
        <f t="shared" si="46"/>
        <v>0</v>
      </c>
      <c r="H65" s="421">
        <f t="shared" si="46"/>
        <v>0</v>
      </c>
      <c r="I65" s="421">
        <f t="shared" si="46"/>
        <v>33829593</v>
      </c>
      <c r="J65" s="421">
        <f t="shared" si="46"/>
        <v>7840407</v>
      </c>
      <c r="K65" s="421"/>
      <c r="L65" s="421"/>
      <c r="M65" s="4115"/>
      <c r="N65" s="4115"/>
      <c r="O65" s="4050"/>
    </row>
    <row r="66" spans="1:77" s="293" customFormat="1" ht="14.25" customHeight="1" thickBot="1">
      <c r="A66" s="4049"/>
      <c r="B66" s="1936" t="s">
        <v>34</v>
      </c>
      <c r="C66" s="4074"/>
      <c r="D66" s="464">
        <f>E66+F66+G66+H66+I66+J66+K66+L66</f>
        <v>41670000</v>
      </c>
      <c r="E66" s="455"/>
      <c r="F66" s="455">
        <v>0</v>
      </c>
      <c r="G66" s="455">
        <v>0</v>
      </c>
      <c r="H66" s="455">
        <v>0</v>
      </c>
      <c r="I66" s="455">
        <v>33829593</v>
      </c>
      <c r="J66" s="455">
        <v>7840407</v>
      </c>
      <c r="K66" s="455"/>
      <c r="L66" s="455"/>
      <c r="M66" s="4116"/>
      <c r="N66" s="4116"/>
      <c r="O66" s="4051"/>
    </row>
    <row r="67" spans="1:77" s="293" customFormat="1" ht="27.75" customHeight="1">
      <c r="A67" s="4078" t="s">
        <v>59</v>
      </c>
      <c r="B67" s="459" t="s">
        <v>550</v>
      </c>
      <c r="C67" s="2763" t="s">
        <v>100</v>
      </c>
      <c r="D67" s="2766"/>
      <c r="E67" s="356"/>
      <c r="F67" s="356"/>
      <c r="G67" s="356"/>
      <c r="H67" s="356"/>
      <c r="I67" s="356"/>
      <c r="J67" s="356"/>
      <c r="K67" s="356"/>
      <c r="L67" s="1273"/>
      <c r="M67" s="468"/>
      <c r="N67" s="468"/>
      <c r="O67" s="4063" t="s">
        <v>151</v>
      </c>
      <c r="BY67" s="458"/>
    </row>
    <row r="68" spans="1:77" s="293" customFormat="1" ht="13.5" customHeight="1">
      <c r="A68" s="4048"/>
      <c r="B68" s="424" t="s">
        <v>10</v>
      </c>
      <c r="C68" s="460"/>
      <c r="D68" s="449">
        <f>D69+D72</f>
        <v>622043</v>
      </c>
      <c r="E68" s="449">
        <v>0</v>
      </c>
      <c r="F68" s="449">
        <f>+F69+F72</f>
        <v>116</v>
      </c>
      <c r="G68" s="449">
        <f>+G69+G72</f>
        <v>196713</v>
      </c>
      <c r="H68" s="449">
        <f>+H69+H72</f>
        <v>203401</v>
      </c>
      <c r="I68" s="449">
        <f>+I69+I72</f>
        <v>217007</v>
      </c>
      <c r="J68" s="449">
        <f>+J69+J72</f>
        <v>4806</v>
      </c>
      <c r="K68" s="449"/>
      <c r="L68" s="449"/>
      <c r="M68" s="452">
        <f>+M69</f>
        <v>59919</v>
      </c>
      <c r="N68" s="452">
        <f>+N69</f>
        <v>93191</v>
      </c>
      <c r="O68" s="4050"/>
    </row>
    <row r="69" spans="1:77" s="293" customFormat="1" ht="13.5" customHeight="1">
      <c r="A69" s="4048"/>
      <c r="B69" s="453" t="s">
        <v>23</v>
      </c>
      <c r="C69" s="4112" t="s">
        <v>152</v>
      </c>
      <c r="D69" s="421">
        <f>D70+D71</f>
        <v>93307</v>
      </c>
      <c r="E69" s="421">
        <v>0</v>
      </c>
      <c r="F69" s="421">
        <f t="shared" ref="F69:G69" si="47">+F70+F71</f>
        <v>116</v>
      </c>
      <c r="G69" s="421">
        <f t="shared" si="47"/>
        <v>29409</v>
      </c>
      <c r="H69" s="421">
        <f>+H70+H71</f>
        <v>30510</v>
      </c>
      <c r="I69" s="421">
        <f>+I70+I71</f>
        <v>32551</v>
      </c>
      <c r="J69" s="421">
        <f>+J70+J71</f>
        <v>721</v>
      </c>
      <c r="K69" s="421"/>
      <c r="L69" s="421"/>
      <c r="M69" s="2890">
        <f>+M70</f>
        <v>59919</v>
      </c>
      <c r="N69" s="2890">
        <f>+N70</f>
        <v>93191</v>
      </c>
      <c r="O69" s="4050"/>
    </row>
    <row r="70" spans="1:77" s="293" customFormat="1" ht="13.5" customHeight="1">
      <c r="A70" s="4048"/>
      <c r="B70" s="2891" t="s">
        <v>112</v>
      </c>
      <c r="C70" s="4113"/>
      <c r="D70" s="420">
        <f>F70+G70+H70+I70+J70+K70+L70</f>
        <v>93191</v>
      </c>
      <c r="E70" s="418"/>
      <c r="F70" s="418">
        <v>0</v>
      </c>
      <c r="G70" s="418">
        <v>29409</v>
      </c>
      <c r="H70" s="418">
        <v>30510</v>
      </c>
      <c r="I70" s="418">
        <v>32551</v>
      </c>
      <c r="J70" s="418">
        <v>721</v>
      </c>
      <c r="K70" s="418"/>
      <c r="L70" s="418"/>
      <c r="M70" s="448">
        <f>SUM(E70:H70)</f>
        <v>59919</v>
      </c>
      <c r="N70" s="448">
        <f>SUM(G70:J70)</f>
        <v>93191</v>
      </c>
      <c r="O70" s="4050"/>
    </row>
    <row r="71" spans="1:77" s="293" customFormat="1" ht="13.5" customHeight="1">
      <c r="A71" s="4048"/>
      <c r="B71" s="2892" t="s">
        <v>31</v>
      </c>
      <c r="C71" s="4038" t="s">
        <v>22</v>
      </c>
      <c r="D71" s="420">
        <f>F71+G71+H71+I71+J71+K71+L71</f>
        <v>116</v>
      </c>
      <c r="E71" s="418"/>
      <c r="F71" s="418">
        <v>116</v>
      </c>
      <c r="G71" s="418"/>
      <c r="H71" s="418"/>
      <c r="I71" s="418"/>
      <c r="J71" s="418"/>
      <c r="K71" s="418"/>
      <c r="L71" s="418"/>
      <c r="M71" s="2803" t="s">
        <v>53</v>
      </c>
      <c r="N71" s="2803" t="s">
        <v>53</v>
      </c>
      <c r="O71" s="4050"/>
    </row>
    <row r="72" spans="1:77" s="293" customFormat="1" ht="13.5" customHeight="1">
      <c r="A72" s="4048"/>
      <c r="B72" s="456" t="s">
        <v>18</v>
      </c>
      <c r="C72" s="4079"/>
      <c r="D72" s="466">
        <f>D73</f>
        <v>528736</v>
      </c>
      <c r="E72" s="466">
        <v>0</v>
      </c>
      <c r="F72" s="466">
        <f t="shared" ref="F72:N72" si="48">+F73</f>
        <v>0</v>
      </c>
      <c r="G72" s="466">
        <f t="shared" si="48"/>
        <v>167304</v>
      </c>
      <c r="H72" s="466">
        <f t="shared" si="48"/>
        <v>172891</v>
      </c>
      <c r="I72" s="466">
        <f t="shared" si="48"/>
        <v>184456</v>
      </c>
      <c r="J72" s="466">
        <f t="shared" si="48"/>
        <v>4085</v>
      </c>
      <c r="K72" s="2893"/>
      <c r="L72" s="2893"/>
      <c r="M72" s="461" t="str">
        <f t="shared" si="48"/>
        <v>x</v>
      </c>
      <c r="N72" s="461" t="str">
        <f t="shared" si="48"/>
        <v>x</v>
      </c>
      <c r="O72" s="4050"/>
    </row>
    <row r="73" spans="1:77" s="293" customFormat="1" ht="13.5" customHeight="1">
      <c r="A73" s="4048"/>
      <c r="B73" s="2894" t="s">
        <v>34</v>
      </c>
      <c r="C73" s="4040"/>
      <c r="D73" s="420">
        <f>F73+G73+H73+I73+J73+K73+L73</f>
        <v>528736</v>
      </c>
      <c r="E73" s="418"/>
      <c r="F73" s="418">
        <v>0</v>
      </c>
      <c r="G73" s="418">
        <v>167304</v>
      </c>
      <c r="H73" s="418">
        <v>172891</v>
      </c>
      <c r="I73" s="418">
        <v>184456</v>
      </c>
      <c r="J73" s="418">
        <v>4085</v>
      </c>
      <c r="K73" s="418"/>
      <c r="L73" s="418"/>
      <c r="M73" s="465" t="s">
        <v>53</v>
      </c>
      <c r="N73" s="465" t="s">
        <v>53</v>
      </c>
      <c r="O73" s="4050"/>
    </row>
    <row r="74" spans="1:77" s="293" customFormat="1" ht="13.5" customHeight="1">
      <c r="A74" s="4048"/>
      <c r="B74" s="424" t="s">
        <v>21</v>
      </c>
      <c r="C74" s="2895"/>
      <c r="D74" s="449">
        <f>D75+D77</f>
        <v>528736</v>
      </c>
      <c r="E74" s="449">
        <v>0</v>
      </c>
      <c r="F74" s="449">
        <f t="shared" ref="F74:G74" si="49">+F75+F77</f>
        <v>0</v>
      </c>
      <c r="G74" s="449">
        <f t="shared" si="49"/>
        <v>167304</v>
      </c>
      <c r="H74" s="449">
        <f>+H75+H77</f>
        <v>172891</v>
      </c>
      <c r="I74" s="449">
        <f>+I75+I77</f>
        <v>184456</v>
      </c>
      <c r="J74" s="449">
        <f>+J75+J77</f>
        <v>4085</v>
      </c>
      <c r="K74" s="449"/>
      <c r="L74" s="449"/>
      <c r="M74" s="3959" t="s">
        <v>53</v>
      </c>
      <c r="N74" s="3959" t="s">
        <v>53</v>
      </c>
      <c r="O74" s="4050"/>
    </row>
    <row r="75" spans="1:77" s="293" customFormat="1" ht="13.5" hidden="1" customHeight="1">
      <c r="A75" s="4048"/>
      <c r="B75" s="453" t="s">
        <v>23</v>
      </c>
      <c r="C75" s="4112" t="s">
        <v>152</v>
      </c>
      <c r="D75" s="466"/>
      <c r="E75" s="421">
        <v>0</v>
      </c>
      <c r="F75" s="421">
        <f t="shared" ref="F75:J75" si="50">+F76</f>
        <v>0</v>
      </c>
      <c r="G75" s="421">
        <f t="shared" si="50"/>
        <v>0</v>
      </c>
      <c r="H75" s="421">
        <f t="shared" si="50"/>
        <v>0</v>
      </c>
      <c r="I75" s="421">
        <f t="shared" si="50"/>
        <v>0</v>
      </c>
      <c r="J75" s="421">
        <f t="shared" si="50"/>
        <v>0</v>
      </c>
      <c r="K75" s="421"/>
      <c r="L75" s="421"/>
      <c r="M75" s="3861"/>
      <c r="N75" s="3861"/>
      <c r="O75" s="4050"/>
    </row>
    <row r="76" spans="1:77" s="293" customFormat="1" ht="13.5" hidden="1" customHeight="1">
      <c r="A76" s="4048"/>
      <c r="B76" s="2894" t="s">
        <v>129</v>
      </c>
      <c r="C76" s="4113"/>
      <c r="D76" s="420"/>
      <c r="E76" s="418"/>
      <c r="F76" s="418">
        <v>0</v>
      </c>
      <c r="G76" s="418">
        <v>0</v>
      </c>
      <c r="H76" s="418">
        <v>0</v>
      </c>
      <c r="I76" s="418">
        <v>0</v>
      </c>
      <c r="J76" s="418">
        <v>0</v>
      </c>
      <c r="K76" s="418"/>
      <c r="L76" s="418"/>
      <c r="M76" s="3861"/>
      <c r="N76" s="3861"/>
      <c r="O76" s="4050"/>
    </row>
    <row r="77" spans="1:77" s="293" customFormat="1" ht="13.5" customHeight="1">
      <c r="A77" s="4048"/>
      <c r="B77" s="2896" t="s">
        <v>18</v>
      </c>
      <c r="C77" s="4111" t="s">
        <v>22</v>
      </c>
      <c r="D77" s="466">
        <f>D78</f>
        <v>528736</v>
      </c>
      <c r="E77" s="466">
        <v>0</v>
      </c>
      <c r="F77" s="466">
        <f t="shared" ref="F77:J77" si="51">+F78</f>
        <v>0</v>
      </c>
      <c r="G77" s="466">
        <f t="shared" si="51"/>
        <v>167304</v>
      </c>
      <c r="H77" s="466">
        <f t="shared" si="51"/>
        <v>172891</v>
      </c>
      <c r="I77" s="466">
        <f t="shared" si="51"/>
        <v>184456</v>
      </c>
      <c r="J77" s="466">
        <f t="shared" si="51"/>
        <v>4085</v>
      </c>
      <c r="K77" s="466"/>
      <c r="L77" s="466"/>
      <c r="M77" s="3861"/>
      <c r="N77" s="3861"/>
      <c r="O77" s="4050"/>
    </row>
    <row r="78" spans="1:77" s="293" customFormat="1" ht="13.5" customHeight="1" thickBot="1">
      <c r="A78" s="4049"/>
      <c r="B78" s="2897" t="s">
        <v>34</v>
      </c>
      <c r="C78" s="4040"/>
      <c r="D78" s="420">
        <f>F78+G78+H78+I78+J78+K78+L78</f>
        <v>528736</v>
      </c>
      <c r="E78" s="418"/>
      <c r="F78" s="2898">
        <v>0</v>
      </c>
      <c r="G78" s="2898">
        <v>167304</v>
      </c>
      <c r="H78" s="2898">
        <v>172891</v>
      </c>
      <c r="I78" s="2898">
        <v>184456</v>
      </c>
      <c r="J78" s="2898">
        <v>4085</v>
      </c>
      <c r="K78" s="2898"/>
      <c r="L78" s="2898"/>
      <c r="M78" s="3862"/>
      <c r="N78" s="3862"/>
      <c r="O78" s="4051"/>
    </row>
    <row r="79" spans="1:77" s="293" customFormat="1" ht="27.75" customHeight="1">
      <c r="A79" s="4078" t="s">
        <v>106</v>
      </c>
      <c r="B79" s="459" t="s">
        <v>551</v>
      </c>
      <c r="C79" s="2763" t="s">
        <v>73</v>
      </c>
      <c r="D79" s="2766"/>
      <c r="E79" s="356"/>
      <c r="F79" s="356"/>
      <c r="G79" s="356"/>
      <c r="H79" s="356"/>
      <c r="I79" s="356"/>
      <c r="J79" s="356"/>
      <c r="K79" s="356"/>
      <c r="L79" s="1273"/>
      <c r="M79" s="468"/>
      <c r="N79" s="468"/>
      <c r="O79" s="4063" t="s">
        <v>465</v>
      </c>
    </row>
    <row r="80" spans="1:77" s="293" customFormat="1" ht="13.5" customHeight="1">
      <c r="A80" s="4048"/>
      <c r="B80" s="424" t="s">
        <v>10</v>
      </c>
      <c r="C80" s="2895"/>
      <c r="D80" s="449">
        <f>D81+D84</f>
        <v>2392705</v>
      </c>
      <c r="E80" s="449">
        <v>0</v>
      </c>
      <c r="F80" s="449">
        <f>+F81+F84</f>
        <v>0</v>
      </c>
      <c r="G80" s="449">
        <f>+G81+G84</f>
        <v>12887</v>
      </c>
      <c r="H80" s="449">
        <f>+H81+H84</f>
        <v>1348850</v>
      </c>
      <c r="I80" s="449">
        <f>+I81+I84</f>
        <v>1030968</v>
      </c>
      <c r="J80" s="449"/>
      <c r="K80" s="449"/>
      <c r="L80" s="449"/>
      <c r="M80" s="452">
        <f>+M81</f>
        <v>204260</v>
      </c>
      <c r="N80" s="452">
        <f>+N81</f>
        <v>358905</v>
      </c>
      <c r="O80" s="4050"/>
      <c r="Q80" s="174"/>
    </row>
    <row r="81" spans="1:17" s="293" customFormat="1" ht="13.5" customHeight="1">
      <c r="A81" s="4048"/>
      <c r="B81" s="453" t="s">
        <v>23</v>
      </c>
      <c r="C81" s="4118" t="s">
        <v>152</v>
      </c>
      <c r="D81" s="421">
        <f>D82+D83</f>
        <v>358905</v>
      </c>
      <c r="E81" s="421">
        <v>0</v>
      </c>
      <c r="F81" s="421">
        <f>F83+F82</f>
        <v>0</v>
      </c>
      <c r="G81" s="421">
        <f>G83+G82</f>
        <v>1933</v>
      </c>
      <c r="H81" s="421">
        <f>H83+H82</f>
        <v>202327</v>
      </c>
      <c r="I81" s="421">
        <f>I83+I82</f>
        <v>154645</v>
      </c>
      <c r="J81" s="421"/>
      <c r="K81" s="421"/>
      <c r="L81" s="421"/>
      <c r="M81" s="454">
        <f>+M83</f>
        <v>204260</v>
      </c>
      <c r="N81" s="454">
        <f>+N83</f>
        <v>358905</v>
      </c>
      <c r="O81" s="4050"/>
    </row>
    <row r="82" spans="1:17" s="293" customFormat="1" ht="13.5" hidden="1" customHeight="1">
      <c r="A82" s="4048"/>
      <c r="B82" s="2891" t="s">
        <v>31</v>
      </c>
      <c r="C82" s="4119"/>
      <c r="D82" s="420">
        <f>G82+H82+I82+J82+K82+L82</f>
        <v>0</v>
      </c>
      <c r="E82" s="418"/>
      <c r="F82" s="2899">
        <v>0</v>
      </c>
      <c r="G82" s="2899">
        <v>0</v>
      </c>
      <c r="H82" s="2899">
        <v>0</v>
      </c>
      <c r="I82" s="2899">
        <v>0</v>
      </c>
      <c r="J82" s="2899"/>
      <c r="K82" s="2899"/>
      <c r="L82" s="2899"/>
      <c r="M82" s="465" t="s">
        <v>53</v>
      </c>
      <c r="N82" s="465" t="s">
        <v>53</v>
      </c>
      <c r="O82" s="4050"/>
    </row>
    <row r="83" spans="1:17" s="293" customFormat="1" ht="16.5" customHeight="1">
      <c r="A83" s="4048"/>
      <c r="B83" s="469" t="s">
        <v>112</v>
      </c>
      <c r="C83" s="3785"/>
      <c r="D83" s="420">
        <f>G83+H83+I83+J83+K83+L83</f>
        <v>358905</v>
      </c>
      <c r="E83" s="420">
        <v>0</v>
      </c>
      <c r="F83" s="2900">
        <v>0</v>
      </c>
      <c r="G83" s="2900">
        <v>1933</v>
      </c>
      <c r="H83" s="2900">
        <v>202327</v>
      </c>
      <c r="I83" s="2900">
        <v>154645</v>
      </c>
      <c r="J83" s="2900"/>
      <c r="K83" s="2900"/>
      <c r="L83" s="2900"/>
      <c r="M83" s="426">
        <f>SUM(E83:H83)</f>
        <v>204260</v>
      </c>
      <c r="N83" s="426">
        <f>SUM(G83:I83)</f>
        <v>358905</v>
      </c>
      <c r="O83" s="4050"/>
    </row>
    <row r="84" spans="1:17" s="293" customFormat="1" ht="15" customHeight="1">
      <c r="A84" s="4048"/>
      <c r="B84" s="2901" t="s">
        <v>18</v>
      </c>
      <c r="C84" s="4111" t="s">
        <v>22</v>
      </c>
      <c r="D84" s="2902">
        <f>D85</f>
        <v>2033800</v>
      </c>
      <c r="E84" s="2902">
        <v>0</v>
      </c>
      <c r="F84" s="2902">
        <f t="shared" ref="F84:N84" si="52">+F85</f>
        <v>0</v>
      </c>
      <c r="G84" s="2902">
        <f t="shared" si="52"/>
        <v>10954</v>
      </c>
      <c r="H84" s="2902">
        <f t="shared" si="52"/>
        <v>1146523</v>
      </c>
      <c r="I84" s="2902">
        <f t="shared" si="52"/>
        <v>876323</v>
      </c>
      <c r="J84" s="457"/>
      <c r="K84" s="457"/>
      <c r="L84" s="457"/>
      <c r="M84" s="461" t="str">
        <f t="shared" si="52"/>
        <v>x</v>
      </c>
      <c r="N84" s="461" t="str">
        <f t="shared" si="52"/>
        <v>x</v>
      </c>
      <c r="O84" s="4050"/>
    </row>
    <row r="85" spans="1:17" s="293" customFormat="1" ht="14.25" customHeight="1">
      <c r="A85" s="4048"/>
      <c r="B85" s="2903" t="s">
        <v>34</v>
      </c>
      <c r="C85" s="4040"/>
      <c r="D85" s="420">
        <f>G85+H85+I85+J85+K85+L85</f>
        <v>2033800</v>
      </c>
      <c r="E85" s="420"/>
      <c r="F85" s="2900">
        <v>0</v>
      </c>
      <c r="G85" s="2900">
        <v>10954</v>
      </c>
      <c r="H85" s="2900">
        <v>1146523</v>
      </c>
      <c r="I85" s="2900">
        <v>876323</v>
      </c>
      <c r="J85" s="2899"/>
      <c r="K85" s="2899"/>
      <c r="L85" s="2899"/>
      <c r="M85" s="465" t="s">
        <v>53</v>
      </c>
      <c r="N85" s="2904" t="s">
        <v>53</v>
      </c>
      <c r="O85" s="4123"/>
    </row>
    <row r="86" spans="1:17" s="293" customFormat="1" ht="13.5" customHeight="1">
      <c r="A86" s="4048"/>
      <c r="B86" s="424" t="s">
        <v>21</v>
      </c>
      <c r="C86" s="2895"/>
      <c r="D86" s="449">
        <f>D87+D89</f>
        <v>2033800</v>
      </c>
      <c r="E86" s="449">
        <v>0</v>
      </c>
      <c r="F86" s="449">
        <f>+F87+F89</f>
        <v>0</v>
      </c>
      <c r="G86" s="449">
        <f>+G87+G89</f>
        <v>10954</v>
      </c>
      <c r="H86" s="449">
        <f>+H87+H89</f>
        <v>1146523</v>
      </c>
      <c r="I86" s="449">
        <f>+I87+I89</f>
        <v>876323</v>
      </c>
      <c r="J86" s="449"/>
      <c r="K86" s="449"/>
      <c r="L86" s="449"/>
      <c r="M86" s="3959" t="s">
        <v>53</v>
      </c>
      <c r="N86" s="3960" t="s">
        <v>53</v>
      </c>
      <c r="O86" s="4050"/>
    </row>
    <row r="87" spans="1:17" s="293" customFormat="1" ht="13.5" hidden="1" customHeight="1">
      <c r="A87" s="4048"/>
      <c r="B87" s="453" t="s">
        <v>23</v>
      </c>
      <c r="C87" s="4112" t="s">
        <v>152</v>
      </c>
      <c r="D87" s="2905"/>
      <c r="E87" s="2905">
        <v>0</v>
      </c>
      <c r="F87" s="2905">
        <f t="shared" ref="F87:I87" si="53">+F88</f>
        <v>0</v>
      </c>
      <c r="G87" s="2905">
        <f t="shared" si="53"/>
        <v>0</v>
      </c>
      <c r="H87" s="2905">
        <f t="shared" si="53"/>
        <v>0</v>
      </c>
      <c r="I87" s="2905">
        <f t="shared" si="53"/>
        <v>0</v>
      </c>
      <c r="J87" s="2905"/>
      <c r="K87" s="2905"/>
      <c r="L87" s="2905"/>
      <c r="M87" s="3861"/>
      <c r="N87" s="3939"/>
      <c r="O87" s="4050"/>
    </row>
    <row r="88" spans="1:17" s="293" customFormat="1" ht="13.5" hidden="1" customHeight="1">
      <c r="A88" s="4048"/>
      <c r="B88" s="2891" t="s">
        <v>129</v>
      </c>
      <c r="C88" s="4113"/>
      <c r="D88" s="420"/>
      <c r="E88" s="418"/>
      <c r="F88" s="2899">
        <v>0</v>
      </c>
      <c r="G88" s="2899">
        <v>0</v>
      </c>
      <c r="H88" s="2899">
        <v>0</v>
      </c>
      <c r="I88" s="2899">
        <v>0</v>
      </c>
      <c r="J88" s="2899"/>
      <c r="K88" s="2899"/>
      <c r="L88" s="2899"/>
      <c r="M88" s="3861"/>
      <c r="N88" s="3939"/>
      <c r="O88" s="4050"/>
      <c r="Q88" s="174">
        <v>-1488145</v>
      </c>
    </row>
    <row r="89" spans="1:17" s="293" customFormat="1" ht="13.5" customHeight="1">
      <c r="A89" s="4048"/>
      <c r="B89" s="2906" t="s">
        <v>18</v>
      </c>
      <c r="C89" s="4038" t="s">
        <v>22</v>
      </c>
      <c r="D89" s="1338">
        <f>D90</f>
        <v>2033800</v>
      </c>
      <c r="E89" s="1338">
        <v>0</v>
      </c>
      <c r="F89" s="421">
        <f t="shared" ref="F89:I89" si="54">+F90</f>
        <v>0</v>
      </c>
      <c r="G89" s="421">
        <f t="shared" si="54"/>
        <v>10954</v>
      </c>
      <c r="H89" s="421">
        <f t="shared" si="54"/>
        <v>1146523</v>
      </c>
      <c r="I89" s="421">
        <f t="shared" si="54"/>
        <v>876323</v>
      </c>
      <c r="J89" s="421"/>
      <c r="K89" s="421"/>
      <c r="L89" s="421"/>
      <c r="M89" s="3861"/>
      <c r="N89" s="3939"/>
      <c r="O89" s="4050"/>
    </row>
    <row r="90" spans="1:17" s="293" customFormat="1" ht="15" customHeight="1" thickBot="1">
      <c r="A90" s="4122"/>
      <c r="B90" s="2907" t="s">
        <v>34</v>
      </c>
      <c r="C90" s="4074"/>
      <c r="D90" s="1456">
        <f>G90+H90+I90+J90+K90+L90</f>
        <v>2033800</v>
      </c>
      <c r="E90" s="1604">
        <v>0</v>
      </c>
      <c r="F90" s="455">
        <v>0</v>
      </c>
      <c r="G90" s="455">
        <v>10954</v>
      </c>
      <c r="H90" s="455">
        <v>1146523</v>
      </c>
      <c r="I90" s="455">
        <v>876323</v>
      </c>
      <c r="J90" s="455"/>
      <c r="K90" s="455"/>
      <c r="L90" s="455"/>
      <c r="M90" s="3862"/>
      <c r="N90" s="3940"/>
      <c r="O90" s="4087"/>
    </row>
    <row r="91" spans="1:17" s="293" customFormat="1" ht="30.75" customHeight="1">
      <c r="A91" s="4054" t="s">
        <v>79</v>
      </c>
      <c r="B91" s="459" t="s">
        <v>464</v>
      </c>
      <c r="C91" s="2763" t="s">
        <v>73</v>
      </c>
      <c r="D91" s="2764"/>
      <c r="E91" s="356"/>
      <c r="F91" s="356"/>
      <c r="G91" s="356"/>
      <c r="H91" s="356"/>
      <c r="I91" s="356"/>
      <c r="J91" s="356"/>
      <c r="K91" s="356"/>
      <c r="L91" s="1273"/>
      <c r="M91" s="468"/>
      <c r="N91" s="468"/>
      <c r="O91" s="4063" t="s">
        <v>465</v>
      </c>
    </row>
    <row r="92" spans="1:17" s="293" customFormat="1" ht="13.5" customHeight="1">
      <c r="A92" s="4055"/>
      <c r="B92" s="1449" t="s">
        <v>10</v>
      </c>
      <c r="C92" s="2021"/>
      <c r="D92" s="1353">
        <f>+D93+D97</f>
        <v>647500</v>
      </c>
      <c r="E92" s="1353">
        <f t="shared" ref="E92:G92" si="55">+E93+E97</f>
        <v>0</v>
      </c>
      <c r="F92" s="1353">
        <f t="shared" si="55"/>
        <v>0</v>
      </c>
      <c r="G92" s="1353">
        <f t="shared" si="55"/>
        <v>207500</v>
      </c>
      <c r="H92" s="1353">
        <f>+H93+H97</f>
        <v>440000</v>
      </c>
      <c r="I92" s="1353">
        <f>+I93+I97</f>
        <v>0</v>
      </c>
      <c r="J92" s="1353">
        <f t="shared" ref="J92:K92" si="56">+J93+J97</f>
        <v>0</v>
      </c>
      <c r="K92" s="1353">
        <f t="shared" si="56"/>
        <v>0</v>
      </c>
      <c r="L92" s="1353"/>
      <c r="M92" s="1450">
        <f>+M93</f>
        <v>300000</v>
      </c>
      <c r="N92" s="2658">
        <f>+N93</f>
        <v>300000</v>
      </c>
      <c r="O92" s="4050"/>
    </row>
    <row r="93" spans="1:17" s="293" customFormat="1" ht="13.5" customHeight="1">
      <c r="A93" s="4055"/>
      <c r="B93" s="2022" t="s">
        <v>23</v>
      </c>
      <c r="C93" s="3420"/>
      <c r="D93" s="1338">
        <f>D95+D94+D96</f>
        <v>647500</v>
      </c>
      <c r="E93" s="1338">
        <f t="shared" ref="E93:L93" si="57">E95+E94+E96</f>
        <v>0</v>
      </c>
      <c r="F93" s="1338">
        <f t="shared" si="57"/>
        <v>0</v>
      </c>
      <c r="G93" s="1338">
        <f t="shared" si="57"/>
        <v>207500</v>
      </c>
      <c r="H93" s="1338">
        <f t="shared" si="57"/>
        <v>440000</v>
      </c>
      <c r="I93" s="1338">
        <f t="shared" si="57"/>
        <v>0</v>
      </c>
      <c r="J93" s="1338">
        <f t="shared" si="57"/>
        <v>0</v>
      </c>
      <c r="K93" s="1338">
        <f t="shared" si="57"/>
        <v>0</v>
      </c>
      <c r="L93" s="1338">
        <f t="shared" si="57"/>
        <v>0</v>
      </c>
      <c r="M93" s="1310">
        <f>+M95</f>
        <v>300000</v>
      </c>
      <c r="N93" s="2659">
        <f>+N95</f>
        <v>300000</v>
      </c>
      <c r="O93" s="4050"/>
    </row>
    <row r="94" spans="1:17" s="293" customFormat="1" ht="13.5" customHeight="1">
      <c r="A94" s="4055"/>
      <c r="B94" s="2023" t="s">
        <v>31</v>
      </c>
      <c r="C94" s="3474" t="s">
        <v>22</v>
      </c>
      <c r="D94" s="1288">
        <f>E94+F94+G94+H94+I94+J94+K94+L94</f>
        <v>47500</v>
      </c>
      <c r="E94" s="1321"/>
      <c r="F94" s="2024"/>
      <c r="G94" s="2024">
        <v>7500</v>
      </c>
      <c r="H94" s="2024">
        <v>40000</v>
      </c>
      <c r="I94" s="2024">
        <v>0</v>
      </c>
      <c r="J94" s="2003"/>
      <c r="K94" s="2003"/>
      <c r="L94" s="2003"/>
      <c r="M94" s="461" t="s">
        <v>53</v>
      </c>
      <c r="N94" s="2502" t="s">
        <v>53</v>
      </c>
      <c r="O94" s="4050"/>
    </row>
    <row r="95" spans="1:17" s="293" customFormat="1" ht="13.5" customHeight="1">
      <c r="A95" s="4055"/>
      <c r="B95" s="2025" t="s">
        <v>112</v>
      </c>
      <c r="C95" s="3473" t="s">
        <v>152</v>
      </c>
      <c r="D95" s="1288">
        <f>E95+F95+G95+H95+I95+J95+K95+L95</f>
        <v>300000</v>
      </c>
      <c r="E95" s="1321"/>
      <c r="F95" s="2026"/>
      <c r="G95" s="2026">
        <v>100000</v>
      </c>
      <c r="H95" s="2026">
        <v>200000</v>
      </c>
      <c r="I95" s="2026"/>
      <c r="J95" s="2026"/>
      <c r="K95" s="2026"/>
      <c r="L95" s="2026"/>
      <c r="M95" s="1451">
        <f>SUM(F95:K95)</f>
        <v>300000</v>
      </c>
      <c r="N95" s="3058">
        <f>SUM(G95:L95)</f>
        <v>300000</v>
      </c>
      <c r="O95" s="4050"/>
    </row>
    <row r="96" spans="1:17" s="293" customFormat="1" ht="13.5" customHeight="1">
      <c r="A96" s="4055"/>
      <c r="B96" s="2742" t="s">
        <v>397</v>
      </c>
      <c r="C96" s="4038" t="s">
        <v>22</v>
      </c>
      <c r="D96" s="1288">
        <f>E96+F96+G96+H96+I96+J96+K96+L96</f>
        <v>300000</v>
      </c>
      <c r="E96" s="2692"/>
      <c r="F96" s="2693"/>
      <c r="G96" s="2693">
        <v>100000</v>
      </c>
      <c r="H96" s="2693">
        <v>200000</v>
      </c>
      <c r="I96" s="2693"/>
      <c r="J96" s="2693"/>
      <c r="K96" s="2693"/>
      <c r="L96" s="2694"/>
      <c r="M96" s="2695"/>
      <c r="N96" s="451"/>
      <c r="O96" s="4050"/>
    </row>
    <row r="97" spans="1:15" s="293" customFormat="1" ht="13.5" hidden="1" customHeight="1">
      <c r="A97" s="4055"/>
      <c r="B97" s="2743" t="s">
        <v>18</v>
      </c>
      <c r="C97" s="4039"/>
      <c r="D97" s="2696">
        <f>+D98</f>
        <v>0</v>
      </c>
      <c r="E97" s="2696">
        <f t="shared" ref="E97:N97" si="58">+E98</f>
        <v>0</v>
      </c>
      <c r="F97" s="2696">
        <f t="shared" si="58"/>
        <v>0</v>
      </c>
      <c r="G97" s="2696">
        <f t="shared" si="58"/>
        <v>0</v>
      </c>
      <c r="H97" s="2696">
        <f t="shared" si="58"/>
        <v>0</v>
      </c>
      <c r="I97" s="2696">
        <f t="shared" si="58"/>
        <v>0</v>
      </c>
      <c r="J97" s="2696">
        <f t="shared" si="58"/>
        <v>0</v>
      </c>
      <c r="K97" s="2696">
        <f t="shared" si="58"/>
        <v>0</v>
      </c>
      <c r="L97" s="2696"/>
      <c r="M97" s="2697" t="str">
        <f t="shared" si="58"/>
        <v>x</v>
      </c>
      <c r="N97" s="2698" t="str">
        <f t="shared" si="58"/>
        <v>x</v>
      </c>
      <c r="O97" s="4050"/>
    </row>
    <row r="98" spans="1:15" s="293" customFormat="1" ht="13.5" hidden="1" customHeight="1">
      <c r="A98" s="4055"/>
      <c r="B98" s="2025" t="s">
        <v>34</v>
      </c>
      <c r="C98" s="4040"/>
      <c r="D98" s="1288">
        <f>E98+F98+G98+H98+I98+J98+K98+L98</f>
        <v>0</v>
      </c>
      <c r="E98" s="1321">
        <v>0</v>
      </c>
      <c r="F98" s="1452"/>
      <c r="G98" s="1452"/>
      <c r="H98" s="1452"/>
      <c r="I98" s="1452"/>
      <c r="J98" s="2011"/>
      <c r="K98" s="2011"/>
      <c r="L98" s="2011"/>
      <c r="M98" s="2012" t="s">
        <v>53</v>
      </c>
      <c r="N98" s="2503" t="s">
        <v>53</v>
      </c>
      <c r="O98" s="4050"/>
    </row>
    <row r="99" spans="1:15" s="293" customFormat="1" ht="13.5" customHeight="1" thickBot="1">
      <c r="A99" s="4055"/>
      <c r="B99" s="2723" t="s">
        <v>21</v>
      </c>
      <c r="C99" s="2402"/>
      <c r="D99" s="2403">
        <f>D103+D100</f>
        <v>300000</v>
      </c>
      <c r="E99" s="2403">
        <f t="shared" ref="E99:G99" si="59">E103+E100</f>
        <v>0</v>
      </c>
      <c r="F99" s="2403">
        <f t="shared" si="59"/>
        <v>0</v>
      </c>
      <c r="G99" s="2403">
        <f t="shared" si="59"/>
        <v>100000</v>
      </c>
      <c r="H99" s="2403">
        <f>H103+H100</f>
        <v>200000</v>
      </c>
      <c r="I99" s="2403">
        <f>I103+I100</f>
        <v>0</v>
      </c>
      <c r="J99" s="2403">
        <f t="shared" ref="J99:K99" si="60">J103+J100</f>
        <v>0</v>
      </c>
      <c r="K99" s="2403">
        <f t="shared" si="60"/>
        <v>0</v>
      </c>
      <c r="L99" s="2403"/>
      <c r="M99" s="4041" t="s">
        <v>53</v>
      </c>
      <c r="N99" s="4060" t="s">
        <v>53</v>
      </c>
      <c r="O99" s="4050"/>
    </row>
    <row r="100" spans="1:15" s="293" customFormat="1" ht="13.5" customHeight="1" thickBot="1">
      <c r="A100" s="4055"/>
      <c r="B100" s="1453" t="s">
        <v>23</v>
      </c>
      <c r="C100" s="4057" t="s">
        <v>53</v>
      </c>
      <c r="D100" s="1440">
        <f>+D101+D102</f>
        <v>300000</v>
      </c>
      <c r="E100" s="1440">
        <f t="shared" ref="E100:K100" si="61">+E101+E102</f>
        <v>0</v>
      </c>
      <c r="F100" s="1440">
        <f t="shared" si="61"/>
        <v>0</v>
      </c>
      <c r="G100" s="1440">
        <f t="shared" si="61"/>
        <v>100000</v>
      </c>
      <c r="H100" s="1440">
        <f t="shared" si="61"/>
        <v>200000</v>
      </c>
      <c r="I100" s="1440">
        <f t="shared" si="61"/>
        <v>0</v>
      </c>
      <c r="J100" s="1440">
        <f t="shared" si="61"/>
        <v>0</v>
      </c>
      <c r="K100" s="1440">
        <f t="shared" si="61"/>
        <v>0</v>
      </c>
      <c r="L100" s="1440"/>
      <c r="M100" s="4042"/>
      <c r="N100" s="4061"/>
      <c r="O100" s="4050"/>
    </row>
    <row r="101" spans="1:15" s="293" customFormat="1" ht="13.5" hidden="1" customHeight="1">
      <c r="A101" s="4055"/>
      <c r="B101" s="2691" t="s">
        <v>137</v>
      </c>
      <c r="C101" s="4058"/>
      <c r="D101" s="1334">
        <f>E101+F101+G101+H101+I101+J101+K101+L101</f>
        <v>0</v>
      </c>
      <c r="E101" s="1321">
        <v>0</v>
      </c>
      <c r="F101" s="2026"/>
      <c r="G101" s="2026"/>
      <c r="H101" s="2026"/>
      <c r="I101" s="2026"/>
      <c r="J101" s="2026"/>
      <c r="K101" s="2026"/>
      <c r="L101" s="2026"/>
      <c r="M101" s="4042"/>
      <c r="N101" s="4061"/>
      <c r="O101" s="4050"/>
    </row>
    <row r="102" spans="1:15" s="293" customFormat="1" ht="13.5" customHeight="1" thickBot="1">
      <c r="A102" s="4055"/>
      <c r="B102" s="1454" t="s">
        <v>397</v>
      </c>
      <c r="C102" s="4058"/>
      <c r="D102" s="1643">
        <f>E102+F102+G102+H102+I102+J102+K102+L102</f>
        <v>300000</v>
      </c>
      <c r="E102" s="1604"/>
      <c r="F102" s="2062"/>
      <c r="G102" s="2062">
        <v>100000</v>
      </c>
      <c r="H102" s="2062">
        <v>200000</v>
      </c>
      <c r="I102" s="2062"/>
      <c r="J102" s="2062"/>
      <c r="K102" s="2062"/>
      <c r="L102" s="2062"/>
      <c r="M102" s="4043"/>
      <c r="N102" s="4061"/>
      <c r="O102" s="4050"/>
    </row>
    <row r="103" spans="1:15" s="293" customFormat="1" ht="13.5" hidden="1" customHeight="1" thickBot="1">
      <c r="A103" s="4056"/>
      <c r="B103" s="2605" t="s">
        <v>18</v>
      </c>
      <c r="C103" s="4059"/>
      <c r="D103" s="2614">
        <f>+D104</f>
        <v>0</v>
      </c>
      <c r="E103" s="2614">
        <f t="shared" ref="E103:K103" si="62">+E104</f>
        <v>0</v>
      </c>
      <c r="F103" s="2614">
        <f t="shared" si="62"/>
        <v>0</v>
      </c>
      <c r="G103" s="2614">
        <f t="shared" si="62"/>
        <v>0</v>
      </c>
      <c r="H103" s="2614">
        <f t="shared" si="62"/>
        <v>0</v>
      </c>
      <c r="I103" s="2614">
        <f t="shared" si="62"/>
        <v>0</v>
      </c>
      <c r="J103" s="2614">
        <f t="shared" si="62"/>
        <v>0</v>
      </c>
      <c r="K103" s="2614">
        <f t="shared" si="62"/>
        <v>0</v>
      </c>
      <c r="L103" s="2614"/>
      <c r="M103" s="4044"/>
      <c r="N103" s="4062"/>
      <c r="O103" s="4051"/>
    </row>
    <row r="104" spans="1:15" s="293" customFormat="1" ht="16.5" hidden="1" customHeight="1" thickBot="1">
      <c r="A104" s="3066"/>
      <c r="B104" s="3067" t="s">
        <v>34</v>
      </c>
      <c r="C104" s="3068"/>
      <c r="D104" s="3059">
        <f>E104+F104+G104+H104+I104+J104+K104+L104</f>
        <v>0</v>
      </c>
      <c r="E104" s="3060">
        <v>0</v>
      </c>
      <c r="F104" s="3061">
        <v>0</v>
      </c>
      <c r="G104" s="3061"/>
      <c r="H104" s="3061"/>
      <c r="I104" s="3061"/>
      <c r="J104" s="3061"/>
      <c r="K104" s="3061"/>
      <c r="L104" s="3061"/>
      <c r="M104" s="4044"/>
      <c r="N104" s="3070"/>
      <c r="O104" s="3069"/>
    </row>
    <row r="105" spans="1:15" s="293" customFormat="1" ht="29.25" customHeight="1" thickBot="1">
      <c r="A105" s="4045" t="s">
        <v>80</v>
      </c>
      <c r="B105" s="459" t="s">
        <v>428</v>
      </c>
      <c r="C105" s="3062" t="s">
        <v>73</v>
      </c>
      <c r="D105" s="2766"/>
      <c r="E105" s="356"/>
      <c r="F105" s="356"/>
      <c r="G105" s="356"/>
      <c r="H105" s="356"/>
      <c r="I105" s="356"/>
      <c r="J105" s="356"/>
      <c r="K105" s="356"/>
      <c r="L105" s="1273"/>
      <c r="M105" s="3063"/>
      <c r="N105" s="3064"/>
      <c r="O105" s="4064" t="s">
        <v>153</v>
      </c>
    </row>
    <row r="106" spans="1:15" s="343" customFormat="1" ht="16.5" customHeight="1">
      <c r="A106" s="4046"/>
      <c r="B106" s="1199" t="s">
        <v>10</v>
      </c>
      <c r="C106" s="2728"/>
      <c r="D106" s="1198">
        <f>D107+D110</f>
        <v>24869527</v>
      </c>
      <c r="E106" s="1198">
        <f>E107+E110</f>
        <v>645627</v>
      </c>
      <c r="F106" s="1198">
        <f t="shared" ref="F106:G106" si="63">+F107+F110</f>
        <v>23900</v>
      </c>
      <c r="G106" s="1198">
        <f t="shared" si="63"/>
        <v>137268</v>
      </c>
      <c r="H106" s="1198">
        <f>+H107+H110</f>
        <v>9342732</v>
      </c>
      <c r="I106" s="1198">
        <f>+I107+I110</f>
        <v>14720000</v>
      </c>
      <c r="J106" s="1198"/>
      <c r="K106" s="1198"/>
      <c r="L106" s="1198"/>
      <c r="M106" s="2729">
        <f>+M107</f>
        <v>9600727</v>
      </c>
      <c r="N106" s="2730">
        <f>+N107</f>
        <v>24200000</v>
      </c>
      <c r="O106" s="4065"/>
    </row>
    <row r="107" spans="1:15" s="293" customFormat="1" ht="13.5" customHeight="1">
      <c r="A107" s="4046"/>
      <c r="B107" s="2724" t="s">
        <v>23</v>
      </c>
      <c r="C107" s="3420"/>
      <c r="D107" s="1338">
        <f>D108+D109</f>
        <v>24344627</v>
      </c>
      <c r="E107" s="1338">
        <f t="shared" ref="E107:F107" si="64">E108+E109</f>
        <v>120727</v>
      </c>
      <c r="F107" s="1338">
        <f t="shared" si="64"/>
        <v>23900</v>
      </c>
      <c r="G107" s="1338">
        <f t="shared" ref="G107:I107" si="65">G109</f>
        <v>137268</v>
      </c>
      <c r="H107" s="1338">
        <f t="shared" si="65"/>
        <v>9342732</v>
      </c>
      <c r="I107" s="1338">
        <f t="shared" si="65"/>
        <v>14720000</v>
      </c>
      <c r="J107" s="1338"/>
      <c r="K107" s="1338"/>
      <c r="L107" s="1338"/>
      <c r="M107" s="2726">
        <f>+M109</f>
        <v>9600727</v>
      </c>
      <c r="N107" s="2727">
        <f>+N109</f>
        <v>24200000</v>
      </c>
      <c r="O107" s="4065"/>
    </row>
    <row r="108" spans="1:15" s="293" customFormat="1" ht="13.5" customHeight="1" thickBot="1">
      <c r="A108" s="4047"/>
      <c r="B108" s="2017" t="s">
        <v>31</v>
      </c>
      <c r="C108" s="3472" t="s">
        <v>22</v>
      </c>
      <c r="D108" s="2011">
        <f>E108+F108+G108+H108+I108+J108+K108+L108</f>
        <v>23900</v>
      </c>
      <c r="E108" s="2018"/>
      <c r="F108" s="2018">
        <v>23900</v>
      </c>
      <c r="G108" s="457"/>
      <c r="H108" s="457"/>
      <c r="I108" s="457"/>
      <c r="J108" s="457"/>
      <c r="K108" s="457"/>
      <c r="L108" s="457"/>
      <c r="M108" s="2558">
        <v>0</v>
      </c>
      <c r="N108" s="2558">
        <v>0</v>
      </c>
      <c r="O108" s="4066"/>
    </row>
    <row r="109" spans="1:15" s="293" customFormat="1" ht="13.5" customHeight="1" thickBot="1">
      <c r="A109" s="4045"/>
      <c r="B109" s="3207" t="s">
        <v>112</v>
      </c>
      <c r="C109" s="3473" t="s">
        <v>291</v>
      </c>
      <c r="D109" s="1452">
        <f>E109+F109+G109+H109+I109+J109+K109+L109</f>
        <v>24320727</v>
      </c>
      <c r="E109" s="1321">
        <v>120727</v>
      </c>
      <c r="F109" s="1321">
        <v>0</v>
      </c>
      <c r="G109" s="1321">
        <f>1315000-1177732</f>
        <v>137268</v>
      </c>
      <c r="H109" s="1321">
        <f>8165000+1177732</f>
        <v>9342732</v>
      </c>
      <c r="I109" s="1321">
        <v>14720000</v>
      </c>
      <c r="J109" s="1321"/>
      <c r="K109" s="1321"/>
      <c r="L109" s="1321"/>
      <c r="M109" s="1451">
        <f>SUM(E109:H109)</f>
        <v>9600727</v>
      </c>
      <c r="N109" s="1451">
        <f>SUM(G109:I109)</f>
        <v>24200000</v>
      </c>
      <c r="O109" s="4067"/>
    </row>
    <row r="110" spans="1:15" s="293" customFormat="1" ht="13.5" customHeight="1" thickBot="1">
      <c r="A110" s="4045"/>
      <c r="B110" s="3208" t="s">
        <v>18</v>
      </c>
      <c r="C110" s="4069" t="s">
        <v>22</v>
      </c>
      <c r="D110" s="1338">
        <f>D111</f>
        <v>524900</v>
      </c>
      <c r="E110" s="1338">
        <f>E111</f>
        <v>524900</v>
      </c>
      <c r="F110" s="1338">
        <f t="shared" ref="F110:N110" si="66">+F111</f>
        <v>0</v>
      </c>
      <c r="G110" s="1338">
        <f t="shared" si="66"/>
        <v>0</v>
      </c>
      <c r="H110" s="1338">
        <f t="shared" si="66"/>
        <v>0</v>
      </c>
      <c r="I110" s="1338">
        <f t="shared" si="66"/>
        <v>0</v>
      </c>
      <c r="J110" s="457"/>
      <c r="K110" s="457"/>
      <c r="L110" s="457"/>
      <c r="M110" s="461" t="str">
        <f t="shared" si="66"/>
        <v>x</v>
      </c>
      <c r="N110" s="461" t="str">
        <f t="shared" si="66"/>
        <v>x</v>
      </c>
      <c r="O110" s="4067"/>
    </row>
    <row r="111" spans="1:15" s="293" customFormat="1" ht="13.5" customHeight="1" thickBot="1">
      <c r="A111" s="4045"/>
      <c r="B111" s="3207" t="s">
        <v>34</v>
      </c>
      <c r="C111" s="4070"/>
      <c r="D111" s="1452">
        <f>E111+F111+G111+H111+J111+K111+L111</f>
        <v>524900</v>
      </c>
      <c r="E111" s="1321">
        <v>524900</v>
      </c>
      <c r="F111" s="1321">
        <v>0</v>
      </c>
      <c r="G111" s="1321">
        <v>0</v>
      </c>
      <c r="H111" s="1321">
        <v>0</v>
      </c>
      <c r="I111" s="1321">
        <v>0</v>
      </c>
      <c r="J111" s="2018"/>
      <c r="K111" s="2018"/>
      <c r="L111" s="2018"/>
      <c r="M111" s="461" t="s">
        <v>53</v>
      </c>
      <c r="N111" s="461" t="s">
        <v>53</v>
      </c>
      <c r="O111" s="4067"/>
    </row>
    <row r="112" spans="1:15" s="343" customFormat="1" ht="16.5" customHeight="1" thickBot="1">
      <c r="A112" s="4045"/>
      <c r="B112" s="1449" t="s">
        <v>21</v>
      </c>
      <c r="C112" s="2722"/>
      <c r="D112" s="1348">
        <f>D113+D115</f>
        <v>1002816</v>
      </c>
      <c r="E112" s="1348">
        <f>E113+E115</f>
        <v>644420</v>
      </c>
      <c r="F112" s="1348">
        <f t="shared" ref="F112:G112" si="67">F115+F113</f>
        <v>0</v>
      </c>
      <c r="G112" s="1348">
        <f t="shared" si="67"/>
        <v>2033</v>
      </c>
      <c r="H112" s="1348">
        <f>H115+H113</f>
        <v>138363</v>
      </c>
      <c r="I112" s="1348">
        <f>I115+I113</f>
        <v>218000</v>
      </c>
      <c r="J112" s="1348"/>
      <c r="K112" s="1348"/>
      <c r="L112" s="1348"/>
      <c r="M112" s="3860" t="s">
        <v>53</v>
      </c>
      <c r="N112" s="3860" t="s">
        <v>53</v>
      </c>
      <c r="O112" s="4067"/>
    </row>
    <row r="113" spans="1:17" s="293" customFormat="1" ht="13.5" customHeight="1" thickBot="1">
      <c r="A113" s="4045"/>
      <c r="B113" s="2724" t="s">
        <v>23</v>
      </c>
      <c r="C113" s="4071" t="s">
        <v>154</v>
      </c>
      <c r="D113" s="3065">
        <f>D114</f>
        <v>477916</v>
      </c>
      <c r="E113" s="3065">
        <f>E114</f>
        <v>119520</v>
      </c>
      <c r="F113" s="3065">
        <f t="shared" ref="F113:I113" si="68">+F114</f>
        <v>0</v>
      </c>
      <c r="G113" s="3065">
        <f t="shared" si="68"/>
        <v>2033</v>
      </c>
      <c r="H113" s="3065">
        <f t="shared" si="68"/>
        <v>138363</v>
      </c>
      <c r="I113" s="3065">
        <f t="shared" si="68"/>
        <v>218000</v>
      </c>
      <c r="J113" s="3065"/>
      <c r="K113" s="3065"/>
      <c r="L113" s="3065"/>
      <c r="M113" s="3861"/>
      <c r="N113" s="3861"/>
      <c r="O113" s="4067"/>
      <c r="Q113" s="174">
        <v>-4922063</v>
      </c>
    </row>
    <row r="114" spans="1:17" s="293" customFormat="1" ht="13.5" customHeight="1" thickBot="1">
      <c r="A114" s="4045"/>
      <c r="B114" s="3207" t="s">
        <v>137</v>
      </c>
      <c r="C114" s="4072"/>
      <c r="D114" s="1452">
        <f>E114+F114+G114+H114+I114+J114+K114+L114</f>
        <v>477916</v>
      </c>
      <c r="E114" s="1321">
        <v>119520</v>
      </c>
      <c r="F114" s="2024">
        <v>0</v>
      </c>
      <c r="G114" s="2024">
        <f>19475-17442</f>
        <v>2033</v>
      </c>
      <c r="H114" s="2024">
        <f>120921+17442</f>
        <v>138363</v>
      </c>
      <c r="I114" s="2024">
        <v>218000</v>
      </c>
      <c r="J114" s="2024"/>
      <c r="K114" s="2024"/>
      <c r="L114" s="2024"/>
      <c r="M114" s="3861"/>
      <c r="N114" s="3861"/>
      <c r="O114" s="4067"/>
    </row>
    <row r="115" spans="1:17" s="293" customFormat="1" ht="13.5" customHeight="1" thickBot="1">
      <c r="A115" s="4045"/>
      <c r="B115" s="3208" t="s">
        <v>18</v>
      </c>
      <c r="C115" s="4069" t="s">
        <v>22</v>
      </c>
      <c r="D115" s="1338">
        <f>D116</f>
        <v>524900</v>
      </c>
      <c r="E115" s="1338">
        <f>E116</f>
        <v>524900</v>
      </c>
      <c r="F115" s="1338">
        <f t="shared" ref="F115:I115" si="69">+F116</f>
        <v>0</v>
      </c>
      <c r="G115" s="1338">
        <f t="shared" si="69"/>
        <v>0</v>
      </c>
      <c r="H115" s="1338">
        <f t="shared" si="69"/>
        <v>0</v>
      </c>
      <c r="I115" s="1338">
        <f t="shared" si="69"/>
        <v>0</v>
      </c>
      <c r="J115" s="1338"/>
      <c r="K115" s="1338"/>
      <c r="L115" s="1338"/>
      <c r="M115" s="3861"/>
      <c r="N115" s="3861"/>
      <c r="O115" s="4067"/>
    </row>
    <row r="116" spans="1:17" s="293" customFormat="1" ht="13.5" customHeight="1" thickBot="1">
      <c r="A116" s="4045"/>
      <c r="B116" s="3209" t="s">
        <v>34</v>
      </c>
      <c r="C116" s="4073"/>
      <c r="D116" s="1456">
        <f>E116+F116+G116+H116+I116+J116+K116+L116</f>
        <v>524900</v>
      </c>
      <c r="E116" s="1604">
        <v>524900</v>
      </c>
      <c r="F116" s="1604">
        <v>0</v>
      </c>
      <c r="G116" s="1604">
        <v>0</v>
      </c>
      <c r="H116" s="1604">
        <v>0</v>
      </c>
      <c r="I116" s="1604">
        <v>0</v>
      </c>
      <c r="J116" s="1604"/>
      <c r="K116" s="1604"/>
      <c r="L116" s="1604"/>
      <c r="M116" s="3862"/>
      <c r="N116" s="3862"/>
      <c r="O116" s="4068"/>
    </row>
    <row r="117" spans="1:17" s="293" customFormat="1" ht="29.25" customHeight="1">
      <c r="A117" s="4048" t="s">
        <v>81</v>
      </c>
      <c r="B117" s="2908" t="s">
        <v>467</v>
      </c>
      <c r="C117" s="2767" t="s">
        <v>73</v>
      </c>
      <c r="D117" s="3124"/>
      <c r="E117" s="1971"/>
      <c r="F117" s="1971"/>
      <c r="G117" s="1971"/>
      <c r="H117" s="1971"/>
      <c r="I117" s="1971"/>
      <c r="J117" s="1971"/>
      <c r="K117" s="1971"/>
      <c r="L117" s="3125"/>
      <c r="M117" s="451"/>
      <c r="N117" s="451"/>
      <c r="O117" s="4050" t="s">
        <v>309</v>
      </c>
    </row>
    <row r="118" spans="1:17" s="293" customFormat="1" ht="13.5" customHeight="1">
      <c r="A118" s="4048"/>
      <c r="B118" s="1449" t="s">
        <v>10</v>
      </c>
      <c r="C118" s="2021"/>
      <c r="D118" s="1353">
        <f>+D119+D122</f>
        <v>4039797</v>
      </c>
      <c r="E118" s="1353">
        <f t="shared" ref="E118" si="70">+E119+E122</f>
        <v>4560</v>
      </c>
      <c r="F118" s="1353">
        <f t="shared" ref="F118:G118" si="71">+F119+F122</f>
        <v>14370</v>
      </c>
      <c r="G118" s="1353">
        <f t="shared" si="71"/>
        <v>4020867</v>
      </c>
      <c r="H118" s="1353">
        <f>+H119+H122</f>
        <v>0</v>
      </c>
      <c r="I118" s="1353">
        <f>+I119+I122</f>
        <v>0</v>
      </c>
      <c r="J118" s="1353">
        <f t="shared" ref="J118:K118" si="72">+J119+J122</f>
        <v>0</v>
      </c>
      <c r="K118" s="1353">
        <f t="shared" si="72"/>
        <v>0</v>
      </c>
      <c r="L118" s="1353"/>
      <c r="M118" s="1450">
        <f>+M119</f>
        <v>1261265</v>
      </c>
      <c r="N118" s="1450">
        <f>+N119</f>
        <v>1261265</v>
      </c>
      <c r="O118" s="4050"/>
    </row>
    <row r="119" spans="1:17" s="293" customFormat="1" ht="12" customHeight="1">
      <c r="A119" s="4048"/>
      <c r="B119" s="2022" t="s">
        <v>23</v>
      </c>
      <c r="C119" s="3420"/>
      <c r="D119" s="1338">
        <f>D121+D120</f>
        <v>1308937</v>
      </c>
      <c r="E119" s="1338">
        <f t="shared" ref="E119" si="73">E121+E120</f>
        <v>4560</v>
      </c>
      <c r="F119" s="1338">
        <f t="shared" ref="F119:K119" si="74">F121+F120</f>
        <v>2988</v>
      </c>
      <c r="G119" s="1338">
        <f>G121+G120</f>
        <v>1301389</v>
      </c>
      <c r="H119" s="1338">
        <f t="shared" si="74"/>
        <v>0</v>
      </c>
      <c r="I119" s="1338">
        <f t="shared" si="74"/>
        <v>0</v>
      </c>
      <c r="J119" s="1338">
        <f t="shared" si="74"/>
        <v>0</v>
      </c>
      <c r="K119" s="1338">
        <f t="shared" si="74"/>
        <v>0</v>
      </c>
      <c r="L119" s="1338"/>
      <c r="M119" s="1310">
        <f>+M121</f>
        <v>1261265</v>
      </c>
      <c r="N119" s="1310">
        <f>+N121</f>
        <v>1261265</v>
      </c>
      <c r="O119" s="4050"/>
    </row>
    <row r="120" spans="1:17" s="293" customFormat="1" ht="12">
      <c r="A120" s="4048"/>
      <c r="B120" s="2023" t="s">
        <v>31</v>
      </c>
      <c r="C120" s="3472" t="s">
        <v>22</v>
      </c>
      <c r="D120" s="1288">
        <f>E120+F120+G120+H120+I120+J120+K120+L120</f>
        <v>47672</v>
      </c>
      <c r="E120" s="1321">
        <v>4560</v>
      </c>
      <c r="F120" s="2024">
        <f>12454-9466</f>
        <v>2988</v>
      </c>
      <c r="G120" s="2024">
        <f>17251+44906-22033</f>
        <v>40124</v>
      </c>
      <c r="H120" s="2024">
        <v>0</v>
      </c>
      <c r="I120" s="2024">
        <v>0</v>
      </c>
      <c r="J120" s="2003"/>
      <c r="K120" s="2003"/>
      <c r="L120" s="2003"/>
      <c r="M120" s="461" t="s">
        <v>53</v>
      </c>
      <c r="N120" s="461" t="s">
        <v>53</v>
      </c>
      <c r="O120" s="4050"/>
    </row>
    <row r="121" spans="1:17" s="293" customFormat="1" ht="12">
      <c r="A121" s="4048"/>
      <c r="B121" s="2025" t="s">
        <v>112</v>
      </c>
      <c r="C121" s="3473" t="s">
        <v>308</v>
      </c>
      <c r="D121" s="1288">
        <f>E121+F121+G121+H121+I121+J121+K121+L121</f>
        <v>1261265</v>
      </c>
      <c r="E121" s="1321">
        <v>0</v>
      </c>
      <c r="F121" s="2026">
        <f>62454-62454</f>
        <v>0</v>
      </c>
      <c r="G121" s="2026">
        <f>1469763-267251+58753</f>
        <v>1261265</v>
      </c>
      <c r="H121" s="2026"/>
      <c r="I121" s="2026"/>
      <c r="J121" s="2026"/>
      <c r="K121" s="2026"/>
      <c r="L121" s="2026"/>
      <c r="M121" s="1451">
        <f>SUM(F121:K121)</f>
        <v>1261265</v>
      </c>
      <c r="N121" s="1451">
        <f>SUM(G121:L121)</f>
        <v>1261265</v>
      </c>
      <c r="O121" s="4050"/>
    </row>
    <row r="122" spans="1:17" s="293" customFormat="1" ht="13.5" customHeight="1">
      <c r="A122" s="4048"/>
      <c r="B122" s="2027" t="s">
        <v>18</v>
      </c>
      <c r="C122" s="4038" t="s">
        <v>22</v>
      </c>
      <c r="D122" s="1434">
        <f>+D123</f>
        <v>2730860</v>
      </c>
      <c r="E122" s="1434">
        <f t="shared" ref="E122:N122" si="75">+E123</f>
        <v>0</v>
      </c>
      <c r="F122" s="1434">
        <f t="shared" si="75"/>
        <v>11382</v>
      </c>
      <c r="G122" s="1434">
        <f t="shared" si="75"/>
        <v>2719478</v>
      </c>
      <c r="H122" s="1434">
        <f t="shared" si="75"/>
        <v>0</v>
      </c>
      <c r="I122" s="1434">
        <f t="shared" si="75"/>
        <v>0</v>
      </c>
      <c r="J122" s="1434">
        <f t="shared" si="75"/>
        <v>0</v>
      </c>
      <c r="K122" s="1434">
        <f t="shared" si="75"/>
        <v>0</v>
      </c>
      <c r="L122" s="2009"/>
      <c r="M122" s="2010" t="str">
        <f t="shared" si="75"/>
        <v>x</v>
      </c>
      <c r="N122" s="2010" t="str">
        <f t="shared" si="75"/>
        <v>x</v>
      </c>
      <c r="O122" s="4050"/>
    </row>
    <row r="123" spans="1:17" s="293" customFormat="1" ht="12">
      <c r="A123" s="4048"/>
      <c r="B123" s="2025" t="s">
        <v>34</v>
      </c>
      <c r="C123" s="4040"/>
      <c r="D123" s="1288">
        <f>E123+F123+G123+H123+I123+J123+K123+L123</f>
        <v>2730860</v>
      </c>
      <c r="E123" s="1321">
        <v>0</v>
      </c>
      <c r="F123" s="1452">
        <f>22355-10973</f>
        <v>11382</v>
      </c>
      <c r="G123" s="1452">
        <f>2718650+828</f>
        <v>2719478</v>
      </c>
      <c r="H123" s="1452"/>
      <c r="I123" s="1452"/>
      <c r="J123" s="2011"/>
      <c r="K123" s="2011"/>
      <c r="L123" s="2011"/>
      <c r="M123" s="2012" t="s">
        <v>53</v>
      </c>
      <c r="N123" s="2012" t="s">
        <v>53</v>
      </c>
      <c r="O123" s="4050"/>
    </row>
    <row r="124" spans="1:17" s="293" customFormat="1" ht="13.5" customHeight="1">
      <c r="A124" s="4048"/>
      <c r="B124" s="1449" t="s">
        <v>21</v>
      </c>
      <c r="C124" s="2028"/>
      <c r="D124" s="1348">
        <f>D127+D125</f>
        <v>2730860</v>
      </c>
      <c r="E124" s="1348">
        <f t="shared" ref="E124" si="76">E127+E125</f>
        <v>0</v>
      </c>
      <c r="F124" s="1348">
        <f t="shared" ref="F124:G124" si="77">F127+F125</f>
        <v>10200</v>
      </c>
      <c r="G124" s="1348">
        <f t="shared" si="77"/>
        <v>2720660</v>
      </c>
      <c r="H124" s="1348">
        <f>H127+H125</f>
        <v>0</v>
      </c>
      <c r="I124" s="1348">
        <f>I127+I125</f>
        <v>0</v>
      </c>
      <c r="J124" s="1348">
        <f t="shared" ref="J124:K124" si="78">J127+J125</f>
        <v>0</v>
      </c>
      <c r="K124" s="1348">
        <f t="shared" si="78"/>
        <v>0</v>
      </c>
      <c r="L124" s="1348"/>
      <c r="M124" s="4052" t="s">
        <v>53</v>
      </c>
      <c r="N124" s="4052" t="s">
        <v>53</v>
      </c>
      <c r="O124" s="4050"/>
    </row>
    <row r="125" spans="1:17" s="293" customFormat="1" ht="13.5" hidden="1" customHeight="1">
      <c r="A125" s="4048"/>
      <c r="B125" s="1453" t="s">
        <v>23</v>
      </c>
      <c r="C125" s="4075" t="s">
        <v>308</v>
      </c>
      <c r="D125" s="1440">
        <f>+D126</f>
        <v>0</v>
      </c>
      <c r="E125" s="1440">
        <f t="shared" ref="E125:K125" si="79">+E126</f>
        <v>0</v>
      </c>
      <c r="F125" s="1440">
        <f t="shared" si="79"/>
        <v>0</v>
      </c>
      <c r="G125" s="1440">
        <f t="shared" si="79"/>
        <v>0</v>
      </c>
      <c r="H125" s="1440">
        <f t="shared" si="79"/>
        <v>0</v>
      </c>
      <c r="I125" s="1440">
        <f t="shared" si="79"/>
        <v>0</v>
      </c>
      <c r="J125" s="1440">
        <f t="shared" si="79"/>
        <v>0</v>
      </c>
      <c r="K125" s="1440">
        <f t="shared" si="79"/>
        <v>0</v>
      </c>
      <c r="L125" s="1440"/>
      <c r="M125" s="4053"/>
      <c r="N125" s="4053"/>
      <c r="O125" s="4050"/>
    </row>
    <row r="126" spans="1:17" s="293" customFormat="1" ht="12" hidden="1">
      <c r="A126" s="4048"/>
      <c r="B126" s="2025" t="s">
        <v>129</v>
      </c>
      <c r="C126" s="4076"/>
      <c r="D126" s="1288">
        <f>E126+F126+G126+H126+I126+J126+K126+L126</f>
        <v>0</v>
      </c>
      <c r="E126" s="2026"/>
      <c r="F126" s="2026"/>
      <c r="G126" s="2026"/>
      <c r="H126" s="2026"/>
      <c r="I126" s="2026"/>
      <c r="J126" s="2026"/>
      <c r="K126" s="2026"/>
      <c r="L126" s="2026"/>
      <c r="M126" s="4053"/>
      <c r="N126" s="4053"/>
      <c r="O126" s="4050"/>
    </row>
    <row r="127" spans="1:17" s="293" customFormat="1" ht="13.5" customHeight="1">
      <c r="A127" s="4048"/>
      <c r="B127" s="2027" t="s">
        <v>18</v>
      </c>
      <c r="C127" s="4038" t="s">
        <v>22</v>
      </c>
      <c r="D127" s="1434">
        <f>+D128</f>
        <v>2730860</v>
      </c>
      <c r="E127" s="1434">
        <f t="shared" ref="E127:K127" si="80">+E128</f>
        <v>0</v>
      </c>
      <c r="F127" s="1434">
        <f t="shared" si="80"/>
        <v>10200</v>
      </c>
      <c r="G127" s="1434">
        <f t="shared" si="80"/>
        <v>2720660</v>
      </c>
      <c r="H127" s="1434">
        <f t="shared" si="80"/>
        <v>0</v>
      </c>
      <c r="I127" s="1434">
        <f t="shared" si="80"/>
        <v>0</v>
      </c>
      <c r="J127" s="1434">
        <f t="shared" si="80"/>
        <v>0</v>
      </c>
      <c r="K127" s="1434">
        <f t="shared" si="80"/>
        <v>0</v>
      </c>
      <c r="L127" s="1434"/>
      <c r="M127" s="4053"/>
      <c r="N127" s="4053"/>
      <c r="O127" s="4050"/>
    </row>
    <row r="128" spans="1:17" s="293" customFormat="1" ht="12.75" thickBot="1">
      <c r="A128" s="4049"/>
      <c r="B128" s="1454" t="s">
        <v>34</v>
      </c>
      <c r="C128" s="4074"/>
      <c r="D128" s="2031">
        <f>E128+F128+G128+H128+I128+J128+K128+L128</f>
        <v>2730860</v>
      </c>
      <c r="E128" s="1604">
        <v>0</v>
      </c>
      <c r="F128" s="1456">
        <f>22355-12155</f>
        <v>10200</v>
      </c>
      <c r="G128" s="1456">
        <f>2718650+2010</f>
        <v>2720660</v>
      </c>
      <c r="H128" s="1456"/>
      <c r="I128" s="1456"/>
      <c r="J128" s="1456"/>
      <c r="K128" s="1456"/>
      <c r="L128" s="1456"/>
      <c r="M128" s="4044"/>
      <c r="N128" s="4044"/>
      <c r="O128" s="4051"/>
    </row>
    <row r="129" spans="1:15" s="293" customFormat="1" ht="30" customHeight="1">
      <c r="A129" s="4078" t="s">
        <v>82</v>
      </c>
      <c r="B129" s="459" t="s">
        <v>353</v>
      </c>
      <c r="C129" s="2763" t="s">
        <v>73</v>
      </c>
      <c r="D129" s="2764"/>
      <c r="E129" s="356"/>
      <c r="F129" s="356"/>
      <c r="G129" s="356"/>
      <c r="H129" s="356"/>
      <c r="I129" s="356"/>
      <c r="J129" s="356"/>
      <c r="K129" s="356"/>
      <c r="L129" s="1273"/>
      <c r="M129" s="468"/>
      <c r="N129" s="468"/>
      <c r="O129" s="4063" t="s">
        <v>309</v>
      </c>
    </row>
    <row r="130" spans="1:15" s="293" customFormat="1" ht="12">
      <c r="A130" s="4048"/>
      <c r="B130" s="1449" t="s">
        <v>10</v>
      </c>
      <c r="C130" s="2021"/>
      <c r="D130" s="1353">
        <f>+D131+D134</f>
        <v>300000</v>
      </c>
      <c r="E130" s="1353">
        <f t="shared" ref="E130" si="81">+E131+E134</f>
        <v>0</v>
      </c>
      <c r="F130" s="1353">
        <f t="shared" ref="F130:G130" si="82">+F131+F134</f>
        <v>16000</v>
      </c>
      <c r="G130" s="1353">
        <f t="shared" si="82"/>
        <v>284000</v>
      </c>
      <c r="H130" s="1353">
        <f>+H131+H134</f>
        <v>0</v>
      </c>
      <c r="I130" s="1353">
        <f>+I131+I134</f>
        <v>0</v>
      </c>
      <c r="J130" s="1353">
        <f t="shared" ref="J130:K130" si="83">+J131+J134</f>
        <v>0</v>
      </c>
      <c r="K130" s="1353">
        <f t="shared" si="83"/>
        <v>0</v>
      </c>
      <c r="L130" s="1353"/>
      <c r="M130" s="1450">
        <f>+M131</f>
        <v>300000</v>
      </c>
      <c r="N130" s="1450">
        <f>+N131</f>
        <v>284000</v>
      </c>
      <c r="O130" s="4050"/>
    </row>
    <row r="131" spans="1:15" s="293" customFormat="1" ht="12">
      <c r="A131" s="4048"/>
      <c r="B131" s="2022" t="s">
        <v>23</v>
      </c>
      <c r="C131" s="4075" t="s">
        <v>308</v>
      </c>
      <c r="D131" s="1338">
        <f>D133+D132</f>
        <v>300000</v>
      </c>
      <c r="E131" s="1338">
        <f t="shared" ref="E131" si="84">E133+E132</f>
        <v>0</v>
      </c>
      <c r="F131" s="1338">
        <f t="shared" ref="F131:K131" si="85">F133+F132</f>
        <v>16000</v>
      </c>
      <c r="G131" s="1338">
        <f t="shared" si="85"/>
        <v>284000</v>
      </c>
      <c r="H131" s="1338">
        <f t="shared" si="85"/>
        <v>0</v>
      </c>
      <c r="I131" s="1338">
        <f t="shared" si="85"/>
        <v>0</v>
      </c>
      <c r="J131" s="1338">
        <f t="shared" si="85"/>
        <v>0</v>
      </c>
      <c r="K131" s="1338">
        <f t="shared" si="85"/>
        <v>0</v>
      </c>
      <c r="L131" s="1338"/>
      <c r="M131" s="1310">
        <f>+M133</f>
        <v>300000</v>
      </c>
      <c r="N131" s="1310">
        <f>+N133</f>
        <v>284000</v>
      </c>
      <c r="O131" s="4050"/>
    </row>
    <row r="132" spans="1:15" s="293" customFormat="1" ht="13.5" hidden="1" customHeight="1">
      <c r="A132" s="4048"/>
      <c r="B132" s="2023" t="s">
        <v>31</v>
      </c>
      <c r="C132" s="4076"/>
      <c r="D132" s="785">
        <f>E132+F132+G132+H132+I132+J132+K132+L132</f>
        <v>0</v>
      </c>
      <c r="E132" s="1954"/>
      <c r="F132" s="2024">
        <v>0</v>
      </c>
      <c r="G132" s="2024">
        <v>0</v>
      </c>
      <c r="H132" s="2024">
        <v>0</v>
      </c>
      <c r="I132" s="2024">
        <v>0</v>
      </c>
      <c r="J132" s="2003"/>
      <c r="K132" s="2003"/>
      <c r="L132" s="2003"/>
      <c r="M132" s="461" t="s">
        <v>53</v>
      </c>
      <c r="N132" s="461" t="s">
        <v>53</v>
      </c>
      <c r="O132" s="4050"/>
    </row>
    <row r="133" spans="1:15" s="293" customFormat="1" ht="13.5" customHeight="1" thickBot="1">
      <c r="A133" s="4048"/>
      <c r="B133" s="2025" t="s">
        <v>112</v>
      </c>
      <c r="C133" s="4077"/>
      <c r="D133" s="785">
        <f>E133+F133+G133+H133+I133+J133+K133+L133</f>
        <v>300000</v>
      </c>
      <c r="E133" s="1604">
        <v>0</v>
      </c>
      <c r="F133" s="2062">
        <f>50000-34000</f>
        <v>16000</v>
      </c>
      <c r="G133" s="2062">
        <f>250000+34000</f>
        <v>284000</v>
      </c>
      <c r="H133" s="2062"/>
      <c r="I133" s="2062"/>
      <c r="J133" s="2062"/>
      <c r="K133" s="2062"/>
      <c r="L133" s="2062"/>
      <c r="M133" s="2063">
        <f>SUM(F133:K133)</f>
        <v>300000</v>
      </c>
      <c r="N133" s="1451">
        <f>SUM(G133:L133)</f>
        <v>284000</v>
      </c>
      <c r="O133" s="4050"/>
    </row>
    <row r="134" spans="1:15" s="293" customFormat="1" ht="13.5" hidden="1" customHeight="1">
      <c r="A134" s="4048"/>
      <c r="B134" s="2027" t="s">
        <v>18</v>
      </c>
      <c r="C134" s="4038" t="s">
        <v>22</v>
      </c>
      <c r="D134" s="1434">
        <f>+D135</f>
        <v>0</v>
      </c>
      <c r="E134" s="2029">
        <f t="shared" ref="E134:N134" si="86">+E135</f>
        <v>0</v>
      </c>
      <c r="F134" s="2009">
        <f t="shared" si="86"/>
        <v>0</v>
      </c>
      <c r="G134" s="2009">
        <f t="shared" si="86"/>
        <v>0</v>
      </c>
      <c r="H134" s="2009">
        <f t="shared" si="86"/>
        <v>0</v>
      </c>
      <c r="I134" s="2009">
        <f t="shared" si="86"/>
        <v>0</v>
      </c>
      <c r="J134" s="2009">
        <f t="shared" si="86"/>
        <v>0</v>
      </c>
      <c r="K134" s="2009">
        <f t="shared" si="86"/>
        <v>0</v>
      </c>
      <c r="L134" s="2009"/>
      <c r="M134" s="2010" t="str">
        <f t="shared" si="86"/>
        <v>x</v>
      </c>
      <c r="N134" s="2010" t="str">
        <f t="shared" si="86"/>
        <v>x</v>
      </c>
      <c r="O134" s="4050"/>
    </row>
    <row r="135" spans="1:15" s="293" customFormat="1" ht="13.5" hidden="1" customHeight="1">
      <c r="A135" s="4048"/>
      <c r="B135" s="2025" t="s">
        <v>34</v>
      </c>
      <c r="C135" s="4040"/>
      <c r="D135" s="785">
        <f>E135+F135+G135+H135+I135+J135+K135+L135</f>
        <v>0</v>
      </c>
      <c r="E135" s="2046"/>
      <c r="F135" s="1452">
        <v>0</v>
      </c>
      <c r="G135" s="1452">
        <v>0</v>
      </c>
      <c r="H135" s="1452"/>
      <c r="I135" s="1452"/>
      <c r="J135" s="2011"/>
      <c r="K135" s="2011"/>
      <c r="L135" s="2011"/>
      <c r="M135" s="2012" t="s">
        <v>53</v>
      </c>
      <c r="N135" s="2012" t="s">
        <v>53</v>
      </c>
      <c r="O135" s="4050"/>
    </row>
    <row r="136" spans="1:15" s="293" customFormat="1" ht="13.5" hidden="1" customHeight="1">
      <c r="A136" s="4048"/>
      <c r="B136" s="1449" t="s">
        <v>21</v>
      </c>
      <c r="C136" s="2028"/>
      <c r="D136" s="1348">
        <f>D139+D137</f>
        <v>0</v>
      </c>
      <c r="E136" s="2030">
        <f>E139+E137</f>
        <v>0</v>
      </c>
      <c r="F136" s="1348">
        <f t="shared" ref="F136:G136" si="87">F139+F137</f>
        <v>0</v>
      </c>
      <c r="G136" s="1348">
        <f t="shared" si="87"/>
        <v>0</v>
      </c>
      <c r="H136" s="1348">
        <f>H139+H137</f>
        <v>0</v>
      </c>
      <c r="I136" s="1348">
        <f>I139+I137</f>
        <v>0</v>
      </c>
      <c r="J136" s="1348">
        <f t="shared" ref="J136:K136" si="88">J139+J137</f>
        <v>0</v>
      </c>
      <c r="K136" s="1348">
        <f t="shared" si="88"/>
        <v>0</v>
      </c>
      <c r="L136" s="1348"/>
      <c r="M136" s="4052" t="s">
        <v>53</v>
      </c>
      <c r="N136" s="4052" t="s">
        <v>53</v>
      </c>
      <c r="O136" s="4050"/>
    </row>
    <row r="137" spans="1:15" s="293" customFormat="1" ht="13.5" hidden="1" customHeight="1">
      <c r="A137" s="4048"/>
      <c r="B137" s="1453" t="s">
        <v>23</v>
      </c>
      <c r="C137" s="4075" t="s">
        <v>308</v>
      </c>
      <c r="D137" s="1440">
        <f>+D138</f>
        <v>0</v>
      </c>
      <c r="E137" s="2064">
        <f t="shared" ref="E137:K137" si="89">+E138</f>
        <v>0</v>
      </c>
      <c r="F137" s="1440">
        <f t="shared" si="89"/>
        <v>0</v>
      </c>
      <c r="G137" s="1440">
        <f t="shared" si="89"/>
        <v>0</v>
      </c>
      <c r="H137" s="1440">
        <f t="shared" si="89"/>
        <v>0</v>
      </c>
      <c r="I137" s="1440">
        <f t="shared" si="89"/>
        <v>0</v>
      </c>
      <c r="J137" s="1440">
        <f t="shared" si="89"/>
        <v>0</v>
      </c>
      <c r="K137" s="1440">
        <f t="shared" si="89"/>
        <v>0</v>
      </c>
      <c r="L137" s="1440"/>
      <c r="M137" s="4053"/>
      <c r="N137" s="4053"/>
      <c r="O137" s="4050"/>
    </row>
    <row r="138" spans="1:15" s="293" customFormat="1" ht="13.5" hidden="1" customHeight="1">
      <c r="A138" s="4048"/>
      <c r="B138" s="2025" t="s">
        <v>129</v>
      </c>
      <c r="C138" s="4076"/>
      <c r="D138" s="785">
        <f>E138+F138+G138+H138+I138+J138+K138+L138</f>
        <v>0</v>
      </c>
      <c r="E138" s="2046"/>
      <c r="F138" s="2026"/>
      <c r="G138" s="2026"/>
      <c r="H138" s="2026"/>
      <c r="I138" s="2026"/>
      <c r="J138" s="2026"/>
      <c r="K138" s="2026"/>
      <c r="L138" s="2026"/>
      <c r="M138" s="4053"/>
      <c r="N138" s="4053"/>
      <c r="O138" s="4050"/>
    </row>
    <row r="139" spans="1:15" s="293" customFormat="1" ht="13.5" hidden="1" customHeight="1">
      <c r="A139" s="4048"/>
      <c r="B139" s="2027" t="s">
        <v>18</v>
      </c>
      <c r="C139" s="4038" t="s">
        <v>22</v>
      </c>
      <c r="D139" s="1434">
        <f>+D140</f>
        <v>0</v>
      </c>
      <c r="E139" s="2029">
        <f t="shared" ref="E139:K139" si="90">+E140</f>
        <v>0</v>
      </c>
      <c r="F139" s="1434">
        <f t="shared" si="90"/>
        <v>0</v>
      </c>
      <c r="G139" s="1434">
        <f t="shared" si="90"/>
        <v>0</v>
      </c>
      <c r="H139" s="1434">
        <f t="shared" si="90"/>
        <v>0</v>
      </c>
      <c r="I139" s="1434">
        <f t="shared" si="90"/>
        <v>0</v>
      </c>
      <c r="J139" s="1434">
        <f t="shared" si="90"/>
        <v>0</v>
      </c>
      <c r="K139" s="1434">
        <f t="shared" si="90"/>
        <v>0</v>
      </c>
      <c r="L139" s="1434"/>
      <c r="M139" s="4053"/>
      <c r="N139" s="4053"/>
      <c r="O139" s="4050"/>
    </row>
    <row r="140" spans="1:15" s="293" customFormat="1" ht="13.5" hidden="1" customHeight="1" thickBot="1">
      <c r="A140" s="4049"/>
      <c r="B140" s="1454" t="s">
        <v>34</v>
      </c>
      <c r="C140" s="4074"/>
      <c r="D140" s="2031">
        <f>E140+F140+G140+H140+I140+J140+K140+L140</f>
        <v>0</v>
      </c>
      <c r="E140" s="2032"/>
      <c r="F140" s="1456">
        <v>0</v>
      </c>
      <c r="G140" s="1456">
        <v>0</v>
      </c>
      <c r="H140" s="1456"/>
      <c r="I140" s="1456"/>
      <c r="J140" s="1456"/>
      <c r="K140" s="1456"/>
      <c r="L140" s="1456"/>
      <c r="M140" s="4044"/>
      <c r="N140" s="4044"/>
      <c r="O140" s="4051"/>
    </row>
    <row r="141" spans="1:15" s="293" customFormat="1" ht="39.75" customHeight="1">
      <c r="A141" s="4078" t="s">
        <v>83</v>
      </c>
      <c r="B141" s="459" t="s">
        <v>440</v>
      </c>
      <c r="C141" s="2763" t="s">
        <v>73</v>
      </c>
      <c r="D141" s="2764"/>
      <c r="E141" s="356"/>
      <c r="F141" s="356"/>
      <c r="G141" s="356"/>
      <c r="H141" s="356"/>
      <c r="I141" s="356"/>
      <c r="J141" s="356"/>
      <c r="K141" s="356"/>
      <c r="L141" s="1273"/>
      <c r="M141" s="468"/>
      <c r="N141" s="468"/>
      <c r="O141" s="4063" t="s">
        <v>400</v>
      </c>
    </row>
    <row r="142" spans="1:15" s="293" customFormat="1" ht="13.5" customHeight="1">
      <c r="A142" s="4048"/>
      <c r="B142" s="1449" t="s">
        <v>10</v>
      </c>
      <c r="C142" s="2021"/>
      <c r="D142" s="1353">
        <f>+D143+D147</f>
        <v>3503619</v>
      </c>
      <c r="E142" s="1353">
        <f t="shared" ref="E142:G142" si="91">+E143+E147</f>
        <v>0</v>
      </c>
      <c r="F142" s="1353">
        <f t="shared" si="91"/>
        <v>41820</v>
      </c>
      <c r="G142" s="1353">
        <f t="shared" si="91"/>
        <v>343853</v>
      </c>
      <c r="H142" s="1353">
        <f>+H143+H147</f>
        <v>3117946</v>
      </c>
      <c r="I142" s="1353">
        <f>+I143+I147</f>
        <v>0</v>
      </c>
      <c r="J142" s="1353">
        <f t="shared" ref="J142:K142" si="92">+J143+J147</f>
        <v>0</v>
      </c>
      <c r="K142" s="1353">
        <f t="shared" si="92"/>
        <v>0</v>
      </c>
      <c r="L142" s="1353"/>
      <c r="M142" s="1450">
        <f>+M143</f>
        <v>606910</v>
      </c>
      <c r="N142" s="1450">
        <f>+N143</f>
        <v>606910</v>
      </c>
      <c r="O142" s="4050"/>
    </row>
    <row r="143" spans="1:15" s="293" customFormat="1" ht="13.5" customHeight="1">
      <c r="A143" s="4048"/>
      <c r="B143" s="2022" t="s">
        <v>23</v>
      </c>
      <c r="C143" s="3420"/>
      <c r="D143" s="1338">
        <f>D145+D144+D146</f>
        <v>1052313</v>
      </c>
      <c r="E143" s="1338">
        <f t="shared" ref="E143:L143" si="93">E145+E144+E146</f>
        <v>0</v>
      </c>
      <c r="F143" s="1338">
        <f t="shared" si="93"/>
        <v>17170</v>
      </c>
      <c r="G143" s="1338">
        <f t="shared" si="93"/>
        <v>87332</v>
      </c>
      <c r="H143" s="1338">
        <f t="shared" si="93"/>
        <v>947811</v>
      </c>
      <c r="I143" s="1338">
        <f t="shared" si="93"/>
        <v>0</v>
      </c>
      <c r="J143" s="1338">
        <f t="shared" si="93"/>
        <v>0</v>
      </c>
      <c r="K143" s="1338">
        <f t="shared" si="93"/>
        <v>0</v>
      </c>
      <c r="L143" s="1338">
        <f t="shared" si="93"/>
        <v>0</v>
      </c>
      <c r="M143" s="1310">
        <f>+M145</f>
        <v>606910</v>
      </c>
      <c r="N143" s="1310">
        <f>+N145</f>
        <v>606910</v>
      </c>
      <c r="O143" s="4050"/>
    </row>
    <row r="144" spans="1:15" s="293" customFormat="1" ht="12">
      <c r="A144" s="4048"/>
      <c r="B144" s="2023" t="s">
        <v>31</v>
      </c>
      <c r="C144" s="3472" t="s">
        <v>22</v>
      </c>
      <c r="D144" s="1288">
        <f>E144+F144+G144+H144+I144+J144+K144+L144</f>
        <v>12820</v>
      </c>
      <c r="E144" s="1321"/>
      <c r="F144" s="2024">
        <v>12820</v>
      </c>
      <c r="G144" s="2024">
        <v>0</v>
      </c>
      <c r="H144" s="2024">
        <v>0</v>
      </c>
      <c r="I144" s="2024">
        <v>0</v>
      </c>
      <c r="J144" s="2003"/>
      <c r="K144" s="2003"/>
      <c r="L144" s="2003"/>
      <c r="M144" s="461" t="s">
        <v>53</v>
      </c>
      <c r="N144" s="461" t="s">
        <v>53</v>
      </c>
      <c r="O144" s="4050"/>
    </row>
    <row r="145" spans="1:76" s="293" customFormat="1" ht="12">
      <c r="A145" s="4048"/>
      <c r="B145" s="2025" t="s">
        <v>112</v>
      </c>
      <c r="C145" s="3473" t="s">
        <v>150</v>
      </c>
      <c r="D145" s="1288">
        <f>E145+F145+G145+H145+I145+J145+K145+L145</f>
        <v>606910</v>
      </c>
      <c r="E145" s="1321"/>
      <c r="F145" s="2026">
        <v>0</v>
      </c>
      <c r="G145" s="2026">
        <f>308599-92006-174529</f>
        <v>42064</v>
      </c>
      <c r="H145" s="2026">
        <f>298311+92006+174529</f>
        <v>564846</v>
      </c>
      <c r="I145" s="2026"/>
      <c r="J145" s="2026"/>
      <c r="K145" s="2026"/>
      <c r="L145" s="2026"/>
      <c r="M145" s="1451">
        <f>SUM(F145:K145)</f>
        <v>606910</v>
      </c>
      <c r="N145" s="1451">
        <f>SUM(G145:L145)</f>
        <v>606910</v>
      </c>
      <c r="O145" s="4050"/>
    </row>
    <row r="146" spans="1:76" s="293" customFormat="1" ht="12.75" customHeight="1">
      <c r="A146" s="4048"/>
      <c r="B146" s="2025" t="s">
        <v>397</v>
      </c>
      <c r="C146" s="4038" t="s">
        <v>22</v>
      </c>
      <c r="D146" s="1288">
        <f>E146+F146+G146+H146+I146+J146+K146+L146</f>
        <v>432583</v>
      </c>
      <c r="E146" s="1321"/>
      <c r="F146" s="2026">
        <v>4350</v>
      </c>
      <c r="G146" s="2026">
        <f>222704-64948-112488</f>
        <v>45268</v>
      </c>
      <c r="H146" s="2026">
        <f>205529+64948+112488</f>
        <v>382965</v>
      </c>
      <c r="I146" s="2026"/>
      <c r="J146" s="2026"/>
      <c r="K146" s="2026"/>
      <c r="L146" s="2033"/>
      <c r="M146" s="2034"/>
      <c r="N146" s="2034"/>
      <c r="O146" s="4050"/>
    </row>
    <row r="147" spans="1:76" s="293" customFormat="1" ht="13.5" customHeight="1">
      <c r="A147" s="4048"/>
      <c r="B147" s="2027" t="s">
        <v>18</v>
      </c>
      <c r="C147" s="4079"/>
      <c r="D147" s="1434">
        <f>+D148</f>
        <v>2451306</v>
      </c>
      <c r="E147" s="1434">
        <f t="shared" ref="E147:N147" si="94">+E148</f>
        <v>0</v>
      </c>
      <c r="F147" s="1434">
        <f t="shared" si="94"/>
        <v>24650</v>
      </c>
      <c r="G147" s="1434">
        <f t="shared" si="94"/>
        <v>256521</v>
      </c>
      <c r="H147" s="1434">
        <f t="shared" si="94"/>
        <v>2170135</v>
      </c>
      <c r="I147" s="1434">
        <f t="shared" si="94"/>
        <v>0</v>
      </c>
      <c r="J147" s="1434">
        <f t="shared" si="94"/>
        <v>0</v>
      </c>
      <c r="K147" s="1434">
        <f t="shared" si="94"/>
        <v>0</v>
      </c>
      <c r="L147" s="2009"/>
      <c r="M147" s="2010" t="str">
        <f t="shared" si="94"/>
        <v>x</v>
      </c>
      <c r="N147" s="2010" t="str">
        <f t="shared" si="94"/>
        <v>x</v>
      </c>
      <c r="O147" s="4050"/>
    </row>
    <row r="148" spans="1:76" s="293" customFormat="1" ht="13.5" customHeight="1">
      <c r="A148" s="4048"/>
      <c r="B148" s="2025" t="s">
        <v>34</v>
      </c>
      <c r="C148" s="4040"/>
      <c r="D148" s="1288">
        <f>E148+F148+G148+H148+I148+J148+K148+L148</f>
        <v>2451306</v>
      </c>
      <c r="E148" s="1321">
        <v>0</v>
      </c>
      <c r="F148" s="1452">
        <v>24650</v>
      </c>
      <c r="G148" s="1452">
        <f>1261991-368039-637431</f>
        <v>256521</v>
      </c>
      <c r="H148" s="1452">
        <f>1164665+368039+637431</f>
        <v>2170135</v>
      </c>
      <c r="I148" s="1452"/>
      <c r="J148" s="2011"/>
      <c r="K148" s="2011"/>
      <c r="L148" s="2011"/>
      <c r="M148" s="2012" t="s">
        <v>53</v>
      </c>
      <c r="N148" s="2012" t="s">
        <v>53</v>
      </c>
      <c r="O148" s="4050"/>
    </row>
    <row r="149" spans="1:76" s="293" customFormat="1" ht="13.5" customHeight="1">
      <c r="A149" s="4048"/>
      <c r="B149" s="1449" t="s">
        <v>21</v>
      </c>
      <c r="C149" s="2028"/>
      <c r="D149" s="1348">
        <f>D153+D150</f>
        <v>3490799</v>
      </c>
      <c r="E149" s="1348">
        <f t="shared" ref="E149:G149" si="95">E153+E150</f>
        <v>0</v>
      </c>
      <c r="F149" s="1348">
        <f t="shared" si="95"/>
        <v>0</v>
      </c>
      <c r="G149" s="1348">
        <f t="shared" si="95"/>
        <v>261593</v>
      </c>
      <c r="H149" s="1348">
        <f>H153+H150</f>
        <v>3229206</v>
      </c>
      <c r="I149" s="1348">
        <f>I153+I150</f>
        <v>0</v>
      </c>
      <c r="J149" s="1348">
        <f t="shared" ref="J149:K149" si="96">J153+J150</f>
        <v>0</v>
      </c>
      <c r="K149" s="1348">
        <f t="shared" si="96"/>
        <v>0</v>
      </c>
      <c r="L149" s="1348"/>
      <c r="M149" s="4052" t="s">
        <v>53</v>
      </c>
      <c r="N149" s="4052" t="s">
        <v>53</v>
      </c>
      <c r="O149" s="4050"/>
    </row>
    <row r="150" spans="1:76" s="293" customFormat="1" ht="13.5" customHeight="1">
      <c r="A150" s="4048"/>
      <c r="B150" s="1453" t="s">
        <v>23</v>
      </c>
      <c r="C150" s="4075" t="s">
        <v>150</v>
      </c>
      <c r="D150" s="1440">
        <f>+D151+D152</f>
        <v>1039493</v>
      </c>
      <c r="E150" s="1440">
        <f t="shared" ref="E150:K150" si="97">+E151+E152</f>
        <v>0</v>
      </c>
      <c r="F150" s="1440">
        <f t="shared" si="97"/>
        <v>0</v>
      </c>
      <c r="G150" s="1440">
        <f t="shared" si="97"/>
        <v>56012</v>
      </c>
      <c r="H150" s="1440">
        <f t="shared" si="97"/>
        <v>983481</v>
      </c>
      <c r="I150" s="1440">
        <f t="shared" si="97"/>
        <v>0</v>
      </c>
      <c r="J150" s="1440">
        <f t="shared" si="97"/>
        <v>0</v>
      </c>
      <c r="K150" s="1440">
        <f t="shared" si="97"/>
        <v>0</v>
      </c>
      <c r="L150" s="1440"/>
      <c r="M150" s="4053"/>
      <c r="N150" s="4053"/>
      <c r="O150" s="4050"/>
    </row>
    <row r="151" spans="1:76" s="293" customFormat="1" ht="12">
      <c r="A151" s="4048"/>
      <c r="B151" s="2025" t="s">
        <v>137</v>
      </c>
      <c r="C151" s="4077"/>
      <c r="D151" s="1288">
        <f>E151+F151+G151+H151+I151+J151+K151+L151</f>
        <v>606910</v>
      </c>
      <c r="E151" s="1321">
        <v>0</v>
      </c>
      <c r="F151" s="2026"/>
      <c r="G151" s="2026">
        <f>308599-173062-115804</f>
        <v>19733</v>
      </c>
      <c r="H151" s="2026">
        <f>298311+173062+115804</f>
        <v>587177</v>
      </c>
      <c r="I151" s="2026"/>
      <c r="J151" s="2026"/>
      <c r="K151" s="2026"/>
      <c r="L151" s="2026"/>
      <c r="M151" s="4053"/>
      <c r="N151" s="4053"/>
      <c r="O151" s="4050"/>
    </row>
    <row r="152" spans="1:76" s="293" customFormat="1" ht="12">
      <c r="A152" s="4048"/>
      <c r="B152" s="2025" t="s">
        <v>397</v>
      </c>
      <c r="C152" s="4079" t="s">
        <v>22</v>
      </c>
      <c r="D152" s="1288">
        <f>E152+F152+G152+H152+I152+J152+K152+L152</f>
        <v>432583</v>
      </c>
      <c r="E152" s="1321"/>
      <c r="F152" s="2026"/>
      <c r="G152" s="2026">
        <f>227054-70304-120471</f>
        <v>36279</v>
      </c>
      <c r="H152" s="2026">
        <f>205529+70304+120471</f>
        <v>396304</v>
      </c>
      <c r="I152" s="2026"/>
      <c r="J152" s="2026"/>
      <c r="K152" s="2026"/>
      <c r="L152" s="2026"/>
      <c r="M152" s="4053"/>
      <c r="N152" s="4053"/>
      <c r="O152" s="4050"/>
    </row>
    <row r="153" spans="1:76" ht="14.25" customHeight="1">
      <c r="A153" s="4048"/>
      <c r="B153" s="2027" t="s">
        <v>18</v>
      </c>
      <c r="C153" s="4079"/>
      <c r="D153" s="1434">
        <f>+D154</f>
        <v>2451306</v>
      </c>
      <c r="E153" s="1434">
        <f t="shared" ref="E153:K153" si="98">+E154</f>
        <v>0</v>
      </c>
      <c r="F153" s="1434">
        <f t="shared" si="98"/>
        <v>0</v>
      </c>
      <c r="G153" s="1434">
        <f t="shared" si="98"/>
        <v>205581</v>
      </c>
      <c r="H153" s="1434">
        <f t="shared" si="98"/>
        <v>2245725</v>
      </c>
      <c r="I153" s="1434">
        <f t="shared" si="98"/>
        <v>0</v>
      </c>
      <c r="J153" s="1434">
        <f t="shared" si="98"/>
        <v>0</v>
      </c>
      <c r="K153" s="1434">
        <f t="shared" si="98"/>
        <v>0</v>
      </c>
      <c r="L153" s="1434"/>
      <c r="M153" s="4053"/>
      <c r="N153" s="4053"/>
      <c r="O153" s="4050"/>
      <c r="P153" s="293"/>
      <c r="Q153" s="293"/>
      <c r="R153" s="293"/>
      <c r="S153" s="293"/>
      <c r="T153" s="293"/>
      <c r="U153" s="293"/>
      <c r="V153" s="293"/>
      <c r="W153" s="293"/>
      <c r="X153" s="293"/>
      <c r="Y153" s="293"/>
      <c r="Z153" s="293"/>
      <c r="AA153" s="293"/>
      <c r="AB153" s="293"/>
      <c r="AC153" s="293"/>
      <c r="AD153" s="293"/>
      <c r="AE153" s="293"/>
      <c r="AF153" s="293"/>
      <c r="AG153" s="293"/>
      <c r="AH153" s="293"/>
      <c r="AI153" s="293"/>
      <c r="AJ153" s="293"/>
      <c r="AK153" s="293"/>
      <c r="AL153" s="293"/>
      <c r="AM153" s="293"/>
      <c r="AN153" s="293"/>
      <c r="AO153" s="293"/>
      <c r="AP153" s="293"/>
      <c r="AQ153" s="293"/>
      <c r="AR153" s="293"/>
      <c r="AS153" s="293"/>
      <c r="AT153" s="293"/>
      <c r="AU153" s="293"/>
      <c r="AV153" s="293"/>
      <c r="AW153" s="293"/>
      <c r="AX153" s="293"/>
      <c r="AY153" s="293"/>
      <c r="AZ153" s="293"/>
      <c r="BA153" s="293"/>
      <c r="BB153" s="293"/>
      <c r="BC153" s="293"/>
      <c r="BD153" s="293"/>
      <c r="BE153" s="293"/>
      <c r="BF153" s="293"/>
      <c r="BG153" s="293"/>
      <c r="BH153" s="293"/>
      <c r="BI153" s="293"/>
      <c r="BJ153" s="293"/>
      <c r="BK153" s="293"/>
      <c r="BL153" s="293"/>
      <c r="BM153" s="293"/>
      <c r="BN153" s="293"/>
      <c r="BO153" s="293"/>
      <c r="BP153" s="293"/>
      <c r="BQ153" s="293"/>
      <c r="BR153" s="293"/>
      <c r="BS153" s="293"/>
      <c r="BT153" s="293"/>
      <c r="BU153" s="293"/>
      <c r="BV153" s="293"/>
      <c r="BW153" s="293"/>
      <c r="BX153" s="293"/>
    </row>
    <row r="154" spans="1:76" ht="13.5" customHeight="1" thickBot="1">
      <c r="A154" s="4049"/>
      <c r="B154" s="1454" t="s">
        <v>34</v>
      </c>
      <c r="C154" s="4074"/>
      <c r="D154" s="1643">
        <f>E154+F154+G154+H154+I154+J154+K154+L154</f>
        <v>2451306</v>
      </c>
      <c r="E154" s="1604">
        <v>0</v>
      </c>
      <c r="F154" s="1456">
        <v>0</v>
      </c>
      <c r="G154" s="1456">
        <f>1286641-398390-682670</f>
        <v>205581</v>
      </c>
      <c r="H154" s="1456">
        <f>1164665+398390+682670</f>
        <v>2245725</v>
      </c>
      <c r="I154" s="1456"/>
      <c r="J154" s="1456"/>
      <c r="K154" s="1456"/>
      <c r="L154" s="1456"/>
      <c r="M154" s="4044"/>
      <c r="N154" s="4044"/>
      <c r="O154" s="4051"/>
    </row>
    <row r="155" spans="1:76" ht="28.5" customHeight="1">
      <c r="A155" s="4078" t="s">
        <v>84</v>
      </c>
      <c r="B155" s="459" t="s">
        <v>492</v>
      </c>
      <c r="C155" s="2763" t="s">
        <v>100</v>
      </c>
      <c r="D155" s="2764"/>
      <c r="E155" s="356"/>
      <c r="F155" s="356"/>
      <c r="G155" s="356"/>
      <c r="H155" s="356"/>
      <c r="I155" s="356"/>
      <c r="J155" s="356"/>
      <c r="K155" s="356"/>
      <c r="L155" s="1273"/>
      <c r="M155" s="451"/>
      <c r="N155" s="451"/>
      <c r="O155" s="4063" t="s">
        <v>149</v>
      </c>
    </row>
    <row r="156" spans="1:76" ht="14.25" customHeight="1">
      <c r="A156" s="4048"/>
      <c r="B156" s="1449" t="s">
        <v>10</v>
      </c>
      <c r="C156" s="2021"/>
      <c r="D156" s="1353">
        <f>+D157+D160</f>
        <v>5273902</v>
      </c>
      <c r="E156" s="1353">
        <f t="shared" ref="E156:G156" si="99">+E157+E160</f>
        <v>6055</v>
      </c>
      <c r="F156" s="1353">
        <f t="shared" si="99"/>
        <v>1200</v>
      </c>
      <c r="G156" s="1353">
        <f t="shared" si="99"/>
        <v>1388715</v>
      </c>
      <c r="H156" s="1353">
        <f>+H157+H160</f>
        <v>2671444</v>
      </c>
      <c r="I156" s="1353">
        <f>+I157+I160</f>
        <v>1206488</v>
      </c>
      <c r="J156" s="1353">
        <f t="shared" ref="J156:K156" si="100">+J157+J160</f>
        <v>0</v>
      </c>
      <c r="K156" s="1353">
        <f t="shared" si="100"/>
        <v>0</v>
      </c>
      <c r="L156" s="1353"/>
      <c r="M156" s="1450">
        <f>+M157</f>
        <v>1473150</v>
      </c>
      <c r="N156" s="1450">
        <f>+N157</f>
        <v>1473150</v>
      </c>
      <c r="O156" s="4050"/>
    </row>
    <row r="157" spans="1:76" ht="12" customHeight="1">
      <c r="A157" s="4048"/>
      <c r="B157" s="2022" t="s">
        <v>23</v>
      </c>
      <c r="C157" s="3420"/>
      <c r="D157" s="1338">
        <f>D159+D158</f>
        <v>1480405</v>
      </c>
      <c r="E157" s="1338">
        <f t="shared" ref="E157:K157" si="101">E159+E158</f>
        <v>6055</v>
      </c>
      <c r="F157" s="1338">
        <f t="shared" si="101"/>
        <v>1200</v>
      </c>
      <c r="G157" s="1338">
        <f t="shared" si="101"/>
        <v>370622</v>
      </c>
      <c r="H157" s="1338">
        <f t="shared" si="101"/>
        <v>778267</v>
      </c>
      <c r="I157" s="1338">
        <f t="shared" si="101"/>
        <v>324261</v>
      </c>
      <c r="J157" s="1338">
        <f t="shared" si="101"/>
        <v>0</v>
      </c>
      <c r="K157" s="1338">
        <f t="shared" si="101"/>
        <v>0</v>
      </c>
      <c r="L157" s="1338"/>
      <c r="M157" s="1310">
        <f>+M159</f>
        <v>1473150</v>
      </c>
      <c r="N157" s="1310">
        <f>+N159</f>
        <v>1473150</v>
      </c>
      <c r="O157" s="4050"/>
    </row>
    <row r="158" spans="1:76" ht="12" customHeight="1">
      <c r="A158" s="4048"/>
      <c r="B158" s="2023" t="s">
        <v>31</v>
      </c>
      <c r="C158" s="3419" t="s">
        <v>22</v>
      </c>
      <c r="D158" s="1288">
        <f>E158+F158+G158+H158+I158+J158+K158+L158</f>
        <v>7255</v>
      </c>
      <c r="E158" s="1321">
        <f>2279+3776</f>
        <v>6055</v>
      </c>
      <c r="F158" s="2024">
        <v>1200</v>
      </c>
      <c r="G158" s="2024">
        <v>0</v>
      </c>
      <c r="H158" s="2024">
        <v>0</v>
      </c>
      <c r="I158" s="2024">
        <v>0</v>
      </c>
      <c r="J158" s="2003"/>
      <c r="K158" s="2003"/>
      <c r="L158" s="2003"/>
      <c r="M158" s="461" t="s">
        <v>53</v>
      </c>
      <c r="N158" s="461" t="s">
        <v>53</v>
      </c>
      <c r="O158" s="4050"/>
    </row>
    <row r="159" spans="1:76" ht="14.25" customHeight="1">
      <c r="A159" s="4048"/>
      <c r="B159" s="2025" t="s">
        <v>112</v>
      </c>
      <c r="C159" s="3421" t="s">
        <v>150</v>
      </c>
      <c r="D159" s="1288">
        <f>E159+F159+G159+H159+I159+J159+K159+L159</f>
        <v>1473150</v>
      </c>
      <c r="E159" s="1321"/>
      <c r="F159" s="2026">
        <v>0</v>
      </c>
      <c r="G159" s="2026">
        <f>453927-83305</f>
        <v>370622</v>
      </c>
      <c r="H159" s="2026">
        <f>614097+164170</f>
        <v>778267</v>
      </c>
      <c r="I159" s="2026">
        <f>278912+45349</f>
        <v>324261</v>
      </c>
      <c r="J159" s="2026"/>
      <c r="K159" s="2026"/>
      <c r="L159" s="2026"/>
      <c r="M159" s="1451">
        <f>SUM(F159:K159)</f>
        <v>1473150</v>
      </c>
      <c r="N159" s="1451">
        <f>SUM(G159:L159)</f>
        <v>1473150</v>
      </c>
      <c r="O159" s="4050"/>
    </row>
    <row r="160" spans="1:76" ht="12">
      <c r="A160" s="4048"/>
      <c r="B160" s="2027" t="s">
        <v>18</v>
      </c>
      <c r="C160" s="4038" t="s">
        <v>22</v>
      </c>
      <c r="D160" s="1434">
        <f>+D161</f>
        <v>3793497</v>
      </c>
      <c r="E160" s="1434">
        <f t="shared" ref="E160:N160" si="102">+E161</f>
        <v>0</v>
      </c>
      <c r="F160" s="1434">
        <f t="shared" si="102"/>
        <v>0</v>
      </c>
      <c r="G160" s="1434">
        <f t="shared" si="102"/>
        <v>1018093</v>
      </c>
      <c r="H160" s="1434">
        <f t="shared" si="102"/>
        <v>1893177</v>
      </c>
      <c r="I160" s="1434">
        <f t="shared" si="102"/>
        <v>882227</v>
      </c>
      <c r="J160" s="1434">
        <f t="shared" si="102"/>
        <v>0</v>
      </c>
      <c r="K160" s="1434">
        <f t="shared" si="102"/>
        <v>0</v>
      </c>
      <c r="L160" s="2009"/>
      <c r="M160" s="2010" t="str">
        <f t="shared" si="102"/>
        <v>x</v>
      </c>
      <c r="N160" s="2010" t="str">
        <f t="shared" si="102"/>
        <v>x</v>
      </c>
      <c r="O160" s="4050"/>
    </row>
    <row r="161" spans="1:15" ht="12">
      <c r="A161" s="4048"/>
      <c r="B161" s="2025" t="s">
        <v>34</v>
      </c>
      <c r="C161" s="4040"/>
      <c r="D161" s="1288">
        <f>E161+F161+G161+H161+I161+J161+K161+L161</f>
        <v>3793497</v>
      </c>
      <c r="E161" s="1321">
        <v>0</v>
      </c>
      <c r="F161" s="1452">
        <v>0</v>
      </c>
      <c r="G161" s="1452">
        <f>1197070-178977</f>
        <v>1018093</v>
      </c>
      <c r="H161" s="1452">
        <f>1496559+396618</f>
        <v>1893177</v>
      </c>
      <c r="I161" s="1452">
        <f>729656+152571</f>
        <v>882227</v>
      </c>
      <c r="J161" s="2011"/>
      <c r="K161" s="2011"/>
      <c r="L161" s="2011"/>
      <c r="M161" s="2012" t="s">
        <v>53</v>
      </c>
      <c r="N161" s="2012" t="s">
        <v>53</v>
      </c>
      <c r="O161" s="4050"/>
    </row>
    <row r="162" spans="1:15" ht="13.5" customHeight="1">
      <c r="A162" s="4048"/>
      <c r="B162" s="1449" t="s">
        <v>21</v>
      </c>
      <c r="C162" s="2028"/>
      <c r="D162" s="1348">
        <f>D165+D163</f>
        <v>4604546</v>
      </c>
      <c r="E162" s="1348">
        <f t="shared" ref="E162:G162" si="103">E165+E163</f>
        <v>0</v>
      </c>
      <c r="F162" s="1348">
        <f t="shared" si="103"/>
        <v>0</v>
      </c>
      <c r="G162" s="1348">
        <f t="shared" si="103"/>
        <v>1021307</v>
      </c>
      <c r="H162" s="1348">
        <f>H165+H163</f>
        <v>2197354</v>
      </c>
      <c r="I162" s="1348">
        <f>I165+I163</f>
        <v>1385885</v>
      </c>
      <c r="J162" s="1348">
        <f t="shared" ref="J162:K162" si="104">J165+J163</f>
        <v>0</v>
      </c>
      <c r="K162" s="1348">
        <f t="shared" si="104"/>
        <v>0</v>
      </c>
      <c r="L162" s="1348"/>
      <c r="M162" s="4052" t="s">
        <v>53</v>
      </c>
      <c r="N162" s="4052" t="s">
        <v>53</v>
      </c>
      <c r="O162" s="4050"/>
    </row>
    <row r="163" spans="1:15" ht="12">
      <c r="A163" s="4048"/>
      <c r="B163" s="1453" t="s">
        <v>23</v>
      </c>
      <c r="C163" s="4075" t="s">
        <v>150</v>
      </c>
      <c r="D163" s="1440">
        <f>+D164</f>
        <v>811049</v>
      </c>
      <c r="E163" s="1440">
        <f t="shared" ref="E163:K163" si="105">+E164</f>
        <v>0</v>
      </c>
      <c r="F163" s="1440">
        <f t="shared" si="105"/>
        <v>0</v>
      </c>
      <c r="G163" s="1440">
        <f t="shared" si="105"/>
        <v>153214</v>
      </c>
      <c r="H163" s="1440">
        <f t="shared" si="105"/>
        <v>424177</v>
      </c>
      <c r="I163" s="1440">
        <f t="shared" si="105"/>
        <v>233658</v>
      </c>
      <c r="J163" s="1440">
        <f t="shared" si="105"/>
        <v>0</v>
      </c>
      <c r="K163" s="1440">
        <f t="shared" si="105"/>
        <v>0</v>
      </c>
      <c r="L163" s="1440"/>
      <c r="M163" s="4053"/>
      <c r="N163" s="4053"/>
      <c r="O163" s="4050"/>
    </row>
    <row r="164" spans="1:15" ht="12">
      <c r="A164" s="4048"/>
      <c r="B164" s="2025" t="s">
        <v>137</v>
      </c>
      <c r="C164" s="4076"/>
      <c r="D164" s="1288">
        <f>E164+F164+G164+H164+I164+J164+K164+L164</f>
        <v>811049</v>
      </c>
      <c r="E164" s="1321">
        <v>0</v>
      </c>
      <c r="F164" s="2026"/>
      <c r="G164" s="2026">
        <f>253104-99890</f>
        <v>153214</v>
      </c>
      <c r="H164" s="2026">
        <f>349998+74179</f>
        <v>424177</v>
      </c>
      <c r="I164" s="2026">
        <f>147063+86595</f>
        <v>233658</v>
      </c>
      <c r="J164" s="2026"/>
      <c r="K164" s="2026"/>
      <c r="L164" s="2026"/>
      <c r="M164" s="4053"/>
      <c r="N164" s="4053"/>
      <c r="O164" s="4050"/>
    </row>
    <row r="165" spans="1:15" ht="12">
      <c r="A165" s="4048"/>
      <c r="B165" s="2027" t="s">
        <v>18</v>
      </c>
      <c r="C165" s="4038" t="s">
        <v>22</v>
      </c>
      <c r="D165" s="1434">
        <f>+D166</f>
        <v>3793497</v>
      </c>
      <c r="E165" s="1434">
        <f t="shared" ref="E165:K165" si="106">+E166</f>
        <v>0</v>
      </c>
      <c r="F165" s="1434">
        <f t="shared" si="106"/>
        <v>0</v>
      </c>
      <c r="G165" s="1434">
        <f t="shared" si="106"/>
        <v>868093</v>
      </c>
      <c r="H165" s="1434">
        <f t="shared" si="106"/>
        <v>1773177</v>
      </c>
      <c r="I165" s="1434">
        <f t="shared" si="106"/>
        <v>1152227</v>
      </c>
      <c r="J165" s="1434">
        <f t="shared" si="106"/>
        <v>0</v>
      </c>
      <c r="K165" s="1434">
        <f t="shared" si="106"/>
        <v>0</v>
      </c>
      <c r="L165" s="1434"/>
      <c r="M165" s="4053"/>
      <c r="N165" s="4053"/>
      <c r="O165" s="4050"/>
    </row>
    <row r="166" spans="1:15" ht="12.75" thickBot="1">
      <c r="A166" s="4049"/>
      <c r="B166" s="1454" t="s">
        <v>34</v>
      </c>
      <c r="C166" s="4074"/>
      <c r="D166" s="1455">
        <f>E166+F166+G166+H166+I166+J166+K166+L166</f>
        <v>3793497</v>
      </c>
      <c r="E166" s="1604">
        <v>0</v>
      </c>
      <c r="F166" s="1456">
        <v>0</v>
      </c>
      <c r="G166" s="1456">
        <f>1197070-328977</f>
        <v>868093</v>
      </c>
      <c r="H166" s="1456">
        <f>1496559+276618</f>
        <v>1773177</v>
      </c>
      <c r="I166" s="1456">
        <f>729656+422571</f>
        <v>1152227</v>
      </c>
      <c r="J166" s="1456"/>
      <c r="K166" s="1456"/>
      <c r="L166" s="1456"/>
      <c r="M166" s="4044"/>
      <c r="N166" s="4044"/>
      <c r="O166" s="4051"/>
    </row>
    <row r="167" spans="1:15" ht="29.25" customHeight="1">
      <c r="A167" s="4078" t="s">
        <v>85</v>
      </c>
      <c r="B167" s="459" t="s">
        <v>493</v>
      </c>
      <c r="C167" s="2763" t="s">
        <v>73</v>
      </c>
      <c r="D167" s="2764"/>
      <c r="E167" s="356"/>
      <c r="F167" s="356"/>
      <c r="G167" s="356"/>
      <c r="H167" s="356"/>
      <c r="I167" s="356"/>
      <c r="J167" s="356"/>
      <c r="K167" s="356"/>
      <c r="L167" s="1273"/>
      <c r="M167" s="451"/>
      <c r="N167" s="451"/>
      <c r="O167" s="4063" t="s">
        <v>400</v>
      </c>
    </row>
    <row r="168" spans="1:15" ht="14.25" customHeight="1">
      <c r="A168" s="4048"/>
      <c r="B168" s="424" t="s">
        <v>10</v>
      </c>
      <c r="C168" s="460"/>
      <c r="D168" s="449">
        <f>+D169+D172</f>
        <v>2223195</v>
      </c>
      <c r="E168" s="449">
        <f t="shared" ref="E168:F168" si="107">+E169+E172</f>
        <v>6118</v>
      </c>
      <c r="F168" s="449">
        <f t="shared" si="107"/>
        <v>0</v>
      </c>
      <c r="G168" s="449">
        <f>+G169+G172</f>
        <v>281943</v>
      </c>
      <c r="H168" s="449">
        <f>+H169+H172</f>
        <v>1935134</v>
      </c>
      <c r="I168" s="449">
        <f>+I169+I172</f>
        <v>0</v>
      </c>
      <c r="J168" s="449">
        <f t="shared" ref="J168:K168" si="108">+J169+J172</f>
        <v>0</v>
      </c>
      <c r="K168" s="449">
        <f t="shared" si="108"/>
        <v>0</v>
      </c>
      <c r="L168" s="449"/>
      <c r="M168" s="452">
        <f>+M169</f>
        <v>779597</v>
      </c>
      <c r="N168" s="452">
        <f>+N169</f>
        <v>779597</v>
      </c>
      <c r="O168" s="4050"/>
    </row>
    <row r="169" spans="1:15" ht="12" customHeight="1">
      <c r="A169" s="4048"/>
      <c r="B169" s="2909" t="s">
        <v>23</v>
      </c>
      <c r="C169" s="3420"/>
      <c r="D169" s="421">
        <f>D171+D170</f>
        <v>785715</v>
      </c>
      <c r="E169" s="421">
        <f t="shared" ref="E169:K169" si="109">E171+E170</f>
        <v>6118</v>
      </c>
      <c r="F169" s="421">
        <f t="shared" si="109"/>
        <v>0</v>
      </c>
      <c r="G169" s="421">
        <f t="shared" si="109"/>
        <v>76540</v>
      </c>
      <c r="H169" s="421">
        <f t="shared" si="109"/>
        <v>703057</v>
      </c>
      <c r="I169" s="421">
        <f t="shared" si="109"/>
        <v>0</v>
      </c>
      <c r="J169" s="421">
        <f t="shared" si="109"/>
        <v>0</v>
      </c>
      <c r="K169" s="421">
        <f t="shared" si="109"/>
        <v>0</v>
      </c>
      <c r="L169" s="421"/>
      <c r="M169" s="454">
        <f>+M171</f>
        <v>779597</v>
      </c>
      <c r="N169" s="454">
        <f>+N171</f>
        <v>779597</v>
      </c>
      <c r="O169" s="4050"/>
    </row>
    <row r="170" spans="1:15" ht="12">
      <c r="A170" s="4048"/>
      <c r="B170" s="2892" t="s">
        <v>31</v>
      </c>
      <c r="C170" s="3419" t="s">
        <v>22</v>
      </c>
      <c r="D170" s="236">
        <f>E170+F170+G170+H170+I170+J170+K170+L170</f>
        <v>6118</v>
      </c>
      <c r="E170" s="418">
        <v>6118</v>
      </c>
      <c r="F170" s="2899">
        <v>0</v>
      </c>
      <c r="G170" s="2899">
        <v>0</v>
      </c>
      <c r="H170" s="2899">
        <v>0</v>
      </c>
      <c r="I170" s="2899">
        <v>0</v>
      </c>
      <c r="J170" s="2003"/>
      <c r="K170" s="2003"/>
      <c r="L170" s="2003"/>
      <c r="M170" s="461" t="s">
        <v>53</v>
      </c>
      <c r="N170" s="461" t="s">
        <v>53</v>
      </c>
      <c r="O170" s="4050"/>
    </row>
    <row r="171" spans="1:15" ht="13.5" customHeight="1">
      <c r="A171" s="4048"/>
      <c r="B171" s="1992" t="s">
        <v>112</v>
      </c>
      <c r="C171" s="3421" t="s">
        <v>150</v>
      </c>
      <c r="D171" s="236">
        <f>E171+F171+G171+H171+I171+J171+K171+L171</f>
        <v>779597</v>
      </c>
      <c r="E171" s="418"/>
      <c r="F171" s="2900"/>
      <c r="G171" s="2900">
        <f>198520-121980</f>
        <v>76540</v>
      </c>
      <c r="H171" s="2900">
        <f>594337-43525+152245</f>
        <v>703057</v>
      </c>
      <c r="I171" s="2900"/>
      <c r="J171" s="2900"/>
      <c r="K171" s="2900"/>
      <c r="L171" s="2900"/>
      <c r="M171" s="448">
        <f>SUM(F171:K171)</f>
        <v>779597</v>
      </c>
      <c r="N171" s="448">
        <f>SUM(G171:L171)</f>
        <v>779597</v>
      </c>
      <c r="O171" s="4050"/>
    </row>
    <row r="172" spans="1:15" ht="12">
      <c r="A172" s="4048"/>
      <c r="B172" s="2910" t="s">
        <v>18</v>
      </c>
      <c r="C172" s="4111" t="s">
        <v>22</v>
      </c>
      <c r="D172" s="2902">
        <f>+D173</f>
        <v>1437480</v>
      </c>
      <c r="E172" s="2902">
        <f t="shared" ref="E172:N172" si="110">+E173</f>
        <v>0</v>
      </c>
      <c r="F172" s="2902">
        <f t="shared" si="110"/>
        <v>0</v>
      </c>
      <c r="G172" s="2902">
        <f t="shared" si="110"/>
        <v>205403</v>
      </c>
      <c r="H172" s="2902">
        <f t="shared" si="110"/>
        <v>1232077</v>
      </c>
      <c r="I172" s="2902">
        <f t="shared" si="110"/>
        <v>0</v>
      </c>
      <c r="J172" s="2902">
        <f t="shared" si="110"/>
        <v>0</v>
      </c>
      <c r="K172" s="2902">
        <f t="shared" si="110"/>
        <v>0</v>
      </c>
      <c r="L172" s="2009"/>
      <c r="M172" s="2010" t="str">
        <f t="shared" si="110"/>
        <v>x</v>
      </c>
      <c r="N172" s="2010" t="str">
        <f t="shared" si="110"/>
        <v>x</v>
      </c>
      <c r="O172" s="4050"/>
    </row>
    <row r="173" spans="1:15" ht="12">
      <c r="A173" s="4048"/>
      <c r="B173" s="1992" t="s">
        <v>34</v>
      </c>
      <c r="C173" s="4040"/>
      <c r="D173" s="236">
        <f>E173+F173+G173+H173+I173+J173+K173+L173</f>
        <v>1437480</v>
      </c>
      <c r="E173" s="418">
        <v>0</v>
      </c>
      <c r="F173" s="420">
        <v>0</v>
      </c>
      <c r="G173" s="420">
        <f>478253-272850</f>
        <v>205403</v>
      </c>
      <c r="H173" s="420">
        <f>1329439-97362</f>
        <v>1232077</v>
      </c>
      <c r="I173" s="420"/>
      <c r="J173" s="2011"/>
      <c r="K173" s="2011"/>
      <c r="L173" s="2011"/>
      <c r="M173" s="2012" t="s">
        <v>53</v>
      </c>
      <c r="N173" s="2012" t="s">
        <v>53</v>
      </c>
      <c r="O173" s="4050"/>
    </row>
    <row r="174" spans="1:15" ht="13.5" customHeight="1">
      <c r="A174" s="4048"/>
      <c r="B174" s="424" t="s">
        <v>21</v>
      </c>
      <c r="C174" s="2911"/>
      <c r="D174" s="2912">
        <f>D177+D175</f>
        <v>1845661</v>
      </c>
      <c r="E174" s="2912">
        <f t="shared" ref="E174:G174" si="111">E177+E175</f>
        <v>0</v>
      </c>
      <c r="F174" s="2912">
        <f t="shared" si="111"/>
        <v>0</v>
      </c>
      <c r="G174" s="2912">
        <f t="shared" si="111"/>
        <v>126730</v>
      </c>
      <c r="H174" s="2912">
        <f>H177+H175</f>
        <v>1328931</v>
      </c>
      <c r="I174" s="2912">
        <f>I177+I175</f>
        <v>390000</v>
      </c>
      <c r="J174" s="2912">
        <f t="shared" ref="J174:K174" si="112">J177+J175</f>
        <v>0</v>
      </c>
      <c r="K174" s="2912">
        <f t="shared" si="112"/>
        <v>0</v>
      </c>
      <c r="L174" s="2912"/>
      <c r="M174" s="4088" t="s">
        <v>53</v>
      </c>
      <c r="N174" s="4088" t="s">
        <v>53</v>
      </c>
      <c r="O174" s="4050"/>
    </row>
    <row r="175" spans="1:15" ht="12" customHeight="1">
      <c r="A175" s="4048"/>
      <c r="B175" s="1991" t="s">
        <v>23</v>
      </c>
      <c r="C175" s="4121" t="s">
        <v>150</v>
      </c>
      <c r="D175" s="2913">
        <f>+D176</f>
        <v>408181</v>
      </c>
      <c r="E175" s="2913">
        <f t="shared" ref="E175:K175" si="113">+E176</f>
        <v>0</v>
      </c>
      <c r="F175" s="2913">
        <f t="shared" si="113"/>
        <v>0</v>
      </c>
      <c r="G175" s="2913">
        <f t="shared" si="113"/>
        <v>26327</v>
      </c>
      <c r="H175" s="2913">
        <f t="shared" si="113"/>
        <v>341854</v>
      </c>
      <c r="I175" s="2913">
        <f t="shared" si="113"/>
        <v>40000</v>
      </c>
      <c r="J175" s="2913">
        <f t="shared" si="113"/>
        <v>0</v>
      </c>
      <c r="K175" s="2913">
        <f t="shared" si="113"/>
        <v>0</v>
      </c>
      <c r="L175" s="2913"/>
      <c r="M175" s="4053"/>
      <c r="N175" s="4053"/>
      <c r="O175" s="4050"/>
    </row>
    <row r="176" spans="1:15" ht="12">
      <c r="A176" s="4048"/>
      <c r="B176" s="1992" t="s">
        <v>137</v>
      </c>
      <c r="C176" s="4076"/>
      <c r="D176" s="236">
        <f>E176+F176+G176+H176+I176+J176+K176+L176</f>
        <v>408181</v>
      </c>
      <c r="E176" s="418">
        <v>0</v>
      </c>
      <c r="F176" s="2900"/>
      <c r="G176" s="2900">
        <f>120157-93830</f>
        <v>26327</v>
      </c>
      <c r="H176" s="2900">
        <f>359731-46345+28468</f>
        <v>341854</v>
      </c>
      <c r="I176" s="2900">
        <v>40000</v>
      </c>
      <c r="J176" s="2900"/>
      <c r="K176" s="2900"/>
      <c r="L176" s="2900"/>
      <c r="M176" s="4053"/>
      <c r="N176" s="4053"/>
      <c r="O176" s="4050"/>
    </row>
    <row r="177" spans="1:15" ht="12.75" thickBot="1">
      <c r="A177" s="4049"/>
      <c r="B177" s="2910" t="s">
        <v>18</v>
      </c>
      <c r="C177" s="4111" t="s">
        <v>22</v>
      </c>
      <c r="D177" s="2902">
        <f>+D178</f>
        <v>1437480</v>
      </c>
      <c r="E177" s="2902">
        <f t="shared" ref="E177:K177" si="114">+E178</f>
        <v>0</v>
      </c>
      <c r="F177" s="2902">
        <f t="shared" si="114"/>
        <v>0</v>
      </c>
      <c r="G177" s="2902">
        <f t="shared" si="114"/>
        <v>100403</v>
      </c>
      <c r="H177" s="2902">
        <f t="shared" si="114"/>
        <v>987077</v>
      </c>
      <c r="I177" s="2902">
        <f t="shared" si="114"/>
        <v>350000</v>
      </c>
      <c r="J177" s="2902">
        <f t="shared" si="114"/>
        <v>0</v>
      </c>
      <c r="K177" s="2902">
        <f t="shared" si="114"/>
        <v>0</v>
      </c>
      <c r="L177" s="2902"/>
      <c r="M177" s="4053"/>
      <c r="N177" s="4053"/>
      <c r="O177" s="4050"/>
    </row>
    <row r="178" spans="1:15" ht="12.75" thickBot="1">
      <c r="A178" s="4120"/>
      <c r="B178" s="1936" t="s">
        <v>34</v>
      </c>
      <c r="C178" s="4074"/>
      <c r="D178" s="1643">
        <f>E178+F178+G178+H178+I178+J178+K178+L178</f>
        <v>1437480</v>
      </c>
      <c r="E178" s="455">
        <v>0</v>
      </c>
      <c r="F178" s="464">
        <v>0</v>
      </c>
      <c r="G178" s="464">
        <f>478253-342850-35000</f>
        <v>100403</v>
      </c>
      <c r="H178" s="464">
        <f>1329439-377362+35000</f>
        <v>987077</v>
      </c>
      <c r="I178" s="464">
        <v>350000</v>
      </c>
      <c r="J178" s="464"/>
      <c r="K178" s="464"/>
      <c r="L178" s="464"/>
      <c r="M178" s="4044"/>
      <c r="N178" s="4044"/>
      <c r="O178" s="4051"/>
    </row>
    <row r="179" spans="1:15" ht="12" hidden="1" thickBot="1">
      <c r="A179" s="2463"/>
      <c r="O179" s="3162"/>
    </row>
    <row r="180" spans="1:15" ht="12" hidden="1" thickBot="1">
      <c r="A180" s="2463"/>
      <c r="O180" s="3162"/>
    </row>
    <row r="181" spans="1:15" ht="12" hidden="1" thickBot="1">
      <c r="A181" s="2463"/>
      <c r="O181" s="3162"/>
    </row>
    <row r="182" spans="1:15" ht="12" hidden="1" thickBot="1">
      <c r="A182" s="2463" t="s">
        <v>398</v>
      </c>
      <c r="O182" s="3162"/>
    </row>
    <row r="183" spans="1:15" ht="12" hidden="1" thickBot="1">
      <c r="A183" s="2463"/>
      <c r="O183" s="3162"/>
    </row>
    <row r="184" spans="1:15" ht="12" hidden="1" thickBot="1">
      <c r="A184" s="2463"/>
      <c r="D184" s="429"/>
      <c r="G184" s="429">
        <f>G168+G156+G142+G130+G118+G44+G33+G24</f>
        <v>19876150</v>
      </c>
      <c r="O184" s="3162"/>
    </row>
    <row r="185" spans="1:15" ht="12" hidden="1" thickBot="1">
      <c r="A185" s="2463"/>
      <c r="G185" s="429">
        <f>G184-G10</f>
        <v>-1274768</v>
      </c>
      <c r="O185" s="3162"/>
    </row>
    <row r="186" spans="1:15" ht="12" hidden="1" thickBot="1">
      <c r="A186" s="2463"/>
      <c r="O186" s="3162"/>
    </row>
    <row r="187" spans="1:15" ht="12" hidden="1" thickBot="1">
      <c r="A187" s="2463"/>
      <c r="D187" s="429">
        <f>D171+D159+D145+D133+D121+D47+D35+D26</f>
        <v>44671388</v>
      </c>
      <c r="O187" s="3162"/>
    </row>
    <row r="188" spans="1:15" ht="12" hidden="1" thickBot="1">
      <c r="A188" s="2463"/>
      <c r="B188" s="478"/>
      <c r="D188" s="429">
        <f>D7-D187</f>
        <v>88473770</v>
      </c>
      <c r="O188" s="3162"/>
    </row>
    <row r="189" spans="1:15" ht="12" hidden="1" thickBot="1">
      <c r="A189" s="2463"/>
      <c r="B189" s="472"/>
      <c r="O189" s="3162"/>
    </row>
    <row r="190" spans="1:15" ht="12" hidden="1" thickBot="1">
      <c r="A190" s="2463"/>
      <c r="O190" s="3162"/>
    </row>
    <row r="191" spans="1:15" ht="12" hidden="1" thickBot="1">
      <c r="A191" s="2463"/>
      <c r="O191" s="3162"/>
    </row>
    <row r="192" spans="1:15" ht="12" hidden="1" thickBot="1">
      <c r="A192" s="2463"/>
      <c r="O192" s="3162"/>
    </row>
    <row r="193" spans="1:15" ht="12" hidden="1" thickBot="1">
      <c r="A193" s="2463"/>
      <c r="O193" s="3162"/>
    </row>
    <row r="194" spans="1:15" ht="12" hidden="1" thickBot="1">
      <c r="A194" s="2463"/>
      <c r="O194" s="3162"/>
    </row>
    <row r="195" spans="1:15" ht="12" hidden="1" thickBot="1">
      <c r="A195" s="2463"/>
      <c r="O195" s="3162"/>
    </row>
    <row r="196" spans="1:15" ht="12" hidden="1" thickBot="1">
      <c r="A196" s="2463"/>
      <c r="O196" s="3162"/>
    </row>
    <row r="197" spans="1:15" ht="12" hidden="1" thickBot="1">
      <c r="A197" s="2463"/>
      <c r="O197" s="3162"/>
    </row>
    <row r="198" spans="1:15" ht="12" hidden="1" thickBot="1">
      <c r="A198" s="2463"/>
      <c r="O198" s="3162"/>
    </row>
    <row r="199" spans="1:15" ht="12" hidden="1" thickBot="1">
      <c r="A199" s="2463"/>
      <c r="O199" s="3162"/>
    </row>
    <row r="200" spans="1:15" ht="12" hidden="1" thickBot="1">
      <c r="A200" s="2463"/>
      <c r="O200" s="3162"/>
    </row>
    <row r="201" spans="1:15" ht="12" hidden="1" thickBot="1">
      <c r="A201" s="2463"/>
      <c r="O201" s="3162"/>
    </row>
    <row r="202" spans="1:15" ht="12" hidden="1" thickBot="1">
      <c r="A202" s="2463"/>
      <c r="N202" s="478"/>
      <c r="O202" s="2434"/>
    </row>
    <row r="203" spans="1:15" ht="12" hidden="1" thickBot="1">
      <c r="A203" s="2463"/>
      <c r="C203" s="478"/>
      <c r="N203" s="2448"/>
      <c r="O203" s="2435"/>
    </row>
    <row r="204" spans="1:15" ht="12" hidden="1" thickBot="1">
      <c r="A204" s="2463"/>
      <c r="C204" s="2448"/>
      <c r="N204" s="2448"/>
      <c r="O204" s="2435"/>
    </row>
    <row r="205" spans="1:15" ht="12" hidden="1" thickBot="1">
      <c r="A205" s="2463"/>
      <c r="C205" s="2448"/>
      <c r="N205" s="2448"/>
      <c r="O205" s="2435"/>
    </row>
    <row r="206" spans="1:15" ht="12" hidden="1" thickBot="1">
      <c r="A206" s="2464"/>
      <c r="C206" s="2448"/>
      <c r="D206" s="478"/>
      <c r="E206" s="478"/>
      <c r="F206" s="478"/>
      <c r="G206" s="478"/>
      <c r="H206" s="478"/>
      <c r="I206" s="478"/>
      <c r="J206" s="478"/>
      <c r="K206" s="478"/>
      <c r="L206" s="478"/>
      <c r="N206" s="2448"/>
      <c r="O206" s="2435"/>
    </row>
    <row r="207" spans="1:15" ht="12" hidden="1" thickBot="1">
      <c r="C207" s="472"/>
      <c r="D207" s="472"/>
      <c r="E207" s="472"/>
      <c r="F207" s="472"/>
      <c r="G207" s="472"/>
      <c r="H207" s="472"/>
      <c r="I207" s="472"/>
      <c r="J207" s="472"/>
      <c r="K207" s="472"/>
      <c r="L207" s="472"/>
      <c r="N207" s="472"/>
      <c r="O207" s="2435"/>
    </row>
    <row r="208" spans="1:15" ht="12" hidden="1" thickBot="1">
      <c r="O208" s="2435"/>
    </row>
    <row r="209" spans="15:15" ht="12" hidden="1" thickBot="1">
      <c r="O209" s="2435"/>
    </row>
    <row r="210" spans="15:15" ht="12" hidden="1" thickBot="1">
      <c r="O210" s="2435"/>
    </row>
    <row r="211" spans="15:15" ht="12" hidden="1" thickBot="1">
      <c r="O211" s="2435"/>
    </row>
    <row r="212" spans="15:15" ht="12" hidden="1" thickBot="1">
      <c r="O212" s="2435"/>
    </row>
    <row r="213" spans="15:15" ht="12" hidden="1" thickBot="1">
      <c r="O213" s="2435"/>
    </row>
    <row r="214" spans="15:15" ht="12" hidden="1" thickBot="1">
      <c r="O214" s="2435"/>
    </row>
    <row r="215" spans="15:15" ht="12" hidden="1" thickBot="1">
      <c r="O215" s="2435"/>
    </row>
    <row r="216" spans="15:15" hidden="1">
      <c r="O216" s="2436"/>
    </row>
    <row r="217" spans="15:15" hidden="1">
      <c r="O217" s="3162"/>
    </row>
    <row r="218" spans="15:15" hidden="1">
      <c r="O218" s="3162"/>
    </row>
    <row r="219" spans="15:15" hidden="1">
      <c r="O219" s="3162"/>
    </row>
    <row r="220" spans="15:15" hidden="1">
      <c r="O220" s="3162"/>
    </row>
    <row r="221" spans="15:15" hidden="1">
      <c r="O221" s="3162"/>
    </row>
    <row r="222" spans="15:15" hidden="1">
      <c r="O222" s="3162"/>
    </row>
    <row r="223" spans="15:15" hidden="1">
      <c r="O223" s="3162"/>
    </row>
    <row r="224" spans="15:15" hidden="1">
      <c r="O224" s="3162"/>
    </row>
    <row r="225" spans="15:15" hidden="1">
      <c r="O225" s="3162"/>
    </row>
    <row r="226" spans="15:15" hidden="1">
      <c r="O226" s="3162"/>
    </row>
    <row r="227" spans="15:15" hidden="1">
      <c r="O227" s="3162"/>
    </row>
    <row r="228" spans="15:15" hidden="1">
      <c r="O228" s="3162"/>
    </row>
    <row r="229" spans="15:15" hidden="1">
      <c r="O229" s="3162"/>
    </row>
    <row r="230" spans="15:15" hidden="1">
      <c r="O230" s="3162"/>
    </row>
    <row r="231" spans="15:15" hidden="1">
      <c r="O231" s="3162"/>
    </row>
    <row r="232" spans="15:15" hidden="1">
      <c r="O232" s="3162"/>
    </row>
    <row r="233" spans="15:15" hidden="1">
      <c r="O233" s="3162"/>
    </row>
    <row r="234" spans="15:15" hidden="1">
      <c r="O234" s="3162"/>
    </row>
    <row r="235" spans="15:15" hidden="1">
      <c r="O235" s="3162"/>
    </row>
    <row r="236" spans="15:15" hidden="1">
      <c r="O236" s="3162"/>
    </row>
    <row r="237" spans="15:15" hidden="1">
      <c r="O237" s="3162"/>
    </row>
    <row r="238" spans="15:15" hidden="1">
      <c r="O238" s="3162"/>
    </row>
    <row r="239" spans="15:15" hidden="1">
      <c r="O239" s="3162"/>
    </row>
    <row r="240" spans="15:15" hidden="1">
      <c r="O240" s="3162"/>
    </row>
    <row r="241" spans="15:15" hidden="1">
      <c r="O241" s="3162"/>
    </row>
    <row r="242" spans="15:15" hidden="1">
      <c r="O242" s="3162"/>
    </row>
    <row r="243" spans="15:15" hidden="1">
      <c r="O243" s="3162"/>
    </row>
    <row r="244" spans="15:15" hidden="1">
      <c r="O244" s="3162"/>
    </row>
    <row r="245" spans="15:15" hidden="1">
      <c r="O245" s="3162"/>
    </row>
    <row r="246" spans="15:15" hidden="1">
      <c r="O246" s="3162"/>
    </row>
    <row r="247" spans="15:15" hidden="1">
      <c r="O247" s="3162"/>
    </row>
    <row r="248" spans="15:15" hidden="1">
      <c r="O248" s="3162"/>
    </row>
    <row r="249" spans="15:15" hidden="1">
      <c r="O249" s="3162"/>
    </row>
    <row r="250" spans="15:15" ht="12" hidden="1" thickBot="1">
      <c r="O250" s="2434"/>
    </row>
    <row r="251" spans="15:15" ht="12" hidden="1" thickBot="1">
      <c r="O251" s="2435"/>
    </row>
    <row r="252" spans="15:15" ht="12" hidden="1" thickBot="1">
      <c r="O252" s="2435"/>
    </row>
    <row r="253" spans="15:15" ht="12" hidden="1" thickBot="1">
      <c r="O253" s="2435"/>
    </row>
    <row r="254" spans="15:15" ht="12" hidden="1" thickBot="1">
      <c r="O254" s="2435"/>
    </row>
    <row r="255" spans="15:15" ht="12" hidden="1" thickBot="1">
      <c r="O255" s="2435"/>
    </row>
    <row r="256" spans="15:15" ht="12" hidden="1" thickBot="1">
      <c r="O256" s="2435"/>
    </row>
    <row r="257" spans="15:15" ht="12" hidden="1" thickBot="1">
      <c r="O257" s="2435"/>
    </row>
    <row r="258" spans="15:15" ht="12" hidden="1" thickBot="1">
      <c r="O258" s="2435"/>
    </row>
    <row r="259" spans="15:15" ht="12" hidden="1" thickBot="1">
      <c r="O259" s="2435"/>
    </row>
    <row r="260" spans="15:15" ht="12" hidden="1" thickBot="1">
      <c r="O260" s="2435"/>
    </row>
    <row r="261" spans="15:15" ht="12" hidden="1" thickBot="1">
      <c r="O261" s="2435"/>
    </row>
    <row r="262" spans="15:15" ht="12" hidden="1" thickBot="1">
      <c r="O262" s="2435"/>
    </row>
    <row r="263" spans="15:15" ht="12" hidden="1" thickBot="1">
      <c r="O263" s="2435"/>
    </row>
    <row r="264" spans="15:15" hidden="1">
      <c r="O264" s="2436"/>
    </row>
    <row r="265" spans="15:15" hidden="1">
      <c r="O265" s="3162"/>
    </row>
    <row r="266" spans="15:15" hidden="1">
      <c r="O266" s="3162"/>
    </row>
    <row r="267" spans="15:15" hidden="1">
      <c r="O267" s="3162"/>
    </row>
    <row r="268" spans="15:15" hidden="1">
      <c r="O268" s="3162"/>
    </row>
    <row r="269" spans="15:15" hidden="1">
      <c r="O269" s="3162"/>
    </row>
    <row r="270" spans="15:15" hidden="1">
      <c r="O270" s="3162"/>
    </row>
    <row r="271" spans="15:15" hidden="1">
      <c r="O271" s="3162"/>
    </row>
    <row r="272" spans="15:15" hidden="1">
      <c r="O272" s="3162"/>
    </row>
    <row r="273" spans="15:15" hidden="1">
      <c r="O273" s="3162"/>
    </row>
    <row r="274" spans="15:15" hidden="1">
      <c r="O274" s="3162"/>
    </row>
    <row r="275" spans="15:15" hidden="1">
      <c r="O275" s="3162"/>
    </row>
    <row r="276" spans="15:15" hidden="1">
      <c r="O276" s="3162"/>
    </row>
    <row r="277" spans="15:15" hidden="1">
      <c r="O277" s="3162"/>
    </row>
    <row r="278" spans="15:15" hidden="1">
      <c r="O278" s="3162"/>
    </row>
    <row r="279" spans="15:15" hidden="1">
      <c r="O279" s="3162"/>
    </row>
    <row r="280" spans="15:15" hidden="1">
      <c r="O280" s="3162"/>
    </row>
    <row r="281" spans="15:15" hidden="1">
      <c r="O281" s="3162"/>
    </row>
    <row r="282" spans="15:15" hidden="1">
      <c r="O282" s="3162"/>
    </row>
    <row r="283" spans="15:15" hidden="1">
      <c r="O283" s="3162"/>
    </row>
    <row r="284" spans="15:15" hidden="1">
      <c r="O284" s="3162"/>
    </row>
    <row r="285" spans="15:15" hidden="1">
      <c r="O285" s="3162"/>
    </row>
    <row r="286" spans="15:15" hidden="1">
      <c r="O286" s="3162"/>
    </row>
    <row r="287" spans="15:15" hidden="1">
      <c r="O287" s="3162"/>
    </row>
    <row r="288" spans="15:15" hidden="1">
      <c r="O288" s="3162"/>
    </row>
    <row r="289" spans="15:15" hidden="1">
      <c r="O289" s="3162"/>
    </row>
    <row r="290" spans="15:15" hidden="1">
      <c r="O290" s="3162"/>
    </row>
    <row r="291" spans="15:15" hidden="1">
      <c r="O291" s="3162"/>
    </row>
    <row r="292" spans="15:15" hidden="1">
      <c r="O292" s="3162"/>
    </row>
    <row r="293" spans="15:15" hidden="1">
      <c r="O293" s="3162"/>
    </row>
    <row r="294" spans="15:15" hidden="1">
      <c r="O294" s="3162"/>
    </row>
    <row r="295" spans="15:15" hidden="1">
      <c r="O295" s="3162"/>
    </row>
    <row r="296" spans="15:15" hidden="1">
      <c r="O296" s="3162"/>
    </row>
    <row r="297" spans="15:15" hidden="1">
      <c r="O297" s="3162"/>
    </row>
    <row r="298" spans="15:15" hidden="1">
      <c r="O298" s="3162"/>
    </row>
    <row r="299" spans="15:15" hidden="1">
      <c r="O299" s="3162"/>
    </row>
    <row r="300" spans="15:15" hidden="1">
      <c r="O300" s="3162"/>
    </row>
    <row r="301" spans="15:15" hidden="1">
      <c r="O301" s="3162"/>
    </row>
    <row r="302" spans="15:15" hidden="1">
      <c r="O302" s="3162"/>
    </row>
    <row r="303" spans="15:15" hidden="1">
      <c r="O303" s="3162"/>
    </row>
    <row r="304" spans="15:15" hidden="1">
      <c r="O304" s="3162"/>
    </row>
    <row r="305" hidden="1"/>
    <row r="306" hidden="1"/>
    <row r="307" hidden="1"/>
    <row r="308" hidden="1"/>
    <row r="309" hidden="1"/>
    <row r="310" hidden="1"/>
    <row r="311" hidden="1"/>
    <row r="312" hidden="1"/>
    <row r="313" hidden="1"/>
    <row r="314" hidden="1"/>
    <row r="315" hidden="1"/>
    <row r="316" hidden="1"/>
    <row r="317" hidden="1"/>
    <row r="318" hidden="1"/>
    <row r="319" hidden="1"/>
    <row r="320" hidden="1"/>
    <row r="321" hidden="1"/>
    <row r="322" hidden="1"/>
    <row r="323" hidden="1"/>
    <row r="324" hidden="1"/>
    <row r="325" hidden="1"/>
    <row r="326" hidden="1"/>
    <row r="327" hidden="1"/>
    <row r="328" hidden="1"/>
    <row r="329" hidden="1"/>
    <row r="330" hidden="1"/>
    <row r="331" hidden="1"/>
    <row r="332" hidden="1"/>
    <row r="333" hidden="1"/>
    <row r="334" hidden="1"/>
    <row r="335" hidden="1"/>
    <row r="336" hidden="1"/>
    <row r="337" hidden="1"/>
    <row r="338" hidden="1"/>
    <row r="339" hidden="1"/>
    <row r="340" hidden="1"/>
    <row r="341" hidden="1"/>
    <row r="342" hidden="1"/>
    <row r="343" hidden="1"/>
    <row r="344" hidden="1"/>
    <row r="345" hidden="1"/>
    <row r="346" hidden="1"/>
    <row r="347" hidden="1"/>
    <row r="348" hidden="1"/>
    <row r="349" hidden="1"/>
    <row r="350" hidden="1"/>
    <row r="351" hidden="1"/>
    <row r="352" hidden="1"/>
    <row r="353" hidden="1"/>
    <row r="354" hidden="1"/>
    <row r="355" hidden="1"/>
    <row r="356" hidden="1"/>
    <row r="357" hidden="1"/>
    <row r="358" hidden="1"/>
    <row r="359" hidden="1"/>
    <row r="360" hidden="1"/>
    <row r="361" hidden="1"/>
    <row r="362" hidden="1"/>
    <row r="363" hidden="1"/>
    <row r="364" hidden="1"/>
    <row r="365" hidden="1"/>
    <row r="366" hidden="1"/>
    <row r="367" hidden="1"/>
    <row r="368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spans="1:15" hidden="1"/>
    <row r="402" spans="1:15" hidden="1"/>
    <row r="403" spans="1:15" ht="12" hidden="1" thickBot="1">
      <c r="A403" s="2462"/>
    </row>
    <row r="404" spans="1:15" ht="12" hidden="1" thickBot="1">
      <c r="A404" s="2463"/>
    </row>
    <row r="405" spans="1:15" ht="12" hidden="1" thickBot="1">
      <c r="A405" s="2463"/>
    </row>
    <row r="406" spans="1:15" ht="12" hidden="1" thickBot="1">
      <c r="A406" s="2463"/>
    </row>
    <row r="407" spans="1:15" ht="12" hidden="1" thickBot="1">
      <c r="A407" s="2463"/>
    </row>
    <row r="408" spans="1:15" ht="12" hidden="1" thickBot="1">
      <c r="A408" s="2463"/>
    </row>
    <row r="409" spans="1:15" ht="12" hidden="1" thickBot="1">
      <c r="A409" s="2463"/>
      <c r="N409" s="478"/>
      <c r="O409" s="2086"/>
    </row>
    <row r="410" spans="1:15" ht="12" hidden="1" thickBot="1">
      <c r="A410" s="2463"/>
      <c r="C410" s="478"/>
      <c r="N410" s="2448"/>
      <c r="O410" s="2432"/>
    </row>
    <row r="411" spans="1:15" ht="12" hidden="1" thickBot="1">
      <c r="A411" s="2463"/>
      <c r="C411" s="2448"/>
      <c r="D411" s="478"/>
      <c r="E411" s="478"/>
      <c r="F411" s="478"/>
      <c r="G411" s="478"/>
      <c r="H411" s="478"/>
      <c r="I411" s="478"/>
      <c r="J411" s="478"/>
      <c r="K411" s="478"/>
      <c r="L411" s="478"/>
      <c r="N411" s="2448"/>
      <c r="O411" s="2432"/>
    </row>
    <row r="412" spans="1:15" ht="12" hidden="1" thickBot="1">
      <c r="A412" s="2463"/>
      <c r="C412" s="472"/>
      <c r="D412" s="472"/>
      <c r="E412" s="472"/>
      <c r="F412" s="472"/>
      <c r="G412" s="472"/>
      <c r="H412" s="472"/>
      <c r="I412" s="472"/>
      <c r="J412" s="472"/>
      <c r="K412" s="472"/>
      <c r="L412" s="472"/>
      <c r="N412" s="472"/>
      <c r="O412" s="2432"/>
    </row>
    <row r="413" spans="1:15" ht="12" hidden="1" thickBot="1">
      <c r="A413" s="2463"/>
      <c r="O413" s="2432"/>
    </row>
    <row r="414" spans="1:15" ht="12" hidden="1" thickBot="1">
      <c r="A414" s="2463"/>
      <c r="O414" s="2432"/>
    </row>
    <row r="415" spans="1:15" ht="12" hidden="1" thickBot="1">
      <c r="A415" s="2463"/>
      <c r="O415" s="2432"/>
    </row>
    <row r="416" spans="1:15" ht="12" hidden="1" thickBot="1">
      <c r="A416" s="2463"/>
      <c r="O416" s="2432"/>
    </row>
    <row r="417" spans="1:15" ht="12" hidden="1" thickBot="1">
      <c r="A417" s="2463"/>
      <c r="O417" s="2433"/>
    </row>
    <row r="418" spans="1:15" ht="12" hidden="1" thickBot="1">
      <c r="A418" s="2463"/>
    </row>
    <row r="419" spans="1:15" ht="12" hidden="1" thickBot="1">
      <c r="A419" s="2463"/>
    </row>
    <row r="420" spans="1:15" hidden="1">
      <c r="A420" s="2464"/>
    </row>
    <row r="421" spans="1:15" hidden="1"/>
    <row r="422" spans="1:15" hidden="1"/>
    <row r="423" spans="1:15" hidden="1"/>
    <row r="424" spans="1:15" hidden="1"/>
    <row r="425" spans="1:15" hidden="1"/>
    <row r="426" spans="1:15" hidden="1"/>
    <row r="427" spans="1:15" hidden="1"/>
    <row r="428" spans="1:15" hidden="1"/>
    <row r="429" spans="1:15" hidden="1"/>
    <row r="430" spans="1:15" hidden="1"/>
    <row r="431" spans="1:15" hidden="1"/>
    <row r="432" spans="1:15" hidden="1"/>
    <row r="433" hidden="1"/>
    <row r="434" hidden="1"/>
    <row r="435" hidden="1"/>
    <row r="436" hidden="1"/>
    <row r="437" hidden="1"/>
    <row r="438" hidden="1"/>
    <row r="439" hidden="1"/>
    <row r="440" hidden="1"/>
    <row r="441" hidden="1"/>
    <row r="442" hidden="1"/>
    <row r="443" hidden="1"/>
    <row r="444" hidden="1"/>
    <row r="445" hidden="1"/>
    <row r="446" hidden="1"/>
    <row r="447" hidden="1"/>
    <row r="448" hidden="1"/>
    <row r="449" hidden="1"/>
    <row r="450" hidden="1"/>
    <row r="451" hidden="1"/>
    <row r="452" hidden="1"/>
    <row r="453" hidden="1"/>
    <row r="454" hidden="1"/>
    <row r="455" hidden="1"/>
    <row r="456" hidden="1"/>
    <row r="457" hidden="1"/>
    <row r="458" hidden="1"/>
    <row r="459" hidden="1"/>
    <row r="460" hidden="1"/>
    <row r="461" hidden="1"/>
    <row r="462" hidden="1"/>
    <row r="463" hidden="1"/>
    <row r="464" hidden="1"/>
    <row r="465" hidden="1"/>
    <row r="466" hidden="1"/>
    <row r="467" hidden="1"/>
    <row r="468" hidden="1"/>
    <row r="469" hidden="1"/>
    <row r="470" hidden="1"/>
    <row r="471" hidden="1"/>
    <row r="472" hidden="1"/>
    <row r="473" hidden="1"/>
    <row r="474" hidden="1"/>
    <row r="475" hidden="1"/>
    <row r="476" hidden="1"/>
    <row r="477" hidden="1"/>
    <row r="478" hidden="1"/>
    <row r="479" hidden="1"/>
    <row r="480" hidden="1"/>
    <row r="481" hidden="1"/>
    <row r="482" hidden="1"/>
    <row r="483" hidden="1"/>
    <row r="484" hidden="1"/>
    <row r="485" hidden="1"/>
    <row r="486" hidden="1"/>
    <row r="487" hidden="1"/>
    <row r="488" hidden="1"/>
    <row r="489" hidden="1"/>
    <row r="490" hidden="1"/>
    <row r="491" hidden="1"/>
    <row r="492" hidden="1"/>
    <row r="493" hidden="1"/>
    <row r="494" hidden="1"/>
    <row r="495" hidden="1"/>
    <row r="496" hidden="1"/>
    <row r="497" spans="1:15" hidden="1"/>
    <row r="498" spans="1:15" hidden="1"/>
    <row r="499" spans="1:15" hidden="1"/>
    <row r="500" spans="1:15" hidden="1"/>
    <row r="501" spans="1:15" hidden="1"/>
    <row r="502" spans="1:15" hidden="1"/>
    <row r="503" spans="1:15" hidden="1"/>
    <row r="504" spans="1:15" hidden="1"/>
    <row r="505" spans="1:15" hidden="1"/>
    <row r="506" spans="1:15" hidden="1"/>
    <row r="507" spans="1:15" hidden="1"/>
    <row r="508" spans="1:15" hidden="1"/>
    <row r="509" spans="1:15" ht="12" hidden="1" thickBot="1"/>
    <row r="510" spans="1:15" ht="33.75" hidden="1">
      <c r="A510" s="471"/>
      <c r="B510" s="353" t="s">
        <v>61</v>
      </c>
      <c r="C510" s="353"/>
      <c r="D510" s="472"/>
      <c r="E510" s="473"/>
      <c r="F510" s="473"/>
      <c r="G510" s="473"/>
      <c r="H510" s="473"/>
      <c r="I510" s="473"/>
      <c r="J510" s="473"/>
      <c r="K510" s="473"/>
      <c r="L510" s="473"/>
      <c r="M510" s="473"/>
      <c r="N510" s="473"/>
      <c r="O510" s="474"/>
    </row>
    <row r="511" spans="1:15" hidden="1">
      <c r="A511" s="475"/>
      <c r="E511" s="434"/>
      <c r="F511" s="434"/>
      <c r="G511" s="434"/>
      <c r="H511" s="434"/>
      <c r="I511" s="434"/>
      <c r="J511" s="434"/>
      <c r="K511" s="434"/>
      <c r="L511" s="434"/>
      <c r="M511" s="434"/>
      <c r="N511" s="434"/>
      <c r="O511" s="476"/>
    </row>
    <row r="512" spans="1:15" hidden="1">
      <c r="A512" s="475"/>
      <c r="E512" s="434"/>
      <c r="F512" s="434"/>
      <c r="G512" s="434"/>
      <c r="H512" s="434"/>
      <c r="I512" s="434"/>
      <c r="J512" s="434"/>
      <c r="K512" s="434"/>
      <c r="L512" s="434"/>
      <c r="M512" s="434"/>
      <c r="N512" s="434"/>
      <c r="O512" s="476"/>
    </row>
    <row r="513" spans="1:15" hidden="1">
      <c r="A513" s="475"/>
      <c r="E513" s="434"/>
      <c r="F513" s="434"/>
      <c r="G513" s="434"/>
      <c r="H513" s="434"/>
      <c r="I513" s="434"/>
      <c r="J513" s="434"/>
      <c r="K513" s="434"/>
      <c r="L513" s="434"/>
      <c r="M513" s="434"/>
      <c r="N513" s="434"/>
      <c r="O513" s="476"/>
    </row>
    <row r="514" spans="1:15" hidden="1">
      <c r="A514" s="475"/>
      <c r="E514" s="434"/>
      <c r="F514" s="434"/>
      <c r="G514" s="434"/>
      <c r="H514" s="434"/>
      <c r="I514" s="434"/>
      <c r="J514" s="434"/>
      <c r="K514" s="434"/>
      <c r="L514" s="434"/>
      <c r="M514" s="434"/>
      <c r="N514" s="434"/>
      <c r="O514" s="476"/>
    </row>
    <row r="515" spans="1:15" hidden="1">
      <c r="A515" s="475"/>
      <c r="E515" s="434"/>
      <c r="F515" s="434"/>
      <c r="G515" s="434"/>
      <c r="H515" s="434"/>
      <c r="I515" s="434"/>
      <c r="J515" s="434"/>
      <c r="K515" s="434"/>
      <c r="L515" s="434"/>
      <c r="M515" s="434"/>
      <c r="N515" s="434"/>
      <c r="O515" s="476"/>
    </row>
    <row r="516" spans="1:15" hidden="1">
      <c r="A516" s="475"/>
      <c r="E516" s="434"/>
      <c r="F516" s="434"/>
      <c r="G516" s="434"/>
      <c r="H516" s="434"/>
      <c r="I516" s="434"/>
      <c r="J516" s="434"/>
      <c r="K516" s="434"/>
      <c r="L516" s="434"/>
      <c r="M516" s="434"/>
      <c r="N516" s="434"/>
      <c r="O516" s="476"/>
    </row>
    <row r="517" spans="1:15" hidden="1">
      <c r="A517" s="475"/>
      <c r="E517" s="434"/>
      <c r="F517" s="434"/>
      <c r="G517" s="434"/>
      <c r="H517" s="434"/>
      <c r="I517" s="434"/>
      <c r="J517" s="434"/>
      <c r="K517" s="434"/>
      <c r="L517" s="434"/>
      <c r="M517" s="434"/>
      <c r="N517" s="434"/>
      <c r="O517" s="476"/>
    </row>
    <row r="518" spans="1:15" ht="12" hidden="1" thickBot="1">
      <c r="A518" s="475"/>
      <c r="E518" s="434"/>
      <c r="F518" s="434"/>
      <c r="G518" s="434"/>
      <c r="H518" s="434"/>
      <c r="I518" s="434"/>
      <c r="J518" s="434"/>
      <c r="K518" s="434"/>
      <c r="L518" s="434"/>
      <c r="M518" s="434"/>
      <c r="N518" s="434"/>
      <c r="O518" s="480"/>
    </row>
    <row r="519" spans="1:15" ht="12" hidden="1" thickBot="1">
      <c r="A519" s="475"/>
      <c r="E519" s="434"/>
      <c r="F519" s="434"/>
      <c r="G519" s="434"/>
      <c r="H519" s="434"/>
      <c r="I519" s="434"/>
      <c r="J519" s="434"/>
      <c r="K519" s="434"/>
      <c r="L519" s="434"/>
      <c r="M519" s="434"/>
      <c r="N519" s="434"/>
      <c r="O519" s="2471"/>
    </row>
    <row r="520" spans="1:15" ht="12" hidden="1" thickBot="1">
      <c r="A520" s="475"/>
      <c r="E520" s="434"/>
      <c r="F520" s="434"/>
      <c r="G520" s="434"/>
      <c r="H520" s="434"/>
      <c r="I520" s="434"/>
      <c r="J520" s="434"/>
      <c r="K520" s="434"/>
      <c r="L520" s="434"/>
      <c r="M520" s="434"/>
      <c r="N520" s="434"/>
      <c r="O520" s="2471"/>
    </row>
    <row r="521" spans="1:15" ht="12" hidden="1" thickBot="1">
      <c r="A521" s="477"/>
      <c r="B521" s="478"/>
      <c r="C521" s="478"/>
      <c r="D521" s="478"/>
      <c r="E521" s="479"/>
      <c r="F521" s="479"/>
      <c r="G521" s="479"/>
      <c r="H521" s="479"/>
      <c r="I521" s="479"/>
      <c r="J521" s="479"/>
      <c r="K521" s="479"/>
      <c r="L521" s="479"/>
      <c r="M521" s="479"/>
      <c r="N521" s="479"/>
      <c r="O521" s="2471"/>
    </row>
    <row r="522" spans="1:15" ht="12" hidden="1" thickBot="1">
      <c r="N522" s="478"/>
      <c r="O522" s="2432"/>
    </row>
    <row r="523" spans="1:15" ht="12" hidden="1" thickBot="1">
      <c r="N523" s="2448"/>
      <c r="O523" s="2432"/>
    </row>
    <row r="524" spans="1:15" ht="12" hidden="1" thickBot="1">
      <c r="N524" s="2448"/>
      <c r="O524" s="2432"/>
    </row>
    <row r="525" spans="1:15" ht="12" hidden="1" thickBot="1">
      <c r="N525" s="2448"/>
      <c r="O525" s="2432"/>
    </row>
    <row r="526" spans="1:15" ht="12" hidden="1" thickBot="1">
      <c r="N526" s="2448"/>
      <c r="O526" s="2432"/>
    </row>
    <row r="527" spans="1:15" ht="12" hidden="1" thickBot="1">
      <c r="A527" s="2462"/>
      <c r="B527" s="478"/>
      <c r="C527" s="478"/>
      <c r="D527" s="478"/>
      <c r="E527" s="478"/>
      <c r="F527" s="478"/>
      <c r="G527" s="478"/>
      <c r="H527" s="478"/>
      <c r="I527" s="478"/>
      <c r="J527" s="478"/>
      <c r="K527" s="478"/>
      <c r="L527" s="478"/>
      <c r="N527" s="2448"/>
      <c r="O527" s="2432"/>
    </row>
    <row r="528" spans="1:15" ht="12" hidden="1" thickBot="1">
      <c r="A528" s="2463"/>
      <c r="B528" s="472"/>
      <c r="C528" s="472"/>
      <c r="D528" s="472"/>
      <c r="E528" s="472"/>
      <c r="F528" s="472"/>
      <c r="G528" s="472"/>
      <c r="H528" s="472"/>
      <c r="I528" s="472"/>
      <c r="J528" s="472"/>
      <c r="K528" s="472"/>
      <c r="L528" s="472"/>
      <c r="N528" s="472"/>
      <c r="O528" s="2432"/>
    </row>
    <row r="529" spans="1:15" ht="12" hidden="1" thickBot="1">
      <c r="A529" s="2463"/>
      <c r="O529" s="2432"/>
    </row>
    <row r="530" spans="1:15" ht="12" hidden="1" thickBot="1">
      <c r="A530" s="2463"/>
      <c r="O530" s="2432"/>
    </row>
    <row r="531" spans="1:15" ht="12" hidden="1" thickBot="1">
      <c r="A531" s="2463"/>
      <c r="O531" s="2432"/>
    </row>
    <row r="532" spans="1:15" ht="12" hidden="1" thickBot="1">
      <c r="A532" s="2463"/>
      <c r="O532" s="2432"/>
    </row>
    <row r="533" spans="1:15" ht="12" hidden="1" thickBot="1">
      <c r="A533" s="2463"/>
      <c r="O533" s="2432"/>
    </row>
    <row r="534" spans="1:15" ht="12" hidden="1" thickBot="1">
      <c r="A534" s="2463"/>
      <c r="O534" s="2432"/>
    </row>
    <row r="535" spans="1:15" hidden="1">
      <c r="A535" s="2464"/>
      <c r="O535" s="2433"/>
    </row>
    <row r="536" spans="1:15" hidden="1"/>
    <row r="537" spans="1:15" hidden="1"/>
    <row r="538" spans="1:15" hidden="1"/>
    <row r="539" spans="1:15" hidden="1"/>
    <row r="540" spans="1:15" hidden="1"/>
    <row r="541" spans="1:15" hidden="1"/>
    <row r="542" spans="1:15" hidden="1"/>
    <row r="543" spans="1:15" hidden="1"/>
    <row r="544" spans="1:15" hidden="1"/>
    <row r="545" hidden="1"/>
    <row r="546" hidden="1"/>
    <row r="547" hidden="1"/>
    <row r="548" hidden="1"/>
    <row r="549" hidden="1"/>
    <row r="550" hidden="1"/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582" hidden="1"/>
    <row r="583" hidden="1"/>
    <row r="584" hidden="1"/>
    <row r="585" hidden="1"/>
    <row r="586" hidden="1"/>
    <row r="587" hidden="1"/>
    <row r="588" hidden="1"/>
    <row r="589" hidden="1"/>
    <row r="590" hidden="1"/>
    <row r="591" hidden="1"/>
    <row r="592" hidden="1"/>
    <row r="593" hidden="1"/>
    <row r="594" hidden="1"/>
    <row r="595" hidden="1"/>
    <row r="596" hidden="1"/>
    <row r="597" hidden="1"/>
    <row r="598" hidden="1"/>
  </sheetData>
  <mergeCells count="103">
    <mergeCell ref="C81:C83"/>
    <mergeCell ref="C87:C88"/>
    <mergeCell ref="C89:C90"/>
    <mergeCell ref="N86:N90"/>
    <mergeCell ref="M86:M90"/>
    <mergeCell ref="A167:A178"/>
    <mergeCell ref="O167:O178"/>
    <mergeCell ref="C172:C173"/>
    <mergeCell ref="M174:M178"/>
    <mergeCell ref="N174:N178"/>
    <mergeCell ref="C175:C176"/>
    <mergeCell ref="C177:C178"/>
    <mergeCell ref="A155:A166"/>
    <mergeCell ref="O155:O166"/>
    <mergeCell ref="C160:C161"/>
    <mergeCell ref="M162:M166"/>
    <mergeCell ref="N162:N166"/>
    <mergeCell ref="C163:C164"/>
    <mergeCell ref="C165:C166"/>
    <mergeCell ref="C125:C126"/>
    <mergeCell ref="A79:A90"/>
    <mergeCell ref="O79:O90"/>
    <mergeCell ref="C84:C85"/>
    <mergeCell ref="C146:C148"/>
    <mergeCell ref="C59:C61"/>
    <mergeCell ref="C63:C64"/>
    <mergeCell ref="C65:C66"/>
    <mergeCell ref="N62:N66"/>
    <mergeCell ref="M62:M66"/>
    <mergeCell ref="A67:A78"/>
    <mergeCell ref="O67:O78"/>
    <mergeCell ref="C69:C70"/>
    <mergeCell ref="C75:C76"/>
    <mergeCell ref="C77:C78"/>
    <mergeCell ref="N74:N78"/>
    <mergeCell ref="M74:M78"/>
    <mergeCell ref="A55:A66"/>
    <mergeCell ref="O55:O66"/>
    <mergeCell ref="C57:C58"/>
    <mergeCell ref="C71:C73"/>
    <mergeCell ref="B4:B5"/>
    <mergeCell ref="C4:C5"/>
    <mergeCell ref="D4:D5"/>
    <mergeCell ref="O4:O5"/>
    <mergeCell ref="O10:O22"/>
    <mergeCell ref="C11:C16"/>
    <mergeCell ref="C18:C22"/>
    <mergeCell ref="N4:N5"/>
    <mergeCell ref="N17:N22"/>
    <mergeCell ref="E4:E5"/>
    <mergeCell ref="F4:F5"/>
    <mergeCell ref="G4:L4"/>
    <mergeCell ref="M4:M5"/>
    <mergeCell ref="M17:M22"/>
    <mergeCell ref="M38:M40"/>
    <mergeCell ref="N38:N40"/>
    <mergeCell ref="C45:C49"/>
    <mergeCell ref="C51:C54"/>
    <mergeCell ref="O23:O31"/>
    <mergeCell ref="A43:A54"/>
    <mergeCell ref="O43:O54"/>
    <mergeCell ref="N50:N54"/>
    <mergeCell ref="A23:A31"/>
    <mergeCell ref="N29:N31"/>
    <mergeCell ref="C25:C31"/>
    <mergeCell ref="M29:M31"/>
    <mergeCell ref="M50:M54"/>
    <mergeCell ref="O32:O40"/>
    <mergeCell ref="A32:A42"/>
    <mergeCell ref="C34:C42"/>
    <mergeCell ref="O129:O140"/>
    <mergeCell ref="C131:C133"/>
    <mergeCell ref="C134:C135"/>
    <mergeCell ref="N136:N140"/>
    <mergeCell ref="C137:C138"/>
    <mergeCell ref="C139:C140"/>
    <mergeCell ref="M136:M140"/>
    <mergeCell ref="A141:A154"/>
    <mergeCell ref="O141:O154"/>
    <mergeCell ref="M149:M154"/>
    <mergeCell ref="N149:N154"/>
    <mergeCell ref="C150:C151"/>
    <mergeCell ref="C152:C154"/>
    <mergeCell ref="A129:A140"/>
    <mergeCell ref="C96:C98"/>
    <mergeCell ref="M99:M104"/>
    <mergeCell ref="A105:A116"/>
    <mergeCell ref="A117:A128"/>
    <mergeCell ref="O117:O128"/>
    <mergeCell ref="C122:C123"/>
    <mergeCell ref="N124:N128"/>
    <mergeCell ref="A91:A103"/>
    <mergeCell ref="C100:C103"/>
    <mergeCell ref="N99:N103"/>
    <mergeCell ref="O91:O103"/>
    <mergeCell ref="O105:O116"/>
    <mergeCell ref="C110:C111"/>
    <mergeCell ref="C113:C114"/>
    <mergeCell ref="C115:C116"/>
    <mergeCell ref="N112:N116"/>
    <mergeCell ref="M112:M116"/>
    <mergeCell ref="C127:C128"/>
    <mergeCell ref="M124:M128"/>
  </mergeCells>
  <printOptions horizontalCentered="1"/>
  <pageMargins left="3.937007874015748E-2" right="7.874015748031496E-2" top="0.51181102362204722" bottom="0.51181102362204722" header="0.11811023622047245" footer="0.15748031496062992"/>
  <pageSetup paperSize="9" scale="68" firstPageNumber="48" orientation="landscape" useFirstPageNumber="1" r:id="rId1"/>
  <headerFooter alignWithMargins="0">
    <oddHeader>&amp;C&amp;"Arial,Kursywa"Wieloletnia prognoza finansowa Województwa Zachodniopomorskiego&amp;"Arial,Normalny"
______________________________________________________________________________________________________________________________________</oddHeader>
    <oddFooter>&amp;C&amp;8&amp;P</oddFooter>
  </headerFooter>
  <rowBreaks count="3" manualBreakCount="3">
    <brk id="54" max="14" man="1"/>
    <brk id="104" max="14" man="1"/>
    <brk id="154" max="14" man="1"/>
  </rowBreaks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00B050"/>
  </sheetPr>
  <dimension ref="A1:BN533"/>
  <sheetViews>
    <sheetView showGridLines="0" view="pageBreakPreview" zoomScaleSheetLayoutView="100" workbookViewId="0">
      <pane xSplit="3" ySplit="7" topLeftCell="D8" activePane="bottomRight" state="frozen"/>
      <selection activeCell="A4" sqref="A1:XFD1048576"/>
      <selection pane="topRight" activeCell="A4" sqref="A1:XFD1048576"/>
      <selection pane="bottomLeft" activeCell="A4" sqref="A1:XFD1048576"/>
      <selection pane="bottomRight" activeCell="D8" sqref="D8"/>
    </sheetView>
  </sheetViews>
  <sheetFormatPr defaultColWidth="9.140625" defaultRowHeight="12" outlineLevelRow="1"/>
  <cols>
    <col min="1" max="1" width="3.7109375" style="428" customWidth="1"/>
    <col min="2" max="2" width="59" style="294" customWidth="1"/>
    <col min="3" max="3" width="9.7109375" style="294" customWidth="1"/>
    <col min="4" max="4" width="14.5703125" style="294" customWidth="1"/>
    <col min="5" max="5" width="12.5703125" style="294" customWidth="1"/>
    <col min="6" max="12" width="10.85546875" style="294" customWidth="1"/>
    <col min="13" max="13" width="11.7109375" style="294" hidden="1" customWidth="1"/>
    <col min="14" max="14" width="11.7109375" style="294" customWidth="1"/>
    <col min="15" max="15" width="17.42578125" style="432" customWidth="1"/>
    <col min="16" max="16" width="15.140625" style="294" hidden="1" customWidth="1"/>
    <col min="17" max="17" width="11.7109375" style="294" hidden="1" customWidth="1"/>
    <col min="18" max="26" width="0" style="294" hidden="1" customWidth="1"/>
    <col min="27" max="16384" width="9.140625" style="294"/>
  </cols>
  <sheetData>
    <row r="1" spans="1:66" ht="16.5" customHeight="1">
      <c r="F1" s="4173"/>
      <c r="G1" s="4173"/>
      <c r="H1" s="290" t="s">
        <v>387</v>
      </c>
      <c r="I1" s="286"/>
      <c r="J1" s="286"/>
      <c r="K1" s="286"/>
      <c r="L1" s="286"/>
      <c r="M1" s="6"/>
      <c r="N1" s="6"/>
      <c r="O1" s="7"/>
    </row>
    <row r="2" spans="1:66" ht="15" hidden="1" customHeight="1">
      <c r="F2" s="289"/>
      <c r="G2" s="289"/>
      <c r="H2" s="289"/>
      <c r="I2" s="289"/>
      <c r="J2" s="289"/>
      <c r="K2" s="289"/>
      <c r="L2" s="289"/>
      <c r="M2" s="6"/>
      <c r="N2" s="6"/>
      <c r="O2" s="7"/>
    </row>
    <row r="3" spans="1:66" ht="9" customHeight="1">
      <c r="D3" s="429"/>
      <c r="F3" s="291"/>
      <c r="G3" s="291"/>
      <c r="H3" s="291"/>
      <c r="I3" s="291"/>
      <c r="J3" s="291"/>
      <c r="K3" s="291"/>
      <c r="L3" s="291"/>
      <c r="M3" s="6"/>
      <c r="N3" s="6"/>
      <c r="O3" s="7"/>
    </row>
    <row r="4" spans="1:66" s="431" customFormat="1" ht="40.5" customHeight="1" thickBot="1">
      <c r="A4" s="4174" t="s">
        <v>190</v>
      </c>
      <c r="B4" s="4174"/>
      <c r="C4" s="4174"/>
      <c r="D4" s="4174"/>
      <c r="E4" s="4174"/>
      <c r="F4" s="4174"/>
      <c r="G4" s="4174"/>
      <c r="H4" s="4174"/>
      <c r="I4" s="4174"/>
      <c r="J4" s="4174"/>
      <c r="K4" s="4174"/>
      <c r="L4" s="4174"/>
      <c r="M4" s="4174"/>
      <c r="N4" s="4174"/>
      <c r="O4" s="4174"/>
      <c r="P4" s="430"/>
      <c r="Q4" s="430"/>
      <c r="R4" s="430"/>
      <c r="S4" s="430"/>
      <c r="T4" s="430"/>
      <c r="U4" s="430"/>
      <c r="V4" s="430"/>
      <c r="W4" s="430"/>
      <c r="X4" s="430"/>
      <c r="Y4" s="430"/>
      <c r="Z4" s="430"/>
      <c r="AA4" s="430"/>
      <c r="AB4" s="430"/>
      <c r="AC4" s="430"/>
      <c r="AD4" s="430"/>
      <c r="AE4" s="430"/>
      <c r="AF4" s="430"/>
      <c r="AG4" s="430"/>
      <c r="AH4" s="430"/>
      <c r="AI4" s="430"/>
      <c r="AJ4" s="430"/>
      <c r="AK4" s="430"/>
      <c r="AL4" s="293"/>
      <c r="AM4" s="293"/>
      <c r="AN4" s="293"/>
      <c r="AO4" s="293"/>
      <c r="AP4" s="293"/>
      <c r="AQ4" s="293"/>
      <c r="AR4" s="293"/>
      <c r="AS4" s="293"/>
      <c r="AT4" s="293"/>
      <c r="AU4" s="293"/>
      <c r="AV4" s="293"/>
      <c r="AW4" s="293"/>
      <c r="AX4" s="293"/>
      <c r="AY4" s="293"/>
      <c r="AZ4" s="293"/>
      <c r="BA4" s="293"/>
      <c r="BB4" s="293"/>
      <c r="BC4" s="293"/>
      <c r="BD4" s="293"/>
      <c r="BE4" s="293"/>
      <c r="BF4" s="293"/>
      <c r="BG4" s="293"/>
      <c r="BH4" s="293"/>
      <c r="BI4" s="293"/>
      <c r="BJ4" s="293"/>
      <c r="BK4" s="293"/>
      <c r="BL4" s="293"/>
      <c r="BM4" s="293"/>
      <c r="BN4" s="293"/>
    </row>
    <row r="5" spans="1:66" ht="72" customHeight="1">
      <c r="A5" s="2196"/>
      <c r="B5" s="4175" t="s">
        <v>67</v>
      </c>
      <c r="C5" s="4177" t="s">
        <v>63</v>
      </c>
      <c r="D5" s="4179" t="s">
        <v>64</v>
      </c>
      <c r="E5" s="1270" t="s">
        <v>221</v>
      </c>
      <c r="F5" s="3504" t="s">
        <v>420</v>
      </c>
      <c r="G5" s="3646" t="s">
        <v>376</v>
      </c>
      <c r="H5" s="3647"/>
      <c r="I5" s="3647"/>
      <c r="J5" s="3647"/>
      <c r="K5" s="3647"/>
      <c r="L5" s="3648"/>
      <c r="M5" s="4106" t="s">
        <v>390</v>
      </c>
      <c r="N5" s="4106" t="s">
        <v>377</v>
      </c>
      <c r="O5" s="3998" t="s">
        <v>65</v>
      </c>
      <c r="P5" s="293"/>
      <c r="Q5" s="293"/>
      <c r="R5" s="293"/>
      <c r="S5" s="293"/>
      <c r="T5" s="293"/>
      <c r="U5" s="293"/>
      <c r="V5" s="293"/>
      <c r="W5" s="293"/>
      <c r="X5" s="293"/>
      <c r="Y5" s="293"/>
      <c r="Z5" s="293"/>
      <c r="AA5" s="293"/>
      <c r="AB5" s="293"/>
      <c r="AC5" s="293"/>
      <c r="AD5" s="293"/>
      <c r="AE5" s="293"/>
      <c r="AF5" s="293"/>
      <c r="AG5" s="293"/>
      <c r="AH5" s="293"/>
      <c r="AI5" s="293"/>
      <c r="AJ5" s="293"/>
      <c r="AK5" s="293"/>
      <c r="AL5" s="293"/>
      <c r="AM5" s="293"/>
      <c r="AN5" s="293"/>
      <c r="AO5" s="293"/>
      <c r="AP5" s="293"/>
      <c r="AQ5" s="293"/>
      <c r="AR5" s="293"/>
      <c r="AS5" s="293"/>
      <c r="AT5" s="293"/>
      <c r="AU5" s="293"/>
      <c r="AV5" s="293"/>
      <c r="AW5" s="293"/>
      <c r="AX5" s="293"/>
      <c r="AY5" s="293"/>
      <c r="AZ5" s="293"/>
      <c r="BA5" s="293"/>
      <c r="BB5" s="293"/>
      <c r="BC5" s="293"/>
      <c r="BD5" s="293"/>
      <c r="BE5" s="293"/>
      <c r="BF5" s="293"/>
      <c r="BG5" s="293"/>
      <c r="BH5" s="293"/>
      <c r="BI5" s="293"/>
      <c r="BJ5" s="293"/>
      <c r="BK5" s="293"/>
      <c r="BL5" s="293"/>
      <c r="BM5" s="293"/>
      <c r="BN5" s="293"/>
    </row>
    <row r="6" spans="1:66" ht="21" customHeight="1">
      <c r="A6" s="2197"/>
      <c r="B6" s="4176"/>
      <c r="C6" s="4178"/>
      <c r="D6" s="4180"/>
      <c r="E6" s="1272" t="s">
        <v>367</v>
      </c>
      <c r="F6" s="4184"/>
      <c r="G6" s="3163" t="s">
        <v>6</v>
      </c>
      <c r="H6" s="1403" t="s">
        <v>170</v>
      </c>
      <c r="I6" s="1403" t="s">
        <v>171</v>
      </c>
      <c r="J6" s="1403" t="s">
        <v>214</v>
      </c>
      <c r="K6" s="1403" t="s">
        <v>215</v>
      </c>
      <c r="L6" s="1403" t="s">
        <v>216</v>
      </c>
      <c r="M6" s="4182"/>
      <c r="N6" s="4182"/>
      <c r="O6" s="4181"/>
      <c r="P6" s="293"/>
      <c r="Q6" s="293"/>
      <c r="R6" s="293"/>
      <c r="S6" s="293"/>
      <c r="T6" s="293"/>
      <c r="U6" s="293"/>
      <c r="V6" s="293"/>
      <c r="W6" s="293"/>
      <c r="X6" s="293"/>
      <c r="Y6" s="293"/>
      <c r="Z6" s="293"/>
      <c r="AA6" s="293"/>
      <c r="AB6" s="293"/>
      <c r="AC6" s="293"/>
      <c r="AD6" s="293"/>
      <c r="AE6" s="293"/>
      <c r="AF6" s="293"/>
      <c r="AG6" s="293"/>
      <c r="AH6" s="293"/>
      <c r="AI6" s="293"/>
      <c r="AJ6" s="293"/>
      <c r="AK6" s="293"/>
      <c r="AL6" s="293"/>
      <c r="AM6" s="293"/>
      <c r="AN6" s="293"/>
      <c r="AO6" s="293"/>
      <c r="AP6" s="293"/>
      <c r="AQ6" s="293"/>
      <c r="AR6" s="293"/>
      <c r="AS6" s="293"/>
      <c r="AT6" s="293"/>
      <c r="AU6" s="293"/>
      <c r="AV6" s="293"/>
      <c r="AW6" s="293"/>
      <c r="AX6" s="293"/>
      <c r="AY6" s="293"/>
      <c r="AZ6" s="293"/>
      <c r="BA6" s="293"/>
      <c r="BB6" s="293"/>
      <c r="BC6" s="293"/>
      <c r="BD6" s="293"/>
      <c r="BE6" s="293"/>
      <c r="BF6" s="293"/>
      <c r="BG6" s="293"/>
      <c r="BH6" s="293"/>
      <c r="BI6" s="293"/>
      <c r="BJ6" s="293"/>
      <c r="BK6" s="293"/>
      <c r="BL6" s="293"/>
      <c r="BM6" s="293"/>
      <c r="BN6" s="293"/>
    </row>
    <row r="7" spans="1:66" ht="11.25">
      <c r="A7" s="2198">
        <v>1</v>
      </c>
      <c r="B7" s="2199">
        <v>2</v>
      </c>
      <c r="C7" s="2200" t="s">
        <v>109</v>
      </c>
      <c r="D7" s="2200" t="s">
        <v>110</v>
      </c>
      <c r="E7" s="2200">
        <v>5</v>
      </c>
      <c r="F7" s="1287">
        <v>6</v>
      </c>
      <c r="G7" s="1287">
        <v>7</v>
      </c>
      <c r="H7" s="1287">
        <v>8</v>
      </c>
      <c r="I7" s="1287">
        <v>9</v>
      </c>
      <c r="J7" s="1287">
        <v>10</v>
      </c>
      <c r="K7" s="1287">
        <v>11</v>
      </c>
      <c r="L7" s="1287">
        <v>12</v>
      </c>
      <c r="M7" s="2201">
        <v>13</v>
      </c>
      <c r="N7" s="2201">
        <v>13</v>
      </c>
      <c r="O7" s="2202">
        <v>14</v>
      </c>
      <c r="P7" s="293"/>
      <c r="Q7" s="293"/>
      <c r="R7" s="293"/>
      <c r="S7" s="293"/>
      <c r="T7" s="293"/>
      <c r="U7" s="293"/>
      <c r="V7" s="293"/>
      <c r="W7" s="293"/>
      <c r="X7" s="293"/>
      <c r="Y7" s="293"/>
      <c r="Z7" s="293"/>
      <c r="AA7" s="293"/>
      <c r="AB7" s="293"/>
      <c r="AC7" s="293"/>
      <c r="AD7" s="293"/>
      <c r="AE7" s="293"/>
      <c r="AF7" s="293"/>
      <c r="AG7" s="293"/>
      <c r="AH7" s="293"/>
      <c r="AI7" s="293"/>
      <c r="AJ7" s="293"/>
      <c r="AK7" s="293"/>
      <c r="AL7" s="293"/>
      <c r="AM7" s="293"/>
      <c r="AN7" s="293"/>
      <c r="AO7" s="293"/>
      <c r="AP7" s="293"/>
      <c r="AQ7" s="293"/>
      <c r="AR7" s="293"/>
      <c r="AS7" s="293"/>
      <c r="AT7" s="293"/>
      <c r="AU7" s="293"/>
      <c r="AV7" s="293"/>
      <c r="AW7" s="293"/>
      <c r="AX7" s="293"/>
      <c r="AY7" s="293"/>
      <c r="AZ7" s="293"/>
      <c r="BA7" s="293"/>
      <c r="BB7" s="293"/>
      <c r="BC7" s="293"/>
      <c r="BD7" s="293"/>
      <c r="BE7" s="293"/>
      <c r="BF7" s="293"/>
      <c r="BG7" s="293"/>
      <c r="BH7" s="293"/>
      <c r="BI7" s="293"/>
      <c r="BJ7" s="293"/>
      <c r="BK7" s="293"/>
      <c r="BL7" s="293"/>
      <c r="BM7" s="293"/>
      <c r="BN7" s="293"/>
    </row>
    <row r="8" spans="1:66" s="2562" customFormat="1" ht="16.5" customHeight="1">
      <c r="A8" s="1117"/>
      <c r="B8" s="579" t="s">
        <v>68</v>
      </c>
      <c r="C8" s="214"/>
      <c r="D8" s="215">
        <f>+D9+D10</f>
        <v>43479650</v>
      </c>
      <c r="E8" s="215">
        <f t="shared" ref="E8:L8" si="0">+E9+E10</f>
        <v>7493703</v>
      </c>
      <c r="F8" s="215">
        <f t="shared" si="0"/>
        <v>4882915</v>
      </c>
      <c r="G8" s="215">
        <f t="shared" si="0"/>
        <v>6770610</v>
      </c>
      <c r="H8" s="215">
        <f t="shared" si="0"/>
        <v>8678868</v>
      </c>
      <c r="I8" s="215">
        <f t="shared" si="0"/>
        <v>8469761</v>
      </c>
      <c r="J8" s="215">
        <f t="shared" si="0"/>
        <v>2668770</v>
      </c>
      <c r="K8" s="215">
        <f t="shared" si="0"/>
        <v>2602467</v>
      </c>
      <c r="L8" s="215">
        <f t="shared" si="0"/>
        <v>1912556</v>
      </c>
      <c r="M8" s="145">
        <f t="shared" ref="M8" si="1">+M9+M10</f>
        <v>35985947</v>
      </c>
      <c r="N8" s="145">
        <f t="shared" ref="N8" si="2">+N9+N10</f>
        <v>31103032</v>
      </c>
      <c r="O8" s="17"/>
      <c r="P8" s="2563">
        <f>+F8+G8+H8+I8+J8+K8+L8</f>
        <v>35985947</v>
      </c>
    </row>
    <row r="9" spans="1:66" s="2562" customFormat="1" ht="13.5" customHeight="1">
      <c r="A9" s="583"/>
      <c r="B9" s="579" t="s">
        <v>69</v>
      </c>
      <c r="C9" s="214"/>
      <c r="D9" s="215">
        <f t="shared" ref="D9:L9" si="3">+D44+D78+D87+D58+D96</f>
        <v>42463630</v>
      </c>
      <c r="E9" s="215">
        <f t="shared" si="3"/>
        <v>7444603</v>
      </c>
      <c r="F9" s="215">
        <f t="shared" si="3"/>
        <v>4882915</v>
      </c>
      <c r="G9" s="215">
        <f t="shared" si="3"/>
        <v>6547080</v>
      </c>
      <c r="H9" s="215">
        <f t="shared" si="3"/>
        <v>8113878</v>
      </c>
      <c r="I9" s="215">
        <f t="shared" si="3"/>
        <v>8291361</v>
      </c>
      <c r="J9" s="215">
        <f t="shared" si="3"/>
        <v>2668770</v>
      </c>
      <c r="K9" s="215">
        <f t="shared" si="3"/>
        <v>2602467</v>
      </c>
      <c r="L9" s="215">
        <f t="shared" si="3"/>
        <v>1912556</v>
      </c>
      <c r="M9" s="145">
        <f>SUM(F9:L9)</f>
        <v>35019027</v>
      </c>
      <c r="N9" s="145">
        <f>SUM(G9:L9)</f>
        <v>30136112</v>
      </c>
      <c r="O9" s="17"/>
      <c r="P9" s="2563"/>
    </row>
    <row r="10" spans="1:66" s="2562" customFormat="1" ht="13.5" customHeight="1" thickBot="1">
      <c r="A10" s="583"/>
      <c r="B10" s="219" t="s">
        <v>9</v>
      </c>
      <c r="C10" s="536"/>
      <c r="D10" s="217">
        <f t="shared" ref="D10:L10" si="4">+D33+D69</f>
        <v>1016020</v>
      </c>
      <c r="E10" s="217">
        <f t="shared" si="4"/>
        <v>49100</v>
      </c>
      <c r="F10" s="217">
        <f t="shared" si="4"/>
        <v>0</v>
      </c>
      <c r="G10" s="217">
        <f t="shared" si="4"/>
        <v>223530</v>
      </c>
      <c r="H10" s="217">
        <f t="shared" si="4"/>
        <v>564990</v>
      </c>
      <c r="I10" s="217">
        <f t="shared" si="4"/>
        <v>178400</v>
      </c>
      <c r="J10" s="217">
        <f t="shared" si="4"/>
        <v>0</v>
      </c>
      <c r="K10" s="217">
        <f t="shared" si="4"/>
        <v>0</v>
      </c>
      <c r="L10" s="217">
        <f t="shared" si="4"/>
        <v>0</v>
      </c>
      <c r="M10" s="1648">
        <f>SUM(F10:L10)</f>
        <v>966920</v>
      </c>
      <c r="N10" s="147">
        <f>SUM(G10:L10)</f>
        <v>966920</v>
      </c>
      <c r="O10" s="1121"/>
    </row>
    <row r="11" spans="1:66" s="1157" customFormat="1" ht="14.25" customHeight="1">
      <c r="A11" s="2203"/>
      <c r="B11" s="80" t="s">
        <v>10</v>
      </c>
      <c r="C11" s="183"/>
      <c r="D11" s="97">
        <f t="shared" ref="D11:L11" si="5">+D12+D16</f>
        <v>43479650</v>
      </c>
      <c r="E11" s="97">
        <f t="shared" si="5"/>
        <v>7493703</v>
      </c>
      <c r="F11" s="97">
        <f t="shared" si="5"/>
        <v>4882915</v>
      </c>
      <c r="G11" s="97">
        <f t="shared" si="5"/>
        <v>6770610</v>
      </c>
      <c r="H11" s="97">
        <f t="shared" si="5"/>
        <v>8678868</v>
      </c>
      <c r="I11" s="97">
        <f t="shared" si="5"/>
        <v>8469761</v>
      </c>
      <c r="J11" s="97">
        <f t="shared" si="5"/>
        <v>2668770</v>
      </c>
      <c r="K11" s="97">
        <f t="shared" si="5"/>
        <v>2602467</v>
      </c>
      <c r="L11" s="97">
        <f t="shared" si="5"/>
        <v>1912556</v>
      </c>
      <c r="M11" s="1154">
        <f>+M12+M16</f>
        <v>27727926</v>
      </c>
      <c r="N11" s="1154">
        <f>+N12+N16</f>
        <v>24015233</v>
      </c>
      <c r="O11" s="3128"/>
      <c r="P11" s="1155"/>
      <c r="Q11" s="673"/>
      <c r="R11" s="1156"/>
      <c r="S11" s="1156"/>
      <c r="T11" s="1156"/>
      <c r="U11" s="1156"/>
      <c r="V11" s="1156"/>
      <c r="W11" s="1156"/>
      <c r="X11" s="1156"/>
      <c r="Y11" s="1156"/>
      <c r="Z11" s="1156"/>
      <c r="AA11" s="1156"/>
      <c r="AB11" s="1156"/>
      <c r="AC11" s="1156"/>
      <c r="AD11" s="1156"/>
      <c r="AE11" s="1156"/>
      <c r="AF11" s="1156"/>
      <c r="AG11" s="1156"/>
      <c r="AH11" s="1156"/>
      <c r="AI11" s="1156"/>
      <c r="AJ11" s="1156"/>
      <c r="AK11" s="1156"/>
      <c r="AL11" s="1156"/>
      <c r="AM11" s="1156"/>
      <c r="AN11" s="1156"/>
      <c r="AO11" s="1156"/>
      <c r="AP11" s="1156"/>
      <c r="AQ11" s="1156"/>
      <c r="AR11" s="1156"/>
      <c r="AS11" s="1156"/>
      <c r="AT11" s="1156"/>
      <c r="AU11" s="1156"/>
      <c r="AV11" s="1156"/>
      <c r="AW11" s="1156"/>
      <c r="AX11" s="1156"/>
      <c r="AY11" s="1156"/>
      <c r="AZ11" s="1156"/>
      <c r="BA11" s="1156"/>
      <c r="BB11" s="1156"/>
      <c r="BC11" s="1156"/>
      <c r="BD11" s="1156"/>
      <c r="BE11" s="1156"/>
      <c r="BF11" s="1156"/>
      <c r="BG11" s="1156"/>
      <c r="BH11" s="1156"/>
      <c r="BI11" s="1156"/>
      <c r="BJ11" s="1156"/>
      <c r="BK11" s="1156"/>
      <c r="BL11" s="1156"/>
      <c r="BM11" s="1156"/>
      <c r="BN11" s="1156"/>
    </row>
    <row r="12" spans="1:66" s="2883" customFormat="1" ht="14.25" customHeight="1">
      <c r="A12" s="1119"/>
      <c r="B12" s="2124" t="s">
        <v>11</v>
      </c>
      <c r="C12" s="1158"/>
      <c r="D12" s="2125">
        <f t="shared" ref="D12:N12" si="6">SUM(D13:D15)</f>
        <v>14131859</v>
      </c>
      <c r="E12" s="2125">
        <f t="shared" si="6"/>
        <v>2568301</v>
      </c>
      <c r="F12" s="2125">
        <f t="shared" si="6"/>
        <v>1642862</v>
      </c>
      <c r="G12" s="2125">
        <f t="shared" si="6"/>
        <v>2253852</v>
      </c>
      <c r="H12" s="2125">
        <f t="shared" si="6"/>
        <v>2810831</v>
      </c>
      <c r="I12" s="2125">
        <f t="shared" si="6"/>
        <v>2646464</v>
      </c>
      <c r="J12" s="2125">
        <f t="shared" si="6"/>
        <v>808164</v>
      </c>
      <c r="K12" s="2125">
        <f t="shared" si="6"/>
        <v>739309</v>
      </c>
      <c r="L12" s="2125">
        <f t="shared" si="6"/>
        <v>662076</v>
      </c>
      <c r="M12" s="2204">
        <f t="shared" si="6"/>
        <v>9875654</v>
      </c>
      <c r="N12" s="2204">
        <f t="shared" si="6"/>
        <v>8525347</v>
      </c>
      <c r="O12" s="3141"/>
      <c r="Q12" s="2562"/>
    </row>
    <row r="13" spans="1:66" s="2883" customFormat="1" ht="14.25" customHeight="1">
      <c r="A13" s="1118"/>
      <c r="B13" s="2128" t="s">
        <v>12</v>
      </c>
      <c r="C13" s="1159"/>
      <c r="D13" s="2127">
        <f t="shared" ref="D13:L13" si="7">+D46+D71+D80+D89+D98</f>
        <v>740904</v>
      </c>
      <c r="E13" s="2127">
        <f t="shared" si="7"/>
        <v>29465</v>
      </c>
      <c r="F13" s="2127">
        <f t="shared" si="7"/>
        <v>0</v>
      </c>
      <c r="G13" s="2127">
        <f t="shared" si="7"/>
        <v>61592</v>
      </c>
      <c r="H13" s="2127">
        <f>+H46+H71+H80+H89+H98</f>
        <v>146831</v>
      </c>
      <c r="I13" s="2127">
        <f t="shared" si="7"/>
        <v>229464</v>
      </c>
      <c r="J13" s="2127">
        <f t="shared" si="7"/>
        <v>110329</v>
      </c>
      <c r="K13" s="2127">
        <f t="shared" si="7"/>
        <v>141733</v>
      </c>
      <c r="L13" s="2127">
        <f t="shared" si="7"/>
        <v>21490</v>
      </c>
      <c r="M13" s="2205">
        <f t="shared" ref="M13:N13" si="8">+M46+M71+M80</f>
        <v>146536</v>
      </c>
      <c r="N13" s="2205">
        <f t="shared" si="8"/>
        <v>146536</v>
      </c>
      <c r="O13" s="3141"/>
      <c r="P13" s="1160"/>
      <c r="Q13" s="2884"/>
    </row>
    <row r="14" spans="1:66" s="2883" customFormat="1" ht="13.5" customHeight="1" outlineLevel="1">
      <c r="A14" s="1118"/>
      <c r="B14" s="2126" t="s">
        <v>13</v>
      </c>
      <c r="C14" s="1159"/>
      <c r="D14" s="2127">
        <f>+D47+D60</f>
        <v>13390955</v>
      </c>
      <c r="E14" s="2127">
        <f t="shared" ref="E14:L14" si="9">+E47+E60</f>
        <v>2538836</v>
      </c>
      <c r="F14" s="2127">
        <f t="shared" si="9"/>
        <v>1642862</v>
      </c>
      <c r="G14" s="2127">
        <f t="shared" si="9"/>
        <v>2192260</v>
      </c>
      <c r="H14" s="2127">
        <f t="shared" si="9"/>
        <v>2664000</v>
      </c>
      <c r="I14" s="2127">
        <f t="shared" si="9"/>
        <v>2417000</v>
      </c>
      <c r="J14" s="2127">
        <f t="shared" si="9"/>
        <v>697835</v>
      </c>
      <c r="K14" s="2127">
        <f t="shared" si="9"/>
        <v>597576</v>
      </c>
      <c r="L14" s="2127">
        <f t="shared" si="9"/>
        <v>640586</v>
      </c>
      <c r="M14" s="2205">
        <f>+M47</f>
        <v>9729118</v>
      </c>
      <c r="N14" s="2205">
        <f>+N47</f>
        <v>8378811</v>
      </c>
      <c r="O14" s="3141"/>
      <c r="P14" s="1160">
        <f>D14-D23</f>
        <v>0</v>
      </c>
      <c r="Q14" s="2884"/>
    </row>
    <row r="15" spans="1:66" s="2883" customFormat="1" ht="14.25" hidden="1" customHeight="1" outlineLevel="1">
      <c r="A15" s="1118"/>
      <c r="B15" s="2128" t="s">
        <v>16</v>
      </c>
      <c r="C15" s="1695"/>
      <c r="D15" s="2127">
        <f>+D35</f>
        <v>0</v>
      </c>
      <c r="E15" s="2127">
        <f t="shared" ref="E15:L15" si="10">+E35</f>
        <v>0</v>
      </c>
      <c r="F15" s="2127">
        <f t="shared" si="10"/>
        <v>0</v>
      </c>
      <c r="G15" s="2127">
        <f t="shared" si="10"/>
        <v>0</v>
      </c>
      <c r="H15" s="2127">
        <f t="shared" si="10"/>
        <v>0</v>
      </c>
      <c r="I15" s="2127">
        <f t="shared" si="10"/>
        <v>0</v>
      </c>
      <c r="J15" s="2127">
        <f t="shared" si="10"/>
        <v>0</v>
      </c>
      <c r="K15" s="2127">
        <f t="shared" si="10"/>
        <v>0</v>
      </c>
      <c r="L15" s="2127">
        <f t="shared" si="10"/>
        <v>0</v>
      </c>
      <c r="M15" s="2205">
        <f>+M35</f>
        <v>0</v>
      </c>
      <c r="N15" s="2205">
        <f>+N35</f>
        <v>0</v>
      </c>
      <c r="O15" s="3141"/>
      <c r="P15" s="1160">
        <f>D15-D25</f>
        <v>0</v>
      </c>
      <c r="Q15" s="2884"/>
    </row>
    <row r="16" spans="1:66" s="2883" customFormat="1" ht="14.25" customHeight="1" outlineLevel="1">
      <c r="A16" s="1119"/>
      <c r="B16" s="1161" t="s">
        <v>18</v>
      </c>
      <c r="C16" s="1162"/>
      <c r="D16" s="1163">
        <f>+D18+D19+D20+D17</f>
        <v>29347791</v>
      </c>
      <c r="E16" s="1163">
        <f t="shared" ref="E16:L16" si="11">+E18+E19+E20+E17</f>
        <v>4925402</v>
      </c>
      <c r="F16" s="1163">
        <f t="shared" si="11"/>
        <v>3240053</v>
      </c>
      <c r="G16" s="1163">
        <f t="shared" si="11"/>
        <v>4516758</v>
      </c>
      <c r="H16" s="1163">
        <f t="shared" si="11"/>
        <v>5868037</v>
      </c>
      <c r="I16" s="1163">
        <f t="shared" si="11"/>
        <v>5823297</v>
      </c>
      <c r="J16" s="1163">
        <f t="shared" si="11"/>
        <v>1860606</v>
      </c>
      <c r="K16" s="1163">
        <f t="shared" si="11"/>
        <v>1863158</v>
      </c>
      <c r="L16" s="1163">
        <f t="shared" si="11"/>
        <v>1250480</v>
      </c>
      <c r="M16" s="1164">
        <f>+M18+M19+M20+M17</f>
        <v>17852272</v>
      </c>
      <c r="N16" s="1164">
        <f>+N18+N19+N20+N17</f>
        <v>15489886</v>
      </c>
      <c r="O16" s="3141"/>
      <c r="P16" s="2884">
        <f>D18-D29</f>
        <v>0</v>
      </c>
      <c r="Q16" s="2884"/>
    </row>
    <row r="17" spans="1:17" s="2883" customFormat="1" ht="14.25" hidden="1" customHeight="1" outlineLevel="1">
      <c r="A17" s="1119"/>
      <c r="B17" s="2128" t="s">
        <v>12</v>
      </c>
      <c r="C17" s="1158"/>
      <c r="D17" s="2127"/>
      <c r="E17" s="2127"/>
      <c r="F17" s="2127"/>
      <c r="G17" s="2127"/>
      <c r="H17" s="2127"/>
      <c r="I17" s="2127"/>
      <c r="J17" s="2127"/>
      <c r="K17" s="2127"/>
      <c r="L17" s="2127"/>
      <c r="M17" s="2205"/>
      <c r="N17" s="2205"/>
      <c r="O17" s="3141"/>
      <c r="P17" s="2884"/>
      <c r="Q17" s="2884"/>
    </row>
    <row r="18" spans="1:17" s="2883" customFormat="1" ht="14.25" customHeight="1" outlineLevel="1">
      <c r="A18" s="1119"/>
      <c r="B18" s="2126" t="s">
        <v>20</v>
      </c>
      <c r="C18" s="1159"/>
      <c r="D18" s="2127">
        <f t="shared" ref="D18:L18" si="12">+D49+D73+D82+D62+D91+D100</f>
        <v>29347791</v>
      </c>
      <c r="E18" s="2127">
        <f t="shared" si="12"/>
        <v>4925402</v>
      </c>
      <c r="F18" s="2127">
        <f t="shared" si="12"/>
        <v>3240053</v>
      </c>
      <c r="G18" s="2127">
        <f t="shared" si="12"/>
        <v>4516758</v>
      </c>
      <c r="H18" s="2127">
        <f t="shared" si="12"/>
        <v>5868037</v>
      </c>
      <c r="I18" s="2127">
        <f t="shared" si="12"/>
        <v>5823297</v>
      </c>
      <c r="J18" s="2127">
        <f t="shared" si="12"/>
        <v>1860606</v>
      </c>
      <c r="K18" s="2127">
        <f t="shared" si="12"/>
        <v>1863158</v>
      </c>
      <c r="L18" s="2127">
        <f t="shared" si="12"/>
        <v>1250480</v>
      </c>
      <c r="M18" s="2205">
        <f>+M49+M73+M82</f>
        <v>17852272</v>
      </c>
      <c r="N18" s="2205">
        <f>+N49+N73+N82</f>
        <v>15489886</v>
      </c>
      <c r="O18" s="3141"/>
      <c r="P18" s="1160"/>
      <c r="Q18" s="2884"/>
    </row>
    <row r="19" spans="1:17" s="2883" customFormat="1" ht="14.25" hidden="1" customHeight="1" outlineLevel="1">
      <c r="A19" s="1119"/>
      <c r="B19" s="2128" t="s">
        <v>14</v>
      </c>
      <c r="C19" s="1165"/>
      <c r="D19" s="2127"/>
      <c r="E19" s="2127"/>
      <c r="F19" s="2127"/>
      <c r="G19" s="2127"/>
      <c r="H19" s="2127"/>
      <c r="I19" s="2127"/>
      <c r="J19" s="2127"/>
      <c r="K19" s="2127"/>
      <c r="L19" s="2127"/>
      <c r="M19" s="2205"/>
      <c r="N19" s="2205"/>
      <c r="O19" s="3141"/>
      <c r="P19" s="1160"/>
      <c r="Q19" s="2884"/>
    </row>
    <row r="20" spans="1:17" s="2883" customFormat="1" ht="14.25" hidden="1" customHeight="1" outlineLevel="1">
      <c r="A20" s="1119"/>
      <c r="B20" s="2126" t="s">
        <v>19</v>
      </c>
      <c r="C20" s="1165"/>
      <c r="D20" s="2127">
        <f>+D37</f>
        <v>0</v>
      </c>
      <c r="E20" s="2127">
        <f t="shared" ref="E20:L20" si="13">+E37</f>
        <v>0</v>
      </c>
      <c r="F20" s="2127">
        <f t="shared" si="13"/>
        <v>0</v>
      </c>
      <c r="G20" s="2127">
        <f t="shared" si="13"/>
        <v>0</v>
      </c>
      <c r="H20" s="2127">
        <f t="shared" si="13"/>
        <v>0</v>
      </c>
      <c r="I20" s="2127">
        <f t="shared" si="13"/>
        <v>0</v>
      </c>
      <c r="J20" s="2127">
        <f t="shared" si="13"/>
        <v>0</v>
      </c>
      <c r="K20" s="2127">
        <f t="shared" si="13"/>
        <v>0</v>
      </c>
      <c r="L20" s="2127">
        <f t="shared" si="13"/>
        <v>0</v>
      </c>
      <c r="M20" s="2205">
        <f>+M37</f>
        <v>0</v>
      </c>
      <c r="N20" s="2205">
        <f>+N37</f>
        <v>0</v>
      </c>
      <c r="O20" s="3142"/>
      <c r="P20" s="1160"/>
      <c r="Q20" s="2884"/>
    </row>
    <row r="21" spans="1:17" s="2883" customFormat="1" ht="14.25" customHeight="1" outlineLevel="1">
      <c r="A21" s="583"/>
      <c r="B21" s="80" t="s">
        <v>21</v>
      </c>
      <c r="C21" s="88"/>
      <c r="D21" s="1166">
        <f>+D22+D28</f>
        <v>42738746</v>
      </c>
      <c r="E21" s="1166">
        <f t="shared" ref="E21:L21" si="14">+E22+E28</f>
        <v>7444603</v>
      </c>
      <c r="F21" s="1166">
        <f t="shared" si="14"/>
        <v>4882915</v>
      </c>
      <c r="G21" s="1166">
        <f t="shared" si="14"/>
        <v>6728653</v>
      </c>
      <c r="H21" s="1166">
        <f t="shared" si="14"/>
        <v>8532037</v>
      </c>
      <c r="I21" s="1166">
        <f t="shared" si="14"/>
        <v>8240297</v>
      </c>
      <c r="J21" s="1166">
        <f t="shared" si="14"/>
        <v>2558441</v>
      </c>
      <c r="K21" s="1166">
        <f t="shared" si="14"/>
        <v>2460734</v>
      </c>
      <c r="L21" s="1166">
        <f t="shared" si="14"/>
        <v>1891066</v>
      </c>
      <c r="M21" s="4183" t="s">
        <v>53</v>
      </c>
      <c r="N21" s="4183" t="s">
        <v>53</v>
      </c>
      <c r="O21" s="2206"/>
      <c r="P21" s="2884">
        <f>D31-D20-D17</f>
        <v>0</v>
      </c>
    </row>
    <row r="22" spans="1:17" s="2883" customFormat="1" ht="14.25" customHeight="1" outlineLevel="1">
      <c r="A22" s="1119"/>
      <c r="B22" s="2124" t="s">
        <v>11</v>
      </c>
      <c r="C22" s="1158"/>
      <c r="D22" s="2125">
        <f t="shared" ref="D22:L22" si="15">SUM(D23:D27)</f>
        <v>13390955</v>
      </c>
      <c r="E22" s="2125">
        <f t="shared" si="15"/>
        <v>2538836</v>
      </c>
      <c r="F22" s="2125">
        <f t="shared" si="15"/>
        <v>1642862</v>
      </c>
      <c r="G22" s="2125">
        <f t="shared" si="15"/>
        <v>2192260</v>
      </c>
      <c r="H22" s="2125">
        <f t="shared" si="15"/>
        <v>2664000</v>
      </c>
      <c r="I22" s="2125">
        <f t="shared" si="15"/>
        <v>2417000</v>
      </c>
      <c r="J22" s="2125">
        <f t="shared" si="15"/>
        <v>697835</v>
      </c>
      <c r="K22" s="2125">
        <f t="shared" si="15"/>
        <v>597576</v>
      </c>
      <c r="L22" s="2125">
        <f t="shared" si="15"/>
        <v>640586</v>
      </c>
      <c r="M22" s="4151"/>
      <c r="N22" s="4151"/>
      <c r="O22" s="3141"/>
      <c r="P22" s="2884"/>
    </row>
    <row r="23" spans="1:17" s="2883" customFormat="1" ht="14.25" customHeight="1" outlineLevel="1">
      <c r="A23" s="1118"/>
      <c r="B23" s="2126" t="s">
        <v>13</v>
      </c>
      <c r="C23" s="1695"/>
      <c r="D23" s="2127">
        <f>+D52+D65</f>
        <v>13390955</v>
      </c>
      <c r="E23" s="2127">
        <f t="shared" ref="E23:L23" si="16">+E52+E65</f>
        <v>2538836</v>
      </c>
      <c r="F23" s="2127">
        <f t="shared" si="16"/>
        <v>1642862</v>
      </c>
      <c r="G23" s="2127">
        <f t="shared" si="16"/>
        <v>2192260</v>
      </c>
      <c r="H23" s="2127">
        <f t="shared" si="16"/>
        <v>2664000</v>
      </c>
      <c r="I23" s="2127">
        <f t="shared" si="16"/>
        <v>2417000</v>
      </c>
      <c r="J23" s="2127">
        <f t="shared" si="16"/>
        <v>697835</v>
      </c>
      <c r="K23" s="2127">
        <f t="shared" si="16"/>
        <v>597576</v>
      </c>
      <c r="L23" s="2127">
        <f t="shared" si="16"/>
        <v>640586</v>
      </c>
      <c r="M23" s="4151"/>
      <c r="N23" s="4151"/>
      <c r="O23" s="3141"/>
      <c r="P23" s="2884">
        <f>D23-D14</f>
        <v>0</v>
      </c>
    </row>
    <row r="24" spans="1:17" s="2883" customFormat="1" ht="14.25" hidden="1" customHeight="1" outlineLevel="1">
      <c r="A24" s="1118"/>
      <c r="B24" s="2128" t="s">
        <v>14</v>
      </c>
      <c r="C24" s="1159"/>
      <c r="D24" s="2127"/>
      <c r="E24" s="2127"/>
      <c r="F24" s="2127"/>
      <c r="G24" s="2127"/>
      <c r="H24" s="2127"/>
      <c r="I24" s="2127"/>
      <c r="J24" s="2127"/>
      <c r="K24" s="2127"/>
      <c r="L24" s="2127"/>
      <c r="M24" s="4151"/>
      <c r="N24" s="4151"/>
      <c r="O24" s="3141"/>
      <c r="P24" s="2884" t="e">
        <f>D24-#REF!</f>
        <v>#REF!</v>
      </c>
    </row>
    <row r="25" spans="1:17" s="2883" customFormat="1" ht="14.25" hidden="1" customHeight="1" outlineLevel="1">
      <c r="A25" s="1118"/>
      <c r="B25" s="2128" t="s">
        <v>54</v>
      </c>
      <c r="C25" s="1159"/>
      <c r="D25" s="2127">
        <f>+D40</f>
        <v>0</v>
      </c>
      <c r="E25" s="2127">
        <f t="shared" ref="E25:L25" si="17">+E40</f>
        <v>0</v>
      </c>
      <c r="F25" s="2127">
        <f t="shared" si="17"/>
        <v>0</v>
      </c>
      <c r="G25" s="2127">
        <f t="shared" si="17"/>
        <v>0</v>
      </c>
      <c r="H25" s="2127">
        <f t="shared" si="17"/>
        <v>0</v>
      </c>
      <c r="I25" s="2127">
        <f t="shared" si="17"/>
        <v>0</v>
      </c>
      <c r="J25" s="2127">
        <f t="shared" si="17"/>
        <v>0</v>
      </c>
      <c r="K25" s="2127">
        <f t="shared" si="17"/>
        <v>0</v>
      </c>
      <c r="L25" s="2127">
        <f t="shared" si="17"/>
        <v>0</v>
      </c>
      <c r="M25" s="4151"/>
      <c r="N25" s="4151"/>
      <c r="O25" s="3141"/>
      <c r="P25" s="2884">
        <f>D25-D15</f>
        <v>0</v>
      </c>
    </row>
    <row r="26" spans="1:17" s="2883" customFormat="1" ht="14.25" hidden="1" customHeight="1" outlineLevel="1">
      <c r="A26" s="1118"/>
      <c r="B26" s="2128" t="s">
        <v>24</v>
      </c>
      <c r="C26" s="1159"/>
      <c r="D26" s="2127"/>
      <c r="E26" s="2127"/>
      <c r="F26" s="2127"/>
      <c r="G26" s="2127"/>
      <c r="H26" s="2127"/>
      <c r="I26" s="2127"/>
      <c r="J26" s="2127"/>
      <c r="K26" s="2127"/>
      <c r="L26" s="2127"/>
      <c r="M26" s="4151"/>
      <c r="N26" s="4151"/>
      <c r="O26" s="3141"/>
    </row>
    <row r="27" spans="1:17" s="2883" customFormat="1" ht="12.75" hidden="1" customHeight="1" outlineLevel="1">
      <c r="A27" s="1118"/>
      <c r="B27" s="583" t="s">
        <v>12</v>
      </c>
      <c r="C27" s="1167"/>
      <c r="D27" s="1168"/>
      <c r="E27" s="1168"/>
      <c r="F27" s="1168"/>
      <c r="G27" s="1168"/>
      <c r="H27" s="1168"/>
      <c r="I27" s="1168"/>
      <c r="J27" s="1168"/>
      <c r="K27" s="1168"/>
      <c r="L27" s="1168"/>
      <c r="M27" s="4151"/>
      <c r="N27" s="4151"/>
      <c r="O27" s="3141"/>
    </row>
    <row r="28" spans="1:17" s="2883" customFormat="1" ht="14.25" customHeight="1" outlineLevel="1">
      <c r="A28" s="1119"/>
      <c r="B28" s="1161" t="s">
        <v>18</v>
      </c>
      <c r="C28" s="1169"/>
      <c r="D28" s="1163">
        <f>+D29+D31+D30</f>
        <v>29347791</v>
      </c>
      <c r="E28" s="1163">
        <f t="shared" ref="E28:L28" si="18">+E29+E31+E30</f>
        <v>4905767</v>
      </c>
      <c r="F28" s="1163">
        <f t="shared" si="18"/>
        <v>3240053</v>
      </c>
      <c r="G28" s="1163">
        <f t="shared" si="18"/>
        <v>4536393</v>
      </c>
      <c r="H28" s="1163">
        <f t="shared" si="18"/>
        <v>5868037</v>
      </c>
      <c r="I28" s="1163">
        <f t="shared" si="18"/>
        <v>5823297</v>
      </c>
      <c r="J28" s="1163">
        <f t="shared" si="18"/>
        <v>1860606</v>
      </c>
      <c r="K28" s="1163">
        <f t="shared" si="18"/>
        <v>1863158</v>
      </c>
      <c r="L28" s="1163">
        <f t="shared" si="18"/>
        <v>1250480</v>
      </c>
      <c r="M28" s="4151"/>
      <c r="N28" s="4151"/>
      <c r="O28" s="3141"/>
    </row>
    <row r="29" spans="1:17" s="2883" customFormat="1" ht="14.25" customHeight="1" outlineLevel="1" thickBot="1">
      <c r="A29" s="1118"/>
      <c r="B29" s="2126" t="s">
        <v>20</v>
      </c>
      <c r="C29" s="1170"/>
      <c r="D29" s="2127">
        <f t="shared" ref="D29:L29" si="19">D55+D67+D76+D85+D94+D103</f>
        <v>29347791</v>
      </c>
      <c r="E29" s="2127">
        <f t="shared" si="19"/>
        <v>4905767</v>
      </c>
      <c r="F29" s="2127">
        <f t="shared" si="19"/>
        <v>3240053</v>
      </c>
      <c r="G29" s="2127">
        <f>G55+G67+G76+G85+G94+G103</f>
        <v>4536393</v>
      </c>
      <c r="H29" s="2127">
        <f t="shared" si="19"/>
        <v>5868037</v>
      </c>
      <c r="I29" s="2127">
        <f t="shared" si="19"/>
        <v>5823297</v>
      </c>
      <c r="J29" s="2127">
        <f t="shared" si="19"/>
        <v>1860606</v>
      </c>
      <c r="K29" s="2127">
        <f>K55+K67+K76+K85+K94+K103</f>
        <v>1863158</v>
      </c>
      <c r="L29" s="2127">
        <f t="shared" si="19"/>
        <v>1250480</v>
      </c>
      <c r="M29" s="4151"/>
      <c r="N29" s="4151"/>
      <c r="O29" s="3141"/>
      <c r="P29" s="2884">
        <f>D29-D18</f>
        <v>0</v>
      </c>
    </row>
    <row r="30" spans="1:17" s="2883" customFormat="1" ht="14.25" hidden="1" customHeight="1" outlineLevel="1">
      <c r="A30" s="1118"/>
      <c r="B30" s="2128" t="s">
        <v>14</v>
      </c>
      <c r="C30" s="1170"/>
      <c r="D30" s="2127"/>
      <c r="E30" s="2127"/>
      <c r="F30" s="2127"/>
      <c r="G30" s="2127"/>
      <c r="H30" s="2127"/>
      <c r="I30" s="2127"/>
      <c r="J30" s="2127"/>
      <c r="K30" s="2127"/>
      <c r="L30" s="2127"/>
      <c r="M30" s="4151"/>
      <c r="N30" s="4151"/>
      <c r="O30" s="3141"/>
      <c r="P30" s="2884">
        <f>D30-D19</f>
        <v>0</v>
      </c>
      <c r="Q30" s="2884"/>
    </row>
    <row r="31" spans="1:17" s="2883" customFormat="1" ht="14.25" hidden="1" customHeight="1" collapsed="1" thickBot="1">
      <c r="A31" s="1120"/>
      <c r="B31" s="1171" t="s">
        <v>19</v>
      </c>
      <c r="C31" s="2129"/>
      <c r="D31" s="2130">
        <f>+D42</f>
        <v>0</v>
      </c>
      <c r="E31" s="2130">
        <f t="shared" ref="E31:L31" si="20">+E42</f>
        <v>0</v>
      </c>
      <c r="F31" s="2130">
        <f t="shared" si="20"/>
        <v>0</v>
      </c>
      <c r="G31" s="2130">
        <f t="shared" si="20"/>
        <v>0</v>
      </c>
      <c r="H31" s="2130">
        <f t="shared" si="20"/>
        <v>0</v>
      </c>
      <c r="I31" s="2130">
        <f t="shared" si="20"/>
        <v>0</v>
      </c>
      <c r="J31" s="2130">
        <f t="shared" si="20"/>
        <v>0</v>
      </c>
      <c r="K31" s="2130">
        <f t="shared" si="20"/>
        <v>0</v>
      </c>
      <c r="L31" s="2130">
        <f t="shared" si="20"/>
        <v>0</v>
      </c>
      <c r="M31" s="4152"/>
      <c r="N31" s="4152"/>
      <c r="O31" s="3144"/>
      <c r="P31" s="2884">
        <f>D31-D20-D17</f>
        <v>0</v>
      </c>
    </row>
    <row r="32" spans="1:17" s="597" customFormat="1" ht="12.75" hidden="1" thickBot="1">
      <c r="A32" s="3720"/>
      <c r="B32" s="2035"/>
      <c r="C32" s="1080" t="s">
        <v>73</v>
      </c>
      <c r="D32" s="1080"/>
      <c r="E32" s="59"/>
      <c r="F32" s="1081"/>
      <c r="G32" s="1081"/>
      <c r="H32" s="1081"/>
      <c r="I32" s="1081"/>
      <c r="J32" s="1081"/>
      <c r="K32" s="1081"/>
      <c r="L32" s="1081"/>
      <c r="M32" s="1082"/>
      <c r="N32" s="1082"/>
      <c r="O32" s="3540" t="s">
        <v>386</v>
      </c>
    </row>
    <row r="33" spans="1:15" s="597" customFormat="1" ht="14.25" hidden="1" customHeight="1">
      <c r="A33" s="3510"/>
      <c r="B33" s="2131" t="s">
        <v>10</v>
      </c>
      <c r="C33" s="2207"/>
      <c r="D33" s="598">
        <f t="shared" ref="D33" si="21">+D34+D36</f>
        <v>0</v>
      </c>
      <c r="E33" s="2208">
        <f t="shared" ref="E33" si="22">+E34+E36</f>
        <v>0</v>
      </c>
      <c r="F33" s="1904">
        <f>+F34+F36</f>
        <v>0</v>
      </c>
      <c r="G33" s="1904">
        <f>+G34+G36</f>
        <v>0</v>
      </c>
      <c r="H33" s="1904">
        <f>+H34+H36</f>
        <v>0</v>
      </c>
      <c r="I33" s="1911"/>
      <c r="J33" s="1911"/>
      <c r="K33" s="1911"/>
      <c r="L33" s="1911"/>
      <c r="M33" s="2209">
        <f>+M34+M36</f>
        <v>0</v>
      </c>
      <c r="N33" s="2209">
        <f>+N34+N36</f>
        <v>0</v>
      </c>
      <c r="O33" s="3618"/>
    </row>
    <row r="34" spans="1:15" s="597" customFormat="1" ht="14.25" hidden="1" customHeight="1">
      <c r="A34" s="3510"/>
      <c r="B34" s="2133" t="s">
        <v>11</v>
      </c>
      <c r="C34" s="4170" t="s">
        <v>156</v>
      </c>
      <c r="D34" s="2134">
        <f>D35</f>
        <v>0</v>
      </c>
      <c r="E34" s="2210">
        <f t="shared" ref="E34" si="23">E35</f>
        <v>0</v>
      </c>
      <c r="F34" s="1890">
        <f>F35</f>
        <v>0</v>
      </c>
      <c r="G34" s="1890">
        <f>G35</f>
        <v>0</v>
      </c>
      <c r="H34" s="1890">
        <f>H35</f>
        <v>0</v>
      </c>
      <c r="I34" s="2134"/>
      <c r="J34" s="2134"/>
      <c r="K34" s="2134"/>
      <c r="L34" s="2134"/>
      <c r="M34" s="2211">
        <f>M35</f>
        <v>0</v>
      </c>
      <c r="N34" s="2211">
        <f>N35</f>
        <v>0</v>
      </c>
      <c r="O34" s="3618"/>
    </row>
    <row r="35" spans="1:15" s="602" customFormat="1" ht="12.75" hidden="1" thickBot="1">
      <c r="A35" s="3510"/>
      <c r="B35" s="2212" t="s">
        <v>54</v>
      </c>
      <c r="C35" s="4171"/>
      <c r="D35" s="785">
        <f>E35+F35+G35+H35+I35+J35+K35+L35</f>
        <v>0</v>
      </c>
      <c r="E35" s="2213"/>
      <c r="F35" s="2214"/>
      <c r="G35" s="2214"/>
      <c r="H35" s="2214"/>
      <c r="I35" s="2137"/>
      <c r="J35" s="2137"/>
      <c r="K35" s="2137"/>
      <c r="L35" s="2137"/>
      <c r="M35" s="2139">
        <f>SUM(F35:K35)</f>
        <v>0</v>
      </c>
      <c r="N35" s="2139">
        <f>SUM(G35:L35)</f>
        <v>0</v>
      </c>
      <c r="O35" s="3618"/>
    </row>
    <row r="36" spans="1:15" s="597" customFormat="1" ht="14.25" hidden="1" customHeight="1">
      <c r="A36" s="3510"/>
      <c r="B36" s="2141" t="s">
        <v>18</v>
      </c>
      <c r="C36" s="4171"/>
      <c r="D36" s="587">
        <f>D37</f>
        <v>0</v>
      </c>
      <c r="E36" s="2215">
        <f t="shared" ref="E36:H36" si="24">E37</f>
        <v>0</v>
      </c>
      <c r="F36" s="1890">
        <f t="shared" si="24"/>
        <v>0</v>
      </c>
      <c r="G36" s="603">
        <f t="shared" si="24"/>
        <v>0</v>
      </c>
      <c r="H36" s="603">
        <f t="shared" si="24"/>
        <v>0</v>
      </c>
      <c r="I36" s="587"/>
      <c r="J36" s="587"/>
      <c r="K36" s="587"/>
      <c r="L36" s="587"/>
      <c r="M36" s="2211">
        <f>M37</f>
        <v>0</v>
      </c>
      <c r="N36" s="2211">
        <f>N37</f>
        <v>0</v>
      </c>
      <c r="O36" s="3618"/>
    </row>
    <row r="37" spans="1:15" s="597" customFormat="1" ht="12.75" hidden="1" thickBot="1">
      <c r="A37" s="3510"/>
      <c r="B37" s="2136" t="s">
        <v>19</v>
      </c>
      <c r="C37" s="4171"/>
      <c r="D37" s="785">
        <f>E37+F37+G37+H37+I37+J37+K37+L37</f>
        <v>0</v>
      </c>
      <c r="E37" s="2213"/>
      <c r="F37" s="2216"/>
      <c r="G37" s="2217"/>
      <c r="H37" s="2217"/>
      <c r="I37" s="2218"/>
      <c r="J37" s="2218"/>
      <c r="K37" s="2218"/>
      <c r="L37" s="2218"/>
      <c r="M37" s="2139">
        <f>SUM(F37:K37)</f>
        <v>0</v>
      </c>
      <c r="N37" s="2139">
        <f>SUM(G37:L37)</f>
        <v>0</v>
      </c>
      <c r="O37" s="3618"/>
    </row>
    <row r="38" spans="1:15" s="604" customFormat="1" ht="14.25" hidden="1" customHeight="1">
      <c r="A38" s="3510"/>
      <c r="B38" s="2131" t="s">
        <v>21</v>
      </c>
      <c r="C38" s="2207"/>
      <c r="D38" s="584">
        <f t="shared" ref="D38" si="25">+D39+D42</f>
        <v>0</v>
      </c>
      <c r="E38" s="2219">
        <f t="shared" ref="E38" si="26">+E39+E42</f>
        <v>0</v>
      </c>
      <c r="F38" s="1904">
        <f>+F39+F42</f>
        <v>0</v>
      </c>
      <c r="G38" s="1904">
        <f>+G39+G42</f>
        <v>0</v>
      </c>
      <c r="H38" s="1911">
        <f>+H39+H42</f>
        <v>0</v>
      </c>
      <c r="I38" s="1911"/>
      <c r="J38" s="1911"/>
      <c r="K38" s="1911"/>
      <c r="L38" s="1911"/>
      <c r="M38" s="4148" t="s">
        <v>53</v>
      </c>
      <c r="N38" s="4148" t="s">
        <v>53</v>
      </c>
      <c r="O38" s="3618"/>
    </row>
    <row r="39" spans="1:15" s="597" customFormat="1" ht="14.25" hidden="1" customHeight="1">
      <c r="A39" s="3510"/>
      <c r="B39" s="2133" t="s">
        <v>11</v>
      </c>
      <c r="C39" s="4170" t="s">
        <v>156</v>
      </c>
      <c r="D39" s="2134">
        <f>D40</f>
        <v>0</v>
      </c>
      <c r="E39" s="2210">
        <f t="shared" ref="E39:H39" si="27">E40</f>
        <v>0</v>
      </c>
      <c r="F39" s="1890">
        <f t="shared" si="27"/>
        <v>0</v>
      </c>
      <c r="G39" s="1890">
        <f t="shared" si="27"/>
        <v>0</v>
      </c>
      <c r="H39" s="2134">
        <f t="shared" si="27"/>
        <v>0</v>
      </c>
      <c r="I39" s="2134"/>
      <c r="J39" s="2134"/>
      <c r="K39" s="2134"/>
      <c r="L39" s="2134"/>
      <c r="M39" s="4148"/>
      <c r="N39" s="4148"/>
      <c r="O39" s="3618"/>
    </row>
    <row r="40" spans="1:15" s="597" customFormat="1" ht="12.75" hidden="1" customHeight="1">
      <c r="A40" s="3510"/>
      <c r="B40" s="2136" t="s">
        <v>16</v>
      </c>
      <c r="C40" s="4171"/>
      <c r="D40" s="785">
        <f>E40+F40+G40+H40+I40+J40+K40+L40</f>
        <v>0</v>
      </c>
      <c r="E40" s="2214"/>
      <c r="F40" s="2214"/>
      <c r="G40" s="2214"/>
      <c r="H40" s="2137"/>
      <c r="I40" s="2137"/>
      <c r="J40" s="2137"/>
      <c r="K40" s="2137"/>
      <c r="L40" s="2137"/>
      <c r="M40" s="4148"/>
      <c r="N40" s="4148"/>
      <c r="O40" s="3618"/>
    </row>
    <row r="41" spans="1:15" s="597" customFormat="1" ht="14.25" hidden="1" customHeight="1">
      <c r="A41" s="3510"/>
      <c r="B41" s="2141" t="s">
        <v>18</v>
      </c>
      <c r="C41" s="4171"/>
      <c r="D41" s="2134">
        <f>D42</f>
        <v>0</v>
      </c>
      <c r="E41" s="2210">
        <f t="shared" ref="E41:H41" si="28">E42</f>
        <v>0</v>
      </c>
      <c r="F41" s="1890">
        <f t="shared" si="28"/>
        <v>0</v>
      </c>
      <c r="G41" s="1890">
        <f t="shared" si="28"/>
        <v>0</v>
      </c>
      <c r="H41" s="2134">
        <f t="shared" si="28"/>
        <v>0</v>
      </c>
      <c r="I41" s="2134"/>
      <c r="J41" s="2134"/>
      <c r="K41" s="2134"/>
      <c r="L41" s="2134"/>
      <c r="M41" s="4148"/>
      <c r="N41" s="4148"/>
      <c r="O41" s="3618"/>
    </row>
    <row r="42" spans="1:15" s="597" customFormat="1" ht="12.75" hidden="1" thickBot="1">
      <c r="A42" s="3511"/>
      <c r="B42" s="79" t="s">
        <v>19</v>
      </c>
      <c r="C42" s="4172"/>
      <c r="D42" s="1643">
        <f>E42+F42+G42+H42+I42+J42+K42+L42</f>
        <v>0</v>
      </c>
      <c r="E42" s="1704"/>
      <c r="F42" s="2220"/>
      <c r="G42" s="2036"/>
      <c r="H42" s="1091"/>
      <c r="I42" s="1091"/>
      <c r="J42" s="1091"/>
      <c r="K42" s="1091"/>
      <c r="L42" s="1091"/>
      <c r="M42" s="4149"/>
      <c r="N42" s="4149"/>
      <c r="O42" s="3699"/>
    </row>
    <row r="43" spans="1:15" ht="18.75" customHeight="1">
      <c r="A43" s="3720" t="s">
        <v>55</v>
      </c>
      <c r="B43" s="2035" t="s">
        <v>489</v>
      </c>
      <c r="C43" s="2772" t="s">
        <v>100</v>
      </c>
      <c r="D43" s="2772"/>
      <c r="E43" s="2772"/>
      <c r="F43" s="2757"/>
      <c r="G43" s="2757"/>
      <c r="H43" s="2757"/>
      <c r="I43" s="2757"/>
      <c r="J43" s="2757"/>
      <c r="K43" s="2757"/>
      <c r="L43" s="58"/>
      <c r="M43" s="3198"/>
      <c r="N43" s="3198"/>
      <c r="O43" s="3710" t="s">
        <v>277</v>
      </c>
    </row>
    <row r="44" spans="1:15" ht="13.5" customHeight="1">
      <c r="A44" s="3510"/>
      <c r="B44" s="2131" t="s">
        <v>10</v>
      </c>
      <c r="C44" s="2065"/>
      <c r="D44" s="584">
        <f t="shared" ref="D44:L44" si="29">+D45+D48</f>
        <v>32711308</v>
      </c>
      <c r="E44" s="584">
        <f t="shared" ref="E44" si="30">+E45+E48</f>
        <v>5960282</v>
      </c>
      <c r="F44" s="1911">
        <f t="shared" si="29"/>
        <v>3712693</v>
      </c>
      <c r="G44" s="1911">
        <f t="shared" si="29"/>
        <v>5300000</v>
      </c>
      <c r="H44" s="1911">
        <f t="shared" si="29"/>
        <v>6500000</v>
      </c>
      <c r="I44" s="1911">
        <f t="shared" si="29"/>
        <v>6000000</v>
      </c>
      <c r="J44" s="1911">
        <f t="shared" si="29"/>
        <v>1883242</v>
      </c>
      <c r="K44" s="1911">
        <f t="shared" si="29"/>
        <v>1607578</v>
      </c>
      <c r="L44" s="1911">
        <f t="shared" si="29"/>
        <v>1747513</v>
      </c>
      <c r="M44" s="2132">
        <f>+M45+M48</f>
        <v>26751026</v>
      </c>
      <c r="N44" s="2132">
        <f>+N45+N48</f>
        <v>23038333</v>
      </c>
      <c r="O44" s="4141"/>
    </row>
    <row r="45" spans="1:15" ht="13.5" customHeight="1">
      <c r="A45" s="3510"/>
      <c r="B45" s="2133" t="s">
        <v>11</v>
      </c>
      <c r="C45" s="4143" t="s">
        <v>157</v>
      </c>
      <c r="D45" s="587">
        <f>+D46+D47</f>
        <v>11896874</v>
      </c>
      <c r="E45" s="587">
        <f t="shared" ref="E45" si="31">+E46+E47</f>
        <v>2167756</v>
      </c>
      <c r="F45" s="2134">
        <f t="shared" ref="F45:L45" si="32">+F46+F47</f>
        <v>1350307</v>
      </c>
      <c r="G45" s="2134">
        <f t="shared" si="32"/>
        <v>1927260</v>
      </c>
      <c r="H45" s="2134">
        <f t="shared" si="32"/>
        <v>2364000</v>
      </c>
      <c r="I45" s="2134">
        <f t="shared" si="32"/>
        <v>2182000</v>
      </c>
      <c r="J45" s="2134">
        <f t="shared" si="32"/>
        <v>685335</v>
      </c>
      <c r="K45" s="2134">
        <f t="shared" si="32"/>
        <v>585076</v>
      </c>
      <c r="L45" s="2134">
        <f t="shared" si="32"/>
        <v>635140</v>
      </c>
      <c r="M45" s="2135">
        <f>SUM(M46:M47)</f>
        <v>9729118</v>
      </c>
      <c r="N45" s="2135">
        <f>SUM(N46:N47)</f>
        <v>8378811</v>
      </c>
      <c r="O45" s="4141"/>
    </row>
    <row r="46" spans="1:15" ht="12.6" hidden="1" customHeight="1">
      <c r="A46" s="3510"/>
      <c r="B46" s="2136" t="s">
        <v>12</v>
      </c>
      <c r="C46" s="4143"/>
      <c r="D46" s="2037">
        <f>E46+F46+G46+H46+I46+J46+K46+L46</f>
        <v>0</v>
      </c>
      <c r="E46" s="2137">
        <v>0</v>
      </c>
      <c r="F46" s="2138">
        <f>450000-450000</f>
        <v>0</v>
      </c>
      <c r="G46" s="2138">
        <f>500000-500000</f>
        <v>0</v>
      </c>
      <c r="H46" s="2138">
        <v>0</v>
      </c>
      <c r="I46" s="2138"/>
      <c r="J46" s="2138"/>
      <c r="K46" s="2138"/>
      <c r="L46" s="2138"/>
      <c r="M46" s="2139">
        <f>SUM(F46:K46)</f>
        <v>0</v>
      </c>
      <c r="N46" s="2139">
        <f>SUM(G46:L46)</f>
        <v>0</v>
      </c>
      <c r="O46" s="4141"/>
    </row>
    <row r="47" spans="1:15" ht="13.5" customHeight="1">
      <c r="A47" s="3510"/>
      <c r="B47" s="2140" t="s">
        <v>196</v>
      </c>
      <c r="C47" s="4143"/>
      <c r="D47" s="2037">
        <f>E47+F47+G47+H47+I47+J47+K47+L47</f>
        <v>11896874</v>
      </c>
      <c r="E47" s="2137">
        <v>2167756</v>
      </c>
      <c r="F47" s="2138">
        <f>2546000-1636750+205354+303396-67693</f>
        <v>1350307</v>
      </c>
      <c r="G47" s="2138">
        <f>2910000-2000750-303396+585470+808676-72740</f>
        <v>1927260</v>
      </c>
      <c r="H47" s="2138">
        <f>909250+1454750</f>
        <v>2364000</v>
      </c>
      <c r="I47" s="2138">
        <f>989414+1192586</f>
        <v>2182000</v>
      </c>
      <c r="J47" s="2138">
        <f>989414-404338+100259</f>
        <v>685335</v>
      </c>
      <c r="K47" s="2138">
        <f>989414-404338</f>
        <v>585076</v>
      </c>
      <c r="L47" s="2138">
        <f>494707+67693+72740</f>
        <v>635140</v>
      </c>
      <c r="M47" s="2139">
        <f>SUM(F47:L47)</f>
        <v>9729118</v>
      </c>
      <c r="N47" s="2139">
        <f>SUM(G47:L47)</f>
        <v>8378811</v>
      </c>
      <c r="O47" s="4141"/>
    </row>
    <row r="48" spans="1:15" ht="13.5" customHeight="1">
      <c r="A48" s="3510"/>
      <c r="B48" s="2141" t="s">
        <v>18</v>
      </c>
      <c r="C48" s="4143"/>
      <c r="D48" s="587">
        <f>+D49</f>
        <v>20814434</v>
      </c>
      <c r="E48" s="587">
        <f t="shared" ref="E48:L48" si="33">+E49</f>
        <v>3792526</v>
      </c>
      <c r="F48" s="587">
        <f t="shared" si="33"/>
        <v>2362386</v>
      </c>
      <c r="G48" s="587">
        <f t="shared" si="33"/>
        <v>3372740</v>
      </c>
      <c r="H48" s="587">
        <f t="shared" si="33"/>
        <v>4136000</v>
      </c>
      <c r="I48" s="587">
        <f t="shared" si="33"/>
        <v>3818000</v>
      </c>
      <c r="J48" s="587">
        <f t="shared" si="33"/>
        <v>1197907</v>
      </c>
      <c r="K48" s="587">
        <f t="shared" si="33"/>
        <v>1022502</v>
      </c>
      <c r="L48" s="587">
        <f t="shared" si="33"/>
        <v>1112373</v>
      </c>
      <c r="M48" s="607">
        <f>+M49</f>
        <v>17021908</v>
      </c>
      <c r="N48" s="607">
        <f>+N49</f>
        <v>14659522</v>
      </c>
      <c r="O48" s="4141"/>
    </row>
    <row r="49" spans="1:16" ht="13.5" customHeight="1">
      <c r="A49" s="3510"/>
      <c r="B49" s="2140" t="s">
        <v>290</v>
      </c>
      <c r="C49" s="4143"/>
      <c r="D49" s="2037">
        <f>E49+F49+G49+H49+I49+J49+K49+L49</f>
        <v>20814434</v>
      </c>
      <c r="E49" s="2137">
        <v>3792526</v>
      </c>
      <c r="F49" s="2138">
        <f>4454000-2863250+358256+532994-119614</f>
        <v>2362386</v>
      </c>
      <c r="G49" s="2138">
        <f>5090000-3499250-532994+1025255+1416989-127260</f>
        <v>3372740</v>
      </c>
      <c r="H49" s="2138">
        <f>1590750+2545250</f>
        <v>4136000</v>
      </c>
      <c r="I49" s="2138">
        <f>1730997+2087003</f>
        <v>3818000</v>
      </c>
      <c r="J49" s="2138">
        <f>1730997-708494+175404</f>
        <v>1197907</v>
      </c>
      <c r="K49" s="2138">
        <f>1730997-708495</f>
        <v>1022502</v>
      </c>
      <c r="L49" s="2138">
        <f>865499+119614+127260</f>
        <v>1112373</v>
      </c>
      <c r="M49" s="2139">
        <f>SUM(F49:L49)</f>
        <v>17021908</v>
      </c>
      <c r="N49" s="2139">
        <f>SUM(G49:L49)</f>
        <v>14659522</v>
      </c>
      <c r="O49" s="4141"/>
      <c r="P49" s="429">
        <f>D55-D49</f>
        <v>0</v>
      </c>
    </row>
    <row r="50" spans="1:16" s="2249" customFormat="1" ht="14.25" customHeight="1">
      <c r="A50" s="3510"/>
      <c r="B50" s="2131" t="s">
        <v>21</v>
      </c>
      <c r="C50" s="2065"/>
      <c r="D50" s="1911">
        <f>+D51+D54</f>
        <v>32711308</v>
      </c>
      <c r="E50" s="1911">
        <f t="shared" ref="E50" si="34">+E51+E54</f>
        <v>5960282</v>
      </c>
      <c r="F50" s="1911">
        <f t="shared" ref="F50:L50" si="35">+F51+F54</f>
        <v>3712693</v>
      </c>
      <c r="G50" s="1911">
        <f t="shared" si="35"/>
        <v>5300000</v>
      </c>
      <c r="H50" s="1911">
        <f t="shared" si="35"/>
        <v>6500000</v>
      </c>
      <c r="I50" s="1911">
        <f t="shared" si="35"/>
        <v>6000000</v>
      </c>
      <c r="J50" s="1911">
        <f t="shared" si="35"/>
        <v>1883242</v>
      </c>
      <c r="K50" s="1911">
        <f t="shared" si="35"/>
        <v>1607578</v>
      </c>
      <c r="L50" s="1911">
        <f t="shared" si="35"/>
        <v>1747513</v>
      </c>
      <c r="M50" s="4144" t="s">
        <v>53</v>
      </c>
      <c r="N50" s="4144" t="s">
        <v>53</v>
      </c>
      <c r="O50" s="4141"/>
    </row>
    <row r="51" spans="1:16" s="2249" customFormat="1" ht="13.5" customHeight="1">
      <c r="A51" s="3510"/>
      <c r="B51" s="2133" t="s">
        <v>11</v>
      </c>
      <c r="C51" s="4146" t="s">
        <v>157</v>
      </c>
      <c r="D51" s="587">
        <f>+D52</f>
        <v>11896874</v>
      </c>
      <c r="E51" s="587">
        <f t="shared" ref="E51:L51" si="36">+E52</f>
        <v>2167756</v>
      </c>
      <c r="F51" s="2134">
        <f t="shared" si="36"/>
        <v>1350307</v>
      </c>
      <c r="G51" s="2134">
        <f t="shared" si="36"/>
        <v>1927260</v>
      </c>
      <c r="H51" s="2134">
        <f t="shared" si="36"/>
        <v>2364000</v>
      </c>
      <c r="I51" s="2134">
        <f t="shared" si="36"/>
        <v>2182000</v>
      </c>
      <c r="J51" s="2134">
        <f t="shared" si="36"/>
        <v>685335</v>
      </c>
      <c r="K51" s="2134">
        <f t="shared" si="36"/>
        <v>585076</v>
      </c>
      <c r="L51" s="2134">
        <f t="shared" si="36"/>
        <v>635140</v>
      </c>
      <c r="M51" s="4144"/>
      <c r="N51" s="4144"/>
      <c r="O51" s="4141"/>
    </row>
    <row r="52" spans="1:16" s="2249" customFormat="1" ht="12.75" customHeight="1">
      <c r="A52" s="3510"/>
      <c r="B52" s="2140" t="s">
        <v>196</v>
      </c>
      <c r="C52" s="4146"/>
      <c r="D52" s="2037">
        <f>E52+F52+G52+H52+I52+J52+K52+L52</f>
        <v>11896874</v>
      </c>
      <c r="E52" s="2137">
        <v>2167756</v>
      </c>
      <c r="F52" s="2138">
        <f>2546000-1636750+205354+303396-67693</f>
        <v>1350307</v>
      </c>
      <c r="G52" s="2138">
        <f>2910000-2000750-303396+585470+808676-72740</f>
        <v>1927260</v>
      </c>
      <c r="H52" s="2138">
        <f>909250+1454750</f>
        <v>2364000</v>
      </c>
      <c r="I52" s="2138">
        <f>989414+1192586</f>
        <v>2182000</v>
      </c>
      <c r="J52" s="2138">
        <f>989414-404338+100259</f>
        <v>685335</v>
      </c>
      <c r="K52" s="2138">
        <f>989414-404338</f>
        <v>585076</v>
      </c>
      <c r="L52" s="2138">
        <f>494707+67693+72740</f>
        <v>635140</v>
      </c>
      <c r="M52" s="4144"/>
      <c r="N52" s="4144"/>
      <c r="O52" s="4141"/>
    </row>
    <row r="53" spans="1:16" s="2249" customFormat="1" ht="13.5" hidden="1" customHeight="1">
      <c r="A53" s="3510"/>
      <c r="B53" s="2136" t="s">
        <v>24</v>
      </c>
      <c r="C53" s="4146"/>
      <c r="D53" s="2037">
        <f>E53+F53+G53+H53+I53+J53+K53+L53</f>
        <v>0</v>
      </c>
      <c r="E53" s="2137">
        <v>0</v>
      </c>
      <c r="F53" s="2138"/>
      <c r="G53" s="2138"/>
      <c r="H53" s="2138"/>
      <c r="I53" s="2138"/>
      <c r="J53" s="2138"/>
      <c r="K53" s="2138"/>
      <c r="L53" s="2138"/>
      <c r="M53" s="4144"/>
      <c r="N53" s="4144"/>
      <c r="O53" s="4141"/>
    </row>
    <row r="54" spans="1:16" s="2249" customFormat="1" ht="12.75" customHeight="1">
      <c r="A54" s="3510"/>
      <c r="B54" s="2141" t="s">
        <v>18</v>
      </c>
      <c r="C54" s="4146"/>
      <c r="D54" s="587">
        <f>+D55</f>
        <v>20814434</v>
      </c>
      <c r="E54" s="587">
        <f t="shared" ref="E54:L54" si="37">+E55</f>
        <v>3792526</v>
      </c>
      <c r="F54" s="2134">
        <f t="shared" si="37"/>
        <v>2362386</v>
      </c>
      <c r="G54" s="2134">
        <f t="shared" si="37"/>
        <v>3372740</v>
      </c>
      <c r="H54" s="2134">
        <f t="shared" si="37"/>
        <v>4136000</v>
      </c>
      <c r="I54" s="2134">
        <f t="shared" si="37"/>
        <v>3818000</v>
      </c>
      <c r="J54" s="2134">
        <f t="shared" si="37"/>
        <v>1197907</v>
      </c>
      <c r="K54" s="2134">
        <f t="shared" si="37"/>
        <v>1022502</v>
      </c>
      <c r="L54" s="2134">
        <f t="shared" si="37"/>
        <v>1112373</v>
      </c>
      <c r="M54" s="4144"/>
      <c r="N54" s="4144"/>
      <c r="O54" s="4141"/>
    </row>
    <row r="55" spans="1:16" s="2249" customFormat="1" ht="12.75" customHeight="1" thickBot="1">
      <c r="A55" s="3511"/>
      <c r="B55" s="2038" t="s">
        <v>290</v>
      </c>
      <c r="C55" s="4147"/>
      <c r="D55" s="2251">
        <f>E55+F55+G55+H55+I55+J55+K55+L55</f>
        <v>20814434</v>
      </c>
      <c r="E55" s="2066">
        <v>3792526</v>
      </c>
      <c r="F55" s="3199">
        <f>4454000-2863250+358256+532994-119614</f>
        <v>2362386</v>
      </c>
      <c r="G55" s="3199">
        <f>5090000-3499250-532994+1025255+1416989-127260</f>
        <v>3372740</v>
      </c>
      <c r="H55" s="3199">
        <f>1590750+2545250</f>
        <v>4136000</v>
      </c>
      <c r="I55" s="3199">
        <f>1730997+2087003</f>
        <v>3818000</v>
      </c>
      <c r="J55" s="3199">
        <f>1730997-708494+175404</f>
        <v>1197907</v>
      </c>
      <c r="K55" s="3199">
        <f>1730997-708495</f>
        <v>1022502</v>
      </c>
      <c r="L55" s="3199">
        <f>865499+119614+127260</f>
        <v>1112373</v>
      </c>
      <c r="M55" s="4145"/>
      <c r="N55" s="4145"/>
      <c r="O55" s="4142"/>
    </row>
    <row r="56" spans="1:16" ht="11.25" hidden="1" customHeight="1" thickBot="1">
      <c r="A56" s="2221"/>
      <c r="B56" s="608" t="s">
        <v>19</v>
      </c>
      <c r="C56" s="2885"/>
      <c r="D56" s="2765">
        <f>E56+F56+G56+H56+I56+J56+K56+L56</f>
        <v>0</v>
      </c>
      <c r="E56" s="609"/>
      <c r="F56" s="609"/>
      <c r="G56" s="609"/>
      <c r="H56" s="609"/>
      <c r="I56" s="609"/>
      <c r="J56" s="609"/>
      <c r="K56" s="609"/>
      <c r="L56" s="609"/>
      <c r="M56" s="610"/>
      <c r="N56" s="610"/>
      <c r="O56" s="2222"/>
    </row>
    <row r="57" spans="1:16" s="2249" customFormat="1" ht="27" customHeight="1">
      <c r="A57" s="3510" t="s">
        <v>56</v>
      </c>
      <c r="B57" s="3200" t="s">
        <v>444</v>
      </c>
      <c r="C57" s="2771" t="s">
        <v>100</v>
      </c>
      <c r="D57" s="2772"/>
      <c r="E57" s="2772"/>
      <c r="F57" s="2757"/>
      <c r="G57" s="2757"/>
      <c r="H57" s="2757"/>
      <c r="I57" s="2757"/>
      <c r="J57" s="2757"/>
      <c r="K57" s="2757"/>
      <c r="L57" s="58"/>
      <c r="M57" s="2250"/>
      <c r="N57" s="2250"/>
      <c r="O57" s="4141" t="s">
        <v>268</v>
      </c>
    </row>
    <row r="58" spans="1:16" s="2249" customFormat="1" ht="13.5" customHeight="1">
      <c r="A58" s="3510"/>
      <c r="B58" s="2131" t="s">
        <v>10</v>
      </c>
      <c r="C58" s="2065"/>
      <c r="D58" s="584">
        <f t="shared" ref="D58:N58" si="38">+D59+D61</f>
        <v>5976322</v>
      </c>
      <c r="E58" s="584">
        <f t="shared" si="38"/>
        <v>1484321</v>
      </c>
      <c r="F58" s="1911">
        <f t="shared" si="38"/>
        <v>1170222</v>
      </c>
      <c r="G58" s="1911">
        <f t="shared" si="38"/>
        <v>1060000</v>
      </c>
      <c r="H58" s="1911">
        <f t="shared" si="38"/>
        <v>1200000</v>
      </c>
      <c r="I58" s="1911">
        <f t="shared" si="38"/>
        <v>940000</v>
      </c>
      <c r="J58" s="1911">
        <f t="shared" si="38"/>
        <v>50000</v>
      </c>
      <c r="K58" s="1911">
        <f t="shared" si="38"/>
        <v>50000</v>
      </c>
      <c r="L58" s="1911">
        <f t="shared" si="38"/>
        <v>21779</v>
      </c>
      <c r="M58" s="2132">
        <f t="shared" si="38"/>
        <v>4492001</v>
      </c>
      <c r="N58" s="2132">
        <f t="shared" si="38"/>
        <v>3321779</v>
      </c>
      <c r="O58" s="4141"/>
    </row>
    <row r="59" spans="1:16" s="2249" customFormat="1" ht="13.5" customHeight="1">
      <c r="A59" s="3510"/>
      <c r="B59" s="2133" t="s">
        <v>11</v>
      </c>
      <c r="C59" s="4143" t="s">
        <v>443</v>
      </c>
      <c r="D59" s="587">
        <f>+D60</f>
        <v>1494081</v>
      </c>
      <c r="E59" s="587">
        <f t="shared" ref="E59:K59" si="39">+E60</f>
        <v>371080</v>
      </c>
      <c r="F59" s="587">
        <f t="shared" si="39"/>
        <v>292555</v>
      </c>
      <c r="G59" s="587">
        <f t="shared" si="39"/>
        <v>265000</v>
      </c>
      <c r="H59" s="587">
        <f t="shared" si="39"/>
        <v>300000</v>
      </c>
      <c r="I59" s="587">
        <f t="shared" si="39"/>
        <v>235000</v>
      </c>
      <c r="J59" s="587">
        <f t="shared" si="39"/>
        <v>12500</v>
      </c>
      <c r="K59" s="587">
        <f t="shared" si="39"/>
        <v>12500</v>
      </c>
      <c r="L59" s="587">
        <f>+L60</f>
        <v>5446</v>
      </c>
      <c r="M59" s="2135">
        <f>SUM(M60:M60)</f>
        <v>1123001</v>
      </c>
      <c r="N59" s="2135">
        <f>SUM(N60:N60)</f>
        <v>830446</v>
      </c>
      <c r="O59" s="4141"/>
    </row>
    <row r="60" spans="1:16" s="2249" customFormat="1" ht="13.5" customHeight="1">
      <c r="A60" s="3510"/>
      <c r="B60" s="2140" t="s">
        <v>196</v>
      </c>
      <c r="C60" s="4143"/>
      <c r="D60" s="2037">
        <f>E60+F60+G60+H60+I60+J60+K60+L60</f>
        <v>1494081</v>
      </c>
      <c r="E60" s="2137">
        <v>371080</v>
      </c>
      <c r="F60" s="2138">
        <v>292555</v>
      </c>
      <c r="G60" s="2138">
        <f>350000-85000</f>
        <v>265000</v>
      </c>
      <c r="H60" s="2138">
        <v>300000</v>
      </c>
      <c r="I60" s="2138">
        <f>150000+85000</f>
        <v>235000</v>
      </c>
      <c r="J60" s="2138">
        <v>12500</v>
      </c>
      <c r="K60" s="2138">
        <v>12500</v>
      </c>
      <c r="L60" s="2138">
        <v>5446</v>
      </c>
      <c r="M60" s="2139">
        <f>SUM(F60:L60)</f>
        <v>1123001</v>
      </c>
      <c r="N60" s="2139">
        <f>SUM(G60:L60)</f>
        <v>830446</v>
      </c>
      <c r="O60" s="4141"/>
    </row>
    <row r="61" spans="1:16" s="2249" customFormat="1" ht="13.5" customHeight="1">
      <c r="A61" s="3510"/>
      <c r="B61" s="2141" t="s">
        <v>18</v>
      </c>
      <c r="C61" s="4143"/>
      <c r="D61" s="587">
        <f>+D62</f>
        <v>4482241</v>
      </c>
      <c r="E61" s="587">
        <f t="shared" ref="E61:L61" si="40">+E62</f>
        <v>1113241</v>
      </c>
      <c r="F61" s="587">
        <f t="shared" si="40"/>
        <v>877667</v>
      </c>
      <c r="G61" s="587">
        <f t="shared" si="40"/>
        <v>795000</v>
      </c>
      <c r="H61" s="587">
        <f t="shared" si="40"/>
        <v>900000</v>
      </c>
      <c r="I61" s="587">
        <f t="shared" si="40"/>
        <v>705000</v>
      </c>
      <c r="J61" s="587">
        <f t="shared" si="40"/>
        <v>37500</v>
      </c>
      <c r="K61" s="587">
        <f t="shared" si="40"/>
        <v>37500</v>
      </c>
      <c r="L61" s="587">
        <f t="shared" si="40"/>
        <v>16333</v>
      </c>
      <c r="M61" s="607">
        <f>+M62</f>
        <v>3369000</v>
      </c>
      <c r="N61" s="607">
        <f>+N62</f>
        <v>2491333</v>
      </c>
      <c r="O61" s="4141"/>
    </row>
    <row r="62" spans="1:16" s="2249" customFormat="1" ht="13.5" customHeight="1">
      <c r="A62" s="3510"/>
      <c r="B62" s="2140" t="s">
        <v>290</v>
      </c>
      <c r="C62" s="4143"/>
      <c r="D62" s="2037">
        <f>E62+F62+G62+H62+I62+J62+K62+L62</f>
        <v>4482241</v>
      </c>
      <c r="E62" s="2137">
        <v>1113241</v>
      </c>
      <c r="F62" s="2138">
        <v>877667</v>
      </c>
      <c r="G62" s="2138">
        <f>1050000-255000</f>
        <v>795000</v>
      </c>
      <c r="H62" s="2138">
        <v>900000</v>
      </c>
      <c r="I62" s="2138">
        <f>450000+255000</f>
        <v>705000</v>
      </c>
      <c r="J62" s="2138">
        <v>37500</v>
      </c>
      <c r="K62" s="2138">
        <v>37500</v>
      </c>
      <c r="L62" s="2138">
        <v>16333</v>
      </c>
      <c r="M62" s="2139">
        <f>SUM(F62:L62)</f>
        <v>3369000</v>
      </c>
      <c r="N62" s="2139">
        <f>SUM(G62:L62)</f>
        <v>2491333</v>
      </c>
      <c r="O62" s="4141"/>
    </row>
    <row r="63" spans="1:16" s="2249" customFormat="1" ht="13.5" customHeight="1">
      <c r="A63" s="3510"/>
      <c r="B63" s="2131" t="s">
        <v>21</v>
      </c>
      <c r="C63" s="2065"/>
      <c r="D63" s="1911">
        <f t="shared" ref="D63:L63" si="41">+D64+D66</f>
        <v>5976322</v>
      </c>
      <c r="E63" s="1911">
        <f t="shared" si="41"/>
        <v>1484321</v>
      </c>
      <c r="F63" s="1911">
        <f t="shared" si="41"/>
        <v>1170222</v>
      </c>
      <c r="G63" s="1911">
        <f t="shared" si="41"/>
        <v>1060000</v>
      </c>
      <c r="H63" s="1911">
        <f t="shared" si="41"/>
        <v>1200000</v>
      </c>
      <c r="I63" s="1911">
        <f t="shared" si="41"/>
        <v>940000</v>
      </c>
      <c r="J63" s="1911">
        <f t="shared" si="41"/>
        <v>50000</v>
      </c>
      <c r="K63" s="1911">
        <f t="shared" si="41"/>
        <v>50000</v>
      </c>
      <c r="L63" s="1911">
        <f t="shared" si="41"/>
        <v>21779</v>
      </c>
      <c r="M63" s="4144" t="s">
        <v>53</v>
      </c>
      <c r="N63" s="4144" t="s">
        <v>53</v>
      </c>
      <c r="O63" s="4141"/>
    </row>
    <row r="64" spans="1:16" s="2249" customFormat="1" ht="13.5" customHeight="1">
      <c r="A64" s="3510"/>
      <c r="B64" s="2133" t="s">
        <v>11</v>
      </c>
      <c r="C64" s="4146" t="s">
        <v>443</v>
      </c>
      <c r="D64" s="587">
        <f>+D65</f>
        <v>1494081</v>
      </c>
      <c r="E64" s="587">
        <f t="shared" ref="E64:L64" si="42">+E65</f>
        <v>371080</v>
      </c>
      <c r="F64" s="587">
        <f t="shared" si="42"/>
        <v>292555</v>
      </c>
      <c r="G64" s="587">
        <f t="shared" si="42"/>
        <v>265000</v>
      </c>
      <c r="H64" s="587">
        <f t="shared" si="42"/>
        <v>300000</v>
      </c>
      <c r="I64" s="587">
        <f t="shared" si="42"/>
        <v>235000</v>
      </c>
      <c r="J64" s="587">
        <f t="shared" si="42"/>
        <v>12500</v>
      </c>
      <c r="K64" s="587">
        <f t="shared" si="42"/>
        <v>12500</v>
      </c>
      <c r="L64" s="587">
        <f t="shared" si="42"/>
        <v>5446</v>
      </c>
      <c r="M64" s="4144"/>
      <c r="N64" s="4144"/>
      <c r="O64" s="4141"/>
    </row>
    <row r="65" spans="1:16" s="2249" customFormat="1" ht="13.5" customHeight="1">
      <c r="A65" s="3510"/>
      <c r="B65" s="2140" t="s">
        <v>196</v>
      </c>
      <c r="C65" s="4146"/>
      <c r="D65" s="2037">
        <f>E65+F65+G65+H65+I65+J65+K65+L65</f>
        <v>1494081</v>
      </c>
      <c r="E65" s="2137">
        <v>371080</v>
      </c>
      <c r="F65" s="2137">
        <v>292555</v>
      </c>
      <c r="G65" s="2137">
        <f>350000-85000</f>
        <v>265000</v>
      </c>
      <c r="H65" s="2137">
        <v>300000</v>
      </c>
      <c r="I65" s="2137">
        <f>150000+85000</f>
        <v>235000</v>
      </c>
      <c r="J65" s="2137">
        <v>12500</v>
      </c>
      <c r="K65" s="2137">
        <v>12500</v>
      </c>
      <c r="L65" s="2137">
        <v>5446</v>
      </c>
      <c r="M65" s="4144"/>
      <c r="N65" s="4144"/>
      <c r="O65" s="4141"/>
    </row>
    <row r="66" spans="1:16" s="2249" customFormat="1" ht="13.5" customHeight="1">
      <c r="A66" s="3510"/>
      <c r="B66" s="2141" t="s">
        <v>18</v>
      </c>
      <c r="C66" s="4146"/>
      <c r="D66" s="587">
        <f>+D67</f>
        <v>4482241</v>
      </c>
      <c r="E66" s="587">
        <f t="shared" ref="E66:L66" si="43">+E67</f>
        <v>1113241</v>
      </c>
      <c r="F66" s="587">
        <f t="shared" si="43"/>
        <v>877667</v>
      </c>
      <c r="G66" s="587">
        <f t="shared" si="43"/>
        <v>795000</v>
      </c>
      <c r="H66" s="587">
        <f t="shared" si="43"/>
        <v>900000</v>
      </c>
      <c r="I66" s="587">
        <f t="shared" si="43"/>
        <v>705000</v>
      </c>
      <c r="J66" s="587">
        <f t="shared" si="43"/>
        <v>37500</v>
      </c>
      <c r="K66" s="587">
        <f t="shared" si="43"/>
        <v>37500</v>
      </c>
      <c r="L66" s="587">
        <f t="shared" si="43"/>
        <v>16333</v>
      </c>
      <c r="M66" s="4144"/>
      <c r="N66" s="4144"/>
      <c r="O66" s="4141"/>
    </row>
    <row r="67" spans="1:16" s="2249" customFormat="1" ht="13.5" customHeight="1" thickBot="1">
      <c r="A67" s="3511"/>
      <c r="B67" s="2038" t="s">
        <v>290</v>
      </c>
      <c r="C67" s="4147"/>
      <c r="D67" s="2251">
        <f>E67+F67+G67+H67+I67+J67+K67+L67</f>
        <v>4482241</v>
      </c>
      <c r="E67" s="2066">
        <v>1113241</v>
      </c>
      <c r="F67" s="2066">
        <v>877667</v>
      </c>
      <c r="G67" s="2066">
        <f>1050000-255000</f>
        <v>795000</v>
      </c>
      <c r="H67" s="2066">
        <v>900000</v>
      </c>
      <c r="I67" s="2066">
        <f>450000+255000</f>
        <v>705000</v>
      </c>
      <c r="J67" s="2066">
        <v>37500</v>
      </c>
      <c r="K67" s="2066">
        <v>37500</v>
      </c>
      <c r="L67" s="2066">
        <v>16333</v>
      </c>
      <c r="M67" s="4145"/>
      <c r="N67" s="4145"/>
      <c r="O67" s="4142"/>
    </row>
    <row r="68" spans="1:16" ht="52.5" customHeight="1">
      <c r="A68" s="3510" t="s">
        <v>57</v>
      </c>
      <c r="B68" s="1650" t="s">
        <v>490</v>
      </c>
      <c r="C68" s="2768" t="s">
        <v>73</v>
      </c>
      <c r="D68" s="2042"/>
      <c r="E68" s="2775"/>
      <c r="F68" s="2769"/>
      <c r="G68" s="2769"/>
      <c r="H68" s="2769"/>
      <c r="I68" s="2042"/>
      <c r="J68" s="2042"/>
      <c r="K68" s="2042"/>
      <c r="L68" s="2770"/>
      <c r="M68" s="625"/>
      <c r="N68" s="625"/>
      <c r="O68" s="3734" t="s">
        <v>304</v>
      </c>
    </row>
    <row r="69" spans="1:16" ht="15.75" customHeight="1">
      <c r="A69" s="3510"/>
      <c r="B69" s="827" t="s">
        <v>10</v>
      </c>
      <c r="C69" s="1356"/>
      <c r="D69" s="584">
        <f>+D70+D72</f>
        <v>1016020</v>
      </c>
      <c r="E69" s="584">
        <f>+E70+E72</f>
        <v>49100</v>
      </c>
      <c r="F69" s="584">
        <f>+F70+F72</f>
        <v>0</v>
      </c>
      <c r="G69" s="584">
        <f t="shared" ref="G69:I69" si="44">+G70+G72</f>
        <v>223530</v>
      </c>
      <c r="H69" s="584">
        <f t="shared" si="44"/>
        <v>564990</v>
      </c>
      <c r="I69" s="584">
        <f t="shared" si="44"/>
        <v>178400</v>
      </c>
      <c r="J69" s="584">
        <v>0</v>
      </c>
      <c r="K69" s="584">
        <v>0</v>
      </c>
      <c r="L69" s="584">
        <v>0</v>
      </c>
      <c r="M69" s="1878">
        <f>+M70+M72</f>
        <v>966920</v>
      </c>
      <c r="N69" s="1878">
        <f>+N70+N72</f>
        <v>966920</v>
      </c>
      <c r="O69" s="3735"/>
      <c r="P69" s="294" t="s">
        <v>356</v>
      </c>
    </row>
    <row r="70" spans="1:16" ht="12.75" customHeight="1">
      <c r="A70" s="3510"/>
      <c r="B70" s="820" t="s">
        <v>23</v>
      </c>
      <c r="C70" s="3560" t="s">
        <v>179</v>
      </c>
      <c r="D70" s="523">
        <f>+D71</f>
        <v>174504</v>
      </c>
      <c r="E70" s="1092">
        <f>+E71</f>
        <v>29465</v>
      </c>
      <c r="F70" s="1092">
        <f>+F71</f>
        <v>0</v>
      </c>
      <c r="G70" s="1092">
        <f>+G71</f>
        <v>33530</v>
      </c>
      <c r="H70" s="1092">
        <f t="shared" ref="H70:I70" si="45">+H71</f>
        <v>84749</v>
      </c>
      <c r="I70" s="1092">
        <f t="shared" si="45"/>
        <v>26760</v>
      </c>
      <c r="J70" s="1886">
        <v>0</v>
      </c>
      <c r="K70" s="1886">
        <v>0</v>
      </c>
      <c r="L70" s="1886">
        <v>0</v>
      </c>
      <c r="M70" s="522">
        <f>+M71</f>
        <v>145039</v>
      </c>
      <c r="N70" s="522">
        <f>+N71</f>
        <v>145039</v>
      </c>
      <c r="O70" s="3735"/>
    </row>
    <row r="71" spans="1:16" ht="12.75" customHeight="1">
      <c r="A71" s="3510"/>
      <c r="B71" s="1069" t="s">
        <v>12</v>
      </c>
      <c r="C71" s="3566"/>
      <c r="D71" s="785">
        <f>E71+F71+G71+H71+I71+J71+K71+L71</f>
        <v>174504</v>
      </c>
      <c r="E71" s="785">
        <v>29465</v>
      </c>
      <c r="F71" s="818">
        <f>16229-16229</f>
        <v>0</v>
      </c>
      <c r="G71" s="818">
        <f>53796+12764-33030</f>
        <v>33530</v>
      </c>
      <c r="H71" s="818">
        <f>51719+33030</f>
        <v>84749</v>
      </c>
      <c r="I71" s="818">
        <v>26760</v>
      </c>
      <c r="J71" s="1886">
        <v>0</v>
      </c>
      <c r="K71" s="1886">
        <v>0</v>
      </c>
      <c r="L71" s="1886">
        <v>0</v>
      </c>
      <c r="M71" s="1175">
        <f>SUM(F71:K71)</f>
        <v>145039</v>
      </c>
      <c r="N71" s="1175">
        <f>SUM(G71:L71)</f>
        <v>145039</v>
      </c>
      <c r="O71" s="3735"/>
    </row>
    <row r="72" spans="1:16" ht="14.25" customHeight="1">
      <c r="A72" s="3510"/>
      <c r="B72" s="812" t="s">
        <v>18</v>
      </c>
      <c r="C72" s="3566"/>
      <c r="D72" s="523">
        <f>+D73</f>
        <v>841516</v>
      </c>
      <c r="E72" s="1092">
        <f>+E73</f>
        <v>19635</v>
      </c>
      <c r="F72" s="1092">
        <f>+F73</f>
        <v>0</v>
      </c>
      <c r="G72" s="1092">
        <f t="shared" ref="G72:I72" si="46">+G73</f>
        <v>190000</v>
      </c>
      <c r="H72" s="1092">
        <f t="shared" si="46"/>
        <v>480241</v>
      </c>
      <c r="I72" s="1092">
        <f t="shared" si="46"/>
        <v>151640</v>
      </c>
      <c r="J72" s="1886">
        <v>0</v>
      </c>
      <c r="K72" s="1886">
        <v>0</v>
      </c>
      <c r="L72" s="1886">
        <v>0</v>
      </c>
      <c r="M72" s="522">
        <f>+M73</f>
        <v>821881</v>
      </c>
      <c r="N72" s="522">
        <f>+N73</f>
        <v>821881</v>
      </c>
      <c r="O72" s="3735"/>
    </row>
    <row r="73" spans="1:16" ht="12.75" customHeight="1">
      <c r="A73" s="3510"/>
      <c r="B73" s="3166" t="s">
        <v>20</v>
      </c>
      <c r="C73" s="3658"/>
      <c r="D73" s="785">
        <f>E73+F73+G73+H73+I73+J73+K73+L73</f>
        <v>841516</v>
      </c>
      <c r="E73" s="1891">
        <v>19635</v>
      </c>
      <c r="F73" s="1887">
        <f>91961-91961</f>
        <v>0</v>
      </c>
      <c r="G73" s="1887">
        <f>304844+72326-187170</f>
        <v>190000</v>
      </c>
      <c r="H73" s="1887">
        <f>293071+187170</f>
        <v>480241</v>
      </c>
      <c r="I73" s="1887">
        <v>151640</v>
      </c>
      <c r="J73" s="1886">
        <v>0</v>
      </c>
      <c r="K73" s="1886">
        <v>0</v>
      </c>
      <c r="L73" s="1886">
        <v>0</v>
      </c>
      <c r="M73" s="1175">
        <f>SUM(F73:K73)</f>
        <v>821881</v>
      </c>
      <c r="N73" s="1175">
        <f>SUM(G73:L73)</f>
        <v>821881</v>
      </c>
      <c r="O73" s="4185"/>
    </row>
    <row r="74" spans="1:16" ht="12" customHeight="1">
      <c r="A74" s="3510"/>
      <c r="B74" s="827" t="s">
        <v>21</v>
      </c>
      <c r="C74" s="1356"/>
      <c r="D74" s="584">
        <f t="shared" ref="D74:I75" si="47">+D75</f>
        <v>841516</v>
      </c>
      <c r="E74" s="97">
        <f t="shared" si="47"/>
        <v>0</v>
      </c>
      <c r="F74" s="97">
        <f t="shared" si="47"/>
        <v>0</v>
      </c>
      <c r="G74" s="97">
        <f t="shared" si="47"/>
        <v>209635</v>
      </c>
      <c r="H74" s="97">
        <f t="shared" si="47"/>
        <v>480241</v>
      </c>
      <c r="I74" s="97">
        <f t="shared" si="47"/>
        <v>151640</v>
      </c>
      <c r="J74" s="584">
        <v>0</v>
      </c>
      <c r="K74" s="584">
        <v>0</v>
      </c>
      <c r="L74" s="584">
        <v>0</v>
      </c>
      <c r="M74" s="3604"/>
      <c r="N74" s="3604"/>
      <c r="O74" s="3735" t="s">
        <v>185</v>
      </c>
    </row>
    <row r="75" spans="1:16" ht="13.5" customHeight="1">
      <c r="A75" s="3510"/>
      <c r="B75" s="812" t="s">
        <v>18</v>
      </c>
      <c r="C75" s="3597" t="s">
        <v>182</v>
      </c>
      <c r="D75" s="523">
        <f t="shared" si="47"/>
        <v>841516</v>
      </c>
      <c r="E75" s="1886">
        <f t="shared" si="47"/>
        <v>0</v>
      </c>
      <c r="F75" s="1886">
        <f t="shared" si="47"/>
        <v>0</v>
      </c>
      <c r="G75" s="1886">
        <f t="shared" si="47"/>
        <v>209635</v>
      </c>
      <c r="H75" s="1886">
        <f t="shared" si="47"/>
        <v>480241</v>
      </c>
      <c r="I75" s="1886">
        <f t="shared" si="47"/>
        <v>151640</v>
      </c>
      <c r="J75" s="1886">
        <v>0</v>
      </c>
      <c r="K75" s="1886">
        <v>0</v>
      </c>
      <c r="L75" s="1886">
        <v>0</v>
      </c>
      <c r="M75" s="3517"/>
      <c r="N75" s="3517"/>
      <c r="O75" s="3735"/>
    </row>
    <row r="76" spans="1:16" ht="13.5" customHeight="1" thickBot="1">
      <c r="A76" s="3511"/>
      <c r="B76" s="2877" t="s">
        <v>20</v>
      </c>
      <c r="C76" s="3523"/>
      <c r="D76" s="785">
        <f>E76+F76+G76+H76+I76+J76+K76+L76</f>
        <v>841516</v>
      </c>
      <c r="E76" s="785">
        <v>0</v>
      </c>
      <c r="F76" s="1662">
        <f>91961-91961</f>
        <v>0</v>
      </c>
      <c r="G76" s="1662">
        <f>304844+91961-187170</f>
        <v>209635</v>
      </c>
      <c r="H76" s="1662">
        <f>293071+187170</f>
        <v>480241</v>
      </c>
      <c r="I76" s="1662">
        <v>151640</v>
      </c>
      <c r="J76" s="1662">
        <v>0</v>
      </c>
      <c r="K76" s="1662">
        <v>0</v>
      </c>
      <c r="L76" s="1662">
        <v>0</v>
      </c>
      <c r="M76" s="3518"/>
      <c r="N76" s="3518"/>
      <c r="O76" s="3736"/>
    </row>
    <row r="77" spans="1:16" ht="50.25" customHeight="1">
      <c r="A77" s="3720" t="s">
        <v>58</v>
      </c>
      <c r="B77" s="1650" t="s">
        <v>491</v>
      </c>
      <c r="C77" s="2768" t="s">
        <v>161</v>
      </c>
      <c r="D77" s="2042"/>
      <c r="E77" s="2042"/>
      <c r="F77" s="2769"/>
      <c r="G77" s="2769"/>
      <c r="H77" s="2769"/>
      <c r="I77" s="2042"/>
      <c r="J77" s="2042"/>
      <c r="K77" s="2042"/>
      <c r="L77" s="2770"/>
      <c r="M77" s="625"/>
      <c r="N77" s="625"/>
      <c r="O77" s="3734" t="s">
        <v>304</v>
      </c>
    </row>
    <row r="78" spans="1:16" ht="13.5" customHeight="1">
      <c r="A78" s="3510"/>
      <c r="B78" s="827" t="s">
        <v>10</v>
      </c>
      <c r="C78" s="1356"/>
      <c r="D78" s="584">
        <f>+D79+D81</f>
        <v>9980</v>
      </c>
      <c r="E78" s="584">
        <f>+E79+E81</f>
        <v>0</v>
      </c>
      <c r="F78" s="584">
        <f>+F79+F81</f>
        <v>0</v>
      </c>
      <c r="G78" s="584">
        <f t="shared" ref="G78:H78" si="48">+G79+G81</f>
        <v>3380</v>
      </c>
      <c r="H78" s="584">
        <f t="shared" si="48"/>
        <v>6600</v>
      </c>
      <c r="I78" s="584">
        <v>0</v>
      </c>
      <c r="J78" s="584">
        <v>0</v>
      </c>
      <c r="K78" s="584">
        <v>0</v>
      </c>
      <c r="L78" s="584">
        <v>0</v>
      </c>
      <c r="M78" s="1878">
        <f>+M79+M81</f>
        <v>9980</v>
      </c>
      <c r="N78" s="1878">
        <f>+N79+N81</f>
        <v>9980</v>
      </c>
      <c r="O78" s="3735"/>
    </row>
    <row r="79" spans="1:16" ht="13.5" customHeight="1">
      <c r="A79" s="3510"/>
      <c r="B79" s="820" t="s">
        <v>23</v>
      </c>
      <c r="C79" s="3560" t="s">
        <v>179</v>
      </c>
      <c r="D79" s="523">
        <f>+D80</f>
        <v>1497</v>
      </c>
      <c r="E79" s="1092">
        <f>+E80</f>
        <v>0</v>
      </c>
      <c r="F79" s="1092">
        <f>+F80</f>
        <v>0</v>
      </c>
      <c r="G79" s="1092">
        <f t="shared" ref="G79:H79" si="49">+G80</f>
        <v>507</v>
      </c>
      <c r="H79" s="1092">
        <f t="shared" si="49"/>
        <v>990</v>
      </c>
      <c r="I79" s="1886">
        <v>0</v>
      </c>
      <c r="J79" s="1886">
        <v>0</v>
      </c>
      <c r="K79" s="1886">
        <v>0</v>
      </c>
      <c r="L79" s="1886">
        <v>0</v>
      </c>
      <c r="M79" s="522">
        <f>+M80</f>
        <v>1497</v>
      </c>
      <c r="N79" s="522">
        <f>+N80</f>
        <v>1497</v>
      </c>
      <c r="O79" s="3735"/>
      <c r="P79" s="294" t="s">
        <v>356</v>
      </c>
    </row>
    <row r="80" spans="1:16" ht="13.5" customHeight="1">
      <c r="A80" s="3510"/>
      <c r="B80" s="1069" t="s">
        <v>12</v>
      </c>
      <c r="C80" s="3566"/>
      <c r="D80" s="785">
        <f>E80+F80+G80+H80+I80+J80+K80+L80</f>
        <v>1497</v>
      </c>
      <c r="E80" s="785">
        <v>0</v>
      </c>
      <c r="F80" s="818">
        <f>507-507</f>
        <v>0</v>
      </c>
      <c r="G80" s="818">
        <f>495+507-495</f>
        <v>507</v>
      </c>
      <c r="H80" s="818">
        <f>495+495</f>
        <v>990</v>
      </c>
      <c r="I80" s="1886">
        <v>0</v>
      </c>
      <c r="J80" s="1886">
        <v>0</v>
      </c>
      <c r="K80" s="1886">
        <v>0</v>
      </c>
      <c r="L80" s="1886">
        <v>0</v>
      </c>
      <c r="M80" s="1175">
        <f>SUM(F80:K80)</f>
        <v>1497</v>
      </c>
      <c r="N80" s="1175">
        <f>SUM(G80:L80)</f>
        <v>1497</v>
      </c>
      <c r="O80" s="3735"/>
    </row>
    <row r="81" spans="1:15" ht="13.5" customHeight="1">
      <c r="A81" s="3510"/>
      <c r="B81" s="812" t="s">
        <v>18</v>
      </c>
      <c r="C81" s="3566"/>
      <c r="D81" s="523">
        <f>+D82</f>
        <v>8483</v>
      </c>
      <c r="E81" s="1092">
        <f>+E82</f>
        <v>0</v>
      </c>
      <c r="F81" s="1092">
        <f>+F82</f>
        <v>0</v>
      </c>
      <c r="G81" s="1092">
        <f t="shared" ref="G81:H81" si="50">+G82</f>
        <v>2873</v>
      </c>
      <c r="H81" s="1092">
        <f t="shared" si="50"/>
        <v>5610</v>
      </c>
      <c r="I81" s="1886">
        <v>0</v>
      </c>
      <c r="J81" s="1886">
        <v>0</v>
      </c>
      <c r="K81" s="1886">
        <v>0</v>
      </c>
      <c r="L81" s="1886">
        <v>0</v>
      </c>
      <c r="M81" s="522">
        <f>+M82</f>
        <v>8483</v>
      </c>
      <c r="N81" s="522">
        <f>+N82</f>
        <v>8483</v>
      </c>
      <c r="O81" s="3735"/>
    </row>
    <row r="82" spans="1:15" ht="13.5" customHeight="1">
      <c r="A82" s="3510"/>
      <c r="B82" s="3166" t="s">
        <v>20</v>
      </c>
      <c r="C82" s="3658"/>
      <c r="D82" s="785">
        <f>E82+F82+G82+H82+I82+J82+K82+L82</f>
        <v>8483</v>
      </c>
      <c r="E82" s="785">
        <v>0</v>
      </c>
      <c r="F82" s="818">
        <f>2873-2873</f>
        <v>0</v>
      </c>
      <c r="G82" s="818">
        <f>2805+2873-2805</f>
        <v>2873</v>
      </c>
      <c r="H82" s="818">
        <f>2805+2805</f>
        <v>5610</v>
      </c>
      <c r="I82" s="1886">
        <v>0</v>
      </c>
      <c r="J82" s="1886">
        <v>0</v>
      </c>
      <c r="K82" s="1886">
        <v>0</v>
      </c>
      <c r="L82" s="1886">
        <v>0</v>
      </c>
      <c r="M82" s="1175">
        <f>SUM(F82:K82)</f>
        <v>8483</v>
      </c>
      <c r="N82" s="1175">
        <f>SUM(G82:L82)</f>
        <v>8483</v>
      </c>
      <c r="O82" s="3735"/>
    </row>
    <row r="83" spans="1:15" ht="13.5" customHeight="1">
      <c r="A83" s="3510"/>
      <c r="B83" s="827" t="s">
        <v>21</v>
      </c>
      <c r="C83" s="1356"/>
      <c r="D83" s="584">
        <f t="shared" ref="D83:H84" si="51">+D84</f>
        <v>8483</v>
      </c>
      <c r="E83" s="584">
        <f t="shared" si="51"/>
        <v>0</v>
      </c>
      <c r="F83" s="584">
        <f t="shared" si="51"/>
        <v>0</v>
      </c>
      <c r="G83" s="584">
        <f t="shared" si="51"/>
        <v>2873</v>
      </c>
      <c r="H83" s="584">
        <f t="shared" si="51"/>
        <v>5610</v>
      </c>
      <c r="I83" s="584">
        <v>0</v>
      </c>
      <c r="J83" s="584">
        <v>0</v>
      </c>
      <c r="K83" s="584">
        <v>0</v>
      </c>
      <c r="L83" s="584">
        <v>0</v>
      </c>
      <c r="M83" s="3604"/>
      <c r="N83" s="4128"/>
      <c r="O83" s="4186" t="s">
        <v>185</v>
      </c>
    </row>
    <row r="84" spans="1:15" ht="13.5" customHeight="1">
      <c r="A84" s="3510"/>
      <c r="B84" s="812" t="s">
        <v>18</v>
      </c>
      <c r="C84" s="3597" t="s">
        <v>182</v>
      </c>
      <c r="D84" s="523">
        <f t="shared" si="51"/>
        <v>8483</v>
      </c>
      <c r="E84" s="1886">
        <f t="shared" si="51"/>
        <v>0</v>
      </c>
      <c r="F84" s="1886">
        <f t="shared" si="51"/>
        <v>0</v>
      </c>
      <c r="G84" s="1886">
        <f t="shared" si="51"/>
        <v>2873</v>
      </c>
      <c r="H84" s="1886">
        <f t="shared" si="51"/>
        <v>5610</v>
      </c>
      <c r="I84" s="1886">
        <v>0</v>
      </c>
      <c r="J84" s="1886">
        <v>0</v>
      </c>
      <c r="K84" s="1886">
        <v>0</v>
      </c>
      <c r="L84" s="1886">
        <v>0</v>
      </c>
      <c r="M84" s="3517"/>
      <c r="N84" s="4129"/>
      <c r="O84" s="4125"/>
    </row>
    <row r="85" spans="1:15" ht="13.5" customHeight="1" thickBot="1">
      <c r="A85" s="3511"/>
      <c r="B85" s="2877" t="s">
        <v>20</v>
      </c>
      <c r="C85" s="3523"/>
      <c r="D85" s="2031">
        <f>E85+F85+G85+H85+I85+J85+K85+L85</f>
        <v>8483</v>
      </c>
      <c r="E85" s="2031">
        <v>0</v>
      </c>
      <c r="F85" s="1662">
        <f>2873-2873</f>
        <v>0</v>
      </c>
      <c r="G85" s="1662">
        <f>2805+2873-2805</f>
        <v>2873</v>
      </c>
      <c r="H85" s="1662">
        <f>2805+2805</f>
        <v>5610</v>
      </c>
      <c r="I85" s="1662">
        <v>0</v>
      </c>
      <c r="J85" s="1662">
        <v>0</v>
      </c>
      <c r="K85" s="1662">
        <v>0</v>
      </c>
      <c r="L85" s="1662">
        <v>0</v>
      </c>
      <c r="M85" s="3518"/>
      <c r="N85" s="4140"/>
      <c r="O85" s="4126"/>
    </row>
    <row r="86" spans="1:15" ht="27" customHeight="1">
      <c r="A86" s="3720" t="s">
        <v>59</v>
      </c>
      <c r="B86" s="1650" t="s">
        <v>446</v>
      </c>
      <c r="C86" s="2768" t="s">
        <v>161</v>
      </c>
      <c r="D86" s="2042"/>
      <c r="E86" s="2042"/>
      <c r="F86" s="2769"/>
      <c r="G86" s="2769"/>
      <c r="H86" s="2769"/>
      <c r="I86" s="2042"/>
      <c r="J86" s="2042"/>
      <c r="K86" s="2042"/>
      <c r="L86" s="2770"/>
      <c r="M86" s="625"/>
      <c r="N86" s="2506"/>
      <c r="O86" s="4124" t="s">
        <v>304</v>
      </c>
    </row>
    <row r="87" spans="1:15" ht="13.5" customHeight="1">
      <c r="A87" s="4132"/>
      <c r="B87" s="827" t="s">
        <v>10</v>
      </c>
      <c r="C87" s="1356"/>
      <c r="D87" s="584">
        <f>+D88+D90</f>
        <v>320000</v>
      </c>
      <c r="E87" s="584">
        <f>+E88+E90</f>
        <v>0</v>
      </c>
      <c r="F87" s="584">
        <f>+F88+F90</f>
        <v>0</v>
      </c>
      <c r="G87" s="584">
        <f t="shared" ref="G87:I87" si="52">+G88+G90</f>
        <v>183700</v>
      </c>
      <c r="H87" s="584">
        <f t="shared" si="52"/>
        <v>109000</v>
      </c>
      <c r="I87" s="584">
        <f t="shared" si="52"/>
        <v>27300</v>
      </c>
      <c r="J87" s="584">
        <v>0</v>
      </c>
      <c r="K87" s="584">
        <v>0</v>
      </c>
      <c r="L87" s="584">
        <v>0</v>
      </c>
      <c r="M87" s="1878">
        <f>+M88+M90</f>
        <v>320000</v>
      </c>
      <c r="N87" s="2648">
        <f>+N88+N90</f>
        <v>320000</v>
      </c>
      <c r="O87" s="4125"/>
    </row>
    <row r="88" spans="1:15" ht="13.5" customHeight="1">
      <c r="A88" s="4132"/>
      <c r="B88" s="820" t="s">
        <v>23</v>
      </c>
      <c r="C88" s="3560" t="s">
        <v>179</v>
      </c>
      <c r="D88" s="523">
        <f>+D89</f>
        <v>48000</v>
      </c>
      <c r="E88" s="1092">
        <f>+E89</f>
        <v>0</v>
      </c>
      <c r="F88" s="1092">
        <f>+F89</f>
        <v>0</v>
      </c>
      <c r="G88" s="1092">
        <f t="shared" ref="G88:I88" si="53">+G89</f>
        <v>27555</v>
      </c>
      <c r="H88" s="1092">
        <f t="shared" si="53"/>
        <v>16350</v>
      </c>
      <c r="I88" s="1092">
        <f t="shared" si="53"/>
        <v>4095</v>
      </c>
      <c r="J88" s="1886">
        <v>0</v>
      </c>
      <c r="K88" s="1886">
        <v>0</v>
      </c>
      <c r="L88" s="1886">
        <v>0</v>
      </c>
      <c r="M88" s="522">
        <f>+M89</f>
        <v>48000</v>
      </c>
      <c r="N88" s="2646">
        <f>+N89</f>
        <v>48000</v>
      </c>
      <c r="O88" s="4125"/>
    </row>
    <row r="89" spans="1:15" ht="13.5" customHeight="1" thickBot="1">
      <c r="A89" s="3510"/>
      <c r="B89" s="1069" t="s">
        <v>12</v>
      </c>
      <c r="C89" s="3566"/>
      <c r="D89" s="785">
        <f>SUM(E89:L89)</f>
        <v>48000</v>
      </c>
      <c r="E89" s="785">
        <v>0</v>
      </c>
      <c r="F89" s="818">
        <f>507-507</f>
        <v>0</v>
      </c>
      <c r="G89" s="818">
        <v>27555</v>
      </c>
      <c r="H89" s="818">
        <v>16350</v>
      </c>
      <c r="I89" s="818">
        <v>4095</v>
      </c>
      <c r="J89" s="1886">
        <v>0</v>
      </c>
      <c r="K89" s="1886">
        <v>0</v>
      </c>
      <c r="L89" s="1886">
        <v>0</v>
      </c>
      <c r="M89" s="1175">
        <f>SUM(F89:K89)</f>
        <v>48000</v>
      </c>
      <c r="N89" s="2647">
        <f>SUM(G89:L89)</f>
        <v>48000</v>
      </c>
      <c r="O89" s="4126"/>
    </row>
    <row r="90" spans="1:15" ht="13.5" customHeight="1" thickBot="1">
      <c r="A90" s="3510"/>
      <c r="B90" s="812" t="s">
        <v>18</v>
      </c>
      <c r="C90" s="3566"/>
      <c r="D90" s="523">
        <f>+D91</f>
        <v>272000</v>
      </c>
      <c r="E90" s="1092">
        <f>+E91</f>
        <v>0</v>
      </c>
      <c r="F90" s="1092">
        <f>+F91</f>
        <v>0</v>
      </c>
      <c r="G90" s="1092">
        <f t="shared" ref="G90:I90" si="54">+G91</f>
        <v>156145</v>
      </c>
      <c r="H90" s="1092">
        <f t="shared" si="54"/>
        <v>92650</v>
      </c>
      <c r="I90" s="1092">
        <f t="shared" si="54"/>
        <v>23205</v>
      </c>
      <c r="J90" s="1886">
        <v>0</v>
      </c>
      <c r="K90" s="1886">
        <v>0</v>
      </c>
      <c r="L90" s="1886">
        <v>0</v>
      </c>
      <c r="M90" s="522">
        <f>+M91</f>
        <v>272000</v>
      </c>
      <c r="N90" s="2646">
        <f>+N91</f>
        <v>272000</v>
      </c>
      <c r="O90" s="4127"/>
    </row>
    <row r="91" spans="1:15" ht="13.5" customHeight="1" thickBot="1">
      <c r="A91" s="3510"/>
      <c r="B91" s="3166" t="s">
        <v>20</v>
      </c>
      <c r="C91" s="3658"/>
      <c r="D91" s="785">
        <f>SUM(E91:L91)</f>
        <v>272000</v>
      </c>
      <c r="E91" s="785">
        <v>0</v>
      </c>
      <c r="F91" s="818">
        <f>2873-2873</f>
        <v>0</v>
      </c>
      <c r="G91" s="818">
        <v>156145</v>
      </c>
      <c r="H91" s="818">
        <v>92650</v>
      </c>
      <c r="I91" s="818">
        <v>23205</v>
      </c>
      <c r="J91" s="1886">
        <v>0</v>
      </c>
      <c r="K91" s="1886">
        <v>0</v>
      </c>
      <c r="L91" s="1886">
        <v>0</v>
      </c>
      <c r="M91" s="1175">
        <f>SUM(F91:K91)</f>
        <v>272000</v>
      </c>
      <c r="N91" s="2647">
        <f>SUM(G91:L91)</f>
        <v>272000</v>
      </c>
      <c r="O91" s="4127"/>
    </row>
    <row r="92" spans="1:15" ht="13.5" customHeight="1">
      <c r="A92" s="3510"/>
      <c r="B92" s="827" t="s">
        <v>21</v>
      </c>
      <c r="C92" s="1356"/>
      <c r="D92" s="584">
        <f t="shared" ref="D92:I93" si="55">+D93</f>
        <v>272000</v>
      </c>
      <c r="E92" s="584">
        <f t="shared" si="55"/>
        <v>0</v>
      </c>
      <c r="F92" s="584">
        <f t="shared" si="55"/>
        <v>0</v>
      </c>
      <c r="G92" s="584">
        <f t="shared" si="55"/>
        <v>156145</v>
      </c>
      <c r="H92" s="584">
        <f t="shared" si="55"/>
        <v>92650</v>
      </c>
      <c r="I92" s="584">
        <f t="shared" si="55"/>
        <v>23205</v>
      </c>
      <c r="J92" s="584">
        <v>0</v>
      </c>
      <c r="K92" s="584">
        <v>0</v>
      </c>
      <c r="L92" s="584">
        <v>0</v>
      </c>
      <c r="M92" s="3604"/>
      <c r="N92" s="4128"/>
      <c r="O92" s="4130" t="s">
        <v>185</v>
      </c>
    </row>
    <row r="93" spans="1:15" ht="13.5" customHeight="1" thickBot="1">
      <c r="A93" s="4132"/>
      <c r="B93" s="812" t="s">
        <v>18</v>
      </c>
      <c r="C93" s="3597" t="s">
        <v>182</v>
      </c>
      <c r="D93" s="523">
        <f t="shared" si="55"/>
        <v>272000</v>
      </c>
      <c r="E93" s="1886">
        <f t="shared" si="55"/>
        <v>0</v>
      </c>
      <c r="F93" s="1886">
        <f t="shared" si="55"/>
        <v>0</v>
      </c>
      <c r="G93" s="1886">
        <f t="shared" si="55"/>
        <v>156145</v>
      </c>
      <c r="H93" s="1886">
        <f t="shared" si="55"/>
        <v>92650</v>
      </c>
      <c r="I93" s="1886">
        <f t="shared" si="55"/>
        <v>23205</v>
      </c>
      <c r="J93" s="1886">
        <v>0</v>
      </c>
      <c r="K93" s="1886">
        <v>0</v>
      </c>
      <c r="L93" s="1886">
        <v>0</v>
      </c>
      <c r="M93" s="3517"/>
      <c r="N93" s="4129"/>
      <c r="O93" s="4131"/>
    </row>
    <row r="94" spans="1:15" ht="13.5" customHeight="1" thickBot="1">
      <c r="A94" s="4132"/>
      <c r="B94" s="3166" t="s">
        <v>20</v>
      </c>
      <c r="C94" s="3595"/>
      <c r="D94" s="1288">
        <f>SUM(E94:L94)</f>
        <v>272000</v>
      </c>
      <c r="E94" s="1288">
        <v>0</v>
      </c>
      <c r="F94" s="1392">
        <f>2873-2873</f>
        <v>0</v>
      </c>
      <c r="G94" s="1392">
        <v>156145</v>
      </c>
      <c r="H94" s="1392">
        <v>92650</v>
      </c>
      <c r="I94" s="1392">
        <v>23205</v>
      </c>
      <c r="J94" s="1392">
        <v>0</v>
      </c>
      <c r="K94" s="1392">
        <v>0</v>
      </c>
      <c r="L94" s="1392">
        <v>0</v>
      </c>
      <c r="M94" s="3517"/>
      <c r="N94" s="4129"/>
      <c r="O94" s="4124"/>
    </row>
    <row r="95" spans="1:15" ht="39.75" customHeight="1" thickBot="1">
      <c r="A95" s="3720" t="s">
        <v>106</v>
      </c>
      <c r="B95" s="1650" t="s">
        <v>447</v>
      </c>
      <c r="C95" s="2768" t="s">
        <v>161</v>
      </c>
      <c r="D95" s="2042"/>
      <c r="E95" s="2042"/>
      <c r="F95" s="2769"/>
      <c r="G95" s="2769"/>
      <c r="H95" s="2769"/>
      <c r="I95" s="2042"/>
      <c r="J95" s="2042"/>
      <c r="K95" s="2042"/>
      <c r="L95" s="2770"/>
      <c r="M95" s="625"/>
      <c r="N95" s="2506"/>
      <c r="O95" s="4136" t="s">
        <v>304</v>
      </c>
    </row>
    <row r="96" spans="1:15" ht="13.5" customHeight="1">
      <c r="A96" s="4132"/>
      <c r="B96" s="1355" t="s">
        <v>10</v>
      </c>
      <c r="C96" s="2603"/>
      <c r="D96" s="1357">
        <f>+D97+D99</f>
        <v>3446020</v>
      </c>
      <c r="E96" s="1357">
        <f>+E97+E99</f>
        <v>0</v>
      </c>
      <c r="F96" s="1357">
        <f>+F97+F99</f>
        <v>0</v>
      </c>
      <c r="G96" s="1357">
        <f t="shared" ref="G96:L96" si="56">+G97+G99</f>
        <v>0</v>
      </c>
      <c r="H96" s="1357">
        <f t="shared" si="56"/>
        <v>298278</v>
      </c>
      <c r="I96" s="1357">
        <f t="shared" si="56"/>
        <v>1324061</v>
      </c>
      <c r="J96" s="1357">
        <f t="shared" si="56"/>
        <v>735528</v>
      </c>
      <c r="K96" s="1357">
        <f t="shared" si="56"/>
        <v>944889</v>
      </c>
      <c r="L96" s="1357">
        <f t="shared" si="56"/>
        <v>143264</v>
      </c>
      <c r="M96" s="1358">
        <f>+M97+M99</f>
        <v>3302756</v>
      </c>
      <c r="N96" s="2648">
        <f>+N97+N99</f>
        <v>3446020</v>
      </c>
      <c r="O96" s="4137"/>
    </row>
    <row r="97" spans="1:16" ht="13.5" customHeight="1" thickBot="1">
      <c r="A97" s="4132"/>
      <c r="B97" s="1359" t="s">
        <v>23</v>
      </c>
      <c r="C97" s="3522" t="s">
        <v>179</v>
      </c>
      <c r="D97" s="1360">
        <f>+D98</f>
        <v>516903</v>
      </c>
      <c r="E97" s="1365">
        <f>+E98</f>
        <v>0</v>
      </c>
      <c r="F97" s="1365">
        <f>+F98</f>
        <v>0</v>
      </c>
      <c r="G97" s="1365">
        <f t="shared" ref="G97:L97" si="57">+G98</f>
        <v>0</v>
      </c>
      <c r="H97" s="1365">
        <f t="shared" si="57"/>
        <v>44742</v>
      </c>
      <c r="I97" s="1365">
        <f t="shared" si="57"/>
        <v>198609</v>
      </c>
      <c r="J97" s="1365">
        <f t="shared" si="57"/>
        <v>110329</v>
      </c>
      <c r="K97" s="1365">
        <f t="shared" si="57"/>
        <v>141733</v>
      </c>
      <c r="L97" s="1365">
        <f t="shared" si="57"/>
        <v>21490</v>
      </c>
      <c r="M97" s="1361">
        <f>+M98</f>
        <v>495413</v>
      </c>
      <c r="N97" s="2646">
        <f>+N98</f>
        <v>516903</v>
      </c>
      <c r="O97" s="4138"/>
    </row>
    <row r="98" spans="1:16" ht="13.5" customHeight="1">
      <c r="A98" s="4132"/>
      <c r="B98" s="1362" t="s">
        <v>12</v>
      </c>
      <c r="C98" s="3566"/>
      <c r="D98" s="1288">
        <f>SUM(E98:L98)</f>
        <v>516903</v>
      </c>
      <c r="E98" s="1288">
        <v>0</v>
      </c>
      <c r="F98" s="1363">
        <f>507-507</f>
        <v>0</v>
      </c>
      <c r="G98" s="1363">
        <v>0</v>
      </c>
      <c r="H98" s="1363">
        <v>44742</v>
      </c>
      <c r="I98" s="1363">
        <v>198609</v>
      </c>
      <c r="J98" s="1363">
        <v>110329</v>
      </c>
      <c r="K98" s="1363">
        <v>141733</v>
      </c>
      <c r="L98" s="1363">
        <v>21490</v>
      </c>
      <c r="M98" s="2647">
        <f>SUM(F98:K98)</f>
        <v>495413</v>
      </c>
      <c r="N98" s="2654">
        <f>SUM(G98:L98)</f>
        <v>516903</v>
      </c>
      <c r="O98" s="3734"/>
    </row>
    <row r="99" spans="1:16" ht="13.5" customHeight="1" thickBot="1">
      <c r="A99" s="4132"/>
      <c r="B99" s="1364" t="s">
        <v>18</v>
      </c>
      <c r="C99" s="3566"/>
      <c r="D99" s="1360">
        <f>+D100</f>
        <v>2929117</v>
      </c>
      <c r="E99" s="1365">
        <f>+E100</f>
        <v>0</v>
      </c>
      <c r="F99" s="1365">
        <f>+F100</f>
        <v>0</v>
      </c>
      <c r="G99" s="1365">
        <f t="shared" ref="G99:L99" si="58">+G100</f>
        <v>0</v>
      </c>
      <c r="H99" s="1365">
        <f t="shared" si="58"/>
        <v>253536</v>
      </c>
      <c r="I99" s="1365">
        <f t="shared" si="58"/>
        <v>1125452</v>
      </c>
      <c r="J99" s="1365">
        <f t="shared" si="58"/>
        <v>625199</v>
      </c>
      <c r="K99" s="1365">
        <f t="shared" si="58"/>
        <v>803156</v>
      </c>
      <c r="L99" s="1365">
        <f t="shared" si="58"/>
        <v>121774</v>
      </c>
      <c r="M99" s="1361">
        <f>+M100</f>
        <v>2807343</v>
      </c>
      <c r="N99" s="2650">
        <f>+N100</f>
        <v>2929117</v>
      </c>
      <c r="O99" s="3736"/>
    </row>
    <row r="100" spans="1:16" ht="13.5" customHeight="1" thickBot="1">
      <c r="A100" s="4132"/>
      <c r="B100" s="2878" t="s">
        <v>20</v>
      </c>
      <c r="C100" s="3567"/>
      <c r="D100" s="1334">
        <f>SUM(E100:L100)</f>
        <v>2929117</v>
      </c>
      <c r="E100" s="1334">
        <v>0</v>
      </c>
      <c r="F100" s="1373">
        <f>2873-2873</f>
        <v>0</v>
      </c>
      <c r="G100" s="1373">
        <v>0</v>
      </c>
      <c r="H100" s="1373">
        <v>253536</v>
      </c>
      <c r="I100" s="1373">
        <v>1125452</v>
      </c>
      <c r="J100" s="1373">
        <v>625199</v>
      </c>
      <c r="K100" s="1373">
        <v>803156</v>
      </c>
      <c r="L100" s="1373">
        <v>121774</v>
      </c>
      <c r="M100" s="1674">
        <f>SUM(F100:K100)</f>
        <v>2807343</v>
      </c>
      <c r="N100" s="2649">
        <f>SUM(G100:L100)</f>
        <v>2929117</v>
      </c>
      <c r="O100" s="3734"/>
    </row>
    <row r="101" spans="1:16" ht="13.5" customHeight="1" thickBot="1">
      <c r="A101" s="4132"/>
      <c r="B101" s="2604" t="s">
        <v>21</v>
      </c>
      <c r="C101" s="2409"/>
      <c r="D101" s="2535">
        <f t="shared" ref="D101:L102" si="59">+D102</f>
        <v>2929117</v>
      </c>
      <c r="E101" s="2535">
        <f t="shared" si="59"/>
        <v>0</v>
      </c>
      <c r="F101" s="2535">
        <f t="shared" si="59"/>
        <v>0</v>
      </c>
      <c r="G101" s="2535">
        <f t="shared" si="59"/>
        <v>0</v>
      </c>
      <c r="H101" s="2535">
        <f t="shared" si="59"/>
        <v>253536</v>
      </c>
      <c r="I101" s="2535">
        <f t="shared" si="59"/>
        <v>1125452</v>
      </c>
      <c r="J101" s="2535">
        <f t="shared" si="59"/>
        <v>625199</v>
      </c>
      <c r="K101" s="2535">
        <f t="shared" si="59"/>
        <v>803156</v>
      </c>
      <c r="L101" s="2535">
        <f t="shared" si="59"/>
        <v>121774</v>
      </c>
      <c r="M101" s="3518"/>
      <c r="N101" s="4140"/>
      <c r="O101" s="4138" t="s">
        <v>185</v>
      </c>
    </row>
    <row r="102" spans="1:16" ht="13.5" customHeight="1">
      <c r="A102" s="4132"/>
      <c r="B102" s="2477" t="s">
        <v>18</v>
      </c>
      <c r="C102" s="4134" t="s">
        <v>182</v>
      </c>
      <c r="D102" s="2699">
        <f t="shared" si="59"/>
        <v>2929117</v>
      </c>
      <c r="E102" s="2699">
        <f t="shared" si="59"/>
        <v>0</v>
      </c>
      <c r="F102" s="2699">
        <f t="shared" si="59"/>
        <v>0</v>
      </c>
      <c r="G102" s="2699">
        <f t="shared" si="59"/>
        <v>0</v>
      </c>
      <c r="H102" s="2699">
        <f t="shared" si="59"/>
        <v>253536</v>
      </c>
      <c r="I102" s="2699">
        <f t="shared" si="59"/>
        <v>1125452</v>
      </c>
      <c r="J102" s="2699">
        <f t="shared" si="59"/>
        <v>625199</v>
      </c>
      <c r="K102" s="2699">
        <f t="shared" si="59"/>
        <v>803156</v>
      </c>
      <c r="L102" s="2699">
        <f t="shared" si="59"/>
        <v>121774</v>
      </c>
      <c r="M102" s="3517"/>
      <c r="N102" s="4129"/>
      <c r="O102" s="3735"/>
    </row>
    <row r="103" spans="1:16" ht="13.5" customHeight="1" thickBot="1">
      <c r="A103" s="4133"/>
      <c r="B103" s="2862" t="s">
        <v>20</v>
      </c>
      <c r="C103" s="4135"/>
      <c r="D103" s="1643">
        <f>SUM(E103:L103)</f>
        <v>2929117</v>
      </c>
      <c r="E103" s="1643">
        <v>0</v>
      </c>
      <c r="F103" s="1662">
        <f>2873-2873</f>
        <v>0</v>
      </c>
      <c r="G103" s="1662">
        <v>0</v>
      </c>
      <c r="H103" s="1662">
        <v>253536</v>
      </c>
      <c r="I103" s="1662">
        <v>1125452</v>
      </c>
      <c r="J103" s="1662">
        <v>625199</v>
      </c>
      <c r="K103" s="1662">
        <v>803156</v>
      </c>
      <c r="L103" s="1662">
        <v>121774</v>
      </c>
      <c r="M103" s="4139"/>
      <c r="N103" s="4139"/>
      <c r="O103" s="3736"/>
    </row>
    <row r="104" spans="1:16" s="611" customFormat="1" ht="36" hidden="1" customHeight="1">
      <c r="A104" s="2566" t="s">
        <v>158</v>
      </c>
      <c r="B104" s="2567"/>
      <c r="C104" s="2567"/>
      <c r="D104" s="2567"/>
      <c r="E104" s="2567"/>
      <c r="F104" s="2567"/>
      <c r="G104" s="2567"/>
      <c r="H104" s="2567"/>
      <c r="I104" s="2567"/>
      <c r="J104" s="2567"/>
      <c r="K104" s="2567"/>
      <c r="L104" s="2567"/>
      <c r="M104" s="2568"/>
      <c r="N104" s="2568"/>
      <c r="O104" s="2569"/>
    </row>
    <row r="105" spans="1:16" s="2562" customFormat="1" ht="19.5" hidden="1" customHeight="1">
      <c r="A105" s="2635"/>
      <c r="B105" s="1113" t="s">
        <v>68</v>
      </c>
      <c r="C105" s="1113"/>
      <c r="D105" s="2636">
        <f>+D106+D107</f>
        <v>0</v>
      </c>
      <c r="E105" s="2637">
        <f>+E106+E107</f>
        <v>0</v>
      </c>
      <c r="F105" s="2636">
        <f t="shared" ref="F105:N105" si="60">+F106+F107</f>
        <v>0</v>
      </c>
      <c r="G105" s="2636">
        <f t="shared" si="60"/>
        <v>0</v>
      </c>
      <c r="H105" s="2636">
        <f t="shared" si="60"/>
        <v>0</v>
      </c>
      <c r="I105" s="2636">
        <f t="shared" si="60"/>
        <v>0</v>
      </c>
      <c r="J105" s="2636">
        <f t="shared" si="60"/>
        <v>0</v>
      </c>
      <c r="K105" s="2636">
        <f t="shared" si="60"/>
        <v>0</v>
      </c>
      <c r="L105" s="2636">
        <f t="shared" si="60"/>
        <v>0</v>
      </c>
      <c r="M105" s="2638">
        <f t="shared" ref="M105" si="61">+M106+M107</f>
        <v>0</v>
      </c>
      <c r="N105" s="2638">
        <f t="shared" si="60"/>
        <v>0</v>
      </c>
      <c r="O105" s="2639"/>
    </row>
    <row r="106" spans="1:16" s="2562" customFormat="1" ht="12.75" hidden="1" customHeight="1">
      <c r="A106" s="2626"/>
      <c r="B106" s="579" t="s">
        <v>69</v>
      </c>
      <c r="C106" s="214"/>
      <c r="D106" s="215">
        <f>D131</f>
        <v>0</v>
      </c>
      <c r="E106" s="1077">
        <f t="shared" ref="E106:L106" si="62">E131</f>
        <v>0</v>
      </c>
      <c r="F106" s="215">
        <f t="shared" si="62"/>
        <v>0</v>
      </c>
      <c r="G106" s="215">
        <f t="shared" si="62"/>
        <v>0</v>
      </c>
      <c r="H106" s="215">
        <f t="shared" si="62"/>
        <v>0</v>
      </c>
      <c r="I106" s="215">
        <f t="shared" si="62"/>
        <v>0</v>
      </c>
      <c r="J106" s="215">
        <f t="shared" si="62"/>
        <v>0</v>
      </c>
      <c r="K106" s="215">
        <f t="shared" si="62"/>
        <v>0</v>
      </c>
      <c r="L106" s="215">
        <f t="shared" si="62"/>
        <v>0</v>
      </c>
      <c r="M106" s="145">
        <f>SUM(E106:G106)</f>
        <v>0</v>
      </c>
      <c r="N106" s="2507">
        <f>SUM(G106:H106)</f>
        <v>0</v>
      </c>
      <c r="O106" s="2557"/>
    </row>
    <row r="107" spans="1:16" s="2562" customFormat="1" ht="15" hidden="1" customHeight="1">
      <c r="A107" s="2480"/>
      <c r="B107" s="1078" t="s">
        <v>9</v>
      </c>
      <c r="C107" s="1676"/>
      <c r="D107" s="1677">
        <f>+D135+D122</f>
        <v>0</v>
      </c>
      <c r="E107" s="1678">
        <f t="shared" ref="E107:L107" si="63">+E135+E122</f>
        <v>0</v>
      </c>
      <c r="F107" s="1677">
        <f t="shared" si="63"/>
        <v>0</v>
      </c>
      <c r="G107" s="1677">
        <f t="shared" si="63"/>
        <v>0</v>
      </c>
      <c r="H107" s="1677">
        <f t="shared" si="63"/>
        <v>0</v>
      </c>
      <c r="I107" s="1677">
        <f t="shared" si="63"/>
        <v>0</v>
      </c>
      <c r="J107" s="1677">
        <f t="shared" si="63"/>
        <v>0</v>
      </c>
      <c r="K107" s="1677">
        <f t="shared" si="63"/>
        <v>0</v>
      </c>
      <c r="L107" s="1677">
        <f t="shared" si="63"/>
        <v>0</v>
      </c>
      <c r="M107" s="1675">
        <f>SUM(E107:G107)</f>
        <v>0</v>
      </c>
      <c r="N107" s="2508">
        <f>SUM(G107:K107)</f>
        <v>0</v>
      </c>
      <c r="O107" s="2522"/>
      <c r="P107" s="2563"/>
    </row>
    <row r="108" spans="1:16" ht="14.25" hidden="1" customHeight="1">
      <c r="A108" s="2480"/>
      <c r="B108" s="539" t="s">
        <v>10</v>
      </c>
      <c r="C108" s="1679"/>
      <c r="D108" s="1680">
        <f>+D109</f>
        <v>0</v>
      </c>
      <c r="E108" s="1681">
        <f t="shared" ref="E108:L108" si="64">+E109</f>
        <v>0</v>
      </c>
      <c r="F108" s="1682">
        <f t="shared" si="64"/>
        <v>0</v>
      </c>
      <c r="G108" s="1682">
        <f t="shared" si="64"/>
        <v>0</v>
      </c>
      <c r="H108" s="1682">
        <f t="shared" si="64"/>
        <v>0</v>
      </c>
      <c r="I108" s="1682">
        <f t="shared" si="64"/>
        <v>0</v>
      </c>
      <c r="J108" s="1682">
        <f t="shared" si="64"/>
        <v>0</v>
      </c>
      <c r="K108" s="1682">
        <f t="shared" si="64"/>
        <v>0</v>
      </c>
      <c r="L108" s="1682">
        <f t="shared" si="64"/>
        <v>0</v>
      </c>
      <c r="M108" s="1326">
        <f>+M109</f>
        <v>0</v>
      </c>
      <c r="N108" s="2504">
        <f>+N109</f>
        <v>0</v>
      </c>
      <c r="O108" s="2522"/>
      <c r="P108" s="429"/>
    </row>
    <row r="109" spans="1:16" ht="12.95" hidden="1" customHeight="1">
      <c r="A109" s="2481"/>
      <c r="B109" s="580" t="s">
        <v>11</v>
      </c>
      <c r="C109" s="1683"/>
      <c r="D109" s="1684">
        <f>+D113+D114+D110</f>
        <v>0</v>
      </c>
      <c r="E109" s="1685">
        <f t="shared" ref="E109:L109" si="65">+E113+E114+E110</f>
        <v>0</v>
      </c>
      <c r="F109" s="1684">
        <f t="shared" si="65"/>
        <v>0</v>
      </c>
      <c r="G109" s="1684">
        <f t="shared" si="65"/>
        <v>0</v>
      </c>
      <c r="H109" s="1684">
        <f t="shared" si="65"/>
        <v>0</v>
      </c>
      <c r="I109" s="1684">
        <f t="shared" si="65"/>
        <v>0</v>
      </c>
      <c r="J109" s="1684">
        <f t="shared" si="65"/>
        <v>0</v>
      </c>
      <c r="K109" s="1684">
        <f t="shared" si="65"/>
        <v>0</v>
      </c>
      <c r="L109" s="1684">
        <f t="shared" si="65"/>
        <v>0</v>
      </c>
      <c r="M109" s="1686">
        <f>+M113+M114</f>
        <v>0</v>
      </c>
      <c r="N109" s="2509">
        <f>+N113+N114</f>
        <v>0</v>
      </c>
      <c r="O109" s="2522"/>
    </row>
    <row r="110" spans="1:16" ht="12.95" hidden="1" customHeight="1">
      <c r="A110" s="2482"/>
      <c r="B110" s="581" t="s">
        <v>12</v>
      </c>
      <c r="C110" s="1687"/>
      <c r="D110" s="1688">
        <f>D132</f>
        <v>0</v>
      </c>
      <c r="E110" s="1689">
        <f t="shared" ref="E110:L110" si="66">E132</f>
        <v>0</v>
      </c>
      <c r="F110" s="1688">
        <f t="shared" si="66"/>
        <v>0</v>
      </c>
      <c r="G110" s="1688">
        <f t="shared" si="66"/>
        <v>0</v>
      </c>
      <c r="H110" s="1688">
        <f t="shared" si="66"/>
        <v>0</v>
      </c>
      <c r="I110" s="1688">
        <f t="shared" si="66"/>
        <v>0</v>
      </c>
      <c r="J110" s="1688">
        <f t="shared" si="66"/>
        <v>0</v>
      </c>
      <c r="K110" s="1688">
        <f t="shared" si="66"/>
        <v>0</v>
      </c>
      <c r="L110" s="1688">
        <f t="shared" si="66"/>
        <v>0</v>
      </c>
      <c r="M110" s="1690"/>
      <c r="N110" s="2510"/>
      <c r="O110" s="2522"/>
    </row>
    <row r="111" spans="1:16" ht="13.5" hidden="1" customHeight="1">
      <c r="A111" s="2482"/>
      <c r="B111" s="846" t="s">
        <v>13</v>
      </c>
      <c r="C111" s="1691"/>
      <c r="D111" s="1692">
        <v>0</v>
      </c>
      <c r="E111" s="1693">
        <v>0</v>
      </c>
      <c r="F111" s="1692"/>
      <c r="G111" s="1692"/>
      <c r="H111" s="1692"/>
      <c r="I111" s="1692"/>
      <c r="J111" s="1692"/>
      <c r="K111" s="1692"/>
      <c r="L111" s="1692"/>
      <c r="M111" s="1690"/>
      <c r="N111" s="2510"/>
      <c r="O111" s="2522"/>
    </row>
    <row r="112" spans="1:16" ht="12.75" hidden="1" customHeight="1">
      <c r="A112" s="2482"/>
      <c r="B112" s="582" t="s">
        <v>13</v>
      </c>
      <c r="C112" s="1691"/>
      <c r="D112" s="1692">
        <v>0</v>
      </c>
      <c r="E112" s="1693">
        <v>0</v>
      </c>
      <c r="F112" s="1692"/>
      <c r="G112" s="1692"/>
      <c r="H112" s="1692"/>
      <c r="I112" s="1692"/>
      <c r="J112" s="1692"/>
      <c r="K112" s="1692"/>
      <c r="L112" s="1692"/>
      <c r="M112" s="1690"/>
      <c r="N112" s="2510"/>
      <c r="O112" s="2522"/>
    </row>
    <row r="113" spans="1:15" s="611" customFormat="1" ht="12.75" hidden="1" customHeight="1">
      <c r="A113" s="2483"/>
      <c r="B113" s="1079" t="s">
        <v>14</v>
      </c>
      <c r="C113" s="1691"/>
      <c r="D113" s="1692">
        <f>+D124</f>
        <v>0</v>
      </c>
      <c r="E113" s="1694">
        <f t="shared" ref="E113:L113" si="67">+E124</f>
        <v>0</v>
      </c>
      <c r="F113" s="1692">
        <f t="shared" si="67"/>
        <v>0</v>
      </c>
      <c r="G113" s="1692">
        <f t="shared" si="67"/>
        <v>0</v>
      </c>
      <c r="H113" s="1692">
        <f t="shared" si="67"/>
        <v>0</v>
      </c>
      <c r="I113" s="1692">
        <f t="shared" si="67"/>
        <v>0</v>
      </c>
      <c r="J113" s="1692">
        <f t="shared" si="67"/>
        <v>0</v>
      </c>
      <c r="K113" s="1692">
        <f t="shared" si="67"/>
        <v>0</v>
      </c>
      <c r="L113" s="1692">
        <f t="shared" si="67"/>
        <v>0</v>
      </c>
      <c r="M113" s="1690">
        <f>SUM(E113:L114)</f>
        <v>0</v>
      </c>
      <c r="N113" s="2510">
        <f>SUM(G113:L113)</f>
        <v>0</v>
      </c>
      <c r="O113" s="2523"/>
    </row>
    <row r="114" spans="1:15" ht="12.75" hidden="1" customHeight="1">
      <c r="A114" s="2484"/>
      <c r="B114" s="581" t="s">
        <v>54</v>
      </c>
      <c r="C114" s="1695"/>
      <c r="D114" s="1688">
        <f>+D137+D125</f>
        <v>0</v>
      </c>
      <c r="E114" s="1689">
        <f>+E137+E125</f>
        <v>0</v>
      </c>
      <c r="F114" s="1688"/>
      <c r="G114" s="1688"/>
      <c r="H114" s="1688"/>
      <c r="I114" s="1688"/>
      <c r="J114" s="1688"/>
      <c r="K114" s="1688"/>
      <c r="L114" s="1688"/>
      <c r="M114" s="1690">
        <f>SUM(E114:H114)</f>
        <v>0</v>
      </c>
      <c r="N114" s="2510">
        <f>SUM(F114:I114)</f>
        <v>0</v>
      </c>
      <c r="O114" s="2524"/>
    </row>
    <row r="115" spans="1:15" ht="15" hidden="1" customHeight="1">
      <c r="A115" s="583"/>
      <c r="B115" s="539" t="s">
        <v>21</v>
      </c>
      <c r="C115" s="1356"/>
      <c r="D115" s="1414">
        <f>+D116</f>
        <v>0</v>
      </c>
      <c r="E115" s="1415">
        <f t="shared" ref="E115:L115" si="68">+E116</f>
        <v>0</v>
      </c>
      <c r="F115" s="1414">
        <f t="shared" si="68"/>
        <v>0</v>
      </c>
      <c r="G115" s="1414">
        <f t="shared" si="68"/>
        <v>0</v>
      </c>
      <c r="H115" s="1414">
        <f t="shared" si="68"/>
        <v>0</v>
      </c>
      <c r="I115" s="1414">
        <f t="shared" si="68"/>
        <v>0</v>
      </c>
      <c r="J115" s="1414">
        <f t="shared" si="68"/>
        <v>0</v>
      </c>
      <c r="K115" s="1414">
        <f t="shared" si="68"/>
        <v>0</v>
      </c>
      <c r="L115" s="1414">
        <f t="shared" si="68"/>
        <v>0</v>
      </c>
      <c r="M115" s="4150" t="s">
        <v>22</v>
      </c>
      <c r="N115" s="4150" t="s">
        <v>22</v>
      </c>
      <c r="O115" s="17"/>
    </row>
    <row r="116" spans="1:15" ht="12" hidden="1" customHeight="1">
      <c r="A116" s="1119"/>
      <c r="B116" s="580" t="s">
        <v>11</v>
      </c>
      <c r="C116" s="1683"/>
      <c r="D116" s="1684">
        <f>SUM(D118:D120)</f>
        <v>0</v>
      </c>
      <c r="E116" s="1685">
        <f>SUM(E118:E120)</f>
        <v>0</v>
      </c>
      <c r="F116" s="1684">
        <f t="shared" ref="F116:L116" si="69">SUM(F118:F120)</f>
        <v>0</v>
      </c>
      <c r="G116" s="1684">
        <f t="shared" si="69"/>
        <v>0</v>
      </c>
      <c r="H116" s="1684">
        <f t="shared" si="69"/>
        <v>0</v>
      </c>
      <c r="I116" s="1684">
        <f t="shared" si="69"/>
        <v>0</v>
      </c>
      <c r="J116" s="1684">
        <f t="shared" si="69"/>
        <v>0</v>
      </c>
      <c r="K116" s="1684">
        <f t="shared" si="69"/>
        <v>0</v>
      </c>
      <c r="L116" s="1684">
        <f t="shared" si="69"/>
        <v>0</v>
      </c>
      <c r="M116" s="4151"/>
      <c r="N116" s="4151"/>
      <c r="O116" s="17"/>
    </row>
    <row r="117" spans="1:15" ht="13.5" hidden="1" customHeight="1">
      <c r="A117" s="1118"/>
      <c r="B117" s="582" t="s">
        <v>13</v>
      </c>
      <c r="C117" s="1695"/>
      <c r="D117" s="1696">
        <v>0</v>
      </c>
      <c r="E117" s="1697">
        <v>0</v>
      </c>
      <c r="F117" s="1688"/>
      <c r="G117" s="1688"/>
      <c r="H117" s="1688"/>
      <c r="I117" s="1688"/>
      <c r="J117" s="1688"/>
      <c r="K117" s="1688"/>
      <c r="L117" s="1688"/>
      <c r="M117" s="4151"/>
      <c r="N117" s="4151"/>
      <c r="O117" s="17"/>
    </row>
    <row r="118" spans="1:15" ht="12.95" hidden="1" customHeight="1">
      <c r="A118" s="1118"/>
      <c r="B118" s="582" t="s">
        <v>13</v>
      </c>
      <c r="C118" s="1687"/>
      <c r="D118" s="1696">
        <v>0</v>
      </c>
      <c r="E118" s="1697">
        <v>0</v>
      </c>
      <c r="F118" s="1696"/>
      <c r="G118" s="1696"/>
      <c r="H118" s="1696"/>
      <c r="I118" s="1696"/>
      <c r="J118" s="1696"/>
      <c r="K118" s="1696"/>
      <c r="L118" s="1696"/>
      <c r="M118" s="4151"/>
      <c r="N118" s="4151"/>
      <c r="O118" s="17"/>
    </row>
    <row r="119" spans="1:15" ht="13.5" hidden="1" customHeight="1">
      <c r="A119" s="1118"/>
      <c r="B119" s="581" t="s">
        <v>14</v>
      </c>
      <c r="C119" s="1687"/>
      <c r="D119" s="1696">
        <f>+D128</f>
        <v>0</v>
      </c>
      <c r="E119" s="1697">
        <f t="shared" ref="E119:L119" si="70">+E128</f>
        <v>0</v>
      </c>
      <c r="F119" s="1696">
        <f t="shared" si="70"/>
        <v>0</v>
      </c>
      <c r="G119" s="1696">
        <f t="shared" si="70"/>
        <v>0</v>
      </c>
      <c r="H119" s="1696">
        <f t="shared" si="70"/>
        <v>0</v>
      </c>
      <c r="I119" s="1696">
        <f t="shared" si="70"/>
        <v>0</v>
      </c>
      <c r="J119" s="1696">
        <f t="shared" si="70"/>
        <v>0</v>
      </c>
      <c r="K119" s="1696">
        <f t="shared" si="70"/>
        <v>0</v>
      </c>
      <c r="L119" s="1696">
        <f t="shared" si="70"/>
        <v>0</v>
      </c>
      <c r="M119" s="4151"/>
      <c r="N119" s="4151"/>
      <c r="O119" s="17"/>
    </row>
    <row r="120" spans="1:15" ht="14.25" hidden="1" customHeight="1" thickBot="1">
      <c r="A120" s="1120"/>
      <c r="B120" s="824" t="s">
        <v>54</v>
      </c>
      <c r="C120" s="1698"/>
      <c r="D120" s="1699">
        <f>+D140+D129</f>
        <v>0</v>
      </c>
      <c r="E120" s="1699">
        <f>+E140+E129</f>
        <v>0</v>
      </c>
      <c r="F120" s="1699"/>
      <c r="G120" s="1699"/>
      <c r="H120" s="1699"/>
      <c r="I120" s="1699"/>
      <c r="J120" s="1699"/>
      <c r="K120" s="1699"/>
      <c r="L120" s="1699"/>
      <c r="M120" s="4152"/>
      <c r="N120" s="4152"/>
      <c r="O120" s="1121"/>
    </row>
    <row r="121" spans="1:15" ht="15.75" hidden="1" customHeight="1">
      <c r="A121" s="3720" t="s">
        <v>55</v>
      </c>
      <c r="B121" s="2035"/>
      <c r="C121" s="1080" t="s">
        <v>73</v>
      </c>
      <c r="D121" s="1080"/>
      <c r="E121" s="59"/>
      <c r="F121" s="1081"/>
      <c r="G121" s="1081"/>
      <c r="H121" s="1081"/>
      <c r="I121" s="1081"/>
      <c r="J121" s="1081"/>
      <c r="K121" s="1081"/>
      <c r="L121" s="1081"/>
      <c r="M121" s="1082"/>
      <c r="N121" s="1082"/>
      <c r="O121" s="4157" t="s">
        <v>386</v>
      </c>
    </row>
    <row r="122" spans="1:15" ht="15.75" hidden="1" customHeight="1">
      <c r="A122" s="3510"/>
      <c r="B122" s="417" t="s">
        <v>10</v>
      </c>
      <c r="C122" s="1700"/>
      <c r="D122" s="1414">
        <f>+D123</f>
        <v>0</v>
      </c>
      <c r="E122" s="1414">
        <f t="shared" ref="E122:L122" si="71">+E123</f>
        <v>0</v>
      </c>
      <c r="F122" s="1414">
        <f t="shared" si="71"/>
        <v>0</v>
      </c>
      <c r="G122" s="1414">
        <f t="shared" si="71"/>
        <v>0</v>
      </c>
      <c r="H122" s="1414">
        <f t="shared" si="71"/>
        <v>0</v>
      </c>
      <c r="I122" s="1414">
        <f t="shared" si="71"/>
        <v>0</v>
      </c>
      <c r="J122" s="1414">
        <f t="shared" si="71"/>
        <v>0</v>
      </c>
      <c r="K122" s="1414">
        <f t="shared" si="71"/>
        <v>0</v>
      </c>
      <c r="L122" s="1414">
        <f t="shared" si="71"/>
        <v>0</v>
      </c>
      <c r="M122" s="1701">
        <f>+M123</f>
        <v>0</v>
      </c>
      <c r="N122" s="1701">
        <f>+N123</f>
        <v>0</v>
      </c>
      <c r="O122" s="4158"/>
    </row>
    <row r="123" spans="1:15" s="611" customFormat="1" ht="15.75" hidden="1" customHeight="1">
      <c r="A123" s="3510"/>
      <c r="B123" s="1712" t="s">
        <v>11</v>
      </c>
      <c r="C123" s="4160" t="s">
        <v>301</v>
      </c>
      <c r="D123" s="1890">
        <f>+D125+D124</f>
        <v>0</v>
      </c>
      <c r="E123" s="1442">
        <f t="shared" ref="E123" si="72">+E125+E124</f>
        <v>0</v>
      </c>
      <c r="F123" s="1651">
        <f t="shared" ref="F123:L123" si="73">+F125+F124</f>
        <v>0</v>
      </c>
      <c r="G123" s="1651">
        <f t="shared" si="73"/>
        <v>0</v>
      </c>
      <c r="H123" s="1651">
        <f t="shared" si="73"/>
        <v>0</v>
      </c>
      <c r="I123" s="1442">
        <f t="shared" si="73"/>
        <v>0</v>
      </c>
      <c r="J123" s="1442">
        <f t="shared" si="73"/>
        <v>0</v>
      </c>
      <c r="K123" s="1442">
        <f t="shared" si="73"/>
        <v>0</v>
      </c>
      <c r="L123" s="1442">
        <f t="shared" si="73"/>
        <v>0</v>
      </c>
      <c r="M123" s="1661">
        <f>M125+M124</f>
        <v>0</v>
      </c>
      <c r="N123" s="1661">
        <f>N125+N124</f>
        <v>0</v>
      </c>
      <c r="O123" s="4158"/>
    </row>
    <row r="124" spans="1:15" s="611" customFormat="1" ht="15.75" hidden="1" customHeight="1">
      <c r="A124" s="3510"/>
      <c r="B124" s="600" t="s">
        <v>14</v>
      </c>
      <c r="C124" s="4161"/>
      <c r="D124" s="1891">
        <f>E124+F124+G124+H124+I124+J124+K124+L124</f>
        <v>0</v>
      </c>
      <c r="E124" s="1339"/>
      <c r="F124" s="1702"/>
      <c r="G124" s="1702"/>
      <c r="H124" s="1702"/>
      <c r="I124" s="1702"/>
      <c r="J124" s="1702"/>
      <c r="K124" s="1702"/>
      <c r="L124" s="1702">
        <v>0</v>
      </c>
      <c r="M124" s="1713">
        <f>SUM(F124:K124)</f>
        <v>0</v>
      </c>
      <c r="N124" s="1444">
        <f>SUM(G124:L124)</f>
        <v>0</v>
      </c>
      <c r="O124" s="4158"/>
    </row>
    <row r="125" spans="1:15" ht="13.5" hidden="1" customHeight="1">
      <c r="A125" s="3510"/>
      <c r="B125" s="588" t="s">
        <v>16</v>
      </c>
      <c r="C125" s="4162"/>
      <c r="D125" s="1889"/>
      <c r="E125" s="1703"/>
      <c r="F125" s="1714"/>
      <c r="G125" s="1714"/>
      <c r="H125" s="1714"/>
      <c r="I125" s="1443"/>
      <c r="J125" s="1443"/>
      <c r="K125" s="1443"/>
      <c r="L125" s="1443"/>
      <c r="M125" s="1690">
        <f>SUM(E125:H125)</f>
        <v>0</v>
      </c>
      <c r="N125" s="1690">
        <f>SUM(F125:I125)</f>
        <v>0</v>
      </c>
      <c r="O125" s="4158"/>
    </row>
    <row r="126" spans="1:15" ht="15" hidden="1" customHeight="1">
      <c r="A126" s="3510"/>
      <c r="B126" s="417" t="s">
        <v>21</v>
      </c>
      <c r="C126" s="1700"/>
      <c r="D126" s="1414">
        <f>+D127</f>
        <v>0</v>
      </c>
      <c r="E126" s="1414">
        <f t="shared" ref="E126:L126" si="74">+E127</f>
        <v>0</v>
      </c>
      <c r="F126" s="1414">
        <f t="shared" si="74"/>
        <v>0</v>
      </c>
      <c r="G126" s="1414">
        <f t="shared" si="74"/>
        <v>0</v>
      </c>
      <c r="H126" s="1414">
        <f t="shared" si="74"/>
        <v>0</v>
      </c>
      <c r="I126" s="1414">
        <f t="shared" si="74"/>
        <v>0</v>
      </c>
      <c r="J126" s="1414">
        <f t="shared" si="74"/>
        <v>0</v>
      </c>
      <c r="K126" s="1414">
        <f t="shared" si="74"/>
        <v>0</v>
      </c>
      <c r="L126" s="1414">
        <f t="shared" si="74"/>
        <v>0</v>
      </c>
      <c r="M126" s="4154" t="s">
        <v>53</v>
      </c>
      <c r="N126" s="4154" t="s">
        <v>53</v>
      </c>
      <c r="O126" s="4158"/>
    </row>
    <row r="127" spans="1:15" s="611" customFormat="1" ht="15" hidden="1" customHeight="1">
      <c r="A127" s="3510"/>
      <c r="B127" s="1712" t="s">
        <v>11</v>
      </c>
      <c r="C127" s="3695" t="s">
        <v>301</v>
      </c>
      <c r="D127" s="1651">
        <f>+D129+D128</f>
        <v>0</v>
      </c>
      <c r="E127" s="1442">
        <f>+E129+E128</f>
        <v>0</v>
      </c>
      <c r="F127" s="1651">
        <f t="shared" ref="F127:L127" si="75">+F129+F128</f>
        <v>0</v>
      </c>
      <c r="G127" s="1651">
        <f t="shared" si="75"/>
        <v>0</v>
      </c>
      <c r="H127" s="1651">
        <f t="shared" si="75"/>
        <v>0</v>
      </c>
      <c r="I127" s="1442">
        <f t="shared" si="75"/>
        <v>0</v>
      </c>
      <c r="J127" s="1442">
        <f t="shared" si="75"/>
        <v>0</v>
      </c>
      <c r="K127" s="1442">
        <f t="shared" si="75"/>
        <v>0</v>
      </c>
      <c r="L127" s="1442">
        <f t="shared" si="75"/>
        <v>0</v>
      </c>
      <c r="M127" s="4155"/>
      <c r="N127" s="4155"/>
      <c r="O127" s="4158"/>
    </row>
    <row r="128" spans="1:15" ht="15" hidden="1" customHeight="1" thickBot="1">
      <c r="A128" s="3511"/>
      <c r="B128" s="74" t="s">
        <v>14</v>
      </c>
      <c r="C128" s="4153"/>
      <c r="D128" s="1643">
        <f>E128+F128+G128+H128+I128+J128+K128+L128</f>
        <v>0</v>
      </c>
      <c r="E128" s="1704"/>
      <c r="F128" s="1705"/>
      <c r="G128" s="1705"/>
      <c r="H128" s="1705"/>
      <c r="I128" s="1705"/>
      <c r="J128" s="1705"/>
      <c r="K128" s="1705"/>
      <c r="L128" s="1706">
        <v>0</v>
      </c>
      <c r="M128" s="4156"/>
      <c r="N128" s="4156"/>
      <c r="O128" s="4159"/>
    </row>
    <row r="129" spans="1:15" ht="13.5" hidden="1" customHeight="1" thickBot="1">
      <c r="A129" s="1083"/>
      <c r="B129" s="1084" t="s">
        <v>16</v>
      </c>
      <c r="C129" s="2886"/>
      <c r="D129" s="1076"/>
      <c r="E129" s="1085"/>
      <c r="F129" s="1086"/>
      <c r="G129" s="1087"/>
      <c r="H129" s="1087"/>
      <c r="I129" s="1087"/>
      <c r="J129" s="1087"/>
      <c r="K129" s="1087"/>
      <c r="L129" s="1087"/>
      <c r="M129" s="1088"/>
      <c r="N129" s="1088"/>
      <c r="O129" s="1089"/>
    </row>
    <row r="130" spans="1:15" s="597" customFormat="1" ht="29.25" hidden="1" customHeight="1">
      <c r="A130" s="4163" t="s">
        <v>56</v>
      </c>
      <c r="B130" s="592" t="s">
        <v>302</v>
      </c>
      <c r="C130" s="605" t="s">
        <v>100</v>
      </c>
      <c r="D130" s="605"/>
      <c r="E130" s="83"/>
      <c r="F130" s="606"/>
      <c r="G130" s="606"/>
      <c r="H130" s="606"/>
      <c r="I130" s="606"/>
      <c r="J130" s="606"/>
      <c r="K130" s="606"/>
      <c r="L130" s="606"/>
      <c r="M130" s="593"/>
      <c r="N130" s="593"/>
      <c r="O130" s="4164" t="s">
        <v>155</v>
      </c>
    </row>
    <row r="131" spans="1:15" s="597" customFormat="1" ht="16.5" hidden="1" customHeight="1">
      <c r="A131" s="4163"/>
      <c r="B131" s="539" t="s">
        <v>10</v>
      </c>
      <c r="C131" s="1700"/>
      <c r="D131" s="1357"/>
      <c r="E131" s="1656"/>
      <c r="F131" s="1656"/>
      <c r="G131" s="1656"/>
      <c r="H131" s="1357"/>
      <c r="I131" s="1357"/>
      <c r="J131" s="1357"/>
      <c r="K131" s="1357"/>
      <c r="L131" s="1418"/>
      <c r="M131" s="1701">
        <f>M132</f>
        <v>0</v>
      </c>
      <c r="N131" s="1701">
        <f>N132</f>
        <v>0</v>
      </c>
      <c r="O131" s="4164"/>
    </row>
    <row r="132" spans="1:15" s="597" customFormat="1" ht="13.5" hidden="1" customHeight="1">
      <c r="A132" s="4163"/>
      <c r="B132" s="586" t="s">
        <v>11</v>
      </c>
      <c r="C132" s="4165" t="s">
        <v>160</v>
      </c>
      <c r="D132" s="1442"/>
      <c r="E132" s="2076"/>
      <c r="F132" s="2076"/>
      <c r="G132" s="2076"/>
      <c r="H132" s="1442"/>
      <c r="I132" s="1442"/>
      <c r="J132" s="1442"/>
      <c r="K132" s="1442"/>
      <c r="L132" s="1442"/>
      <c r="M132" s="1661">
        <f>M133</f>
        <v>0</v>
      </c>
      <c r="N132" s="1661">
        <f>N133</f>
        <v>0</v>
      </c>
      <c r="O132" s="4164"/>
    </row>
    <row r="133" spans="1:15" s="597" customFormat="1" ht="13.5" hidden="1" customHeight="1" thickBot="1">
      <c r="A133" s="4168"/>
      <c r="B133" s="79" t="s">
        <v>12</v>
      </c>
      <c r="C133" s="3547"/>
      <c r="D133" s="2077"/>
      <c r="E133" s="2078"/>
      <c r="F133" s="1090"/>
      <c r="G133" s="1090"/>
      <c r="H133" s="1091"/>
      <c r="I133" s="1091"/>
      <c r="J133" s="1091"/>
      <c r="K133" s="1091"/>
      <c r="L133" s="1091"/>
      <c r="M133" s="2079">
        <f>SUM(E133:K133)</f>
        <v>0</v>
      </c>
      <c r="N133" s="2079">
        <f>SUM(F133:L133)</f>
        <v>0</v>
      </c>
      <c r="O133" s="4169"/>
    </row>
    <row r="134" spans="1:15" ht="19.5" hidden="1" customHeight="1">
      <c r="A134" s="4163"/>
      <c r="B134" s="592"/>
      <c r="C134" s="605" t="s">
        <v>73</v>
      </c>
      <c r="D134" s="825"/>
      <c r="E134" s="83"/>
      <c r="F134" s="83"/>
      <c r="G134" s="606"/>
      <c r="H134" s="606"/>
      <c r="I134" s="606"/>
      <c r="J134" s="606"/>
      <c r="K134" s="606"/>
      <c r="L134" s="606"/>
      <c r="M134" s="593"/>
      <c r="N134" s="593"/>
      <c r="O134" s="4164"/>
    </row>
    <row r="135" spans="1:15" ht="12.75" hidden="1" customHeight="1">
      <c r="A135" s="4163"/>
      <c r="B135" s="539" t="s">
        <v>10</v>
      </c>
      <c r="C135" s="1700"/>
      <c r="D135" s="1680"/>
      <c r="E135" s="1682"/>
      <c r="F135" s="1418"/>
      <c r="G135" s="1357"/>
      <c r="H135" s="1357"/>
      <c r="I135" s="1357"/>
      <c r="J135" s="1357"/>
      <c r="K135" s="1357"/>
      <c r="L135" s="1418"/>
      <c r="M135" s="1701"/>
      <c r="N135" s="1701"/>
      <c r="O135" s="4164"/>
    </row>
    <row r="136" spans="1:15" ht="13.5" hidden="1" customHeight="1">
      <c r="A136" s="4163"/>
      <c r="B136" s="586" t="s">
        <v>11</v>
      </c>
      <c r="C136" s="4165" t="s">
        <v>156</v>
      </c>
      <c r="D136" s="1442"/>
      <c r="E136" s="1442"/>
      <c r="F136" s="1442"/>
      <c r="G136" s="1442"/>
      <c r="H136" s="1442"/>
      <c r="I136" s="1442"/>
      <c r="J136" s="1442"/>
      <c r="K136" s="1442"/>
      <c r="L136" s="1442"/>
      <c r="M136" s="1661"/>
      <c r="N136" s="1661"/>
      <c r="O136" s="4164"/>
    </row>
    <row r="137" spans="1:15" ht="13.5" hidden="1" customHeight="1">
      <c r="A137" s="4163"/>
      <c r="B137" s="588" t="s">
        <v>16</v>
      </c>
      <c r="C137" s="4166"/>
      <c r="D137" s="2080"/>
      <c r="E137" s="1443"/>
      <c r="F137" s="1443"/>
      <c r="G137" s="1443"/>
      <c r="H137" s="1443"/>
      <c r="I137" s="1443"/>
      <c r="J137" s="1443"/>
      <c r="K137" s="1443"/>
      <c r="L137" s="1443"/>
      <c r="M137" s="1690"/>
      <c r="N137" s="1690"/>
      <c r="O137" s="4164"/>
    </row>
    <row r="138" spans="1:15" ht="13.5" hidden="1" customHeight="1">
      <c r="A138" s="4163"/>
      <c r="B138" s="539" t="s">
        <v>21</v>
      </c>
      <c r="C138" s="1700"/>
      <c r="D138" s="1414"/>
      <c r="E138" s="1414"/>
      <c r="F138" s="1357"/>
      <c r="G138" s="1357"/>
      <c r="H138" s="1357"/>
      <c r="I138" s="1357"/>
      <c r="J138" s="1357"/>
      <c r="K138" s="1357"/>
      <c r="L138" s="1418"/>
      <c r="M138" s="2081"/>
      <c r="N138" s="2081"/>
      <c r="O138" s="4164"/>
    </row>
    <row r="139" spans="1:15" ht="15.75" hidden="1" customHeight="1">
      <c r="A139" s="4163"/>
      <c r="B139" s="586" t="s">
        <v>11</v>
      </c>
      <c r="C139" s="4165" t="s">
        <v>156</v>
      </c>
      <c r="D139" s="1442">
        <f>+D140</f>
        <v>0</v>
      </c>
      <c r="E139" s="1442">
        <f t="shared" ref="E139" si="76">+E140</f>
        <v>0</v>
      </c>
      <c r="F139" s="1442"/>
      <c r="G139" s="1442"/>
      <c r="H139" s="1442"/>
      <c r="I139" s="1442"/>
      <c r="J139" s="1442"/>
      <c r="K139" s="1442"/>
      <c r="L139" s="1442"/>
      <c r="M139" s="2081"/>
      <c r="N139" s="2081"/>
      <c r="O139" s="4164"/>
    </row>
    <row r="140" spans="1:15" ht="10.5" hidden="1" customHeight="1">
      <c r="A140" s="4163"/>
      <c r="B140" s="588" t="s">
        <v>16</v>
      </c>
      <c r="C140" s="4167"/>
      <c r="D140" s="2080"/>
      <c r="E140" s="1443"/>
      <c r="F140" s="2082"/>
      <c r="G140" s="2082"/>
      <c r="H140" s="2082"/>
      <c r="I140" s="2082"/>
      <c r="J140" s="2082"/>
      <c r="K140" s="2082"/>
      <c r="L140" s="2082"/>
      <c r="M140" s="2081"/>
      <c r="N140" s="2081"/>
      <c r="O140" s="4164"/>
    </row>
    <row r="141" spans="1:15" hidden="1"/>
    <row r="142" spans="1:15" hidden="1"/>
    <row r="143" spans="1:15" ht="16.5" hidden="1" customHeight="1">
      <c r="B143" s="2083" t="s">
        <v>338</v>
      </c>
      <c r="C143" s="2887"/>
      <c r="D143" s="2887"/>
      <c r="E143" s="2887"/>
      <c r="F143" s="2887"/>
      <c r="G143" s="2887"/>
      <c r="H143" s="2887"/>
      <c r="I143" s="2887"/>
      <c r="J143" s="2887"/>
      <c r="K143" s="2887"/>
      <c r="L143" s="2887"/>
    </row>
    <row r="144" spans="1:15" ht="16.5" hidden="1" customHeight="1">
      <c r="B144" s="2888" t="s">
        <v>339</v>
      </c>
      <c r="C144" s="2887"/>
      <c r="D144" s="2889">
        <f t="shared" ref="D144:L144" si="77">D50+D83+D63+D92+D101</f>
        <v>41897230</v>
      </c>
      <c r="E144" s="2889">
        <f t="shared" si="77"/>
        <v>7444603</v>
      </c>
      <c r="F144" s="2889">
        <f t="shared" si="77"/>
        <v>4882915</v>
      </c>
      <c r="G144" s="2889">
        <f t="shared" si="77"/>
        <v>6519018</v>
      </c>
      <c r="H144" s="2889">
        <f t="shared" si="77"/>
        <v>8051796</v>
      </c>
      <c r="I144" s="2889">
        <f t="shared" si="77"/>
        <v>8088657</v>
      </c>
      <c r="J144" s="2889">
        <f t="shared" si="77"/>
        <v>2558441</v>
      </c>
      <c r="K144" s="2889">
        <f t="shared" si="77"/>
        <v>2460734</v>
      </c>
      <c r="L144" s="2889">
        <f t="shared" si="77"/>
        <v>1891066</v>
      </c>
    </row>
    <row r="145" spans="1:15" ht="15.75" hidden="1" customHeight="1">
      <c r="B145" s="2888" t="s">
        <v>340</v>
      </c>
      <c r="C145" s="2887"/>
      <c r="D145" s="2889">
        <f>D74</f>
        <v>841516</v>
      </c>
      <c r="E145" s="2889">
        <f t="shared" ref="E145:M145" si="78">E74</f>
        <v>0</v>
      </c>
      <c r="F145" s="2889">
        <f t="shared" si="78"/>
        <v>0</v>
      </c>
      <c r="G145" s="2889">
        <f t="shared" si="78"/>
        <v>209635</v>
      </c>
      <c r="H145" s="2889">
        <f t="shared" si="78"/>
        <v>480241</v>
      </c>
      <c r="I145" s="2889">
        <f t="shared" si="78"/>
        <v>151640</v>
      </c>
      <c r="J145" s="2889">
        <f t="shared" si="78"/>
        <v>0</v>
      </c>
      <c r="K145" s="2889">
        <f t="shared" si="78"/>
        <v>0</v>
      </c>
      <c r="L145" s="2889">
        <f t="shared" si="78"/>
        <v>0</v>
      </c>
      <c r="M145" s="2889">
        <f t="shared" si="78"/>
        <v>0</v>
      </c>
    </row>
    <row r="146" spans="1:15" ht="14.25" hidden="1" customHeight="1">
      <c r="B146" s="2888" t="s">
        <v>341</v>
      </c>
      <c r="C146" s="2887"/>
      <c r="D146" s="1873">
        <f>D144+D145</f>
        <v>42738746</v>
      </c>
      <c r="E146" s="1873">
        <f>E144+E145</f>
        <v>7444603</v>
      </c>
      <c r="F146" s="1873">
        <f t="shared" ref="F146:L146" si="79">F144+F145</f>
        <v>4882915</v>
      </c>
      <c r="G146" s="1873">
        <f t="shared" si="79"/>
        <v>6728653</v>
      </c>
      <c r="H146" s="1873">
        <f t="shared" si="79"/>
        <v>8532037</v>
      </c>
      <c r="I146" s="1873">
        <f t="shared" si="79"/>
        <v>8240297</v>
      </c>
      <c r="J146" s="1873">
        <f t="shared" si="79"/>
        <v>2558441</v>
      </c>
      <c r="K146" s="1873">
        <f t="shared" si="79"/>
        <v>2460734</v>
      </c>
      <c r="L146" s="1873">
        <f t="shared" si="79"/>
        <v>1891066</v>
      </c>
    </row>
    <row r="147" spans="1:15" s="611" customFormat="1" ht="16.5" hidden="1" customHeight="1">
      <c r="A147" s="2120"/>
      <c r="B147" s="2084" t="s">
        <v>41</v>
      </c>
      <c r="C147" s="2121"/>
      <c r="D147" s="2122">
        <f t="shared" ref="D147:L147" si="80">D146-D21</f>
        <v>0</v>
      </c>
      <c r="E147" s="2122">
        <f t="shared" si="80"/>
        <v>0</v>
      </c>
      <c r="F147" s="2122">
        <f t="shared" si="80"/>
        <v>0</v>
      </c>
      <c r="G147" s="2122">
        <f t="shared" si="80"/>
        <v>0</v>
      </c>
      <c r="H147" s="2122">
        <f t="shared" si="80"/>
        <v>0</v>
      </c>
      <c r="I147" s="2122">
        <f t="shared" si="80"/>
        <v>0</v>
      </c>
      <c r="J147" s="2122">
        <f t="shared" si="80"/>
        <v>0</v>
      </c>
      <c r="K147" s="2122">
        <f t="shared" si="80"/>
        <v>0</v>
      </c>
      <c r="L147" s="2122">
        <f t="shared" si="80"/>
        <v>0</v>
      </c>
      <c r="O147" s="2123"/>
    </row>
    <row r="148" spans="1:15" hidden="1"/>
    <row r="149" spans="1:15" hidden="1"/>
    <row r="150" spans="1:15" hidden="1"/>
    <row r="151" spans="1:15" hidden="1"/>
    <row r="152" spans="1:15" hidden="1"/>
    <row r="153" spans="1:15" ht="12.75" hidden="1" thickBot="1">
      <c r="A153" s="2085"/>
      <c r="B153" s="478"/>
      <c r="C153" s="478"/>
      <c r="D153" s="478"/>
      <c r="E153" s="478"/>
      <c r="F153" s="478"/>
      <c r="G153" s="478"/>
      <c r="H153" s="478"/>
      <c r="I153" s="478"/>
      <c r="J153" s="478"/>
      <c r="K153" s="478"/>
      <c r="L153" s="478"/>
      <c r="M153" s="478"/>
      <c r="N153" s="478"/>
      <c r="O153" s="2086"/>
    </row>
    <row r="154" spans="1:15" hidden="1"/>
    <row r="155" spans="1:15" hidden="1"/>
    <row r="156" spans="1:15" hidden="1"/>
    <row r="157" spans="1:15" hidden="1"/>
    <row r="158" spans="1:15" hidden="1"/>
    <row r="159" spans="1:15" hidden="1"/>
    <row r="160" spans="1:15" hidden="1"/>
    <row r="161" spans="1:1" hidden="1"/>
    <row r="162" spans="1:1" hidden="1"/>
    <row r="163" spans="1:1" hidden="1"/>
    <row r="164" spans="1:1" hidden="1"/>
    <row r="165" spans="1:1" hidden="1"/>
    <row r="166" spans="1:1" hidden="1"/>
    <row r="167" spans="1:1" hidden="1"/>
    <row r="168" spans="1:1" hidden="1"/>
    <row r="169" spans="1:1" hidden="1"/>
    <row r="170" spans="1:1" hidden="1"/>
    <row r="171" spans="1:1" hidden="1"/>
    <row r="172" spans="1:1" hidden="1"/>
    <row r="173" spans="1:1" hidden="1"/>
    <row r="174" spans="1:1" hidden="1"/>
    <row r="175" spans="1:1" ht="12.75" hidden="1" thickBot="1">
      <c r="A175" s="2085"/>
    </row>
    <row r="176" spans="1:1" ht="12.75" hidden="1" thickBot="1">
      <c r="A176" s="2460"/>
    </row>
    <row r="177" spans="1:2" ht="12.75" hidden="1" thickBot="1">
      <c r="A177" s="2460"/>
    </row>
    <row r="178" spans="1:2" ht="12.75" hidden="1" thickBot="1">
      <c r="A178" s="2460"/>
    </row>
    <row r="179" spans="1:2" ht="12.75" hidden="1" thickBot="1">
      <c r="A179" s="2460"/>
    </row>
    <row r="180" spans="1:2" ht="12.75" hidden="1" thickBot="1">
      <c r="A180" s="2460"/>
    </row>
    <row r="181" spans="1:2" ht="12.75" hidden="1" thickBot="1">
      <c r="A181" s="2460"/>
    </row>
    <row r="182" spans="1:2" ht="12.75" hidden="1" thickBot="1">
      <c r="A182" s="2460"/>
    </row>
    <row r="183" spans="1:2" ht="12.75" hidden="1" thickBot="1">
      <c r="A183" s="2460"/>
    </row>
    <row r="184" spans="1:2" ht="12.75" hidden="1" thickBot="1">
      <c r="A184" s="2460"/>
    </row>
    <row r="185" spans="1:2" ht="12.75" hidden="1" thickBot="1">
      <c r="A185" s="2460"/>
    </row>
    <row r="186" spans="1:2" ht="12.75" hidden="1" thickBot="1">
      <c r="A186" s="2460"/>
      <c r="B186" s="478"/>
    </row>
    <row r="187" spans="1:2" ht="12.75" hidden="1" thickBot="1">
      <c r="A187" s="2460"/>
      <c r="B187" s="472"/>
    </row>
    <row r="188" spans="1:2" ht="12.75" hidden="1" thickBot="1">
      <c r="A188" s="2460"/>
    </row>
    <row r="189" spans="1:2" ht="12.75" hidden="1" thickBot="1">
      <c r="A189" s="2460"/>
    </row>
    <row r="190" spans="1:2" ht="12.75" hidden="1" thickBot="1">
      <c r="A190" s="2460"/>
    </row>
    <row r="191" spans="1:2" ht="12.75" hidden="1" thickBot="1">
      <c r="A191" s="2460"/>
    </row>
    <row r="192" spans="1:2" ht="12.75" hidden="1" thickBot="1">
      <c r="A192" s="2460"/>
    </row>
    <row r="193" spans="1:15" ht="12.75" hidden="1" thickBot="1">
      <c r="A193" s="2460"/>
    </row>
    <row r="194" spans="1:15" ht="12.75" hidden="1" thickBot="1">
      <c r="A194" s="2460"/>
    </row>
    <row r="195" spans="1:15" ht="12.75" hidden="1" thickBot="1">
      <c r="A195" s="2460"/>
    </row>
    <row r="196" spans="1:15" ht="12.75" hidden="1" thickBot="1">
      <c r="A196" s="2460"/>
    </row>
    <row r="197" spans="1:15" ht="12.75" hidden="1" thickBot="1">
      <c r="A197" s="2460"/>
    </row>
    <row r="198" spans="1:15" ht="12.75" hidden="1" thickBot="1">
      <c r="A198" s="2460"/>
    </row>
    <row r="199" spans="1:15" ht="12.75" hidden="1" thickBot="1">
      <c r="A199" s="2460"/>
    </row>
    <row r="200" spans="1:15" ht="12.75" hidden="1" thickBot="1">
      <c r="A200" s="2460"/>
      <c r="N200" s="478"/>
      <c r="O200" s="2086"/>
    </row>
    <row r="201" spans="1:15" ht="12.75" hidden="1" thickBot="1">
      <c r="A201" s="2460"/>
      <c r="C201" s="478"/>
      <c r="N201" s="2448"/>
      <c r="O201" s="2432"/>
    </row>
    <row r="202" spans="1:15" ht="12.75" hidden="1" thickBot="1">
      <c r="A202" s="2460"/>
      <c r="C202" s="2448"/>
      <c r="N202" s="2448"/>
      <c r="O202" s="2432"/>
    </row>
    <row r="203" spans="1:15" ht="12.75" hidden="1" thickBot="1">
      <c r="A203" s="2460"/>
      <c r="C203" s="2448"/>
      <c r="N203" s="2448"/>
      <c r="O203" s="2432"/>
    </row>
    <row r="204" spans="1:15" ht="12.75" hidden="1" thickBot="1">
      <c r="A204" s="2461"/>
      <c r="C204" s="2448"/>
      <c r="D204" s="478"/>
      <c r="E204" s="478"/>
      <c r="F204" s="478"/>
      <c r="G204" s="478"/>
      <c r="H204" s="478"/>
      <c r="I204" s="478"/>
      <c r="J204" s="478"/>
      <c r="K204" s="478"/>
      <c r="L204" s="478"/>
      <c r="N204" s="2448"/>
      <c r="O204" s="2432"/>
    </row>
    <row r="205" spans="1:15" ht="12.75" hidden="1" thickBot="1">
      <c r="C205" s="472"/>
      <c r="D205" s="472"/>
      <c r="E205" s="472"/>
      <c r="F205" s="472"/>
      <c r="G205" s="472"/>
      <c r="H205" s="472"/>
      <c r="I205" s="472"/>
      <c r="J205" s="472"/>
      <c r="K205" s="472"/>
      <c r="L205" s="472"/>
      <c r="N205" s="472"/>
      <c r="O205" s="2432"/>
    </row>
    <row r="206" spans="1:15" ht="12.75" hidden="1" thickBot="1">
      <c r="O206" s="2432"/>
    </row>
    <row r="207" spans="1:15" ht="12.75" hidden="1" thickBot="1">
      <c r="O207" s="2432"/>
    </row>
    <row r="208" spans="1:15" ht="12.75" hidden="1" thickBot="1">
      <c r="O208" s="2432"/>
    </row>
    <row r="209" spans="15:15" ht="12.75" hidden="1" thickBot="1">
      <c r="O209" s="2432"/>
    </row>
    <row r="210" spans="15:15" ht="12.75" hidden="1" thickBot="1">
      <c r="O210" s="2432"/>
    </row>
    <row r="211" spans="15:15" ht="12.75" hidden="1" thickBot="1">
      <c r="O211" s="2432"/>
    </row>
    <row r="212" spans="15:15" ht="12.75" hidden="1" thickBot="1">
      <c r="O212" s="2432"/>
    </row>
    <row r="213" spans="15:15" ht="12.75" hidden="1" thickBot="1">
      <c r="O213" s="2432"/>
    </row>
    <row r="214" spans="15:15" hidden="1">
      <c r="O214" s="2433"/>
    </row>
    <row r="215" spans="15:15" hidden="1"/>
    <row r="216" spans="15:15" hidden="1"/>
    <row r="217" spans="15:15" hidden="1"/>
    <row r="218" spans="15:15" hidden="1"/>
    <row r="219" spans="15:15" hidden="1"/>
    <row r="220" spans="15:15" hidden="1"/>
    <row r="221" spans="15:15" hidden="1"/>
    <row r="222" spans="15:15" hidden="1"/>
    <row r="223" spans="15:15" hidden="1"/>
    <row r="224" spans="15:15" hidden="1"/>
    <row r="225" hidden="1"/>
    <row r="226" hidden="1"/>
    <row r="227" hidden="1"/>
    <row r="228" hidden="1"/>
    <row r="229" hidden="1"/>
    <row r="230" hidden="1"/>
    <row r="231" hidden="1"/>
    <row r="232" hidden="1"/>
    <row r="233" hidden="1"/>
    <row r="234" hidden="1"/>
    <row r="235" hidden="1"/>
    <row r="236" hidden="1"/>
    <row r="237" hidden="1"/>
    <row r="238" hidden="1"/>
    <row r="239" hidden="1"/>
    <row r="240" hidden="1"/>
    <row r="241" spans="15:15" hidden="1"/>
    <row r="242" spans="15:15" hidden="1"/>
    <row r="243" spans="15:15" hidden="1"/>
    <row r="244" spans="15:15" hidden="1"/>
    <row r="245" spans="15:15" hidden="1"/>
    <row r="246" spans="15:15" hidden="1"/>
    <row r="247" spans="15:15" hidden="1"/>
    <row r="248" spans="15:15" ht="12.75" hidden="1" thickBot="1">
      <c r="O248" s="2086"/>
    </row>
    <row r="249" spans="15:15" ht="12.75" hidden="1" thickBot="1">
      <c r="O249" s="2432"/>
    </row>
    <row r="250" spans="15:15" ht="12.75" hidden="1" thickBot="1">
      <c r="O250" s="2432"/>
    </row>
    <row r="251" spans="15:15" ht="12.75" hidden="1" thickBot="1">
      <c r="O251" s="2432"/>
    </row>
    <row r="252" spans="15:15" ht="12.75" hidden="1" thickBot="1">
      <c r="O252" s="2432"/>
    </row>
    <row r="253" spans="15:15" ht="12.75" hidden="1" thickBot="1">
      <c r="O253" s="2432"/>
    </row>
    <row r="254" spans="15:15" ht="12.75" hidden="1" thickBot="1">
      <c r="O254" s="2432"/>
    </row>
    <row r="255" spans="15:15" ht="12.75" hidden="1" thickBot="1">
      <c r="O255" s="2432"/>
    </row>
    <row r="256" spans="15:15" ht="12.75" hidden="1" thickBot="1">
      <c r="O256" s="2432"/>
    </row>
    <row r="257" spans="15:15" ht="12.75" hidden="1" thickBot="1">
      <c r="O257" s="2432"/>
    </row>
    <row r="258" spans="15:15" ht="12.75" hidden="1" thickBot="1">
      <c r="O258" s="2432"/>
    </row>
    <row r="259" spans="15:15" ht="12.75" hidden="1" thickBot="1">
      <c r="O259" s="2432"/>
    </row>
    <row r="260" spans="15:15" ht="12.75" hidden="1" thickBot="1">
      <c r="O260" s="2432"/>
    </row>
    <row r="261" spans="15:15" ht="12.75" hidden="1" thickBot="1">
      <c r="O261" s="2432"/>
    </row>
    <row r="262" spans="15:15" hidden="1">
      <c r="O262" s="2433"/>
    </row>
    <row r="263" spans="15:15" hidden="1"/>
    <row r="264" spans="15:15" hidden="1"/>
    <row r="265" spans="15:15" hidden="1"/>
    <row r="266" spans="15:15" hidden="1"/>
    <row r="267" spans="15:15" hidden="1"/>
    <row r="268" spans="15:15" hidden="1"/>
    <row r="269" spans="15:15" hidden="1"/>
    <row r="270" spans="15:15" hidden="1"/>
    <row r="271" spans="15:15" hidden="1"/>
    <row r="272" spans="15:15" hidden="1"/>
    <row r="273" hidden="1"/>
    <row r="274" hidden="1"/>
    <row r="275" hidden="1"/>
    <row r="276" hidden="1"/>
    <row r="277" hidden="1"/>
    <row r="278" hidden="1"/>
    <row r="279" hidden="1"/>
    <row r="280" hidden="1"/>
    <row r="281" hidden="1"/>
    <row r="282" hidden="1"/>
    <row r="283" hidden="1"/>
    <row r="401" spans="1:15" ht="12.75" thickBot="1">
      <c r="A401" s="2085"/>
    </row>
    <row r="402" spans="1:15" ht="12.75" thickBot="1">
      <c r="A402" s="2460"/>
    </row>
    <row r="403" spans="1:15" ht="12.75" thickBot="1">
      <c r="A403" s="2460"/>
    </row>
    <row r="404" spans="1:15" ht="12.75" thickBot="1">
      <c r="A404" s="2460"/>
    </row>
    <row r="405" spans="1:15" ht="12.75" thickBot="1">
      <c r="A405" s="2460"/>
    </row>
    <row r="406" spans="1:15" ht="12.75" thickBot="1">
      <c r="A406" s="2460"/>
    </row>
    <row r="407" spans="1:15" ht="12.75" thickBot="1">
      <c r="A407" s="2460"/>
      <c r="N407" s="478"/>
      <c r="O407" s="2086"/>
    </row>
    <row r="408" spans="1:15" ht="12.75" thickBot="1">
      <c r="A408" s="2460"/>
      <c r="C408" s="478"/>
      <c r="N408" s="2448"/>
      <c r="O408" s="2432"/>
    </row>
    <row r="409" spans="1:15" ht="12.75" thickBot="1">
      <c r="A409" s="2460"/>
      <c r="C409" s="2448"/>
      <c r="D409" s="478"/>
      <c r="E409" s="478"/>
      <c r="F409" s="478"/>
      <c r="G409" s="478"/>
      <c r="H409" s="478"/>
      <c r="I409" s="478"/>
      <c r="J409" s="478"/>
      <c r="K409" s="478"/>
      <c r="L409" s="478"/>
      <c r="N409" s="2448"/>
      <c r="O409" s="2432"/>
    </row>
    <row r="410" spans="1:15" ht="12.75" thickBot="1">
      <c r="A410" s="2460"/>
      <c r="C410" s="472"/>
      <c r="D410" s="472"/>
      <c r="E410" s="472"/>
      <c r="F410" s="472"/>
      <c r="G410" s="472"/>
      <c r="H410" s="472"/>
      <c r="I410" s="472"/>
      <c r="J410" s="472"/>
      <c r="K410" s="472"/>
      <c r="L410" s="472"/>
      <c r="N410" s="472"/>
      <c r="O410" s="2432"/>
    </row>
    <row r="411" spans="1:15" ht="12.75" thickBot="1">
      <c r="A411" s="2460"/>
      <c r="O411" s="2432"/>
    </row>
    <row r="412" spans="1:15" ht="12.75" thickBot="1">
      <c r="A412" s="2460"/>
      <c r="O412" s="2432"/>
    </row>
    <row r="413" spans="1:15" ht="12.75" thickBot="1">
      <c r="A413" s="2460"/>
      <c r="O413" s="2432"/>
    </row>
    <row r="414" spans="1:15" ht="12.75" thickBot="1">
      <c r="A414" s="2460"/>
      <c r="O414" s="2432"/>
    </row>
    <row r="415" spans="1:15" ht="12.75" thickBot="1">
      <c r="A415" s="2460"/>
      <c r="O415" s="2433"/>
    </row>
    <row r="416" spans="1:15" ht="12.75" thickBot="1">
      <c r="A416" s="2460"/>
    </row>
    <row r="417" spans="1:1" ht="12.75" thickBot="1">
      <c r="A417" s="2460"/>
    </row>
    <row r="418" spans="1:1">
      <c r="A418" s="2461"/>
    </row>
    <row r="516" spans="1:15" ht="12.75" thickBot="1">
      <c r="O516" s="2086"/>
    </row>
    <row r="517" spans="1:15" ht="12.75" thickBot="1">
      <c r="O517" s="2432"/>
    </row>
    <row r="518" spans="1:15" ht="12.75" thickBot="1">
      <c r="O518" s="2432"/>
    </row>
    <row r="519" spans="1:15" ht="12.75" thickBot="1">
      <c r="O519" s="2432"/>
    </row>
    <row r="520" spans="1:15" ht="12.75" thickBot="1">
      <c r="N520" s="478"/>
      <c r="O520" s="2432"/>
    </row>
    <row r="521" spans="1:15" ht="12.75" thickBot="1">
      <c r="N521" s="2448"/>
      <c r="O521" s="2432"/>
    </row>
    <row r="522" spans="1:15" ht="12.75" thickBot="1">
      <c r="N522" s="2448"/>
      <c r="O522" s="2432"/>
    </row>
    <row r="523" spans="1:15" ht="12.75" thickBot="1">
      <c r="N523" s="2448"/>
      <c r="O523" s="2432"/>
    </row>
    <row r="524" spans="1:15" ht="12.75" thickBot="1">
      <c r="N524" s="2448"/>
      <c r="O524" s="2432"/>
    </row>
    <row r="525" spans="1:15" ht="12.75" thickBot="1">
      <c r="A525" s="2085"/>
      <c r="B525" s="478"/>
      <c r="C525" s="478"/>
      <c r="D525" s="478"/>
      <c r="E525" s="478"/>
      <c r="F525" s="478"/>
      <c r="G525" s="478"/>
      <c r="H525" s="478"/>
      <c r="I525" s="478"/>
      <c r="J525" s="478"/>
      <c r="K525" s="478"/>
      <c r="L525" s="478"/>
      <c r="N525" s="2448"/>
      <c r="O525" s="2432"/>
    </row>
    <row r="526" spans="1:15" ht="12.75" thickBot="1">
      <c r="A526" s="2460"/>
      <c r="B526" s="472"/>
      <c r="C526" s="472"/>
      <c r="D526" s="472"/>
      <c r="E526" s="472"/>
      <c r="F526" s="472"/>
      <c r="G526" s="472"/>
      <c r="H526" s="472"/>
      <c r="I526" s="472"/>
      <c r="J526" s="472"/>
      <c r="K526" s="472"/>
      <c r="L526" s="472"/>
      <c r="N526" s="472"/>
      <c r="O526" s="2432"/>
    </row>
    <row r="527" spans="1:15" ht="12.75" thickBot="1">
      <c r="A527" s="2460"/>
      <c r="O527" s="2432"/>
    </row>
    <row r="528" spans="1:15" ht="12.75" thickBot="1">
      <c r="A528" s="2460"/>
      <c r="O528" s="2432"/>
    </row>
    <row r="529" spans="1:15" ht="12.75" thickBot="1">
      <c r="A529" s="2460"/>
      <c r="O529" s="2432"/>
    </row>
    <row r="530" spans="1:15" ht="12.75" thickBot="1">
      <c r="A530" s="2460"/>
      <c r="O530" s="2432"/>
    </row>
    <row r="531" spans="1:15" ht="12.75" thickBot="1">
      <c r="A531" s="2460"/>
      <c r="O531" s="2432"/>
    </row>
    <row r="532" spans="1:15" ht="12.75" thickBot="1">
      <c r="A532" s="2460"/>
      <c r="O532" s="2432"/>
    </row>
    <row r="533" spans="1:15">
      <c r="A533" s="2461"/>
      <c r="O533" s="2433"/>
    </row>
  </sheetData>
  <mergeCells count="73">
    <mergeCell ref="O77:O82"/>
    <mergeCell ref="C79:C82"/>
    <mergeCell ref="M83:M85"/>
    <mergeCell ref="N83:N85"/>
    <mergeCell ref="O83:O85"/>
    <mergeCell ref="C84:C85"/>
    <mergeCell ref="O68:O73"/>
    <mergeCell ref="C70:C73"/>
    <mergeCell ref="M74:M76"/>
    <mergeCell ref="N74:N76"/>
    <mergeCell ref="O74:O76"/>
    <mergeCell ref="C75:C76"/>
    <mergeCell ref="O32:O42"/>
    <mergeCell ref="C34:C37"/>
    <mergeCell ref="C39:C42"/>
    <mergeCell ref="N38:N42"/>
    <mergeCell ref="F1:G1"/>
    <mergeCell ref="A4:O4"/>
    <mergeCell ref="B5:B6"/>
    <mergeCell ref="C5:C6"/>
    <mergeCell ref="D5:D6"/>
    <mergeCell ref="O5:O6"/>
    <mergeCell ref="N5:N6"/>
    <mergeCell ref="N21:N31"/>
    <mergeCell ref="F5:F6"/>
    <mergeCell ref="G5:L5"/>
    <mergeCell ref="M5:M6"/>
    <mergeCell ref="M21:M31"/>
    <mergeCell ref="O43:O55"/>
    <mergeCell ref="C45:C49"/>
    <mergeCell ref="C51:C55"/>
    <mergeCell ref="N50:N55"/>
    <mergeCell ref="M50:M55"/>
    <mergeCell ref="O121:O128"/>
    <mergeCell ref="C123:C125"/>
    <mergeCell ref="M115:M120"/>
    <mergeCell ref="M126:M128"/>
    <mergeCell ref="A134:A140"/>
    <mergeCell ref="O134:O140"/>
    <mergeCell ref="C136:C137"/>
    <mergeCell ref="C139:C140"/>
    <mergeCell ref="A130:A133"/>
    <mergeCell ref="O130:O133"/>
    <mergeCell ref="C132:C133"/>
    <mergeCell ref="M38:M42"/>
    <mergeCell ref="N115:N120"/>
    <mergeCell ref="A121:A128"/>
    <mergeCell ref="C127:C128"/>
    <mergeCell ref="N126:N128"/>
    <mergeCell ref="A43:A55"/>
    <mergeCell ref="A32:A42"/>
    <mergeCell ref="A68:A76"/>
    <mergeCell ref="A77:A85"/>
    <mergeCell ref="A57:A67"/>
    <mergeCell ref="A86:A94"/>
    <mergeCell ref="C88:C91"/>
    <mergeCell ref="C93:C94"/>
    <mergeCell ref="O57:O67"/>
    <mergeCell ref="C59:C62"/>
    <mergeCell ref="M63:M67"/>
    <mergeCell ref="N63:N67"/>
    <mergeCell ref="C64:C67"/>
    <mergeCell ref="O86:O91"/>
    <mergeCell ref="M92:M94"/>
    <mergeCell ref="N92:N94"/>
    <mergeCell ref="O92:O94"/>
    <mergeCell ref="A95:A103"/>
    <mergeCell ref="C97:C100"/>
    <mergeCell ref="C102:C103"/>
    <mergeCell ref="O95:O100"/>
    <mergeCell ref="M101:M103"/>
    <mergeCell ref="N101:N103"/>
    <mergeCell ref="O101:O103"/>
  </mergeCells>
  <printOptions horizontalCentered="1"/>
  <pageMargins left="3.937007874015748E-2" right="7.874015748031496E-2" top="0.51181102362204722" bottom="0.51181102362204722" header="0.11811023622047245" footer="0.15748031496062992"/>
  <pageSetup paperSize="9" scale="70" firstPageNumber="52" orientation="landscape" useFirstPageNumber="1" r:id="rId1"/>
  <headerFooter alignWithMargins="0">
    <oddHeader>&amp;C&amp;"Arial,Kursywa"Wieloletnia prognoza finansowa Województwa Zachodniopomorskiego&amp;"Arial,Normalny"
____________________________________________________________________________________________________________________________</oddHeader>
    <oddFooter>&amp;C&amp;8&amp;P</oddFooter>
  </headerFooter>
  <rowBreaks count="1" manualBreakCount="1">
    <brk id="67" max="14" man="1"/>
  </rowBreaks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00B050"/>
  </sheetPr>
  <dimension ref="A1:Q679"/>
  <sheetViews>
    <sheetView showGridLines="0" view="pageBreakPreview" zoomScale="90" zoomScaleSheetLayoutView="90" workbookViewId="0">
      <pane ySplit="6" topLeftCell="A7" activePane="bottomLeft" state="frozen"/>
      <selection activeCell="A4" sqref="A1:XFD1048576"/>
      <selection pane="bottomLeft" activeCell="P296" sqref="A296:XFD318"/>
    </sheetView>
  </sheetViews>
  <sheetFormatPr defaultColWidth="9.140625" defaultRowHeight="11.25"/>
  <cols>
    <col min="1" max="1" width="3.28515625" style="614" customWidth="1"/>
    <col min="2" max="2" width="66.28515625" style="194" customWidth="1"/>
    <col min="3" max="3" width="12" style="194" customWidth="1"/>
    <col min="4" max="4" width="14.5703125" style="194" customWidth="1"/>
    <col min="5" max="5" width="13.7109375" style="194" customWidth="1"/>
    <col min="6" max="6" width="13.140625" style="558" customWidth="1"/>
    <col min="7" max="7" width="11.5703125" style="558" customWidth="1"/>
    <col min="8" max="8" width="11.28515625" style="558" customWidth="1"/>
    <col min="9" max="9" width="11.85546875" style="558" customWidth="1"/>
    <col min="10" max="10" width="11.7109375" style="558" customWidth="1"/>
    <col min="11" max="12" width="8.42578125" style="558" customWidth="1"/>
    <col min="13" max="13" width="12.5703125" style="558" hidden="1" customWidth="1"/>
    <col min="14" max="14" width="12.5703125" style="558" customWidth="1"/>
    <col min="15" max="15" width="16.5703125" style="641" customWidth="1"/>
    <col min="16" max="16" width="16.5703125" style="194" hidden="1" customWidth="1"/>
    <col min="17" max="38" width="0" style="194" hidden="1" customWidth="1"/>
    <col min="39" max="16384" width="9.140625" style="194"/>
  </cols>
  <sheetData>
    <row r="1" spans="1:17" ht="22.5" customHeight="1">
      <c r="G1" s="241" t="s">
        <v>388</v>
      </c>
      <c r="H1" s="194"/>
      <c r="I1" s="6"/>
      <c r="J1" s="6"/>
      <c r="K1" s="6"/>
      <c r="L1" s="6"/>
      <c r="M1" s="6"/>
      <c r="N1" s="6"/>
      <c r="O1" s="7"/>
    </row>
    <row r="2" spans="1:17" ht="18.75"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7"/>
    </row>
    <row r="3" spans="1:17" ht="48.75" customHeight="1" thickBot="1">
      <c r="A3" s="3994" t="s">
        <v>159</v>
      </c>
      <c r="B3" s="3994"/>
      <c r="C3" s="3994"/>
      <c r="D3" s="3994"/>
      <c r="E3" s="3994"/>
      <c r="F3" s="3994"/>
      <c r="G3" s="3994"/>
      <c r="H3" s="3994"/>
      <c r="I3" s="3994"/>
      <c r="J3" s="3994"/>
      <c r="K3" s="3994"/>
      <c r="L3" s="3994"/>
      <c r="M3" s="3994"/>
      <c r="N3" s="3994"/>
      <c r="O3" s="3994"/>
    </row>
    <row r="4" spans="1:17" ht="51.75" customHeight="1">
      <c r="A4" s="615"/>
      <c r="B4" s="4212" t="s">
        <v>67</v>
      </c>
      <c r="C4" s="3629" t="s">
        <v>63</v>
      </c>
      <c r="D4" s="3996" t="s">
        <v>108</v>
      </c>
      <c r="E4" s="3422" t="s">
        <v>222</v>
      </c>
      <c r="F4" s="3504" t="s">
        <v>420</v>
      </c>
      <c r="G4" s="3646" t="s">
        <v>376</v>
      </c>
      <c r="H4" s="3647"/>
      <c r="I4" s="3647"/>
      <c r="J4" s="3647"/>
      <c r="K4" s="3647"/>
      <c r="L4" s="3648"/>
      <c r="M4" s="4106" t="s">
        <v>390</v>
      </c>
      <c r="N4" s="4106" t="s">
        <v>377</v>
      </c>
      <c r="O4" s="3998" t="s">
        <v>65</v>
      </c>
    </row>
    <row r="5" spans="1:17" ht="36.75" customHeight="1" thickBot="1">
      <c r="A5" s="616"/>
      <c r="B5" s="4213"/>
      <c r="C5" s="4214"/>
      <c r="D5" s="4215"/>
      <c r="E5" s="3164" t="s">
        <v>367</v>
      </c>
      <c r="F5" s="3506"/>
      <c r="G5" s="3423" t="s">
        <v>6</v>
      </c>
      <c r="H5" s="295" t="s">
        <v>170</v>
      </c>
      <c r="I5" s="295" t="s">
        <v>171</v>
      </c>
      <c r="J5" s="295" t="s">
        <v>214</v>
      </c>
      <c r="K5" s="295" t="s">
        <v>215</v>
      </c>
      <c r="L5" s="295" t="s">
        <v>216</v>
      </c>
      <c r="M5" s="4107"/>
      <c r="N5" s="4107"/>
      <c r="O5" s="3999"/>
    </row>
    <row r="6" spans="1:17" ht="15" customHeight="1">
      <c r="A6" s="3430">
        <v>1</v>
      </c>
      <c r="B6" s="3431">
        <v>2</v>
      </c>
      <c r="C6" s="1287" t="s">
        <v>109</v>
      </c>
      <c r="D6" s="3432" t="s">
        <v>110</v>
      </c>
      <c r="E6" s="3432">
        <v>5</v>
      </c>
      <c r="F6" s="1287">
        <v>6</v>
      </c>
      <c r="G6" s="1287">
        <v>7</v>
      </c>
      <c r="H6" s="1287">
        <v>8</v>
      </c>
      <c r="I6" s="1287">
        <v>9</v>
      </c>
      <c r="J6" s="1287">
        <v>10</v>
      </c>
      <c r="K6" s="1287">
        <v>11</v>
      </c>
      <c r="L6" s="1287">
        <v>12</v>
      </c>
      <c r="M6" s="1404">
        <v>13</v>
      </c>
      <c r="N6" s="1404">
        <v>13</v>
      </c>
      <c r="O6" s="1405">
        <v>14</v>
      </c>
    </row>
    <row r="7" spans="1:17" s="2385" customFormat="1" ht="16.5" customHeight="1">
      <c r="A7" s="494"/>
      <c r="B7" s="1111" t="s">
        <v>68</v>
      </c>
      <c r="C7" s="1112"/>
      <c r="D7" s="215">
        <f>+D8+D9</f>
        <v>100310339</v>
      </c>
      <c r="E7" s="215">
        <f t="shared" ref="E7:L7" si="0">+E8+E9</f>
        <v>926404</v>
      </c>
      <c r="F7" s="215">
        <f t="shared" si="0"/>
        <v>1228190</v>
      </c>
      <c r="G7" s="215">
        <f t="shared" si="0"/>
        <v>62853694</v>
      </c>
      <c r="H7" s="215">
        <f t="shared" si="0"/>
        <v>29631034</v>
      </c>
      <c r="I7" s="215">
        <f t="shared" si="0"/>
        <v>5671017</v>
      </c>
      <c r="J7" s="215">
        <f t="shared" si="0"/>
        <v>0</v>
      </c>
      <c r="K7" s="215">
        <f t="shared" si="0"/>
        <v>0</v>
      </c>
      <c r="L7" s="215">
        <f t="shared" si="0"/>
        <v>0</v>
      </c>
      <c r="M7" s="145">
        <f>+M8+M9</f>
        <v>99383935</v>
      </c>
      <c r="N7" s="145">
        <f>+N8+N9</f>
        <v>98155745</v>
      </c>
      <c r="O7" s="617"/>
      <c r="P7" s="2389">
        <f>D26+D38+D50+D74+D83+D118+D127+D139+D152+D161+D174+D192+D205+D214+D227+D236+D248+D257</f>
        <v>87120762</v>
      </c>
    </row>
    <row r="8" spans="1:17" s="2385" customFormat="1" ht="13.5" customHeight="1">
      <c r="A8" s="494"/>
      <c r="B8" s="1113" t="s">
        <v>69</v>
      </c>
      <c r="C8" s="1114"/>
      <c r="D8" s="207">
        <f t="shared" ref="D8:L8" si="1">D118+D139+D161+D192+D214+D227+D248+D109</f>
        <v>3644890</v>
      </c>
      <c r="E8" s="207">
        <f t="shared" si="1"/>
        <v>0</v>
      </c>
      <c r="F8" s="207">
        <f t="shared" si="1"/>
        <v>80037</v>
      </c>
      <c r="G8" s="207">
        <f t="shared" si="1"/>
        <v>1298658</v>
      </c>
      <c r="H8" s="207">
        <f t="shared" si="1"/>
        <v>1701341</v>
      </c>
      <c r="I8" s="207">
        <f t="shared" si="1"/>
        <v>564854</v>
      </c>
      <c r="J8" s="207">
        <f t="shared" si="1"/>
        <v>0</v>
      </c>
      <c r="K8" s="207">
        <f t="shared" si="1"/>
        <v>0</v>
      </c>
      <c r="L8" s="207">
        <f t="shared" si="1"/>
        <v>0</v>
      </c>
      <c r="M8" s="1649">
        <f>SUM(F8:L8)</f>
        <v>3644890</v>
      </c>
      <c r="N8" s="18">
        <f>SUM(G8:L8)</f>
        <v>3564853</v>
      </c>
      <c r="O8" s="617"/>
      <c r="P8" s="2389"/>
    </row>
    <row r="9" spans="1:17" s="2385" customFormat="1" ht="13.5" customHeight="1" thickBot="1">
      <c r="A9" s="494"/>
      <c r="B9" s="1115" t="s">
        <v>9</v>
      </c>
      <c r="C9" s="1116"/>
      <c r="D9" s="618">
        <f>D26+D38+D50+D74+D83+D127+D152+D236+D257+D96+D62</f>
        <v>96665449</v>
      </c>
      <c r="E9" s="618">
        <f t="shared" ref="E9:L9" si="2">E26+E38+E50+E74+E83+E127+E152+E236+E257+E96+E62</f>
        <v>926404</v>
      </c>
      <c r="F9" s="618">
        <f t="shared" si="2"/>
        <v>1148153</v>
      </c>
      <c r="G9" s="618">
        <f t="shared" si="2"/>
        <v>61555036</v>
      </c>
      <c r="H9" s="618">
        <f t="shared" si="2"/>
        <v>27929693</v>
      </c>
      <c r="I9" s="618">
        <f t="shared" si="2"/>
        <v>5106163</v>
      </c>
      <c r="J9" s="618">
        <f t="shared" si="2"/>
        <v>0</v>
      </c>
      <c r="K9" s="618">
        <f t="shared" si="2"/>
        <v>0</v>
      </c>
      <c r="L9" s="618">
        <f t="shared" si="2"/>
        <v>0</v>
      </c>
      <c r="M9" s="147">
        <f>SUM(F9:L9)</f>
        <v>95739045</v>
      </c>
      <c r="N9" s="147">
        <f>SUM(G9:L9)</f>
        <v>94590892</v>
      </c>
      <c r="O9" s="617"/>
      <c r="P9" s="2389"/>
    </row>
    <row r="10" spans="1:17" ht="12">
      <c r="A10" s="494"/>
      <c r="B10" s="191" t="s">
        <v>10</v>
      </c>
      <c r="C10" s="88"/>
      <c r="D10" s="1357">
        <f>D11+D15</f>
        <v>100310339</v>
      </c>
      <c r="E10" s="1357">
        <f t="shared" ref="E10:L10" si="3">E11+E15</f>
        <v>926404</v>
      </c>
      <c r="F10" s="1357">
        <f t="shared" si="3"/>
        <v>1228190</v>
      </c>
      <c r="G10" s="1357">
        <f t="shared" si="3"/>
        <v>62853694</v>
      </c>
      <c r="H10" s="1357">
        <f t="shared" si="3"/>
        <v>29631034</v>
      </c>
      <c r="I10" s="1357">
        <f t="shared" si="3"/>
        <v>5671017</v>
      </c>
      <c r="J10" s="1357">
        <f t="shared" si="3"/>
        <v>0</v>
      </c>
      <c r="K10" s="1357">
        <f t="shared" si="3"/>
        <v>0</v>
      </c>
      <c r="L10" s="1357">
        <f t="shared" si="3"/>
        <v>0</v>
      </c>
      <c r="M10" s="1154">
        <f>M11+M15</f>
        <v>94061026</v>
      </c>
      <c r="N10" s="1358">
        <f>N11+N15</f>
        <v>96177308</v>
      </c>
      <c r="O10" s="619"/>
      <c r="P10" s="195"/>
      <c r="Q10" s="195"/>
    </row>
    <row r="11" spans="1:17" ht="13.5" customHeight="1">
      <c r="A11" s="494"/>
      <c r="B11" s="3433" t="s">
        <v>23</v>
      </c>
      <c r="C11" s="3434"/>
      <c r="D11" s="1593">
        <f>D12+D13+D14</f>
        <v>16140008</v>
      </c>
      <c r="E11" s="1593">
        <f t="shared" ref="E11:K11" si="4">E12+E13+E14</f>
        <v>500721</v>
      </c>
      <c r="F11" s="1593">
        <f t="shared" si="4"/>
        <v>226948</v>
      </c>
      <c r="G11" s="1593">
        <f t="shared" si="4"/>
        <v>10111933</v>
      </c>
      <c r="H11" s="1593">
        <f t="shared" si="4"/>
        <v>4447246</v>
      </c>
      <c r="I11" s="1593">
        <f t="shared" si="4"/>
        <v>853160</v>
      </c>
      <c r="J11" s="1593">
        <f t="shared" si="4"/>
        <v>0</v>
      </c>
      <c r="K11" s="1593">
        <f t="shared" si="4"/>
        <v>0</v>
      </c>
      <c r="L11" s="1593">
        <f t="shared" ref="L11" si="5">L12+L13+L14</f>
        <v>0</v>
      </c>
      <c r="M11" s="1436">
        <f>+M12+M13+M14</f>
        <v>10316378</v>
      </c>
      <c r="N11" s="1436">
        <f>+N12+N13+N14</f>
        <v>13433902</v>
      </c>
      <c r="O11" s="620"/>
    </row>
    <row r="12" spans="1:17" ht="13.5" customHeight="1">
      <c r="A12" s="494"/>
      <c r="B12" s="1715" t="s">
        <v>12</v>
      </c>
      <c r="C12" s="3435"/>
      <c r="D12" s="1716">
        <f>D28+D40+D52+D76+D85+D120+D129+D141+D154+D163+D176+D185+D194+D207+D216+D229+D238+D250+D259+D98+D111+D64</f>
        <v>12325536</v>
      </c>
      <c r="E12" s="1716">
        <f t="shared" ref="E12:L12" si="6">E28+E40+E52+E76+E85+E120+E129+E141+E154+E163+E176+E185+E194+E207+E216+E229+E238+E250+E259+E98+E111+E64</f>
        <v>380721</v>
      </c>
      <c r="F12" s="1716">
        <f t="shared" si="6"/>
        <v>181062</v>
      </c>
      <c r="G12" s="1716">
        <f t="shared" si="6"/>
        <v>6463347</v>
      </c>
      <c r="H12" s="1716">
        <f t="shared" si="6"/>
        <v>4447246</v>
      </c>
      <c r="I12" s="1716">
        <f t="shared" si="6"/>
        <v>853160</v>
      </c>
      <c r="J12" s="1716">
        <f>J28+J40+J52+J76+J85+J120+J129+J141+J154+J163+J176+J185+J194+J207+J216+J229+J238+J250+J259+J98+J111+J64</f>
        <v>0</v>
      </c>
      <c r="K12" s="1716">
        <f t="shared" si="6"/>
        <v>0</v>
      </c>
      <c r="L12" s="1716">
        <f t="shared" si="6"/>
        <v>0</v>
      </c>
      <c r="M12" s="1716">
        <f>M28+M40+M52+M76+M85+M120+M129+M141+M154+M163+M176+M185+M194+M207+M216+M229+M238+M250+M259</f>
        <v>9966378</v>
      </c>
      <c r="N12" s="1674">
        <f>N28+N40+N52+N76+N85+N120+N129+N141+N154+N163+N176+N185+N194+N207+N216+N229+N238+N250+N259</f>
        <v>9785316</v>
      </c>
      <c r="O12" s="620"/>
      <c r="P12" s="195"/>
    </row>
    <row r="13" spans="1:17" ht="13.5" customHeight="1">
      <c r="A13" s="494"/>
      <c r="B13" s="1715" t="s">
        <v>54</v>
      </c>
      <c r="C13" s="3435"/>
      <c r="D13" s="1716">
        <f>+D130</f>
        <v>320000</v>
      </c>
      <c r="E13" s="1716">
        <f t="shared" ref="E13:K13" si="7">+E130</f>
        <v>0</v>
      </c>
      <c r="F13" s="1716">
        <f t="shared" si="7"/>
        <v>0</v>
      </c>
      <c r="G13" s="1716">
        <f t="shared" si="7"/>
        <v>320000</v>
      </c>
      <c r="H13" s="1716">
        <f t="shared" si="7"/>
        <v>0</v>
      </c>
      <c r="I13" s="1716">
        <f t="shared" si="7"/>
        <v>0</v>
      </c>
      <c r="J13" s="1716">
        <f t="shared" si="7"/>
        <v>0</v>
      </c>
      <c r="K13" s="1716">
        <f t="shared" si="7"/>
        <v>0</v>
      </c>
      <c r="L13" s="1716">
        <f t="shared" ref="L13" si="8">+L130</f>
        <v>0</v>
      </c>
      <c r="M13" s="1674">
        <f>SUM(F13:K13)</f>
        <v>320000</v>
      </c>
      <c r="N13" s="1674">
        <f>SUM(G13:L13)</f>
        <v>320000</v>
      </c>
      <c r="O13" s="620"/>
      <c r="P13" s="195"/>
    </row>
    <row r="14" spans="1:17" ht="13.5" customHeight="1">
      <c r="A14" s="494"/>
      <c r="B14" s="1715" t="s">
        <v>15</v>
      </c>
      <c r="C14" s="3435"/>
      <c r="D14" s="1716">
        <f>D239+D260+D29+D41+D53</f>
        <v>3494472</v>
      </c>
      <c r="E14" s="1716">
        <f t="shared" ref="E14:N14" si="9">E239+E260+E29+E41+E53</f>
        <v>120000</v>
      </c>
      <c r="F14" s="1716">
        <f t="shared" si="9"/>
        <v>45886</v>
      </c>
      <c r="G14" s="1716">
        <f t="shared" si="9"/>
        <v>3328586</v>
      </c>
      <c r="H14" s="1716">
        <f t="shared" si="9"/>
        <v>0</v>
      </c>
      <c r="I14" s="1716">
        <f t="shared" si="9"/>
        <v>0</v>
      </c>
      <c r="J14" s="1716">
        <f t="shared" si="9"/>
        <v>0</v>
      </c>
      <c r="K14" s="1716">
        <f t="shared" si="9"/>
        <v>0</v>
      </c>
      <c r="L14" s="1716">
        <f t="shared" si="9"/>
        <v>0</v>
      </c>
      <c r="M14" s="1716">
        <f t="shared" si="9"/>
        <v>30000</v>
      </c>
      <c r="N14" s="1674">
        <f t="shared" si="9"/>
        <v>3328586</v>
      </c>
      <c r="O14" s="620"/>
      <c r="P14" s="195"/>
    </row>
    <row r="15" spans="1:17" ht="13.5" customHeight="1">
      <c r="A15" s="494"/>
      <c r="B15" s="3433" t="s">
        <v>18</v>
      </c>
      <c r="C15" s="3434"/>
      <c r="D15" s="1593">
        <f>+D16+D17</f>
        <v>84170331</v>
      </c>
      <c r="E15" s="1593">
        <f t="shared" ref="E15:K15" si="10">+E16+E17</f>
        <v>425683</v>
      </c>
      <c r="F15" s="1593">
        <f t="shared" si="10"/>
        <v>1001242</v>
      </c>
      <c r="G15" s="1593">
        <f t="shared" si="10"/>
        <v>52741761</v>
      </c>
      <c r="H15" s="1593">
        <f t="shared" si="10"/>
        <v>25183788</v>
      </c>
      <c r="I15" s="1593">
        <f t="shared" si="10"/>
        <v>4817857</v>
      </c>
      <c r="J15" s="1593">
        <f t="shared" si="10"/>
        <v>0</v>
      </c>
      <c r="K15" s="1593">
        <f t="shared" si="10"/>
        <v>0</v>
      </c>
      <c r="L15" s="1593">
        <f t="shared" ref="L15" si="11">+L16+L17</f>
        <v>0</v>
      </c>
      <c r="M15" s="1436">
        <f>+M16</f>
        <v>83744648</v>
      </c>
      <c r="N15" s="1436">
        <f>+N16</f>
        <v>82743406</v>
      </c>
      <c r="O15" s="620"/>
    </row>
    <row r="16" spans="1:17" ht="13.5" customHeight="1">
      <c r="A16" s="494"/>
      <c r="B16" s="1715" t="s">
        <v>20</v>
      </c>
      <c r="C16" s="3436"/>
      <c r="D16" s="1717">
        <f>D31+D43+D55+D78+D89+D122+D132+D145+D156+D167+D198+D220+D231+D241+D252+D262+D102+D113+D67</f>
        <v>84170331</v>
      </c>
      <c r="E16" s="1717">
        <f t="shared" ref="E16:L16" si="12">E31+E43+E55+E78+E89+E122+E132+E145+E156+E167+E198+E220+E231+E241+E252+E262+E102+E113+E67</f>
        <v>425683</v>
      </c>
      <c r="F16" s="1717">
        <f t="shared" si="12"/>
        <v>1001242</v>
      </c>
      <c r="G16" s="1717">
        <f t="shared" si="12"/>
        <v>52741761</v>
      </c>
      <c r="H16" s="1717">
        <f t="shared" si="12"/>
        <v>25183788</v>
      </c>
      <c r="I16" s="1717">
        <f t="shared" si="12"/>
        <v>4817857</v>
      </c>
      <c r="J16" s="1717">
        <f t="shared" si="12"/>
        <v>0</v>
      </c>
      <c r="K16" s="1717">
        <f t="shared" si="12"/>
        <v>0</v>
      </c>
      <c r="L16" s="1717">
        <f t="shared" si="12"/>
        <v>0</v>
      </c>
      <c r="M16" s="1674">
        <f>SUM(F16:L16)</f>
        <v>83744648</v>
      </c>
      <c r="N16" s="1674">
        <f>SUM(G16:L16)</f>
        <v>82743406</v>
      </c>
      <c r="O16" s="620"/>
      <c r="P16" s="195"/>
    </row>
    <row r="17" spans="1:16" ht="13.5" hidden="1" customHeight="1">
      <c r="A17" s="494"/>
      <c r="B17" s="3428" t="s">
        <v>19</v>
      </c>
      <c r="C17" s="2859"/>
      <c r="D17" s="1717"/>
      <c r="E17" s="1717"/>
      <c r="F17" s="1717"/>
      <c r="G17" s="1717"/>
      <c r="H17" s="1717"/>
      <c r="I17" s="1717"/>
      <c r="J17" s="1717"/>
      <c r="K17" s="1717"/>
      <c r="L17" s="1717"/>
      <c r="M17" s="3437"/>
      <c r="N17" s="3437"/>
      <c r="O17" s="620"/>
    </row>
    <row r="18" spans="1:16" ht="12">
      <c r="A18" s="494"/>
      <c r="B18" s="191" t="s">
        <v>21</v>
      </c>
      <c r="C18" s="2603"/>
      <c r="D18" s="1357">
        <f>D22+D19</f>
        <v>87984803</v>
      </c>
      <c r="E18" s="1357">
        <f>E22+E19</f>
        <v>120000</v>
      </c>
      <c r="F18" s="1357">
        <f t="shared" ref="F18:L18" si="13">F22+F19</f>
        <v>46863</v>
      </c>
      <c r="G18" s="1357">
        <f t="shared" si="13"/>
        <v>51380771</v>
      </c>
      <c r="H18" s="1357">
        <f t="shared" si="13"/>
        <v>22596205</v>
      </c>
      <c r="I18" s="1357">
        <f t="shared" si="13"/>
        <v>10493176</v>
      </c>
      <c r="J18" s="1357">
        <f t="shared" si="13"/>
        <v>3347788</v>
      </c>
      <c r="K18" s="1357">
        <f t="shared" si="13"/>
        <v>0</v>
      </c>
      <c r="L18" s="1357">
        <f t="shared" si="13"/>
        <v>0</v>
      </c>
      <c r="M18" s="3519" t="s">
        <v>53</v>
      </c>
      <c r="N18" s="3519" t="s">
        <v>53</v>
      </c>
      <c r="O18" s="620"/>
      <c r="P18" s="195"/>
    </row>
    <row r="19" spans="1:16" ht="16.5" customHeight="1">
      <c r="A19" s="494"/>
      <c r="B19" s="3433" t="s">
        <v>11</v>
      </c>
      <c r="C19" s="3436"/>
      <c r="D19" s="3438">
        <f>D20+D21</f>
        <v>3814472</v>
      </c>
      <c r="E19" s="3438">
        <f t="shared" ref="E19:L19" si="14">E20+E21</f>
        <v>120000</v>
      </c>
      <c r="F19" s="3438">
        <f t="shared" si="14"/>
        <v>45886</v>
      </c>
      <c r="G19" s="3438">
        <f t="shared" si="14"/>
        <v>3648586</v>
      </c>
      <c r="H19" s="3438">
        <f t="shared" si="14"/>
        <v>0</v>
      </c>
      <c r="I19" s="3438">
        <f t="shared" si="14"/>
        <v>0</v>
      </c>
      <c r="J19" s="3438">
        <f t="shared" si="14"/>
        <v>0</v>
      </c>
      <c r="K19" s="3438">
        <f t="shared" si="14"/>
        <v>0</v>
      </c>
      <c r="L19" s="3438">
        <f t="shared" si="14"/>
        <v>0</v>
      </c>
      <c r="M19" s="3517"/>
      <c r="N19" s="3517"/>
      <c r="O19" s="620"/>
      <c r="P19" s="195"/>
    </row>
    <row r="20" spans="1:16" ht="12">
      <c r="A20" s="494"/>
      <c r="B20" s="1715" t="s">
        <v>54</v>
      </c>
      <c r="C20" s="3436"/>
      <c r="D20" s="1717">
        <f>D135</f>
        <v>320000</v>
      </c>
      <c r="E20" s="1717">
        <f t="shared" ref="E20:L20" si="15">E135</f>
        <v>0</v>
      </c>
      <c r="F20" s="1717">
        <f t="shared" si="15"/>
        <v>0</v>
      </c>
      <c r="G20" s="1717">
        <f t="shared" si="15"/>
        <v>320000</v>
      </c>
      <c r="H20" s="1717">
        <f t="shared" si="15"/>
        <v>0</v>
      </c>
      <c r="I20" s="1717">
        <f t="shared" si="15"/>
        <v>0</v>
      </c>
      <c r="J20" s="1717">
        <f t="shared" si="15"/>
        <v>0</v>
      </c>
      <c r="K20" s="1717">
        <f t="shared" si="15"/>
        <v>0</v>
      </c>
      <c r="L20" s="1717">
        <f t="shared" si="15"/>
        <v>0</v>
      </c>
      <c r="M20" s="3517"/>
      <c r="N20" s="3517"/>
      <c r="O20" s="620"/>
      <c r="P20" s="195"/>
    </row>
    <row r="21" spans="1:16" ht="12">
      <c r="A21" s="494"/>
      <c r="B21" s="1715" t="s">
        <v>15</v>
      </c>
      <c r="C21" s="3436"/>
      <c r="D21" s="1717">
        <f>D244+D265+D34+D46+D58</f>
        <v>3494472</v>
      </c>
      <c r="E21" s="1717">
        <f t="shared" ref="E21:L21" si="16">E244+E265+E34+E46+E58</f>
        <v>120000</v>
      </c>
      <c r="F21" s="1717">
        <f t="shared" si="16"/>
        <v>45886</v>
      </c>
      <c r="G21" s="1717">
        <f t="shared" si="16"/>
        <v>3328586</v>
      </c>
      <c r="H21" s="1717">
        <f t="shared" si="16"/>
        <v>0</v>
      </c>
      <c r="I21" s="1717">
        <f t="shared" si="16"/>
        <v>0</v>
      </c>
      <c r="J21" s="1717">
        <f t="shared" si="16"/>
        <v>0</v>
      </c>
      <c r="K21" s="1717">
        <f t="shared" si="16"/>
        <v>0</v>
      </c>
      <c r="L21" s="1717">
        <f t="shared" si="16"/>
        <v>0</v>
      </c>
      <c r="M21" s="3517"/>
      <c r="N21" s="3517"/>
      <c r="O21" s="620"/>
      <c r="P21" s="195"/>
    </row>
    <row r="22" spans="1:16" ht="13.5" customHeight="1">
      <c r="A22" s="494"/>
      <c r="B22" s="3433" t="s">
        <v>18</v>
      </c>
      <c r="C22" s="3436"/>
      <c r="D22" s="3438">
        <f>+D23+D24</f>
        <v>84170331</v>
      </c>
      <c r="E22" s="3438">
        <f t="shared" ref="E22:L22" si="17">+E23+E24</f>
        <v>0</v>
      </c>
      <c r="F22" s="3438">
        <f t="shared" si="17"/>
        <v>977</v>
      </c>
      <c r="G22" s="3438">
        <f t="shared" si="17"/>
        <v>47732185</v>
      </c>
      <c r="H22" s="3438">
        <f t="shared" si="17"/>
        <v>22596205</v>
      </c>
      <c r="I22" s="3438">
        <f t="shared" si="17"/>
        <v>10493176</v>
      </c>
      <c r="J22" s="3438">
        <f t="shared" si="17"/>
        <v>3347788</v>
      </c>
      <c r="K22" s="3438">
        <f t="shared" si="17"/>
        <v>0</v>
      </c>
      <c r="L22" s="3438">
        <f t="shared" si="17"/>
        <v>0</v>
      </c>
      <c r="M22" s="3517"/>
      <c r="N22" s="3517"/>
      <c r="O22" s="620"/>
    </row>
    <row r="23" spans="1:16" ht="13.5" customHeight="1" thickBot="1">
      <c r="A23" s="621"/>
      <c r="B23" s="1715" t="s">
        <v>20</v>
      </c>
      <c r="C23" s="3436"/>
      <c r="D23" s="1717">
        <f>+D36+D48+D94+D125+D137+D81+D150+D159+D172+D181+D190+D60+D203+D212+D225+D233+D245+D255+D267+D107+D116+D72</f>
        <v>84170331</v>
      </c>
      <c r="E23" s="1717">
        <f t="shared" ref="E23:L23" si="18">+E36+E48+E94+E125+E137+E81+E150+E159+E172+E181+E190+E60+E203+E212+E225+E233+E245+E255+E267+E107+E116+E72</f>
        <v>0</v>
      </c>
      <c r="F23" s="1717">
        <f t="shared" si="18"/>
        <v>977</v>
      </c>
      <c r="G23" s="1717">
        <f t="shared" si="18"/>
        <v>47732185</v>
      </c>
      <c r="H23" s="1717">
        <f>+H36+H48+H94+H125+H137+H81+H150+H159+H172+H181+H190+H60+H203+H212+H225+H233+H245+H255+H267+H107+H116+H72</f>
        <v>22596205</v>
      </c>
      <c r="I23" s="1717">
        <f t="shared" si="18"/>
        <v>10493176</v>
      </c>
      <c r="J23" s="1717">
        <f t="shared" si="18"/>
        <v>3347788</v>
      </c>
      <c r="K23" s="1717">
        <f t="shared" si="18"/>
        <v>0</v>
      </c>
      <c r="L23" s="1717">
        <f t="shared" si="18"/>
        <v>0</v>
      </c>
      <c r="M23" s="3517"/>
      <c r="N23" s="3517"/>
      <c r="O23" s="620"/>
      <c r="P23" s="195">
        <f>D23-D16</f>
        <v>0</v>
      </c>
    </row>
    <row r="24" spans="1:16" ht="13.5" hidden="1" customHeight="1" thickBot="1">
      <c r="A24" s="621"/>
      <c r="B24" s="3439" t="s">
        <v>19</v>
      </c>
      <c r="C24" s="3439"/>
      <c r="D24" s="3439"/>
      <c r="E24" s="3439"/>
      <c r="F24" s="3439"/>
      <c r="G24" s="3439"/>
      <c r="H24" s="3439"/>
      <c r="I24" s="3439"/>
      <c r="J24" s="3439"/>
      <c r="K24" s="3439"/>
      <c r="L24" s="2470"/>
      <c r="M24" s="3518"/>
      <c r="N24" s="3518"/>
      <c r="O24" s="620"/>
    </row>
    <row r="25" spans="1:16" s="2385" customFormat="1" ht="27" customHeight="1">
      <c r="A25" s="4211" t="s">
        <v>55</v>
      </c>
      <c r="B25" s="179" t="s">
        <v>552</v>
      </c>
      <c r="C25" s="2768" t="s">
        <v>73</v>
      </c>
      <c r="D25" s="623"/>
      <c r="E25" s="2042"/>
      <c r="F25" s="2769"/>
      <c r="G25" s="2769"/>
      <c r="H25" s="2769"/>
      <c r="I25" s="2042"/>
      <c r="J25" s="2042"/>
      <c r="K25" s="2042"/>
      <c r="L25" s="2770"/>
      <c r="M25" s="625"/>
      <c r="N25" s="625"/>
      <c r="O25" s="3734" t="s">
        <v>78</v>
      </c>
    </row>
    <row r="26" spans="1:16" s="2385" customFormat="1" ht="12.75">
      <c r="A26" s="4199"/>
      <c r="B26" s="1355" t="s">
        <v>10</v>
      </c>
      <c r="C26" s="2603"/>
      <c r="D26" s="1357">
        <f>D27+D30</f>
        <v>28373635</v>
      </c>
      <c r="E26" s="1357">
        <f>+E30+E27</f>
        <v>146960</v>
      </c>
      <c r="F26" s="1357">
        <f>+F30+F27</f>
        <v>482652</v>
      </c>
      <c r="G26" s="1357">
        <f>+G27+G30</f>
        <v>27744023</v>
      </c>
      <c r="H26" s="1357">
        <f t="shared" ref="H26" si="19">+H30</f>
        <v>0</v>
      </c>
      <c r="I26" s="1357"/>
      <c r="J26" s="1357"/>
      <c r="K26" s="1357"/>
      <c r="L26" s="1357"/>
      <c r="M26" s="1358">
        <f>+M30+M27</f>
        <v>26175124</v>
      </c>
      <c r="N26" s="1358">
        <f>+N30+N27</f>
        <v>27744023</v>
      </c>
      <c r="O26" s="3735"/>
    </row>
    <row r="27" spans="1:16" s="2385" customFormat="1" ht="14.25" customHeight="1">
      <c r="A27" s="4199"/>
      <c r="B27" s="1359" t="s">
        <v>23</v>
      </c>
      <c r="C27" s="3522" t="s">
        <v>160</v>
      </c>
      <c r="D27" s="1360">
        <f>D28+D29</f>
        <v>4928646</v>
      </c>
      <c r="E27" s="1718">
        <f>E28+E29</f>
        <v>146960</v>
      </c>
      <c r="F27" s="2864">
        <f>F28+F29</f>
        <v>80135</v>
      </c>
      <c r="G27" s="1365">
        <f>G28+G29</f>
        <v>4701551</v>
      </c>
      <c r="H27" s="1365">
        <f t="shared" ref="H27" si="20">H28</f>
        <v>0</v>
      </c>
      <c r="I27" s="1365"/>
      <c r="J27" s="1365"/>
      <c r="K27" s="1365"/>
      <c r="L27" s="1365"/>
      <c r="M27" s="1361">
        <f>M28</f>
        <v>2730135</v>
      </c>
      <c r="N27" s="1361">
        <f>N28+N29</f>
        <v>4701551</v>
      </c>
      <c r="O27" s="3735"/>
    </row>
    <row r="28" spans="1:16" s="2385" customFormat="1" ht="14.25" customHeight="1">
      <c r="A28" s="4199"/>
      <c r="B28" s="1362" t="s">
        <v>12</v>
      </c>
      <c r="C28" s="3566"/>
      <c r="D28" s="1288">
        <f>E28+F28+G28+H28+I28+J28+K28+L28</f>
        <v>2877095</v>
      </c>
      <c r="E28" s="1288">
        <v>146960</v>
      </c>
      <c r="F28" s="1363">
        <f>2732267+170000-2664017-80000-78115</f>
        <v>80135</v>
      </c>
      <c r="G28" s="1363">
        <f>4041376+2664017+80000-171363-909150-1704880-1350000</f>
        <v>2650000</v>
      </c>
      <c r="H28" s="1363">
        <v>0</v>
      </c>
      <c r="I28" s="1363"/>
      <c r="J28" s="1363"/>
      <c r="K28" s="1363"/>
      <c r="L28" s="1363"/>
      <c r="M28" s="1674">
        <f>SUM(F28:K28)</f>
        <v>2730135</v>
      </c>
      <c r="N28" s="1674">
        <f>SUM(G28:L28)</f>
        <v>2650000</v>
      </c>
      <c r="O28" s="3735"/>
    </row>
    <row r="29" spans="1:16" s="2385" customFormat="1" ht="14.25" customHeight="1">
      <c r="A29" s="4199"/>
      <c r="B29" s="2860" t="s">
        <v>15</v>
      </c>
      <c r="C29" s="3566"/>
      <c r="D29" s="1288">
        <f>E29+F29+G29+H29+I29+J29+K29+L29</f>
        <v>2051551</v>
      </c>
      <c r="E29" s="1288">
        <v>0</v>
      </c>
      <c r="F29" s="1363">
        <v>0</v>
      </c>
      <c r="G29" s="1363">
        <f>237308+909150+164430+740663</f>
        <v>2051551</v>
      </c>
      <c r="H29" s="1363"/>
      <c r="I29" s="1363"/>
      <c r="J29" s="1363"/>
      <c r="K29" s="1363"/>
      <c r="L29" s="1363"/>
      <c r="M29" s="1721"/>
      <c r="N29" s="1674">
        <f>SUM(G29:L29)</f>
        <v>2051551</v>
      </c>
      <c r="O29" s="3735"/>
    </row>
    <row r="30" spans="1:16" s="2385" customFormat="1" ht="14.25" customHeight="1">
      <c r="A30" s="4199"/>
      <c r="B30" s="1364" t="s">
        <v>18</v>
      </c>
      <c r="C30" s="3566"/>
      <c r="D30" s="1360">
        <f>D31</f>
        <v>23444989</v>
      </c>
      <c r="E30" s="1718">
        <f t="shared" ref="E30" si="21">+E31</f>
        <v>0</v>
      </c>
      <c r="F30" s="1365">
        <f>+F31</f>
        <v>402517</v>
      </c>
      <c r="G30" s="1365">
        <f>+G31</f>
        <v>23042472</v>
      </c>
      <c r="H30" s="1365">
        <v>0</v>
      </c>
      <c r="I30" s="1365"/>
      <c r="J30" s="1365"/>
      <c r="K30" s="1365"/>
      <c r="L30" s="1365"/>
      <c r="M30" s="1361">
        <f>+M31</f>
        <v>23444989</v>
      </c>
      <c r="N30" s="1361">
        <f>+N31</f>
        <v>23042472</v>
      </c>
      <c r="O30" s="3735"/>
    </row>
    <row r="31" spans="1:16" s="2385" customFormat="1" ht="15" customHeight="1">
      <c r="A31" s="4199"/>
      <c r="B31" s="3428" t="s">
        <v>20</v>
      </c>
      <c r="C31" s="3658"/>
      <c r="D31" s="1288">
        <f>E31+F31+G31+H31+I31+J31+K31+L31</f>
        <v>23444989</v>
      </c>
      <c r="E31" s="1288">
        <v>0</v>
      </c>
      <c r="F31" s="1363">
        <f>15482849-14416099-255000-409233</f>
        <v>402517</v>
      </c>
      <c r="G31" s="1363">
        <f>22901129+14416099+255000+340272-11112500-3757528</f>
        <v>23042472</v>
      </c>
      <c r="H31" s="1363">
        <v>0</v>
      </c>
      <c r="I31" s="1363"/>
      <c r="J31" s="1363"/>
      <c r="K31" s="1363"/>
      <c r="L31" s="1363"/>
      <c r="M31" s="1674">
        <f>SUM(F31:K31)</f>
        <v>23444989</v>
      </c>
      <c r="N31" s="1674">
        <f>SUM(G31:L31)</f>
        <v>23042472</v>
      </c>
      <c r="O31" s="4185"/>
    </row>
    <row r="32" spans="1:16" s="2385" customFormat="1" ht="12.75">
      <c r="A32" s="4199"/>
      <c r="B32" s="2149" t="s">
        <v>21</v>
      </c>
      <c r="C32" s="2603"/>
      <c r="D32" s="1357">
        <f>+D35+D33</f>
        <v>25496540</v>
      </c>
      <c r="E32" s="1357">
        <f>+E35</f>
        <v>0</v>
      </c>
      <c r="F32" s="1357">
        <f>F35</f>
        <v>0</v>
      </c>
      <c r="G32" s="1357">
        <f>G35+G33</f>
        <v>25496540</v>
      </c>
      <c r="H32" s="1357">
        <f>H35+H33</f>
        <v>0</v>
      </c>
      <c r="I32" s="1357"/>
      <c r="J32" s="1357"/>
      <c r="K32" s="1357"/>
      <c r="L32" s="1357"/>
      <c r="M32" s="3519" t="s">
        <v>53</v>
      </c>
      <c r="N32" s="3519" t="s">
        <v>53</v>
      </c>
      <c r="O32" s="3711" t="s">
        <v>93</v>
      </c>
      <c r="P32" s="2389"/>
    </row>
    <row r="33" spans="1:17" s="2385" customFormat="1" ht="12.75">
      <c r="A33" s="4199"/>
      <c r="B33" s="2187" t="s">
        <v>399</v>
      </c>
      <c r="C33" s="3695" t="s">
        <v>160</v>
      </c>
      <c r="D33" s="1366">
        <f t="shared" ref="D33:L33" si="22">D34</f>
        <v>2051551</v>
      </c>
      <c r="E33" s="1722">
        <f t="shared" ref="E33" si="23">+E34</f>
        <v>0</v>
      </c>
      <c r="F33" s="2784">
        <f t="shared" si="22"/>
        <v>0</v>
      </c>
      <c r="G33" s="1365">
        <f t="shared" si="22"/>
        <v>2051551</v>
      </c>
      <c r="H33" s="1722">
        <f t="shared" si="22"/>
        <v>0</v>
      </c>
      <c r="I33" s="1722">
        <f t="shared" si="22"/>
        <v>0</v>
      </c>
      <c r="J33" s="1722">
        <f t="shared" si="22"/>
        <v>0</v>
      </c>
      <c r="K33" s="1722">
        <f t="shared" si="22"/>
        <v>0</v>
      </c>
      <c r="L33" s="1722">
        <f t="shared" si="22"/>
        <v>0</v>
      </c>
      <c r="M33" s="3517"/>
      <c r="N33" s="3517"/>
      <c r="O33" s="3711"/>
      <c r="P33" s="2389"/>
    </row>
    <row r="34" spans="1:17" s="2385" customFormat="1" ht="12.75">
      <c r="A34" s="4199"/>
      <c r="B34" s="2860" t="s">
        <v>15</v>
      </c>
      <c r="C34" s="4207"/>
      <c r="D34" s="1334">
        <f>E34+F34+G34+H34+I34+J34+K34+L34</f>
        <v>2051551</v>
      </c>
      <c r="E34" s="1399">
        <v>0</v>
      </c>
      <c r="F34" s="2785">
        <v>0</v>
      </c>
      <c r="G34" s="1363">
        <f>237308+909150+164430+740663</f>
        <v>2051551</v>
      </c>
      <c r="H34" s="1399">
        <v>0</v>
      </c>
      <c r="I34" s="1399">
        <v>0</v>
      </c>
      <c r="J34" s="1399">
        <v>0</v>
      </c>
      <c r="K34" s="1399">
        <v>0</v>
      </c>
      <c r="L34" s="1399">
        <v>0</v>
      </c>
      <c r="M34" s="3517"/>
      <c r="N34" s="3517"/>
      <c r="O34" s="3711"/>
      <c r="P34" s="2389">
        <f>G34-'[4]Tab. 6H - Kultura fiz. i turyst'!$G$34</f>
        <v>905093</v>
      </c>
    </row>
    <row r="35" spans="1:17" s="2385" customFormat="1" ht="14.25" customHeight="1">
      <c r="A35" s="4199"/>
      <c r="B35" s="2187" t="s">
        <v>18</v>
      </c>
      <c r="C35" s="3598" t="s">
        <v>182</v>
      </c>
      <c r="D35" s="1360">
        <f>+D36</f>
        <v>23444989</v>
      </c>
      <c r="E35" s="1366">
        <f t="shared" ref="E35" si="24">+E36</f>
        <v>0</v>
      </c>
      <c r="F35" s="1366">
        <f t="shared" ref="F35:H35" si="25">F36</f>
        <v>0</v>
      </c>
      <c r="G35" s="1366">
        <f t="shared" si="25"/>
        <v>23444989</v>
      </c>
      <c r="H35" s="1366">
        <f t="shared" si="25"/>
        <v>0</v>
      </c>
      <c r="I35" s="1366"/>
      <c r="J35" s="1366"/>
      <c r="K35" s="1366"/>
      <c r="L35" s="1366"/>
      <c r="M35" s="3517"/>
      <c r="N35" s="3517"/>
      <c r="O35" s="3711"/>
    </row>
    <row r="36" spans="1:17" s="2385" customFormat="1" ht="14.25" customHeight="1" thickBot="1">
      <c r="A36" s="4200"/>
      <c r="B36" s="2861" t="s">
        <v>20</v>
      </c>
      <c r="C36" s="4153"/>
      <c r="D36" s="1288">
        <f>E36+F36+G36+H36+I36+J36+K36+L36</f>
        <v>23444989</v>
      </c>
      <c r="E36" s="1288">
        <v>0</v>
      </c>
      <c r="F36" s="1662">
        <f>14000000-13175000-825000</f>
        <v>0</v>
      </c>
      <c r="G36" s="1662">
        <f>23383978+11175000+825000-63571-10214954-1660464</f>
        <v>23444989</v>
      </c>
      <c r="H36" s="1662">
        <f>1000000+2000000-5390-897546-2097064</f>
        <v>0</v>
      </c>
      <c r="I36" s="1662"/>
      <c r="J36" s="1662"/>
      <c r="K36" s="1662"/>
      <c r="L36" s="1662"/>
      <c r="M36" s="3518"/>
      <c r="N36" s="3518"/>
      <c r="O36" s="3712"/>
    </row>
    <row r="37" spans="1:17" ht="23.25" customHeight="1">
      <c r="A37" s="4211" t="s">
        <v>56</v>
      </c>
      <c r="B37" s="179" t="s">
        <v>553</v>
      </c>
      <c r="C37" s="2768" t="s">
        <v>73</v>
      </c>
      <c r="D37" s="1205"/>
      <c r="E37" s="2786"/>
      <c r="F37" s="2787"/>
      <c r="G37" s="2787"/>
      <c r="H37" s="2787"/>
      <c r="I37" s="2773"/>
      <c r="J37" s="2773"/>
      <c r="K37" s="2773"/>
      <c r="L37" s="2774"/>
      <c r="M37" s="1206"/>
      <c r="N37" s="1206"/>
      <c r="O37" s="3734" t="s">
        <v>78</v>
      </c>
    </row>
    <row r="38" spans="1:17" ht="12">
      <c r="A38" s="4198"/>
      <c r="B38" s="1355" t="s">
        <v>10</v>
      </c>
      <c r="C38" s="3190"/>
      <c r="D38" s="1357">
        <f>+D39+D42</f>
        <v>10832115</v>
      </c>
      <c r="E38" s="1357">
        <f t="shared" ref="E38" si="26">+E39+E42</f>
        <v>52306</v>
      </c>
      <c r="F38" s="1357">
        <f>+F39+F42</f>
        <v>251149</v>
      </c>
      <c r="G38" s="1357">
        <f>+G39+G42</f>
        <v>10528660</v>
      </c>
      <c r="H38" s="1357"/>
      <c r="I38" s="1357"/>
      <c r="J38" s="1357"/>
      <c r="K38" s="1357"/>
      <c r="L38" s="1357"/>
      <c r="M38" s="1358">
        <f>M39+M42</f>
        <v>9987044</v>
      </c>
      <c r="N38" s="1358">
        <f>N39+N42</f>
        <v>10528660</v>
      </c>
      <c r="O38" s="3735"/>
      <c r="P38" s="195"/>
      <c r="Q38" s="195"/>
    </row>
    <row r="39" spans="1:17" s="2385" customFormat="1" ht="14.25" customHeight="1">
      <c r="A39" s="4198"/>
      <c r="B39" s="1359" t="s">
        <v>23</v>
      </c>
      <c r="C39" s="3522" t="s">
        <v>160</v>
      </c>
      <c r="D39" s="1360">
        <f>D40+D41</f>
        <v>1706618</v>
      </c>
      <c r="E39" s="1360">
        <f t="shared" ref="E39:G39" si="27">E40+E41</f>
        <v>52306</v>
      </c>
      <c r="F39" s="1360">
        <f t="shared" si="27"/>
        <v>37672</v>
      </c>
      <c r="G39" s="1360">
        <f t="shared" si="27"/>
        <v>1616640</v>
      </c>
      <c r="H39" s="1365"/>
      <c r="I39" s="1365"/>
      <c r="J39" s="1365"/>
      <c r="K39" s="1365"/>
      <c r="L39" s="1365"/>
      <c r="M39" s="1361">
        <f>M40</f>
        <v>861547</v>
      </c>
      <c r="N39" s="1361">
        <f>N40+N41</f>
        <v>1616640</v>
      </c>
      <c r="O39" s="3735"/>
    </row>
    <row r="40" spans="1:17" s="2385" customFormat="1" ht="12.75">
      <c r="A40" s="4198"/>
      <c r="B40" s="1362" t="s">
        <v>12</v>
      </c>
      <c r="C40" s="3566"/>
      <c r="D40" s="1288">
        <f>E40+F40+G40+H40+I40+J40+K40+L40</f>
        <v>913853</v>
      </c>
      <c r="E40" s="1288">
        <v>52306</v>
      </c>
      <c r="F40" s="1363">
        <f>1009016+55696-942462-60000-31703</f>
        <v>30547</v>
      </c>
      <c r="G40" s="1363">
        <f>1500949-14542+942462+60000-14513-508668-765688-369000</f>
        <v>831000</v>
      </c>
      <c r="H40" s="1363"/>
      <c r="I40" s="1363"/>
      <c r="J40" s="1363"/>
      <c r="K40" s="1363"/>
      <c r="L40" s="1363"/>
      <c r="M40" s="1674">
        <f>SUM(F40:K40)</f>
        <v>861547</v>
      </c>
      <c r="N40" s="1674">
        <f>SUM(G40:L40)</f>
        <v>831000</v>
      </c>
      <c r="O40" s="3735"/>
    </row>
    <row r="41" spans="1:17" s="2385" customFormat="1" ht="12.75">
      <c r="A41" s="4198"/>
      <c r="B41" s="2860" t="s">
        <v>15</v>
      </c>
      <c r="C41" s="3566"/>
      <c r="D41" s="1288">
        <f>E41+F41+G41+H41+I41+J41+K41+L41</f>
        <v>792765</v>
      </c>
      <c r="E41" s="2863">
        <v>0</v>
      </c>
      <c r="F41" s="1363">
        <v>7125</v>
      </c>
      <c r="G41" s="1363">
        <f>26722+508668+250250</f>
        <v>785640</v>
      </c>
      <c r="H41" s="1363"/>
      <c r="I41" s="1363"/>
      <c r="J41" s="1363"/>
      <c r="K41" s="1363"/>
      <c r="L41" s="1363"/>
      <c r="M41" s="1674"/>
      <c r="N41" s="1674">
        <f>SUM(G41:L41)</f>
        <v>785640</v>
      </c>
      <c r="O41" s="3735"/>
    </row>
    <row r="42" spans="1:17" ht="14.25" customHeight="1">
      <c r="A42" s="4198"/>
      <c r="B42" s="1364" t="s">
        <v>18</v>
      </c>
      <c r="C42" s="3566"/>
      <c r="D42" s="1360">
        <f>+D43</f>
        <v>9125497</v>
      </c>
      <c r="E42" s="2045">
        <f t="shared" ref="E42" si="28">+E43</f>
        <v>0</v>
      </c>
      <c r="F42" s="2864">
        <f>F43</f>
        <v>213477</v>
      </c>
      <c r="G42" s="2864">
        <f>G43</f>
        <v>8912020</v>
      </c>
      <c r="H42" s="1365"/>
      <c r="I42" s="1365"/>
      <c r="J42" s="1365"/>
      <c r="K42" s="1365"/>
      <c r="L42" s="1365"/>
      <c r="M42" s="2039">
        <f>+M43</f>
        <v>9125497</v>
      </c>
      <c r="N42" s="2039">
        <f>+N43</f>
        <v>8912020</v>
      </c>
      <c r="O42" s="3735"/>
    </row>
    <row r="43" spans="1:17" ht="12.75">
      <c r="A43" s="4198"/>
      <c r="B43" s="3428" t="s">
        <v>20</v>
      </c>
      <c r="C43" s="3658"/>
      <c r="D43" s="1288">
        <f>E43+F43+G43+H43+I43+J43+K43+L43</f>
        <v>9125497</v>
      </c>
      <c r="E43" s="2863">
        <v>0</v>
      </c>
      <c r="F43" s="1363">
        <f>5717756-52724-5057282-255000-139273</f>
        <v>213477</v>
      </c>
      <c r="G43" s="1363">
        <f>8505377-82402+5057282+255000+69185-3647919-1244503</f>
        <v>8912020</v>
      </c>
      <c r="H43" s="1363"/>
      <c r="I43" s="1363"/>
      <c r="J43" s="1363"/>
      <c r="K43" s="1363"/>
      <c r="L43" s="1363"/>
      <c r="M43" s="1674">
        <f>SUM(F43:K43)</f>
        <v>9125497</v>
      </c>
      <c r="N43" s="1674">
        <f>SUM(G43:L43)</f>
        <v>8912020</v>
      </c>
      <c r="O43" s="4185"/>
    </row>
    <row r="44" spans="1:17" ht="12">
      <c r="A44" s="4198"/>
      <c r="B44" s="2149" t="s">
        <v>21</v>
      </c>
      <c r="C44" s="2603"/>
      <c r="D44" s="1357">
        <f>+D47+D45</f>
        <v>9918262</v>
      </c>
      <c r="E44" s="1656">
        <f>+E47</f>
        <v>0</v>
      </c>
      <c r="F44" s="1357">
        <f>F47+F45</f>
        <v>7125</v>
      </c>
      <c r="G44" s="1357">
        <f t="shared" ref="G44:H44" si="29">G47+G45</f>
        <v>9911137</v>
      </c>
      <c r="H44" s="1357">
        <f t="shared" si="29"/>
        <v>0</v>
      </c>
      <c r="I44" s="1357"/>
      <c r="J44" s="1357"/>
      <c r="K44" s="1357"/>
      <c r="L44" s="1357"/>
      <c r="M44" s="4188"/>
      <c r="N44" s="4188"/>
      <c r="O44" s="4187" t="s">
        <v>93</v>
      </c>
    </row>
    <row r="45" spans="1:17" ht="12">
      <c r="A45" s="4198"/>
      <c r="B45" s="2187" t="s">
        <v>399</v>
      </c>
      <c r="C45" s="4201" t="s">
        <v>160</v>
      </c>
      <c r="D45" s="1366">
        <f t="shared" ref="D45:L45" si="30">D46</f>
        <v>792765</v>
      </c>
      <c r="E45" s="1722">
        <f t="shared" ref="E45" si="31">+E46</f>
        <v>0</v>
      </c>
      <c r="F45" s="2784">
        <f t="shared" si="30"/>
        <v>7125</v>
      </c>
      <c r="G45" s="1365">
        <f t="shared" si="30"/>
        <v>785640</v>
      </c>
      <c r="H45" s="1722">
        <f t="shared" si="30"/>
        <v>0</v>
      </c>
      <c r="I45" s="1722">
        <f t="shared" si="30"/>
        <v>0</v>
      </c>
      <c r="J45" s="1722">
        <f t="shared" si="30"/>
        <v>0</v>
      </c>
      <c r="K45" s="1722">
        <f t="shared" si="30"/>
        <v>0</v>
      </c>
      <c r="L45" s="1722">
        <f t="shared" si="30"/>
        <v>0</v>
      </c>
      <c r="M45" s="4189"/>
      <c r="N45" s="4189"/>
      <c r="O45" s="3711"/>
    </row>
    <row r="46" spans="1:17" ht="12.75">
      <c r="A46" s="4198"/>
      <c r="B46" s="2860" t="s">
        <v>15</v>
      </c>
      <c r="C46" s="4202"/>
      <c r="D46" s="1334">
        <f>E46+F46+G46+H46+I46+J46+K46+L46</f>
        <v>792765</v>
      </c>
      <c r="E46" s="1399">
        <v>0</v>
      </c>
      <c r="F46" s="2785">
        <v>7125</v>
      </c>
      <c r="G46" s="1363">
        <f>26722+508668+250250</f>
        <v>785640</v>
      </c>
      <c r="H46" s="1399">
        <v>0</v>
      </c>
      <c r="I46" s="1399">
        <v>0</v>
      </c>
      <c r="J46" s="1399">
        <v>0</v>
      </c>
      <c r="K46" s="1399">
        <v>0</v>
      </c>
      <c r="L46" s="1399">
        <v>0</v>
      </c>
      <c r="M46" s="4189"/>
      <c r="N46" s="4189"/>
      <c r="O46" s="3711"/>
      <c r="P46" s="195">
        <f>G46-'[4]Tab. 6H - Kultura fiz. i turyst'!$G$46</f>
        <v>250250</v>
      </c>
    </row>
    <row r="47" spans="1:17" ht="12.75" customHeight="1">
      <c r="A47" s="4198"/>
      <c r="B47" s="2187" t="s">
        <v>18</v>
      </c>
      <c r="C47" s="3695" t="s">
        <v>182</v>
      </c>
      <c r="D47" s="1360">
        <f>+D48</f>
        <v>9125497</v>
      </c>
      <c r="E47" s="1417">
        <f t="shared" ref="E47" si="32">+E48</f>
        <v>0</v>
      </c>
      <c r="F47" s="1417">
        <f t="shared" ref="F47:H47" si="33">F48</f>
        <v>0</v>
      </c>
      <c r="G47" s="1366">
        <f t="shared" si="33"/>
        <v>9125497</v>
      </c>
      <c r="H47" s="1366">
        <f t="shared" si="33"/>
        <v>0</v>
      </c>
      <c r="I47" s="1366"/>
      <c r="J47" s="1366"/>
      <c r="K47" s="1366"/>
      <c r="L47" s="1366"/>
      <c r="M47" s="4189"/>
      <c r="N47" s="4189"/>
      <c r="O47" s="3711"/>
    </row>
    <row r="48" spans="1:17" ht="13.5" thickBot="1">
      <c r="A48" s="4209"/>
      <c r="B48" s="3426" t="s">
        <v>20</v>
      </c>
      <c r="C48" s="4153"/>
      <c r="D48" s="2031">
        <f>E48+F48+G48+H48+I48+J48+K48+L48</f>
        <v>9125497</v>
      </c>
      <c r="E48" s="2478">
        <v>0</v>
      </c>
      <c r="F48" s="1663">
        <f>5600000-135126-4889874-575000</f>
        <v>0</v>
      </c>
      <c r="G48" s="1662">
        <f>8123133+3389874+575000-60138-1657869-1244503</f>
        <v>9125497</v>
      </c>
      <c r="H48" s="1662">
        <f>500000+1500000-9950-1990050</f>
        <v>0</v>
      </c>
      <c r="I48" s="1662"/>
      <c r="J48" s="1662"/>
      <c r="K48" s="1662"/>
      <c r="L48" s="1662"/>
      <c r="M48" s="4190"/>
      <c r="N48" s="4190"/>
      <c r="O48" s="3712"/>
    </row>
    <row r="49" spans="1:17" ht="36" customHeight="1">
      <c r="A49" s="4211" t="s">
        <v>57</v>
      </c>
      <c r="B49" s="179" t="s">
        <v>554</v>
      </c>
      <c r="C49" s="2768" t="s">
        <v>73</v>
      </c>
      <c r="D49" s="1205"/>
      <c r="E49" s="2786"/>
      <c r="F49" s="2787"/>
      <c r="G49" s="2787"/>
      <c r="H49" s="2787"/>
      <c r="I49" s="2773"/>
      <c r="J49" s="2773"/>
      <c r="K49" s="2773"/>
      <c r="L49" s="2774"/>
      <c r="M49" s="1206"/>
      <c r="N49" s="1206"/>
      <c r="O49" s="3734" t="s">
        <v>78</v>
      </c>
    </row>
    <row r="50" spans="1:17" ht="12">
      <c r="A50" s="4198"/>
      <c r="B50" s="1355" t="s">
        <v>10</v>
      </c>
      <c r="C50" s="3190"/>
      <c r="D50" s="1357">
        <f>+D51+D54</f>
        <v>5701558</v>
      </c>
      <c r="E50" s="1656">
        <f t="shared" ref="E50" si="34">+E51+E54</f>
        <v>0</v>
      </c>
      <c r="F50" s="1357">
        <f>+F51+F54</f>
        <v>217780</v>
      </c>
      <c r="G50" s="1357">
        <f>+G51+G54</f>
        <v>5483778</v>
      </c>
      <c r="H50" s="1357"/>
      <c r="I50" s="1357"/>
      <c r="J50" s="1357"/>
      <c r="K50" s="1357"/>
      <c r="L50" s="1357"/>
      <c r="M50" s="1358">
        <f>M51+M54</f>
        <v>5201402</v>
      </c>
      <c r="N50" s="1358">
        <f>N51+N54</f>
        <v>5483778</v>
      </c>
      <c r="O50" s="3735"/>
      <c r="P50" s="195"/>
      <c r="Q50" s="195"/>
    </row>
    <row r="51" spans="1:17" s="2385" customFormat="1" ht="14.25" customHeight="1">
      <c r="A51" s="4198"/>
      <c r="B51" s="1359" t="s">
        <v>23</v>
      </c>
      <c r="C51" s="3522" t="s">
        <v>160</v>
      </c>
      <c r="D51" s="1360">
        <f>D52+D53</f>
        <v>954677</v>
      </c>
      <c r="E51" s="1654">
        <f t="shared" ref="E51:G51" si="35">E52+E53</f>
        <v>0</v>
      </c>
      <c r="F51" s="1360">
        <f t="shared" si="35"/>
        <v>42149</v>
      </c>
      <c r="G51" s="1360">
        <f t="shared" si="35"/>
        <v>912528</v>
      </c>
      <c r="H51" s="1365"/>
      <c r="I51" s="1365"/>
      <c r="J51" s="1365"/>
      <c r="K51" s="1365"/>
      <c r="L51" s="1365"/>
      <c r="M51" s="1361">
        <f>M52</f>
        <v>454521</v>
      </c>
      <c r="N51" s="1361">
        <f>N52+N53</f>
        <v>912528</v>
      </c>
      <c r="O51" s="3735"/>
    </row>
    <row r="52" spans="1:17" s="2385" customFormat="1" ht="12.75">
      <c r="A52" s="4198"/>
      <c r="B52" s="1362" t="s">
        <v>12</v>
      </c>
      <c r="C52" s="3566"/>
      <c r="D52" s="1288">
        <f>E52+F52+G52+H52+I52+J52+K52+L52</f>
        <v>454521</v>
      </c>
      <c r="E52" s="2863">
        <v>0</v>
      </c>
      <c r="F52" s="1363">
        <f>610000-360000-72500-105621-38491</f>
        <v>33388</v>
      </c>
      <c r="G52" s="1363">
        <f>495000+360000+72500+105621+19779-403710-139190-88867</f>
        <v>421133</v>
      </c>
      <c r="H52" s="1363"/>
      <c r="I52" s="1363"/>
      <c r="J52" s="1363"/>
      <c r="K52" s="1363"/>
      <c r="L52" s="1363"/>
      <c r="M52" s="1674">
        <f>SUM(F52:K52)</f>
        <v>454521</v>
      </c>
      <c r="N52" s="1674">
        <f>SUM(G52:L52)</f>
        <v>421133</v>
      </c>
      <c r="O52" s="3735"/>
    </row>
    <row r="53" spans="1:17" s="2385" customFormat="1" ht="12.75">
      <c r="A53" s="4198"/>
      <c r="B53" s="2860" t="s">
        <v>15</v>
      </c>
      <c r="C53" s="3566"/>
      <c r="D53" s="1288">
        <f>E53+F53+G53+H53+I53+J53+K53+L53</f>
        <v>500156</v>
      </c>
      <c r="E53" s="2863">
        <v>0</v>
      </c>
      <c r="F53" s="1363">
        <v>8761</v>
      </c>
      <c r="G53" s="1363">
        <f>403710+70805+16880</f>
        <v>491395</v>
      </c>
      <c r="H53" s="1363"/>
      <c r="I53" s="1363"/>
      <c r="J53" s="1363"/>
      <c r="K53" s="1363"/>
      <c r="L53" s="1363"/>
      <c r="M53" s="1674"/>
      <c r="N53" s="1674">
        <f>SUM(G53:L53)</f>
        <v>491395</v>
      </c>
      <c r="O53" s="3735"/>
    </row>
    <row r="54" spans="1:17" ht="12">
      <c r="A54" s="4198"/>
      <c r="B54" s="1364" t="s">
        <v>18</v>
      </c>
      <c r="C54" s="3566"/>
      <c r="D54" s="1360">
        <f>+D55</f>
        <v>4746881</v>
      </c>
      <c r="E54" s="2045">
        <f t="shared" ref="E54" si="36">+E55</f>
        <v>0</v>
      </c>
      <c r="F54" s="2864">
        <f>F55</f>
        <v>175631</v>
      </c>
      <c r="G54" s="2864">
        <f>G55</f>
        <v>4571250</v>
      </c>
      <c r="H54" s="1365"/>
      <c r="I54" s="1365"/>
      <c r="J54" s="1365"/>
      <c r="K54" s="1365"/>
      <c r="L54" s="1365"/>
      <c r="M54" s="2039">
        <f>+M55</f>
        <v>4746881</v>
      </c>
      <c r="N54" s="2039">
        <f>+N55</f>
        <v>4571250</v>
      </c>
      <c r="O54" s="3735"/>
    </row>
    <row r="55" spans="1:17" ht="12.75">
      <c r="A55" s="4198"/>
      <c r="B55" s="3428" t="s">
        <v>20</v>
      </c>
      <c r="C55" s="3658"/>
      <c r="D55" s="1288">
        <f>E55+F55+G55+H55+I55+J55+K55+L55</f>
        <v>4746881</v>
      </c>
      <c r="E55" s="2863">
        <v>0</v>
      </c>
      <c r="F55" s="1363">
        <f>2890000-2040000-127500-546585-284</f>
        <v>175631</v>
      </c>
      <c r="G55" s="1363">
        <f>2805000+2040000+127500+546585-56102-443834-447899</f>
        <v>4571250</v>
      </c>
      <c r="H55" s="1363"/>
      <c r="I55" s="1363"/>
      <c r="J55" s="1363"/>
      <c r="K55" s="1363"/>
      <c r="L55" s="1363"/>
      <c r="M55" s="1674">
        <f>SUM(F55:K55)</f>
        <v>4746881</v>
      </c>
      <c r="N55" s="1674">
        <f>SUM(G55:L55)</f>
        <v>4571250</v>
      </c>
      <c r="O55" s="4185"/>
    </row>
    <row r="56" spans="1:17" ht="12">
      <c r="A56" s="4198"/>
      <c r="B56" s="2149" t="s">
        <v>21</v>
      </c>
      <c r="C56" s="2603"/>
      <c r="D56" s="1357">
        <f>+D59+D57</f>
        <v>5247037</v>
      </c>
      <c r="E56" s="1656">
        <f t="shared" ref="E56:G56" si="37">+E59+E57</f>
        <v>0</v>
      </c>
      <c r="F56" s="1357">
        <f t="shared" si="37"/>
        <v>8761</v>
      </c>
      <c r="G56" s="1357">
        <f t="shared" si="37"/>
        <v>5238276</v>
      </c>
      <c r="H56" s="1656">
        <f>H59</f>
        <v>0</v>
      </c>
      <c r="I56" s="1357"/>
      <c r="J56" s="1357"/>
      <c r="K56" s="1357"/>
      <c r="L56" s="1357"/>
      <c r="M56" s="4188"/>
      <c r="N56" s="4188"/>
      <c r="O56" s="3711" t="s">
        <v>93</v>
      </c>
    </row>
    <row r="57" spans="1:17" ht="12">
      <c r="A57" s="4198"/>
      <c r="B57" s="2187" t="s">
        <v>399</v>
      </c>
      <c r="C57" s="4201" t="s">
        <v>160</v>
      </c>
      <c r="D57" s="1366">
        <f t="shared" ref="D57:L57" si="38">D58</f>
        <v>500156</v>
      </c>
      <c r="E57" s="1722">
        <f t="shared" ref="E57" si="39">+E58</f>
        <v>0</v>
      </c>
      <c r="F57" s="2784">
        <f t="shared" si="38"/>
        <v>8761</v>
      </c>
      <c r="G57" s="1365">
        <f t="shared" si="38"/>
        <v>491395</v>
      </c>
      <c r="H57" s="1722">
        <f t="shared" si="38"/>
        <v>0</v>
      </c>
      <c r="I57" s="1722">
        <f t="shared" si="38"/>
        <v>0</v>
      </c>
      <c r="J57" s="1722">
        <f t="shared" si="38"/>
        <v>0</v>
      </c>
      <c r="K57" s="1722">
        <f t="shared" si="38"/>
        <v>0</v>
      </c>
      <c r="L57" s="1722">
        <f t="shared" si="38"/>
        <v>0</v>
      </c>
      <c r="M57" s="4189"/>
      <c r="N57" s="4189"/>
      <c r="O57" s="3711"/>
    </row>
    <row r="58" spans="1:17" ht="12.75">
      <c r="A58" s="4198"/>
      <c r="B58" s="2860" t="s">
        <v>15</v>
      </c>
      <c r="C58" s="4202"/>
      <c r="D58" s="1334">
        <f>E58+F58+G58+H58+I58+J58+K58+L58</f>
        <v>500156</v>
      </c>
      <c r="E58" s="1399">
        <v>0</v>
      </c>
      <c r="F58" s="2785">
        <v>8761</v>
      </c>
      <c r="G58" s="1363">
        <f>403710+70805+16880</f>
        <v>491395</v>
      </c>
      <c r="H58" s="1399">
        <v>0</v>
      </c>
      <c r="I58" s="1399">
        <v>0</v>
      </c>
      <c r="J58" s="1399">
        <v>0</v>
      </c>
      <c r="K58" s="1399">
        <v>0</v>
      </c>
      <c r="L58" s="1399">
        <v>0</v>
      </c>
      <c r="M58" s="4189"/>
      <c r="N58" s="4189"/>
      <c r="O58" s="3711"/>
      <c r="P58" s="195">
        <f>G58-'[4]Tab. 6H - Kultura fiz. i turyst'!$G$58</f>
        <v>87685</v>
      </c>
    </row>
    <row r="59" spans="1:17" ht="12.75" customHeight="1">
      <c r="A59" s="4198"/>
      <c r="B59" s="2187" t="s">
        <v>18</v>
      </c>
      <c r="C59" s="3695" t="s">
        <v>182</v>
      </c>
      <c r="D59" s="1360">
        <f>+D60</f>
        <v>4746881</v>
      </c>
      <c r="E59" s="1417">
        <f t="shared" ref="E59" si="40">+E60</f>
        <v>0</v>
      </c>
      <c r="F59" s="1366">
        <f t="shared" ref="F59:H59" si="41">F60</f>
        <v>0</v>
      </c>
      <c r="G59" s="1366">
        <f t="shared" si="41"/>
        <v>4746881</v>
      </c>
      <c r="H59" s="1417">
        <f t="shared" si="41"/>
        <v>0</v>
      </c>
      <c r="I59" s="1366"/>
      <c r="J59" s="1366"/>
      <c r="K59" s="1366"/>
      <c r="L59" s="1366"/>
      <c r="M59" s="4189"/>
      <c r="N59" s="4189"/>
      <c r="O59" s="3711"/>
    </row>
    <row r="60" spans="1:17" ht="13.5" thickBot="1">
      <c r="A60" s="4209"/>
      <c r="B60" s="2861" t="s">
        <v>20</v>
      </c>
      <c r="C60" s="3523"/>
      <c r="D60" s="2031">
        <f>E60+F60+G60+H60+I60+J60+K60+L60</f>
        <v>4746881</v>
      </c>
      <c r="E60" s="2478">
        <v>0</v>
      </c>
      <c r="F60" s="1662">
        <f>2890000-2040000-850000</f>
        <v>0</v>
      </c>
      <c r="G60" s="1662">
        <f>2805000+2040000+850000-56386-443834-447899</f>
        <v>4746881</v>
      </c>
      <c r="H60" s="1663">
        <v>0</v>
      </c>
      <c r="I60" s="1662"/>
      <c r="J60" s="1662"/>
      <c r="K60" s="1662"/>
      <c r="L60" s="1662"/>
      <c r="M60" s="4190"/>
      <c r="N60" s="4190"/>
      <c r="O60" s="3712"/>
    </row>
    <row r="61" spans="1:17" ht="26.25" customHeight="1">
      <c r="A61" s="4211" t="s">
        <v>58</v>
      </c>
      <c r="B61" s="179" t="s">
        <v>548</v>
      </c>
      <c r="C61" s="2768" t="s">
        <v>73</v>
      </c>
      <c r="D61" s="1205"/>
      <c r="E61" s="2786"/>
      <c r="F61" s="2787"/>
      <c r="G61" s="2787"/>
      <c r="H61" s="2787"/>
      <c r="I61" s="2773"/>
      <c r="J61" s="2773"/>
      <c r="K61" s="2773"/>
      <c r="L61" s="2774"/>
      <c r="M61" s="1206"/>
      <c r="N61" s="1206"/>
      <c r="O61" s="3734" t="s">
        <v>78</v>
      </c>
    </row>
    <row r="62" spans="1:17" ht="14.25" customHeight="1">
      <c r="A62" s="4198"/>
      <c r="B62" s="1355" t="s">
        <v>10</v>
      </c>
      <c r="C62" s="3190"/>
      <c r="D62" s="1357">
        <f>+D63+D66</f>
        <v>8223000</v>
      </c>
      <c r="E62" s="1656">
        <f t="shared" ref="E62" si="42">+E63+E66</f>
        <v>0</v>
      </c>
      <c r="F62" s="1357">
        <f>+F63+F66</f>
        <v>0</v>
      </c>
      <c r="G62" s="1357">
        <f>+G63+G66</f>
        <v>123000</v>
      </c>
      <c r="H62" s="1357">
        <f>+H63+H66</f>
        <v>8100000</v>
      </c>
      <c r="I62" s="1357"/>
      <c r="J62" s="1357"/>
      <c r="K62" s="1357"/>
      <c r="L62" s="1357"/>
      <c r="M62" s="1358">
        <f>M63+M66</f>
        <v>8223000</v>
      </c>
      <c r="N62" s="1358">
        <f>N63+N66</f>
        <v>8223000</v>
      </c>
      <c r="O62" s="3735"/>
    </row>
    <row r="63" spans="1:17" ht="14.25" customHeight="1">
      <c r="A63" s="4198"/>
      <c r="B63" s="1359" t="s">
        <v>23</v>
      </c>
      <c r="C63" s="3522" t="s">
        <v>160</v>
      </c>
      <c r="D63" s="1360">
        <f>D64+D65</f>
        <v>1233450</v>
      </c>
      <c r="E63" s="1654">
        <f t="shared" ref="E63:H63" si="43">E64+E65</f>
        <v>0</v>
      </c>
      <c r="F63" s="1360">
        <f t="shared" si="43"/>
        <v>0</v>
      </c>
      <c r="G63" s="1360">
        <f t="shared" si="43"/>
        <v>18450</v>
      </c>
      <c r="H63" s="1360">
        <f t="shared" si="43"/>
        <v>1215000</v>
      </c>
      <c r="I63" s="1365"/>
      <c r="J63" s="1365"/>
      <c r="K63" s="1365"/>
      <c r="L63" s="1365"/>
      <c r="M63" s="1361">
        <f>M64</f>
        <v>1233450</v>
      </c>
      <c r="N63" s="1361">
        <f>N64+N65</f>
        <v>1233450</v>
      </c>
      <c r="O63" s="3735"/>
    </row>
    <row r="64" spans="1:17" ht="14.25" customHeight="1">
      <c r="A64" s="4198"/>
      <c r="B64" s="1362" t="s">
        <v>12</v>
      </c>
      <c r="C64" s="3566"/>
      <c r="D64" s="1288">
        <f>E64+F64+G64+H64+I64+J64+K64+L64</f>
        <v>1233450</v>
      </c>
      <c r="E64" s="2863">
        <v>0</v>
      </c>
      <c r="F64" s="1363"/>
      <c r="G64" s="1363">
        <v>18450</v>
      </c>
      <c r="H64" s="1363">
        <v>1215000</v>
      </c>
      <c r="I64" s="1363"/>
      <c r="J64" s="1363"/>
      <c r="K64" s="1363"/>
      <c r="L64" s="1363"/>
      <c r="M64" s="1674">
        <f>SUM(F64:K64)</f>
        <v>1233450</v>
      </c>
      <c r="N64" s="1674">
        <f>SUM(G64:L64)</f>
        <v>1233450</v>
      </c>
      <c r="O64" s="3735"/>
    </row>
    <row r="65" spans="1:17" ht="12.75" hidden="1">
      <c r="A65" s="4198"/>
      <c r="B65" s="2860" t="s">
        <v>15</v>
      </c>
      <c r="C65" s="3566"/>
      <c r="D65" s="1288">
        <f>E65+F65+G65+H65+I65+J65+K65+L65</f>
        <v>0</v>
      </c>
      <c r="E65" s="2863">
        <v>0</v>
      </c>
      <c r="F65" s="1363"/>
      <c r="G65" s="1363">
        <v>0</v>
      </c>
      <c r="H65" s="1363">
        <v>0</v>
      </c>
      <c r="I65" s="1363"/>
      <c r="J65" s="1363"/>
      <c r="K65" s="1363"/>
      <c r="L65" s="1363"/>
      <c r="M65" s="1674"/>
      <c r="N65" s="1674">
        <f>SUM(G65:L65)</f>
        <v>0</v>
      </c>
      <c r="O65" s="3735"/>
    </row>
    <row r="66" spans="1:17" ht="12">
      <c r="A66" s="4198"/>
      <c r="B66" s="1364" t="s">
        <v>18</v>
      </c>
      <c r="C66" s="3566"/>
      <c r="D66" s="1360">
        <f>+D67</f>
        <v>6989550</v>
      </c>
      <c r="E66" s="2045">
        <f t="shared" ref="E66" si="44">+E67</f>
        <v>0</v>
      </c>
      <c r="F66" s="2864">
        <f>F67</f>
        <v>0</v>
      </c>
      <c r="G66" s="2864">
        <f>G67</f>
        <v>104550</v>
      </c>
      <c r="H66" s="2864">
        <f>H67</f>
        <v>6885000</v>
      </c>
      <c r="I66" s="1365"/>
      <c r="J66" s="1365"/>
      <c r="K66" s="1365"/>
      <c r="L66" s="1365"/>
      <c r="M66" s="2039">
        <f>+M67</f>
        <v>6989550</v>
      </c>
      <c r="N66" s="2039">
        <f>+N67</f>
        <v>6989550</v>
      </c>
      <c r="O66" s="3735"/>
    </row>
    <row r="67" spans="1:17" ht="12.75">
      <c r="A67" s="4198"/>
      <c r="B67" s="3428" t="s">
        <v>20</v>
      </c>
      <c r="C67" s="3658"/>
      <c r="D67" s="1288">
        <f>E67+F67+G67+H67+I67+J67+K67+L67</f>
        <v>6989550</v>
      </c>
      <c r="E67" s="2863">
        <v>0</v>
      </c>
      <c r="F67" s="1363"/>
      <c r="G67" s="1363">
        <v>104550</v>
      </c>
      <c r="H67" s="1363">
        <v>6885000</v>
      </c>
      <c r="I67" s="1363"/>
      <c r="J67" s="1363"/>
      <c r="K67" s="1363"/>
      <c r="L67" s="1363"/>
      <c r="M67" s="1674">
        <f>SUM(F67:K67)</f>
        <v>6989550</v>
      </c>
      <c r="N67" s="1674">
        <f>SUM(G67:L67)</f>
        <v>6989550</v>
      </c>
      <c r="O67" s="4185"/>
    </row>
    <row r="68" spans="1:17" ht="14.25" customHeight="1">
      <c r="A68" s="4198"/>
      <c r="B68" s="2149" t="s">
        <v>21</v>
      </c>
      <c r="C68" s="2603"/>
      <c r="D68" s="1357">
        <f>+D71+D69</f>
        <v>6989550</v>
      </c>
      <c r="E68" s="1656">
        <f t="shared" ref="E68:G68" si="45">+E71+E69</f>
        <v>0</v>
      </c>
      <c r="F68" s="1357">
        <f t="shared" si="45"/>
        <v>0</v>
      </c>
      <c r="G68" s="1357">
        <f t="shared" si="45"/>
        <v>0</v>
      </c>
      <c r="H68" s="1357">
        <f>H71</f>
        <v>6989550</v>
      </c>
      <c r="I68" s="1357"/>
      <c r="J68" s="1357"/>
      <c r="K68" s="1357"/>
      <c r="L68" s="1357"/>
      <c r="M68" s="4188"/>
      <c r="N68" s="4188"/>
      <c r="O68" s="3711" t="s">
        <v>93</v>
      </c>
    </row>
    <row r="69" spans="1:17" ht="12" hidden="1">
      <c r="A69" s="4198"/>
      <c r="B69" s="2187" t="s">
        <v>399</v>
      </c>
      <c r="C69" s="4201" t="s">
        <v>160</v>
      </c>
      <c r="D69" s="1366">
        <f t="shared" ref="D69:L69" si="46">D70</f>
        <v>0</v>
      </c>
      <c r="E69" s="1722">
        <f t="shared" ref="E69" si="47">+E70</f>
        <v>0</v>
      </c>
      <c r="F69" s="2784">
        <f t="shared" si="46"/>
        <v>0</v>
      </c>
      <c r="G69" s="1365">
        <f t="shared" si="46"/>
        <v>0</v>
      </c>
      <c r="H69" s="1722">
        <f t="shared" si="46"/>
        <v>0</v>
      </c>
      <c r="I69" s="1722">
        <f t="shared" si="46"/>
        <v>0</v>
      </c>
      <c r="J69" s="1722">
        <f t="shared" si="46"/>
        <v>0</v>
      </c>
      <c r="K69" s="1722">
        <f t="shared" si="46"/>
        <v>0</v>
      </c>
      <c r="L69" s="1722">
        <f t="shared" si="46"/>
        <v>0</v>
      </c>
      <c r="M69" s="4189"/>
      <c r="N69" s="4189"/>
      <c r="O69" s="3711"/>
    </row>
    <row r="70" spans="1:17" ht="12.75" hidden="1">
      <c r="A70" s="4198"/>
      <c r="B70" s="2860" t="s">
        <v>15</v>
      </c>
      <c r="C70" s="4202"/>
      <c r="D70" s="1334">
        <f>E70+F70+G70+H70+I70+J70+K70+L70</f>
        <v>0</v>
      </c>
      <c r="E70" s="1399">
        <v>0</v>
      </c>
      <c r="F70" s="2785"/>
      <c r="G70" s="1363">
        <v>0</v>
      </c>
      <c r="H70" s="1399">
        <v>0</v>
      </c>
      <c r="I70" s="1399">
        <v>0</v>
      </c>
      <c r="J70" s="1399">
        <v>0</v>
      </c>
      <c r="K70" s="1399">
        <v>0</v>
      </c>
      <c r="L70" s="1399">
        <v>0</v>
      </c>
      <c r="M70" s="4189"/>
      <c r="N70" s="4189"/>
      <c r="O70" s="3711"/>
    </row>
    <row r="71" spans="1:17" ht="12">
      <c r="A71" s="4198"/>
      <c r="B71" s="2187" t="s">
        <v>18</v>
      </c>
      <c r="C71" s="3695" t="s">
        <v>182</v>
      </c>
      <c r="D71" s="1360">
        <f>+D72</f>
        <v>6989550</v>
      </c>
      <c r="E71" s="1417">
        <f t="shared" ref="E71" si="48">+E72</f>
        <v>0</v>
      </c>
      <c r="F71" s="1366">
        <f t="shared" ref="F71:H71" si="49">F72</f>
        <v>0</v>
      </c>
      <c r="G71" s="1366">
        <f t="shared" si="49"/>
        <v>0</v>
      </c>
      <c r="H71" s="1366">
        <f t="shared" si="49"/>
        <v>6989550</v>
      </c>
      <c r="I71" s="1366"/>
      <c r="J71" s="1366"/>
      <c r="K71" s="1366"/>
      <c r="L71" s="1366"/>
      <c r="M71" s="4189"/>
      <c r="N71" s="4189"/>
      <c r="O71" s="3711"/>
    </row>
    <row r="72" spans="1:17" ht="13.5" thickBot="1">
      <c r="A72" s="4209"/>
      <c r="B72" s="2861" t="s">
        <v>20</v>
      </c>
      <c r="C72" s="3523"/>
      <c r="D72" s="2031">
        <f>E72+F72+G72+H72+I72+J72+K72+L72</f>
        <v>6989550</v>
      </c>
      <c r="E72" s="2478">
        <v>0</v>
      </c>
      <c r="F72" s="1662">
        <f>2890000-2040000-850000</f>
        <v>0</v>
      </c>
      <c r="G72" s="1662">
        <v>0</v>
      </c>
      <c r="H72" s="1363">
        <v>6989550</v>
      </c>
      <c r="I72" s="1662"/>
      <c r="J72" s="1662"/>
      <c r="K72" s="1662"/>
      <c r="L72" s="1662"/>
      <c r="M72" s="4190"/>
      <c r="N72" s="4190"/>
      <c r="O72" s="3712"/>
    </row>
    <row r="73" spans="1:17" ht="27" customHeight="1">
      <c r="A73" s="4211" t="s">
        <v>59</v>
      </c>
      <c r="B73" s="179" t="s">
        <v>571</v>
      </c>
      <c r="C73" s="2768" t="s">
        <v>73</v>
      </c>
      <c r="D73" s="1205"/>
      <c r="E73" s="2786"/>
      <c r="F73" s="2787"/>
      <c r="G73" s="2787"/>
      <c r="H73" s="2787"/>
      <c r="I73" s="2773"/>
      <c r="J73" s="2773"/>
      <c r="K73" s="2773"/>
      <c r="L73" s="2774"/>
      <c r="M73" s="1206"/>
      <c r="N73" s="1206"/>
      <c r="O73" s="3734" t="s">
        <v>78</v>
      </c>
    </row>
    <row r="74" spans="1:17" ht="16.5" customHeight="1">
      <c r="A74" s="4198"/>
      <c r="B74" s="1355" t="s">
        <v>10</v>
      </c>
      <c r="C74" s="3190"/>
      <c r="D74" s="1357">
        <f>+D75+D77</f>
        <v>7500000</v>
      </c>
      <c r="E74" s="1357">
        <f t="shared" ref="E74" si="50">+E75+E77</f>
        <v>0</v>
      </c>
      <c r="F74" s="1656">
        <f>+F75+F77</f>
        <v>0</v>
      </c>
      <c r="G74" s="1357">
        <f>+G75+G77</f>
        <v>2100000</v>
      </c>
      <c r="H74" s="1357">
        <f>+H75+H77</f>
        <v>5050000</v>
      </c>
      <c r="I74" s="1357">
        <f>+I75+I77</f>
        <v>350000</v>
      </c>
      <c r="J74" s="1357"/>
      <c r="K74" s="1357"/>
      <c r="L74" s="1357"/>
      <c r="M74" s="1358">
        <f>M75+M77</f>
        <v>7500000</v>
      </c>
      <c r="N74" s="1358">
        <f>N75+N77</f>
        <v>7500000</v>
      </c>
      <c r="O74" s="3735"/>
      <c r="P74" s="195"/>
      <c r="Q74" s="195"/>
    </row>
    <row r="75" spans="1:17" s="2385" customFormat="1" ht="14.25" customHeight="1">
      <c r="A75" s="4198"/>
      <c r="B75" s="1359" t="s">
        <v>23</v>
      </c>
      <c r="C75" s="3522" t="s">
        <v>160</v>
      </c>
      <c r="D75" s="1360">
        <f>D76</f>
        <v>1125000</v>
      </c>
      <c r="E75" s="1718">
        <f t="shared" ref="E75:I75" si="51">E76</f>
        <v>0</v>
      </c>
      <c r="F75" s="3191">
        <f t="shared" si="51"/>
        <v>0</v>
      </c>
      <c r="G75" s="2864">
        <f t="shared" si="51"/>
        <v>315000</v>
      </c>
      <c r="H75" s="2864">
        <f t="shared" si="51"/>
        <v>757500</v>
      </c>
      <c r="I75" s="2864">
        <f t="shared" si="51"/>
        <v>52500</v>
      </c>
      <c r="J75" s="1365"/>
      <c r="K75" s="1365"/>
      <c r="L75" s="1365"/>
      <c r="M75" s="1361">
        <f>M76</f>
        <v>1125000</v>
      </c>
      <c r="N75" s="1361">
        <f>N76</f>
        <v>1125000</v>
      </c>
      <c r="O75" s="3735"/>
    </row>
    <row r="76" spans="1:17" s="2385" customFormat="1" ht="14.25" customHeight="1">
      <c r="A76" s="4198"/>
      <c r="B76" s="1362" t="s">
        <v>12</v>
      </c>
      <c r="C76" s="3566"/>
      <c r="D76" s="1288">
        <f>E76+F76+G76+H76+I76+J76+K76+L76</f>
        <v>1125000</v>
      </c>
      <c r="E76" s="1288">
        <v>0</v>
      </c>
      <c r="F76" s="1719">
        <f>225000-225000</f>
        <v>0</v>
      </c>
      <c r="G76" s="1363">
        <f>900000-375000-210000</f>
        <v>315000</v>
      </c>
      <c r="H76" s="1363">
        <f>600000+157500</f>
        <v>757500</v>
      </c>
      <c r="I76" s="1363">
        <v>52500</v>
      </c>
      <c r="J76" s="1363"/>
      <c r="K76" s="1363"/>
      <c r="L76" s="1363"/>
      <c r="M76" s="1674">
        <f>SUM(F76:K76)</f>
        <v>1125000</v>
      </c>
      <c r="N76" s="1674">
        <f>SUM(G76:L76)</f>
        <v>1125000</v>
      </c>
      <c r="O76" s="3735"/>
    </row>
    <row r="77" spans="1:17" ht="14.25" customHeight="1">
      <c r="A77" s="4198"/>
      <c r="B77" s="1364" t="s">
        <v>18</v>
      </c>
      <c r="C77" s="3566"/>
      <c r="D77" s="1360">
        <f>+D78</f>
        <v>6375000</v>
      </c>
      <c r="E77" s="1718">
        <f t="shared" ref="E77" si="52">+E78</f>
        <v>0</v>
      </c>
      <c r="F77" s="3191">
        <f>F78</f>
        <v>0</v>
      </c>
      <c r="G77" s="2864">
        <f>G78</f>
        <v>1785000</v>
      </c>
      <c r="H77" s="2864">
        <f>H78</f>
        <v>4292500</v>
      </c>
      <c r="I77" s="2864">
        <f>I78</f>
        <v>297500</v>
      </c>
      <c r="J77" s="1365"/>
      <c r="K77" s="1365"/>
      <c r="L77" s="1365"/>
      <c r="M77" s="2039">
        <f>+M78</f>
        <v>6375000</v>
      </c>
      <c r="N77" s="2039">
        <f>+N78</f>
        <v>6375000</v>
      </c>
      <c r="O77" s="3735"/>
    </row>
    <row r="78" spans="1:17" ht="13.5" customHeight="1">
      <c r="A78" s="4198"/>
      <c r="B78" s="3428" t="s">
        <v>20</v>
      </c>
      <c r="C78" s="3658"/>
      <c r="D78" s="1288">
        <f>E78+F78+G78+H78+I78+J78+K78+L78</f>
        <v>6375000</v>
      </c>
      <c r="E78" s="1288">
        <v>0</v>
      </c>
      <c r="F78" s="1719">
        <f>1275000-1275000</f>
        <v>0</v>
      </c>
      <c r="G78" s="1363">
        <f>5100000-2125000-1190000</f>
        <v>1785000</v>
      </c>
      <c r="H78" s="1363">
        <f>3400000+892500</f>
        <v>4292500</v>
      </c>
      <c r="I78" s="1363">
        <v>297500</v>
      </c>
      <c r="J78" s="1363"/>
      <c r="K78" s="1363"/>
      <c r="L78" s="1363"/>
      <c r="M78" s="1674">
        <f>SUM(F78:K78)</f>
        <v>6375000</v>
      </c>
      <c r="N78" s="1674">
        <f>SUM(G78:L78)</f>
        <v>6375000</v>
      </c>
      <c r="O78" s="4185"/>
    </row>
    <row r="79" spans="1:17" ht="15.75" customHeight="1">
      <c r="A79" s="4198"/>
      <c r="B79" s="2149" t="s">
        <v>21</v>
      </c>
      <c r="C79" s="2603"/>
      <c r="D79" s="1357">
        <f>+D80</f>
        <v>6375000</v>
      </c>
      <c r="E79" s="1357">
        <f t="shared" ref="E79:E80" si="53">+E80</f>
        <v>0</v>
      </c>
      <c r="F79" s="1656">
        <f t="shared" ref="F79:I80" si="54">F80</f>
        <v>0</v>
      </c>
      <c r="G79" s="1357">
        <f t="shared" si="54"/>
        <v>0</v>
      </c>
      <c r="H79" s="1357">
        <f t="shared" si="54"/>
        <v>3100000</v>
      </c>
      <c r="I79" s="1357">
        <f t="shared" si="54"/>
        <v>3275000</v>
      </c>
      <c r="J79" s="1357"/>
      <c r="K79" s="1357"/>
      <c r="L79" s="1357"/>
      <c r="M79" s="4188"/>
      <c r="N79" s="4188"/>
      <c r="O79" s="3711" t="s">
        <v>93</v>
      </c>
    </row>
    <row r="80" spans="1:17" ht="17.25" customHeight="1">
      <c r="A80" s="4198"/>
      <c r="B80" s="2187" t="s">
        <v>18</v>
      </c>
      <c r="C80" s="3695" t="s">
        <v>182</v>
      </c>
      <c r="D80" s="1360">
        <f>+D81</f>
        <v>6375000</v>
      </c>
      <c r="E80" s="1366">
        <f t="shared" si="53"/>
        <v>0</v>
      </c>
      <c r="F80" s="1417">
        <f t="shared" si="54"/>
        <v>0</v>
      </c>
      <c r="G80" s="1366">
        <f t="shared" si="54"/>
        <v>0</v>
      </c>
      <c r="H80" s="1366">
        <f t="shared" si="54"/>
        <v>3100000</v>
      </c>
      <c r="I80" s="1366">
        <f t="shared" si="54"/>
        <v>3275000</v>
      </c>
      <c r="J80" s="1366"/>
      <c r="K80" s="1366"/>
      <c r="L80" s="1366"/>
      <c r="M80" s="4189"/>
      <c r="N80" s="4189"/>
      <c r="O80" s="3711"/>
    </row>
    <row r="81" spans="1:15" ht="17.25" customHeight="1" thickBot="1">
      <c r="A81" s="4209"/>
      <c r="B81" s="2861" t="s">
        <v>20</v>
      </c>
      <c r="C81" s="3523"/>
      <c r="D81" s="1288">
        <f>E81+F81+G81+H81+I81+J81+K81+L81</f>
        <v>6375000</v>
      </c>
      <c r="E81" s="1288">
        <v>0</v>
      </c>
      <c r="F81" s="1663">
        <v>0</v>
      </c>
      <c r="G81" s="1662">
        <f>1800000-1800000</f>
        <v>0</v>
      </c>
      <c r="H81" s="1662">
        <f>4575000+1800000-3275000</f>
        <v>3100000</v>
      </c>
      <c r="I81" s="1662">
        <v>3275000</v>
      </c>
      <c r="J81" s="1662"/>
      <c r="K81" s="1662"/>
      <c r="L81" s="1662"/>
      <c r="M81" s="4190"/>
      <c r="N81" s="4190"/>
      <c r="O81" s="3712"/>
    </row>
    <row r="82" spans="1:15" s="2385" customFormat="1" ht="41.25" customHeight="1">
      <c r="A82" s="4211" t="s">
        <v>106</v>
      </c>
      <c r="B82" s="179" t="s">
        <v>530</v>
      </c>
      <c r="C82" s="2768" t="s">
        <v>73</v>
      </c>
      <c r="D82" s="624"/>
      <c r="E82" s="624"/>
      <c r="F82" s="624"/>
      <c r="G82" s="624"/>
      <c r="H82" s="624"/>
      <c r="I82" s="624"/>
      <c r="J82" s="624"/>
      <c r="K82" s="624"/>
      <c r="L82" s="624"/>
      <c r="M82" s="624">
        <f t="shared" ref="M82" si="55">M87+M91</f>
        <v>0</v>
      </c>
      <c r="N82" s="624"/>
      <c r="O82" s="3177"/>
    </row>
    <row r="83" spans="1:15" s="2385" customFormat="1" ht="14.25" customHeight="1">
      <c r="A83" s="4199"/>
      <c r="B83" s="1355" t="s">
        <v>10</v>
      </c>
      <c r="C83" s="2603"/>
      <c r="D83" s="1357">
        <f t="shared" ref="D83" si="56">+D88+D84</f>
        <v>5940818</v>
      </c>
      <c r="E83" s="1357">
        <f t="shared" ref="E83" si="57">+E88+E84</f>
        <v>0</v>
      </c>
      <c r="F83" s="1357">
        <f>+F88+F84</f>
        <v>0</v>
      </c>
      <c r="G83" s="1357">
        <f t="shared" ref="G83:L83" si="58">+G88+G84</f>
        <v>2200125</v>
      </c>
      <c r="H83" s="1357">
        <f t="shared" si="58"/>
        <v>3740693</v>
      </c>
      <c r="I83" s="1357">
        <f t="shared" si="58"/>
        <v>0</v>
      </c>
      <c r="J83" s="1357">
        <f t="shared" si="58"/>
        <v>0</v>
      </c>
      <c r="K83" s="1357">
        <f t="shared" si="58"/>
        <v>0</v>
      </c>
      <c r="L83" s="1357">
        <f t="shared" si="58"/>
        <v>0</v>
      </c>
      <c r="M83" s="1358">
        <f>+M88+M84</f>
        <v>5940818</v>
      </c>
      <c r="N83" s="1358">
        <f>+N88+N84</f>
        <v>5940818</v>
      </c>
      <c r="O83" s="3735" t="s">
        <v>501</v>
      </c>
    </row>
    <row r="84" spans="1:15" s="2385" customFormat="1" ht="14.25" customHeight="1">
      <c r="A84" s="4199"/>
      <c r="B84" s="1359" t="s">
        <v>23</v>
      </c>
      <c r="C84" s="3522" t="s">
        <v>160</v>
      </c>
      <c r="D84" s="1360">
        <f>D85</f>
        <v>891123</v>
      </c>
      <c r="E84" s="1718">
        <f t="shared" ref="E84:L84" si="59">E85</f>
        <v>0</v>
      </c>
      <c r="F84" s="1365">
        <f t="shared" si="59"/>
        <v>0</v>
      </c>
      <c r="G84" s="1365">
        <f t="shared" si="59"/>
        <v>330020</v>
      </c>
      <c r="H84" s="1365">
        <f t="shared" si="59"/>
        <v>561103</v>
      </c>
      <c r="I84" s="1365">
        <f t="shared" si="59"/>
        <v>0</v>
      </c>
      <c r="J84" s="1365">
        <f t="shared" si="59"/>
        <v>0</v>
      </c>
      <c r="K84" s="1365">
        <f t="shared" si="59"/>
        <v>0</v>
      </c>
      <c r="L84" s="1365">
        <f t="shared" si="59"/>
        <v>0</v>
      </c>
      <c r="M84" s="1361">
        <f>M85</f>
        <v>891123</v>
      </c>
      <c r="N84" s="1361">
        <f>N85</f>
        <v>891123</v>
      </c>
      <c r="O84" s="3735"/>
    </row>
    <row r="85" spans="1:15" s="2385" customFormat="1" ht="14.25" customHeight="1">
      <c r="A85" s="4199"/>
      <c r="B85" s="1362" t="s">
        <v>12</v>
      </c>
      <c r="C85" s="3566"/>
      <c r="D85" s="3178">
        <f t="shared" ref="D85:F85" si="60">D86+D87</f>
        <v>891123</v>
      </c>
      <c r="E85" s="3178">
        <f t="shared" si="60"/>
        <v>0</v>
      </c>
      <c r="F85" s="3178">
        <f t="shared" si="60"/>
        <v>0</v>
      </c>
      <c r="G85" s="3178">
        <f>G86+G87</f>
        <v>330020</v>
      </c>
      <c r="H85" s="3178">
        <f t="shared" ref="H85:L85" si="61">H86+H87</f>
        <v>561103</v>
      </c>
      <c r="I85" s="3178">
        <f t="shared" si="61"/>
        <v>0</v>
      </c>
      <c r="J85" s="3178">
        <f t="shared" si="61"/>
        <v>0</v>
      </c>
      <c r="K85" s="3178">
        <f t="shared" si="61"/>
        <v>0</v>
      </c>
      <c r="L85" s="3178">
        <f t="shared" si="61"/>
        <v>0</v>
      </c>
      <c r="M85" s="1674">
        <f>SUM(F85:K85)</f>
        <v>891123</v>
      </c>
      <c r="N85" s="1674">
        <f>SUM(G85:L85)</f>
        <v>891123</v>
      </c>
      <c r="O85" s="3735"/>
    </row>
    <row r="86" spans="1:15" s="2385" customFormat="1" ht="14.25" hidden="1" customHeight="1">
      <c r="A86" s="4199"/>
      <c r="B86" s="3179" t="s">
        <v>502</v>
      </c>
      <c r="C86" s="3566"/>
      <c r="D86" s="3180">
        <f>E86+F86+G86+H86+I86+J86+K86+L86</f>
        <v>324805</v>
      </c>
      <c r="E86" s="3181"/>
      <c r="F86" s="3182"/>
      <c r="G86" s="3182">
        <v>324805</v>
      </c>
      <c r="H86" s="3182">
        <v>0</v>
      </c>
      <c r="I86" s="3182">
        <v>0</v>
      </c>
      <c r="J86" s="3182">
        <v>0</v>
      </c>
      <c r="K86" s="3182">
        <v>0</v>
      </c>
      <c r="L86" s="3182">
        <v>0</v>
      </c>
      <c r="M86" s="3183"/>
      <c r="N86" s="1674">
        <f>SUM(G86:L86)</f>
        <v>324805</v>
      </c>
      <c r="O86" s="3735"/>
    </row>
    <row r="87" spans="1:15" s="2385" customFormat="1" ht="14.25" hidden="1" customHeight="1">
      <c r="A87" s="4199"/>
      <c r="B87" s="3184" t="s">
        <v>185</v>
      </c>
      <c r="C87" s="3566"/>
      <c r="D87" s="3185">
        <f>E87+F87+G87+H87+I87+J87+K87+L87</f>
        <v>566318</v>
      </c>
      <c r="E87" s="3186"/>
      <c r="F87" s="3187"/>
      <c r="G87" s="3187">
        <v>5215</v>
      </c>
      <c r="H87" s="3187">
        <f>576876-15773</f>
        <v>561103</v>
      </c>
      <c r="I87" s="3187"/>
      <c r="J87" s="3187"/>
      <c r="K87" s="3187"/>
      <c r="L87" s="3187"/>
      <c r="M87" s="3183"/>
      <c r="N87" s="1674">
        <f>SUM(G87:L87)</f>
        <v>566318</v>
      </c>
      <c r="O87" s="3735"/>
    </row>
    <row r="88" spans="1:15" s="2385" customFormat="1" ht="14.25" customHeight="1">
      <c r="A88" s="4199"/>
      <c r="B88" s="1364" t="s">
        <v>18</v>
      </c>
      <c r="C88" s="3566"/>
      <c r="D88" s="1360">
        <f>D89</f>
        <v>5049695</v>
      </c>
      <c r="E88" s="1360">
        <f t="shared" ref="E88:L88" si="62">E89</f>
        <v>0</v>
      </c>
      <c r="F88" s="1360">
        <f t="shared" si="62"/>
        <v>0</v>
      </c>
      <c r="G88" s="1360">
        <f t="shared" si="62"/>
        <v>1870105</v>
      </c>
      <c r="H88" s="1360">
        <f t="shared" si="62"/>
        <v>3179590</v>
      </c>
      <c r="I88" s="1360">
        <f t="shared" si="62"/>
        <v>0</v>
      </c>
      <c r="J88" s="1360">
        <f t="shared" si="62"/>
        <v>0</v>
      </c>
      <c r="K88" s="1360">
        <f t="shared" si="62"/>
        <v>0</v>
      </c>
      <c r="L88" s="1360">
        <f t="shared" si="62"/>
        <v>0</v>
      </c>
      <c r="M88" s="1361">
        <f>+M89</f>
        <v>5049695</v>
      </c>
      <c r="N88" s="1361">
        <f>+N89</f>
        <v>5049695</v>
      </c>
      <c r="O88" s="3735"/>
    </row>
    <row r="89" spans="1:15" s="2385" customFormat="1" ht="15" customHeight="1">
      <c r="A89" s="4199"/>
      <c r="B89" s="3428" t="s">
        <v>20</v>
      </c>
      <c r="C89" s="3658"/>
      <c r="D89" s="3178">
        <f t="shared" ref="D89" si="63">D90+D91</f>
        <v>5049695</v>
      </c>
      <c r="E89" s="3178">
        <f t="shared" ref="E89" si="64">E90+E91</f>
        <v>0</v>
      </c>
      <c r="F89" s="3178">
        <f t="shared" ref="F89" si="65">F90+F91</f>
        <v>0</v>
      </c>
      <c r="G89" s="3178">
        <f>G90+G91</f>
        <v>1870105</v>
      </c>
      <c r="H89" s="3178">
        <f t="shared" ref="H89" si="66">H90+H91</f>
        <v>3179590</v>
      </c>
      <c r="I89" s="3178">
        <f t="shared" ref="I89" si="67">I90+I91</f>
        <v>0</v>
      </c>
      <c r="J89" s="3178">
        <f t="shared" ref="J89" si="68">J90+J91</f>
        <v>0</v>
      </c>
      <c r="K89" s="3178">
        <f t="shared" ref="K89" si="69">K90+K91</f>
        <v>0</v>
      </c>
      <c r="L89" s="3178">
        <f t="shared" ref="L89" si="70">L90+L91</f>
        <v>0</v>
      </c>
      <c r="M89" s="1674">
        <f>SUM(F89:K89)</f>
        <v>5049695</v>
      </c>
      <c r="N89" s="1674">
        <f>SUM(G89:L89)</f>
        <v>5049695</v>
      </c>
      <c r="O89" s="4185"/>
    </row>
    <row r="90" spans="1:15" s="2385" customFormat="1" ht="15" hidden="1" customHeight="1">
      <c r="A90" s="4199"/>
      <c r="B90" s="3179" t="s">
        <v>502</v>
      </c>
      <c r="C90" s="3424"/>
      <c r="D90" s="3180">
        <f>E90+F90+G90+H90+I90+J90+K90+L90</f>
        <v>1840559</v>
      </c>
      <c r="E90" s="3181"/>
      <c r="F90" s="3182"/>
      <c r="G90" s="3182">
        <v>1840559</v>
      </c>
      <c r="H90" s="3182">
        <v>0</v>
      </c>
      <c r="I90" s="3182">
        <v>0</v>
      </c>
      <c r="J90" s="3182">
        <v>0</v>
      </c>
      <c r="K90" s="3182">
        <v>0</v>
      </c>
      <c r="L90" s="3182">
        <v>0</v>
      </c>
      <c r="M90" s="3188"/>
      <c r="N90" s="1674">
        <f>SUM(G90:L90)</f>
        <v>1840559</v>
      </c>
      <c r="O90" s="3425"/>
    </row>
    <row r="91" spans="1:15" s="2385" customFormat="1" ht="15" hidden="1" customHeight="1">
      <c r="A91" s="4199"/>
      <c r="B91" s="3184" t="s">
        <v>185</v>
      </c>
      <c r="C91" s="3424"/>
      <c r="D91" s="3185">
        <f>E91+F91+G91+H91+I91+J91+K91+L91</f>
        <v>3209136</v>
      </c>
      <c r="E91" s="3186"/>
      <c r="F91" s="3187"/>
      <c r="G91" s="3187">
        <v>29546</v>
      </c>
      <c r="H91" s="3187">
        <f>3268970-89380</f>
        <v>3179590</v>
      </c>
      <c r="I91" s="3187">
        <v>0</v>
      </c>
      <c r="J91" s="3187">
        <v>0</v>
      </c>
      <c r="K91" s="3187">
        <v>0</v>
      </c>
      <c r="L91" s="3187">
        <v>0</v>
      </c>
      <c r="M91" s="3188"/>
      <c r="N91" s="1674">
        <f>SUM(G91:L91)</f>
        <v>3209136</v>
      </c>
      <c r="O91" s="3425"/>
    </row>
    <row r="92" spans="1:15" s="2385" customFormat="1" ht="15.75" customHeight="1">
      <c r="A92" s="4199"/>
      <c r="B92" s="2149" t="s">
        <v>21</v>
      </c>
      <c r="C92" s="2603"/>
      <c r="D92" s="1357">
        <f t="shared" ref="D92:L93" si="71">D93</f>
        <v>5049695</v>
      </c>
      <c r="E92" s="1357">
        <f t="shared" ref="E92:E93" si="72">+E93</f>
        <v>0</v>
      </c>
      <c r="F92" s="1357">
        <f t="shared" si="71"/>
        <v>0</v>
      </c>
      <c r="G92" s="1357">
        <f t="shared" si="71"/>
        <v>0</v>
      </c>
      <c r="H92" s="1357">
        <f t="shared" si="71"/>
        <v>5049695</v>
      </c>
      <c r="I92" s="1357">
        <f t="shared" si="71"/>
        <v>0</v>
      </c>
      <c r="J92" s="1357">
        <f t="shared" si="71"/>
        <v>0</v>
      </c>
      <c r="K92" s="1357">
        <f t="shared" si="71"/>
        <v>0</v>
      </c>
      <c r="L92" s="1357">
        <f t="shared" si="71"/>
        <v>0</v>
      </c>
      <c r="M92" s="3519" t="s">
        <v>53</v>
      </c>
      <c r="N92" s="3519" t="s">
        <v>53</v>
      </c>
      <c r="O92" s="3583" t="s">
        <v>185</v>
      </c>
    </row>
    <row r="93" spans="1:15" s="2385" customFormat="1" ht="15" customHeight="1">
      <c r="A93" s="4199"/>
      <c r="B93" s="2187" t="s">
        <v>18</v>
      </c>
      <c r="C93" s="3695" t="s">
        <v>182</v>
      </c>
      <c r="D93" s="1366">
        <f t="shared" si="71"/>
        <v>5049695</v>
      </c>
      <c r="E93" s="1366">
        <f t="shared" si="72"/>
        <v>0</v>
      </c>
      <c r="F93" s="1366">
        <f t="shared" si="71"/>
        <v>0</v>
      </c>
      <c r="G93" s="1366">
        <f t="shared" si="71"/>
        <v>0</v>
      </c>
      <c r="H93" s="1366">
        <f t="shared" si="71"/>
        <v>5049695</v>
      </c>
      <c r="I93" s="1366">
        <f t="shared" si="71"/>
        <v>0</v>
      </c>
      <c r="J93" s="1366">
        <f t="shared" si="71"/>
        <v>0</v>
      </c>
      <c r="K93" s="1366">
        <f t="shared" si="71"/>
        <v>0</v>
      </c>
      <c r="L93" s="1366">
        <f t="shared" si="71"/>
        <v>0</v>
      </c>
      <c r="M93" s="3517"/>
      <c r="N93" s="3517"/>
      <c r="O93" s="3571"/>
    </row>
    <row r="94" spans="1:15" s="2385" customFormat="1" ht="15" customHeight="1" thickBot="1">
      <c r="A94" s="4200"/>
      <c r="B94" s="2861" t="s">
        <v>20</v>
      </c>
      <c r="C94" s="3523"/>
      <c r="D94" s="2031">
        <f>E94+F94+G94+H94+I94+J94+K94+L94</f>
        <v>5049695</v>
      </c>
      <c r="E94" s="2031">
        <v>0</v>
      </c>
      <c r="F94" s="1662">
        <f>6462083-2818040-3644043</f>
        <v>0</v>
      </c>
      <c r="G94" s="1662">
        <v>0</v>
      </c>
      <c r="H94" s="1662">
        <f>5139075-89380</f>
        <v>5049695</v>
      </c>
      <c r="I94" s="1662">
        <v>0</v>
      </c>
      <c r="J94" s="1662">
        <v>0</v>
      </c>
      <c r="K94" s="1662">
        <v>0</v>
      </c>
      <c r="L94" s="1662">
        <v>0</v>
      </c>
      <c r="M94" s="3518"/>
      <c r="N94" s="3518"/>
      <c r="O94" s="3572"/>
    </row>
    <row r="95" spans="1:15" s="2385" customFormat="1" ht="43.5" customHeight="1">
      <c r="A95" s="4198" t="s">
        <v>79</v>
      </c>
      <c r="B95" s="2040" t="s">
        <v>529</v>
      </c>
      <c r="C95" s="3189" t="s">
        <v>73</v>
      </c>
      <c r="D95" s="637"/>
      <c r="E95" s="637"/>
      <c r="F95" s="637"/>
      <c r="G95" s="637"/>
      <c r="H95" s="637"/>
      <c r="I95" s="637"/>
      <c r="J95" s="637"/>
      <c r="K95" s="637"/>
      <c r="L95" s="637"/>
      <c r="M95" s="637">
        <f t="shared" ref="M95" si="73">M100+M104</f>
        <v>0</v>
      </c>
      <c r="N95" s="637"/>
      <c r="O95" s="3735" t="s">
        <v>501</v>
      </c>
    </row>
    <row r="96" spans="1:15" s="2385" customFormat="1" ht="15" customHeight="1">
      <c r="A96" s="4198"/>
      <c r="B96" s="1355" t="s">
        <v>10</v>
      </c>
      <c r="C96" s="2603"/>
      <c r="D96" s="1357">
        <f t="shared" ref="D96:E96" si="74">+D101+D97</f>
        <v>4768906</v>
      </c>
      <c r="E96" s="1357">
        <f t="shared" si="74"/>
        <v>0</v>
      </c>
      <c r="F96" s="1357">
        <f>+F101+F97</f>
        <v>0</v>
      </c>
      <c r="G96" s="1357">
        <f t="shared" ref="G96:L96" si="75">+G101+G97</f>
        <v>2049234</v>
      </c>
      <c r="H96" s="1357">
        <f t="shared" si="75"/>
        <v>2719672</v>
      </c>
      <c r="I96" s="1357">
        <f t="shared" si="75"/>
        <v>0</v>
      </c>
      <c r="J96" s="1357">
        <f t="shared" si="75"/>
        <v>0</v>
      </c>
      <c r="K96" s="1357">
        <f t="shared" si="75"/>
        <v>0</v>
      </c>
      <c r="L96" s="1357">
        <f t="shared" si="75"/>
        <v>0</v>
      </c>
      <c r="M96" s="1358">
        <f>+M101+M97</f>
        <v>4768906</v>
      </c>
      <c r="N96" s="2648">
        <f>+N101+N97</f>
        <v>4768906</v>
      </c>
      <c r="O96" s="3735"/>
    </row>
    <row r="97" spans="1:15" s="2385" customFormat="1" ht="15" customHeight="1">
      <c r="A97" s="4198"/>
      <c r="B97" s="1359" t="s">
        <v>23</v>
      </c>
      <c r="C97" s="3522" t="s">
        <v>160</v>
      </c>
      <c r="D97" s="1360">
        <f>D98</f>
        <v>715336</v>
      </c>
      <c r="E97" s="1718">
        <f t="shared" ref="E97:I97" si="76">E98</f>
        <v>0</v>
      </c>
      <c r="F97" s="1365">
        <f t="shared" si="76"/>
        <v>0</v>
      </c>
      <c r="G97" s="1365">
        <f t="shared" si="76"/>
        <v>307386</v>
      </c>
      <c r="H97" s="1365">
        <f t="shared" si="76"/>
        <v>407950</v>
      </c>
      <c r="I97" s="1365">
        <f t="shared" si="76"/>
        <v>0</v>
      </c>
      <c r="J97" s="1365"/>
      <c r="K97" s="1365"/>
      <c r="L97" s="1365"/>
      <c r="M97" s="1361">
        <f>M98</f>
        <v>715336</v>
      </c>
      <c r="N97" s="2646">
        <f>N98</f>
        <v>715336</v>
      </c>
      <c r="O97" s="3735"/>
    </row>
    <row r="98" spans="1:15" s="2385" customFormat="1" ht="15" customHeight="1">
      <c r="A98" s="4198"/>
      <c r="B98" s="1362" t="s">
        <v>12</v>
      </c>
      <c r="C98" s="3566"/>
      <c r="D98" s="3178">
        <f t="shared" ref="D98" si="77">D99+D100</f>
        <v>715336</v>
      </c>
      <c r="E98" s="3178">
        <f t="shared" ref="E98" si="78">E99+E100</f>
        <v>0</v>
      </c>
      <c r="F98" s="3178">
        <f t="shared" ref="F98" si="79">F99+F100</f>
        <v>0</v>
      </c>
      <c r="G98" s="3178">
        <f>G99+G100</f>
        <v>307386</v>
      </c>
      <c r="H98" s="3178">
        <f t="shared" ref="H98" si="80">H99+H100</f>
        <v>407950</v>
      </c>
      <c r="I98" s="3178">
        <f t="shared" ref="I98" si="81">I99+I100</f>
        <v>0</v>
      </c>
      <c r="J98" s="3178">
        <f t="shared" ref="J98" si="82">J99+J100</f>
        <v>0</v>
      </c>
      <c r="K98" s="3178">
        <f t="shared" ref="K98" si="83">K99+K100</f>
        <v>0</v>
      </c>
      <c r="L98" s="3178">
        <f t="shared" ref="L98" si="84">L99+L100</f>
        <v>0</v>
      </c>
      <c r="M98" s="1674">
        <f>SUM(F98:K98)</f>
        <v>715336</v>
      </c>
      <c r="N98" s="2647">
        <f>SUM(G98:L98)</f>
        <v>715336</v>
      </c>
      <c r="O98" s="3735"/>
    </row>
    <row r="99" spans="1:15" s="2385" customFormat="1" ht="15" hidden="1" customHeight="1">
      <c r="A99" s="4198"/>
      <c r="B99" s="3179" t="s">
        <v>502</v>
      </c>
      <c r="C99" s="3566"/>
      <c r="D99" s="3180">
        <f>E99+F99+G99+H99+I99+J99+K99+L99</f>
        <v>302171</v>
      </c>
      <c r="E99" s="3181"/>
      <c r="F99" s="3182"/>
      <c r="G99" s="3182">
        <v>302171</v>
      </c>
      <c r="H99" s="3182">
        <v>0</v>
      </c>
      <c r="I99" s="3182">
        <v>0</v>
      </c>
      <c r="J99" s="3182">
        <v>0</v>
      </c>
      <c r="K99" s="3182">
        <v>0</v>
      </c>
      <c r="L99" s="3182">
        <v>0</v>
      </c>
      <c r="M99" s="3183"/>
      <c r="N99" s="2647">
        <f>SUM(G99:L99)</f>
        <v>302171</v>
      </c>
      <c r="O99" s="3735"/>
    </row>
    <row r="100" spans="1:15" s="2385" customFormat="1" ht="15" hidden="1" customHeight="1">
      <c r="A100" s="4198"/>
      <c r="B100" s="3184" t="s">
        <v>185</v>
      </c>
      <c r="C100" s="3566"/>
      <c r="D100" s="3185">
        <f>E100+F100+G100+H100+I100+J100+K100+L100</f>
        <v>413165</v>
      </c>
      <c r="E100" s="3186"/>
      <c r="F100" s="3187"/>
      <c r="G100" s="3187">
        <v>5215</v>
      </c>
      <c r="H100" s="3187">
        <f>421828-13878</f>
        <v>407950</v>
      </c>
      <c r="I100" s="3187">
        <v>0</v>
      </c>
      <c r="J100" s="3187">
        <v>0</v>
      </c>
      <c r="K100" s="3187">
        <v>0</v>
      </c>
      <c r="L100" s="3187">
        <v>0</v>
      </c>
      <c r="M100" s="3183"/>
      <c r="N100" s="2647">
        <f>SUM(G100:L100)</f>
        <v>413165</v>
      </c>
      <c r="O100" s="3735"/>
    </row>
    <row r="101" spans="1:15" s="2385" customFormat="1" ht="15" customHeight="1">
      <c r="A101" s="4208"/>
      <c r="B101" s="1364" t="s">
        <v>18</v>
      </c>
      <c r="C101" s="3566"/>
      <c r="D101" s="1360">
        <f>D102</f>
        <v>4053570</v>
      </c>
      <c r="E101" s="1360">
        <f t="shared" ref="E101:L101" si="85">E102</f>
        <v>0</v>
      </c>
      <c r="F101" s="1360">
        <f t="shared" si="85"/>
        <v>0</v>
      </c>
      <c r="G101" s="1360">
        <f t="shared" si="85"/>
        <v>1741848</v>
      </c>
      <c r="H101" s="1360">
        <f t="shared" si="85"/>
        <v>2311722</v>
      </c>
      <c r="I101" s="1360">
        <f t="shared" si="85"/>
        <v>0</v>
      </c>
      <c r="J101" s="1360">
        <f t="shared" si="85"/>
        <v>0</v>
      </c>
      <c r="K101" s="1360">
        <f t="shared" si="85"/>
        <v>0</v>
      </c>
      <c r="L101" s="1360">
        <f t="shared" si="85"/>
        <v>0</v>
      </c>
      <c r="M101" s="1361">
        <f>+M102</f>
        <v>4053570</v>
      </c>
      <c r="N101" s="2646">
        <f>+N102</f>
        <v>4053570</v>
      </c>
      <c r="O101" s="3735"/>
    </row>
    <row r="102" spans="1:15" s="2385" customFormat="1" ht="15" customHeight="1">
      <c r="A102" s="4199"/>
      <c r="B102" s="3428" t="s">
        <v>20</v>
      </c>
      <c r="C102" s="3658"/>
      <c r="D102" s="3178">
        <f t="shared" ref="D102" si="86">D103+D104</f>
        <v>4053570</v>
      </c>
      <c r="E102" s="3178">
        <f t="shared" ref="E102" si="87">E103+E104</f>
        <v>0</v>
      </c>
      <c r="F102" s="3178">
        <f t="shared" ref="F102" si="88">F103+F104</f>
        <v>0</v>
      </c>
      <c r="G102" s="3178">
        <f>G103+G104</f>
        <v>1741848</v>
      </c>
      <c r="H102" s="3178">
        <f t="shared" ref="H102" si="89">H103+H104</f>
        <v>2311722</v>
      </c>
      <c r="I102" s="3178">
        <f t="shared" ref="I102" si="90">I103+I104</f>
        <v>0</v>
      </c>
      <c r="J102" s="3178">
        <f t="shared" ref="J102" si="91">J103+J104</f>
        <v>0</v>
      </c>
      <c r="K102" s="3178">
        <f t="shared" ref="K102" si="92">K103+K104</f>
        <v>0</v>
      </c>
      <c r="L102" s="3178">
        <f t="shared" ref="L102" si="93">L103+L104</f>
        <v>0</v>
      </c>
      <c r="M102" s="1674">
        <f>SUM(F102:K102)</f>
        <v>4053570</v>
      </c>
      <c r="N102" s="2647">
        <f>SUM(G102:L102)</f>
        <v>4053570</v>
      </c>
      <c r="O102" s="4185"/>
    </row>
    <row r="103" spans="1:15" s="2385" customFormat="1" ht="15" hidden="1" customHeight="1">
      <c r="A103" s="4199"/>
      <c r="B103" s="3179" t="s">
        <v>502</v>
      </c>
      <c r="C103" s="3424"/>
      <c r="D103" s="3180">
        <f>E103+F103+G103+H103+I103+J103+K103+L103</f>
        <v>1712302</v>
      </c>
      <c r="E103" s="3181"/>
      <c r="F103" s="3182"/>
      <c r="G103" s="3182">
        <v>1712302</v>
      </c>
      <c r="H103" s="3182">
        <v>0</v>
      </c>
      <c r="I103" s="3182">
        <v>0</v>
      </c>
      <c r="J103" s="3182">
        <v>0</v>
      </c>
      <c r="K103" s="3182">
        <v>0</v>
      </c>
      <c r="L103" s="3182">
        <v>0</v>
      </c>
      <c r="M103" s="3188"/>
      <c r="N103" s="2647">
        <f>SUM(G103:L103)</f>
        <v>1712302</v>
      </c>
      <c r="O103" s="3427"/>
    </row>
    <row r="104" spans="1:15" s="2385" customFormat="1" ht="15" hidden="1" customHeight="1">
      <c r="A104" s="4199"/>
      <c r="B104" s="3184" t="s">
        <v>185</v>
      </c>
      <c r="C104" s="3424"/>
      <c r="D104" s="3185">
        <f>E104+F104+G104+H104+I104+J104+K104+L104</f>
        <v>2341268</v>
      </c>
      <c r="E104" s="3186"/>
      <c r="F104" s="3187"/>
      <c r="G104" s="3187">
        <v>29546</v>
      </c>
      <c r="H104" s="3187">
        <f>2390362-78640</f>
        <v>2311722</v>
      </c>
      <c r="I104" s="3187">
        <v>0</v>
      </c>
      <c r="J104" s="3187">
        <v>0</v>
      </c>
      <c r="K104" s="3187">
        <v>0</v>
      </c>
      <c r="L104" s="3187">
        <v>0</v>
      </c>
      <c r="M104" s="3188"/>
      <c r="N104" s="2647">
        <f>SUM(G104:L104)</f>
        <v>2341268</v>
      </c>
      <c r="O104" s="3427"/>
    </row>
    <row r="105" spans="1:15" s="2385" customFormat="1" ht="15" customHeight="1">
      <c r="A105" s="4198"/>
      <c r="B105" s="2149" t="s">
        <v>21</v>
      </c>
      <c r="C105" s="2603"/>
      <c r="D105" s="1357">
        <f t="shared" ref="D105:L106" si="94">D106</f>
        <v>4053570</v>
      </c>
      <c r="E105" s="1357">
        <f t="shared" ref="E105:E106" si="95">+E106</f>
        <v>0</v>
      </c>
      <c r="F105" s="1357">
        <f t="shared" si="94"/>
        <v>0</v>
      </c>
      <c r="G105" s="1357">
        <f t="shared" si="94"/>
        <v>0</v>
      </c>
      <c r="H105" s="1357">
        <f t="shared" si="94"/>
        <v>4053570</v>
      </c>
      <c r="I105" s="1357">
        <f t="shared" si="94"/>
        <v>0</v>
      </c>
      <c r="J105" s="1357">
        <f t="shared" si="94"/>
        <v>0</v>
      </c>
      <c r="K105" s="1357">
        <f t="shared" si="94"/>
        <v>0</v>
      </c>
      <c r="L105" s="1357">
        <f t="shared" si="94"/>
        <v>0</v>
      </c>
      <c r="M105" s="3519" t="s">
        <v>53</v>
      </c>
      <c r="N105" s="4128" t="s">
        <v>53</v>
      </c>
      <c r="O105" s="3571" t="s">
        <v>185</v>
      </c>
    </row>
    <row r="106" spans="1:15" s="2385" customFormat="1" ht="15" customHeight="1">
      <c r="A106" s="4198"/>
      <c r="B106" s="2187" t="s">
        <v>18</v>
      </c>
      <c r="C106" s="4210" t="s">
        <v>182</v>
      </c>
      <c r="D106" s="1366">
        <f t="shared" si="94"/>
        <v>4053570</v>
      </c>
      <c r="E106" s="1366">
        <f t="shared" si="95"/>
        <v>0</v>
      </c>
      <c r="F106" s="1366">
        <f t="shared" si="94"/>
        <v>0</v>
      </c>
      <c r="G106" s="1366">
        <f t="shared" si="94"/>
        <v>0</v>
      </c>
      <c r="H106" s="1366">
        <f t="shared" si="94"/>
        <v>4053570</v>
      </c>
      <c r="I106" s="1366">
        <f t="shared" si="94"/>
        <v>0</v>
      </c>
      <c r="J106" s="1366">
        <f t="shared" si="94"/>
        <v>0</v>
      </c>
      <c r="K106" s="1366">
        <f t="shared" si="94"/>
        <v>0</v>
      </c>
      <c r="L106" s="1366">
        <f t="shared" si="94"/>
        <v>0</v>
      </c>
      <c r="M106" s="3517"/>
      <c r="N106" s="4129"/>
      <c r="O106" s="3571"/>
    </row>
    <row r="107" spans="1:15" s="2385" customFormat="1" ht="15" customHeight="1" thickBot="1">
      <c r="A107" s="4209"/>
      <c r="B107" s="2865" t="s">
        <v>20</v>
      </c>
      <c r="C107" s="3547"/>
      <c r="D107" s="1643">
        <f>E107+F107+G107+H107+I107+J107+K107+L107</f>
        <v>4053570</v>
      </c>
      <c r="E107" s="2031">
        <v>0</v>
      </c>
      <c r="F107" s="1662">
        <f>6462083-2818040-3644043</f>
        <v>0</v>
      </c>
      <c r="G107" s="1662">
        <v>0</v>
      </c>
      <c r="H107" s="1662">
        <f>4132210-78640</f>
        <v>4053570</v>
      </c>
      <c r="I107" s="1662">
        <v>0</v>
      </c>
      <c r="J107" s="1662">
        <v>0</v>
      </c>
      <c r="K107" s="1662">
        <v>0</v>
      </c>
      <c r="L107" s="1662">
        <v>0</v>
      </c>
      <c r="M107" s="3518"/>
      <c r="N107" s="4140"/>
      <c r="O107" s="3572"/>
    </row>
    <row r="108" spans="1:15" s="2385" customFormat="1" ht="31.5" customHeight="1">
      <c r="A108" s="4211" t="s">
        <v>80</v>
      </c>
      <c r="B108" s="179" t="s">
        <v>541</v>
      </c>
      <c r="C108" s="2768" t="s">
        <v>100</v>
      </c>
      <c r="D108" s="1205"/>
      <c r="E108" s="2786"/>
      <c r="F108" s="2787"/>
      <c r="G108" s="2787"/>
      <c r="H108" s="2787"/>
      <c r="I108" s="2773"/>
      <c r="J108" s="2773"/>
      <c r="K108" s="2773"/>
      <c r="L108" s="2774"/>
      <c r="M108" s="1206"/>
      <c r="N108" s="1206"/>
      <c r="O108" s="3620" t="s">
        <v>250</v>
      </c>
    </row>
    <row r="109" spans="1:15" s="2385" customFormat="1" ht="15" customHeight="1">
      <c r="A109" s="4198"/>
      <c r="B109" s="1355" t="s">
        <v>10</v>
      </c>
      <c r="C109" s="3190"/>
      <c r="D109" s="1357">
        <f>+D110+D112</f>
        <v>197671</v>
      </c>
      <c r="E109" s="1357">
        <f t="shared" ref="E109" si="96">+E110+E112</f>
        <v>0</v>
      </c>
      <c r="F109" s="1656">
        <f>+F110+F112</f>
        <v>0</v>
      </c>
      <c r="G109" s="1357">
        <f>+G110+G112</f>
        <v>77408</v>
      </c>
      <c r="H109" s="1357">
        <f>+H110+H112</f>
        <v>120263</v>
      </c>
      <c r="I109" s="1357"/>
      <c r="J109" s="1357"/>
      <c r="K109" s="1357"/>
      <c r="L109" s="1357"/>
      <c r="M109" s="1358">
        <f>M110+M112</f>
        <v>197671</v>
      </c>
      <c r="N109" s="1358">
        <f>N110+N112</f>
        <v>197671</v>
      </c>
      <c r="O109" s="3571"/>
    </row>
    <row r="110" spans="1:15" s="2385" customFormat="1" ht="15" customHeight="1">
      <c r="A110" s="4198"/>
      <c r="B110" s="1359" t="s">
        <v>23</v>
      </c>
      <c r="C110" s="3522" t="s">
        <v>139</v>
      </c>
      <c r="D110" s="1360">
        <f>D111</f>
        <v>29651</v>
      </c>
      <c r="E110" s="1718">
        <f t="shared" ref="E110:H110" si="97">E111</f>
        <v>0</v>
      </c>
      <c r="F110" s="3191">
        <f t="shared" si="97"/>
        <v>0</v>
      </c>
      <c r="G110" s="2864">
        <f t="shared" si="97"/>
        <v>11611</v>
      </c>
      <c r="H110" s="2864">
        <f t="shared" si="97"/>
        <v>18040</v>
      </c>
      <c r="I110" s="1365"/>
      <c r="J110" s="1365"/>
      <c r="K110" s="1365"/>
      <c r="L110" s="1365"/>
      <c r="M110" s="1361">
        <f>M111</f>
        <v>29651</v>
      </c>
      <c r="N110" s="1361">
        <f>N111</f>
        <v>29651</v>
      </c>
      <c r="O110" s="3571"/>
    </row>
    <row r="111" spans="1:15" s="2385" customFormat="1" ht="15" customHeight="1">
      <c r="A111" s="4198"/>
      <c r="B111" s="1362" t="s">
        <v>12</v>
      </c>
      <c r="C111" s="3566"/>
      <c r="D111" s="1288">
        <f>E111+F111+G111+H111+I111+J111+K111+L111</f>
        <v>29651</v>
      </c>
      <c r="E111" s="1288">
        <v>0</v>
      </c>
      <c r="F111" s="1719">
        <f>225000-225000</f>
        <v>0</v>
      </c>
      <c r="G111" s="1363">
        <v>11611</v>
      </c>
      <c r="H111" s="1363">
        <v>18040</v>
      </c>
      <c r="I111" s="1363"/>
      <c r="J111" s="1363"/>
      <c r="K111" s="1363"/>
      <c r="L111" s="1363"/>
      <c r="M111" s="1674">
        <f>SUM(F111:K111)</f>
        <v>29651</v>
      </c>
      <c r="N111" s="1674">
        <f>SUM(G111:L111)</f>
        <v>29651</v>
      </c>
      <c r="O111" s="3571"/>
    </row>
    <row r="112" spans="1:15" s="2385" customFormat="1" ht="15" customHeight="1">
      <c r="A112" s="4198"/>
      <c r="B112" s="1364" t="s">
        <v>18</v>
      </c>
      <c r="C112" s="3566"/>
      <c r="D112" s="1360">
        <f>+D113</f>
        <v>168020</v>
      </c>
      <c r="E112" s="1718">
        <f t="shared" ref="E112" si="98">+E113</f>
        <v>0</v>
      </c>
      <c r="F112" s="3191">
        <f>F113</f>
        <v>0</v>
      </c>
      <c r="G112" s="2864">
        <f>G113</f>
        <v>65797</v>
      </c>
      <c r="H112" s="2864">
        <f>H113</f>
        <v>102223</v>
      </c>
      <c r="I112" s="1365"/>
      <c r="J112" s="1365"/>
      <c r="K112" s="1365"/>
      <c r="L112" s="1365"/>
      <c r="M112" s="2039">
        <f>+M113</f>
        <v>168020</v>
      </c>
      <c r="N112" s="2039">
        <f>+N113</f>
        <v>168020</v>
      </c>
      <c r="O112" s="3571"/>
    </row>
    <row r="113" spans="1:15" s="2385" customFormat="1" ht="15" customHeight="1">
      <c r="A113" s="4198"/>
      <c r="B113" s="3428" t="s">
        <v>20</v>
      </c>
      <c r="C113" s="3658"/>
      <c r="D113" s="1288">
        <f>E113+F113+G113+H113+I113+J113+K113+L113</f>
        <v>168020</v>
      </c>
      <c r="E113" s="1288">
        <v>0</v>
      </c>
      <c r="F113" s="1719">
        <f>1275000-1275000</f>
        <v>0</v>
      </c>
      <c r="G113" s="1363">
        <v>65797</v>
      </c>
      <c r="H113" s="1363">
        <v>102223</v>
      </c>
      <c r="I113" s="1363"/>
      <c r="J113" s="1363"/>
      <c r="K113" s="1363"/>
      <c r="L113" s="1363"/>
      <c r="M113" s="1674">
        <f>SUM(F113:K113)</f>
        <v>168020</v>
      </c>
      <c r="N113" s="1674">
        <f>SUM(G113:L113)</f>
        <v>168020</v>
      </c>
      <c r="O113" s="3703"/>
    </row>
    <row r="114" spans="1:15" s="2385" customFormat="1" ht="15" customHeight="1">
      <c r="A114" s="4198"/>
      <c r="B114" s="2149" t="s">
        <v>21</v>
      </c>
      <c r="C114" s="2603"/>
      <c r="D114" s="1357">
        <f>+D115</f>
        <v>168020</v>
      </c>
      <c r="E114" s="1357">
        <f t="shared" ref="E114:E115" si="99">+E115</f>
        <v>0</v>
      </c>
      <c r="F114" s="1656">
        <f t="shared" ref="F114:H115" si="100">F115</f>
        <v>0</v>
      </c>
      <c r="G114" s="1357">
        <f t="shared" si="100"/>
        <v>0</v>
      </c>
      <c r="H114" s="1357">
        <f t="shared" si="100"/>
        <v>168020</v>
      </c>
      <c r="I114" s="1357"/>
      <c r="J114" s="1357"/>
      <c r="K114" s="1357"/>
      <c r="L114" s="1357"/>
      <c r="M114" s="4188"/>
      <c r="N114" s="4188"/>
      <c r="O114" s="3571" t="s">
        <v>185</v>
      </c>
    </row>
    <row r="115" spans="1:15" s="2385" customFormat="1" ht="15" customHeight="1">
      <c r="A115" s="4198"/>
      <c r="B115" s="2187" t="s">
        <v>18</v>
      </c>
      <c r="C115" s="3695" t="s">
        <v>182</v>
      </c>
      <c r="D115" s="1360">
        <f>+D116</f>
        <v>168020</v>
      </c>
      <c r="E115" s="1366">
        <f t="shared" si="99"/>
        <v>0</v>
      </c>
      <c r="F115" s="1417">
        <f t="shared" si="100"/>
        <v>0</v>
      </c>
      <c r="G115" s="1366">
        <f t="shared" si="100"/>
        <v>0</v>
      </c>
      <c r="H115" s="1366">
        <f t="shared" si="100"/>
        <v>168020</v>
      </c>
      <c r="I115" s="1366"/>
      <c r="J115" s="1366"/>
      <c r="K115" s="1366"/>
      <c r="L115" s="1366"/>
      <c r="M115" s="4189"/>
      <c r="N115" s="4189"/>
      <c r="O115" s="3571"/>
    </row>
    <row r="116" spans="1:15" s="2385" customFormat="1" ht="15" customHeight="1" thickBot="1">
      <c r="A116" s="4209"/>
      <c r="B116" s="2861" t="s">
        <v>20</v>
      </c>
      <c r="C116" s="3523"/>
      <c r="D116" s="1643">
        <f>E116+F116+G116+H116+I116+J116+K116+L116</f>
        <v>168020</v>
      </c>
      <c r="E116" s="2031">
        <v>0</v>
      </c>
      <c r="F116" s="1663">
        <v>0</v>
      </c>
      <c r="G116" s="1662">
        <f>1800000-1800000</f>
        <v>0</v>
      </c>
      <c r="H116" s="1662">
        <v>168020</v>
      </c>
      <c r="I116" s="1662"/>
      <c r="J116" s="1662"/>
      <c r="K116" s="1662"/>
      <c r="L116" s="1662"/>
      <c r="M116" s="4190"/>
      <c r="N116" s="4190"/>
      <c r="O116" s="3572"/>
    </row>
    <row r="117" spans="1:15" s="2385" customFormat="1" ht="36.75" thickBot="1">
      <c r="A117" s="4209" t="s">
        <v>81</v>
      </c>
      <c r="B117" s="2040" t="s">
        <v>488</v>
      </c>
      <c r="C117" s="3052" t="s">
        <v>161</v>
      </c>
      <c r="D117" s="637"/>
      <c r="E117" s="3053"/>
      <c r="F117" s="3054"/>
      <c r="G117" s="3054"/>
      <c r="H117" s="3054"/>
      <c r="I117" s="3055"/>
      <c r="J117" s="3055"/>
      <c r="K117" s="3055"/>
      <c r="L117" s="3056"/>
      <c r="M117" s="638"/>
      <c r="N117" s="3057"/>
      <c r="O117" s="4185" t="s">
        <v>304</v>
      </c>
    </row>
    <row r="118" spans="1:15" s="2385" customFormat="1" ht="15" customHeight="1" thickBot="1">
      <c r="A118" s="4204"/>
      <c r="B118" s="1355" t="s">
        <v>10</v>
      </c>
      <c r="C118" s="2603"/>
      <c r="D118" s="1357">
        <f>D119+D121</f>
        <v>119600</v>
      </c>
      <c r="E118" s="1357">
        <f t="shared" ref="E118" si="101">E119+E121</f>
        <v>0</v>
      </c>
      <c r="F118" s="1656">
        <f t="shared" ref="F118:L118" si="102">+F121</f>
        <v>0</v>
      </c>
      <c r="G118" s="1357">
        <f>G119+G123</f>
        <v>119600</v>
      </c>
      <c r="H118" s="1357">
        <f t="shared" si="102"/>
        <v>0</v>
      </c>
      <c r="I118" s="1357">
        <f t="shared" si="102"/>
        <v>0</v>
      </c>
      <c r="J118" s="1357">
        <f t="shared" si="102"/>
        <v>0</v>
      </c>
      <c r="K118" s="1357">
        <f t="shared" si="102"/>
        <v>0</v>
      </c>
      <c r="L118" s="1357">
        <f t="shared" si="102"/>
        <v>0</v>
      </c>
      <c r="M118" s="1358">
        <f>+M121+M119</f>
        <v>119600</v>
      </c>
      <c r="N118" s="2648">
        <f>+N121+N119</f>
        <v>119600</v>
      </c>
      <c r="O118" s="4138"/>
    </row>
    <row r="119" spans="1:15" s="2385" customFormat="1" ht="15" customHeight="1">
      <c r="A119" s="4205"/>
      <c r="B119" s="1424" t="s">
        <v>23</v>
      </c>
      <c r="C119" s="3522" t="s">
        <v>179</v>
      </c>
      <c r="D119" s="1360">
        <f>D120</f>
        <v>17940</v>
      </c>
      <c r="E119" s="1718">
        <f t="shared" ref="E119:F119" si="103">E120</f>
        <v>0</v>
      </c>
      <c r="F119" s="1722">
        <f t="shared" si="103"/>
        <v>0</v>
      </c>
      <c r="G119" s="1365">
        <f>G120</f>
        <v>17940</v>
      </c>
      <c r="H119" s="1365">
        <v>0</v>
      </c>
      <c r="I119" s="1365">
        <v>0</v>
      </c>
      <c r="J119" s="1365">
        <v>0</v>
      </c>
      <c r="K119" s="1365">
        <v>0</v>
      </c>
      <c r="L119" s="1365">
        <v>0</v>
      </c>
      <c r="M119" s="2646">
        <f>M120</f>
        <v>17940</v>
      </c>
      <c r="N119" s="66">
        <f>N120</f>
        <v>17940</v>
      </c>
      <c r="O119" s="3734"/>
    </row>
    <row r="120" spans="1:15" s="2385" customFormat="1" ht="15" customHeight="1" thickBot="1">
      <c r="A120" s="4200"/>
      <c r="B120" s="2740" t="s">
        <v>12</v>
      </c>
      <c r="C120" s="3566"/>
      <c r="D120" s="1288">
        <f>E120+F120+G120+H120+I120+J120+K120+L120</f>
        <v>17940</v>
      </c>
      <c r="E120" s="1288">
        <v>0</v>
      </c>
      <c r="F120" s="1719">
        <v>0</v>
      </c>
      <c r="G120" s="1363">
        <v>17940</v>
      </c>
      <c r="H120" s="1363">
        <v>0</v>
      </c>
      <c r="I120" s="1363">
        <v>0</v>
      </c>
      <c r="J120" s="1363">
        <v>0</v>
      </c>
      <c r="K120" s="1363">
        <v>0</v>
      </c>
      <c r="L120" s="1363">
        <v>0</v>
      </c>
      <c r="M120" s="1674">
        <f>SUM(F120:K120)</f>
        <v>17940</v>
      </c>
      <c r="N120" s="2649">
        <f>SUM(G120:L120)</f>
        <v>17940</v>
      </c>
      <c r="O120" s="3736"/>
    </row>
    <row r="121" spans="1:15" s="2385" customFormat="1" ht="15" customHeight="1" thickBot="1">
      <c r="A121" s="4204"/>
      <c r="B121" s="2187" t="s">
        <v>18</v>
      </c>
      <c r="C121" s="3567"/>
      <c r="D121" s="1360">
        <f>D122</f>
        <v>101660</v>
      </c>
      <c r="E121" s="1651">
        <f t="shared" ref="E121:N121" si="104">+E122</f>
        <v>0</v>
      </c>
      <c r="F121" s="1653">
        <v>0</v>
      </c>
      <c r="G121" s="1371">
        <f>G122</f>
        <v>101660</v>
      </c>
      <c r="H121" s="1371">
        <v>0</v>
      </c>
      <c r="I121" s="1371">
        <v>0</v>
      </c>
      <c r="J121" s="1371">
        <v>0</v>
      </c>
      <c r="K121" s="1371">
        <v>0</v>
      </c>
      <c r="L121" s="1371">
        <v>0</v>
      </c>
      <c r="M121" s="1361">
        <f t="shared" si="104"/>
        <v>101660</v>
      </c>
      <c r="N121" s="2650">
        <f t="shared" si="104"/>
        <v>101660</v>
      </c>
      <c r="O121" s="4137"/>
    </row>
    <row r="122" spans="1:15" s="2385" customFormat="1" ht="15" customHeight="1" thickBot="1">
      <c r="A122" s="4204"/>
      <c r="B122" s="2860" t="s">
        <v>20</v>
      </c>
      <c r="C122" s="4216"/>
      <c r="D122" s="838">
        <f>E122+F122+G122+H122+I122+J122+K122+L122</f>
        <v>101660</v>
      </c>
      <c r="E122" s="838">
        <v>0</v>
      </c>
      <c r="F122" s="2741">
        <v>0</v>
      </c>
      <c r="G122" s="826">
        <v>101660</v>
      </c>
      <c r="H122" s="826">
        <v>0</v>
      </c>
      <c r="I122" s="826">
        <v>0</v>
      </c>
      <c r="J122" s="826">
        <v>0</v>
      </c>
      <c r="K122" s="826">
        <v>0</v>
      </c>
      <c r="L122" s="826">
        <v>0</v>
      </c>
      <c r="M122" s="2613">
        <f>SUM(F122:K122)</f>
        <v>101660</v>
      </c>
      <c r="N122" s="2649">
        <f>SUM(G122:L122)</f>
        <v>101660</v>
      </c>
      <c r="O122" s="4185"/>
    </row>
    <row r="123" spans="1:15" s="2385" customFormat="1" ht="15" customHeight="1">
      <c r="A123" s="4199"/>
      <c r="B123" s="2545" t="s">
        <v>21</v>
      </c>
      <c r="C123" s="2734"/>
      <c r="D123" s="2738">
        <f t="shared" ref="D123:L124" si="105">D124</f>
        <v>101660</v>
      </c>
      <c r="E123" s="2739">
        <f t="shared" ref="E123:E124" si="106">+E124</f>
        <v>0</v>
      </c>
      <c r="F123" s="2030">
        <v>0</v>
      </c>
      <c r="G123" s="1166">
        <f t="shared" si="105"/>
        <v>101660</v>
      </c>
      <c r="H123" s="2739">
        <f t="shared" si="105"/>
        <v>0</v>
      </c>
      <c r="I123" s="2739">
        <f t="shared" si="105"/>
        <v>0</v>
      </c>
      <c r="J123" s="1166">
        <f t="shared" si="105"/>
        <v>0</v>
      </c>
      <c r="K123" s="1166">
        <f t="shared" si="105"/>
        <v>0</v>
      </c>
      <c r="L123" s="1166">
        <f t="shared" si="105"/>
        <v>0</v>
      </c>
      <c r="M123" s="4193" t="s">
        <v>53</v>
      </c>
      <c r="N123" s="4128" t="s">
        <v>53</v>
      </c>
      <c r="O123" s="4191" t="s">
        <v>185</v>
      </c>
    </row>
    <row r="124" spans="1:15" s="2385" customFormat="1" ht="15" customHeight="1">
      <c r="A124" s="4199"/>
      <c r="B124" s="2733" t="s">
        <v>18</v>
      </c>
      <c r="C124" s="4217" t="s">
        <v>182</v>
      </c>
      <c r="D124" s="2735">
        <f t="shared" si="105"/>
        <v>101660</v>
      </c>
      <c r="E124" s="1723">
        <f t="shared" si="106"/>
        <v>0</v>
      </c>
      <c r="F124" s="2736">
        <f t="shared" si="105"/>
        <v>0</v>
      </c>
      <c r="G124" s="1723">
        <f t="shared" si="105"/>
        <v>101660</v>
      </c>
      <c r="H124" s="1723">
        <f t="shared" si="105"/>
        <v>0</v>
      </c>
      <c r="I124" s="1723">
        <f t="shared" si="105"/>
        <v>0</v>
      </c>
      <c r="J124" s="1723">
        <f t="shared" si="105"/>
        <v>0</v>
      </c>
      <c r="K124" s="1723">
        <f t="shared" si="105"/>
        <v>0</v>
      </c>
      <c r="L124" s="1723">
        <f t="shared" si="105"/>
        <v>0</v>
      </c>
      <c r="M124" s="3757"/>
      <c r="N124" s="3757"/>
      <c r="O124" s="3735"/>
    </row>
    <row r="125" spans="1:15" s="2385" customFormat="1" ht="15" customHeight="1" thickBot="1">
      <c r="A125" s="4199"/>
      <c r="B125" s="2865" t="s">
        <v>20</v>
      </c>
      <c r="C125" s="4135"/>
      <c r="D125" s="2737">
        <f>E125+F125+G125+H125+I125+J125+K125+L125</f>
        <v>101660</v>
      </c>
      <c r="E125" s="1643">
        <v>0</v>
      </c>
      <c r="F125" s="1663">
        <v>0</v>
      </c>
      <c r="G125" s="1662">
        <v>101660</v>
      </c>
      <c r="H125" s="1662">
        <v>0</v>
      </c>
      <c r="I125" s="1662">
        <v>0</v>
      </c>
      <c r="J125" s="1662">
        <v>0</v>
      </c>
      <c r="K125" s="1662">
        <v>0</v>
      </c>
      <c r="L125" s="1662">
        <v>0</v>
      </c>
      <c r="M125" s="4139"/>
      <c r="N125" s="4139"/>
      <c r="O125" s="3736"/>
    </row>
    <row r="126" spans="1:15" s="2385" customFormat="1" ht="39.75" customHeight="1">
      <c r="A126" s="4198" t="s">
        <v>82</v>
      </c>
      <c r="B126" s="179" t="s">
        <v>520</v>
      </c>
      <c r="C126" s="2866" t="s">
        <v>73</v>
      </c>
      <c r="D126" s="623"/>
      <c r="E126" s="2775"/>
      <c r="F126" s="2769"/>
      <c r="G126" s="2769"/>
      <c r="H126" s="2769"/>
      <c r="I126" s="2042"/>
      <c r="J126" s="2042"/>
      <c r="K126" s="2042"/>
      <c r="L126" s="2042"/>
      <c r="M126" s="2867"/>
      <c r="N126" s="2868"/>
      <c r="O126" s="3735" t="s">
        <v>304</v>
      </c>
    </row>
    <row r="127" spans="1:15" s="2385" customFormat="1" ht="15" customHeight="1" thickBot="1">
      <c r="A127" s="4200"/>
      <c r="B127" s="80" t="s">
        <v>10</v>
      </c>
      <c r="C127" s="183"/>
      <c r="D127" s="97">
        <f t="shared" ref="D127" si="107">D128+D131</f>
        <v>11507147</v>
      </c>
      <c r="E127" s="97">
        <f t="shared" ref="E127" si="108">E128+E131</f>
        <v>250844</v>
      </c>
      <c r="F127" s="97">
        <f>F128+F131</f>
        <v>113780</v>
      </c>
      <c r="G127" s="97">
        <f>G128+G131</f>
        <v>11142523</v>
      </c>
      <c r="H127" s="97">
        <f>+H131</f>
        <v>0</v>
      </c>
      <c r="I127" s="97">
        <f>+I131</f>
        <v>0</v>
      </c>
      <c r="J127" s="97">
        <f>+J131</f>
        <v>0</v>
      </c>
      <c r="K127" s="97">
        <f>+K131</f>
        <v>0</v>
      </c>
      <c r="L127" s="97">
        <f>+L131</f>
        <v>0</v>
      </c>
      <c r="M127" s="1154">
        <f>M128+M131</f>
        <v>11256303</v>
      </c>
      <c r="N127" s="2869">
        <f>N128+N131</f>
        <v>11142523</v>
      </c>
      <c r="O127" s="3736"/>
    </row>
    <row r="128" spans="1:15" s="2385" customFormat="1" ht="15" customHeight="1" thickBot="1">
      <c r="A128" s="4204"/>
      <c r="B128" s="2187" t="s">
        <v>23</v>
      </c>
      <c r="C128" s="4071" t="s">
        <v>179</v>
      </c>
      <c r="D128" s="1360">
        <f>D129+D130</f>
        <v>1726072</v>
      </c>
      <c r="E128" s="1360">
        <f t="shared" ref="E128" si="109">E129+E130</f>
        <v>37627</v>
      </c>
      <c r="F128" s="1360">
        <f t="shared" ref="F128:L128" si="110">F129+F130</f>
        <v>17067</v>
      </c>
      <c r="G128" s="1360">
        <f t="shared" si="110"/>
        <v>1671378</v>
      </c>
      <c r="H128" s="1360">
        <f t="shared" si="110"/>
        <v>0</v>
      </c>
      <c r="I128" s="1360">
        <f t="shared" si="110"/>
        <v>0</v>
      </c>
      <c r="J128" s="1360">
        <f t="shared" si="110"/>
        <v>0</v>
      </c>
      <c r="K128" s="1360">
        <f t="shared" si="110"/>
        <v>0</v>
      </c>
      <c r="L128" s="1360">
        <f t="shared" si="110"/>
        <v>0</v>
      </c>
      <c r="M128" s="1361">
        <f>M129+M130</f>
        <v>1688445</v>
      </c>
      <c r="N128" s="2646">
        <f>N129+N130</f>
        <v>1671378</v>
      </c>
      <c r="O128" s="4136"/>
    </row>
    <row r="129" spans="1:16" s="2385" customFormat="1" ht="15" customHeight="1" thickBot="1">
      <c r="A129" s="4204"/>
      <c r="B129" s="2847" t="s">
        <v>12</v>
      </c>
      <c r="C129" s="4206"/>
      <c r="D129" s="1288">
        <f>E129+F129+G129+H129+I129+J129+K129+L129</f>
        <v>1406072</v>
      </c>
      <c r="E129" s="1288">
        <f>250844-213217</f>
        <v>37627</v>
      </c>
      <c r="F129" s="1363">
        <f>114186-97119</f>
        <v>17067</v>
      </c>
      <c r="G129" s="1363">
        <f>728299+623079</f>
        <v>1351378</v>
      </c>
      <c r="H129" s="1363">
        <v>0</v>
      </c>
      <c r="I129" s="1363">
        <v>0</v>
      </c>
      <c r="J129" s="1363">
        <v>0</v>
      </c>
      <c r="K129" s="1363">
        <v>0</v>
      </c>
      <c r="L129" s="1363">
        <v>0</v>
      </c>
      <c r="M129" s="1674">
        <f>SUM(F129:K129)</f>
        <v>1368445</v>
      </c>
      <c r="N129" s="2647">
        <f>SUM(G129:L129)</f>
        <v>1351378</v>
      </c>
      <c r="O129" s="4136"/>
      <c r="P129" s="2388"/>
    </row>
    <row r="130" spans="1:16" s="2385" customFormat="1" ht="15" customHeight="1" thickBot="1">
      <c r="A130" s="4204"/>
      <c r="B130" s="2847" t="s">
        <v>54</v>
      </c>
      <c r="C130" s="4206"/>
      <c r="D130" s="1288">
        <f>E130+F130+G130+H130+I130+J130+K130+L130</f>
        <v>320000</v>
      </c>
      <c r="E130" s="1288">
        <v>0</v>
      </c>
      <c r="F130" s="1363">
        <f>100000-100000</f>
        <v>0</v>
      </c>
      <c r="G130" s="1363">
        <f>900000-580000</f>
        <v>320000</v>
      </c>
      <c r="H130" s="1363">
        <v>0</v>
      </c>
      <c r="I130" s="1363">
        <v>0</v>
      </c>
      <c r="J130" s="1363">
        <v>0</v>
      </c>
      <c r="K130" s="1363">
        <v>0</v>
      </c>
      <c r="L130" s="1363">
        <v>0</v>
      </c>
      <c r="M130" s="1674">
        <f>SUM(F130:K130)</f>
        <v>320000</v>
      </c>
      <c r="N130" s="2647">
        <f>SUM(G130:L130)</f>
        <v>320000</v>
      </c>
      <c r="O130" s="4136"/>
      <c r="P130" s="2388"/>
    </row>
    <row r="131" spans="1:16" s="2385" customFormat="1" ht="15" customHeight="1" thickBot="1">
      <c r="A131" s="4204"/>
      <c r="B131" s="2187" t="s">
        <v>18</v>
      </c>
      <c r="C131" s="4206"/>
      <c r="D131" s="1360">
        <f>D132</f>
        <v>9781075</v>
      </c>
      <c r="E131" s="1718">
        <f t="shared" ref="E131:N131" si="111">+E132</f>
        <v>213217</v>
      </c>
      <c r="F131" s="1365">
        <f>F132</f>
        <v>96713</v>
      </c>
      <c r="G131" s="1365">
        <f>G132</f>
        <v>9471145</v>
      </c>
      <c r="H131" s="1365">
        <v>0</v>
      </c>
      <c r="I131" s="1365">
        <v>0</v>
      </c>
      <c r="J131" s="1365">
        <v>0</v>
      </c>
      <c r="K131" s="1365">
        <v>0</v>
      </c>
      <c r="L131" s="1365">
        <v>0</v>
      </c>
      <c r="M131" s="1361">
        <f t="shared" si="111"/>
        <v>9567858</v>
      </c>
      <c r="N131" s="2646">
        <f t="shared" si="111"/>
        <v>9471145</v>
      </c>
      <c r="O131" s="4136"/>
    </row>
    <row r="132" spans="1:16" s="2385" customFormat="1" ht="15" customHeight="1" thickBot="1">
      <c r="A132" s="4204"/>
      <c r="B132" s="2870" t="s">
        <v>20</v>
      </c>
      <c r="C132" s="4072"/>
      <c r="D132" s="1288">
        <f>E132+F132+G132+H132+I132+J132+K132+L132</f>
        <v>9781075</v>
      </c>
      <c r="E132" s="1288">
        <f>213217</f>
        <v>213217</v>
      </c>
      <c r="F132" s="1363">
        <f>96713</f>
        <v>96713</v>
      </c>
      <c r="G132" s="1363">
        <f>11862203-2391058</f>
        <v>9471145</v>
      </c>
      <c r="H132" s="1363">
        <v>0</v>
      </c>
      <c r="I132" s="1363">
        <v>0</v>
      </c>
      <c r="J132" s="1363">
        <v>0</v>
      </c>
      <c r="K132" s="1363">
        <v>0</v>
      </c>
      <c r="L132" s="1363">
        <v>0</v>
      </c>
      <c r="M132" s="1674">
        <f>SUM(F132:K132)</f>
        <v>9567858</v>
      </c>
      <c r="N132" s="2647">
        <f>SUM(G132:L132)</f>
        <v>9471145</v>
      </c>
      <c r="O132" s="4137"/>
    </row>
    <row r="133" spans="1:16" s="2385" customFormat="1" ht="15" customHeight="1" thickBot="1">
      <c r="A133" s="4204"/>
      <c r="B133" s="2149" t="s">
        <v>21</v>
      </c>
      <c r="C133" s="2871"/>
      <c r="D133" s="1357">
        <f>D136+D134</f>
        <v>10101075</v>
      </c>
      <c r="E133" s="1357">
        <f>E136+E134</f>
        <v>0</v>
      </c>
      <c r="F133" s="1357">
        <f>F136+F134</f>
        <v>0</v>
      </c>
      <c r="G133" s="1357">
        <f>G136+G134</f>
        <v>10101075</v>
      </c>
      <c r="H133" s="1357">
        <f>H136</f>
        <v>0</v>
      </c>
      <c r="I133" s="1357">
        <f>I136</f>
        <v>0</v>
      </c>
      <c r="J133" s="1357">
        <f>J136</f>
        <v>0</v>
      </c>
      <c r="K133" s="1357">
        <f>K136</f>
        <v>0</v>
      </c>
      <c r="L133" s="1357">
        <f>L136</f>
        <v>0</v>
      </c>
      <c r="M133" s="3519" t="s">
        <v>53</v>
      </c>
      <c r="N133" s="4128" t="s">
        <v>53</v>
      </c>
      <c r="O133" s="3736" t="s">
        <v>185</v>
      </c>
    </row>
    <row r="134" spans="1:16" s="2385" customFormat="1" ht="15" customHeight="1" thickBot="1">
      <c r="A134" s="4204"/>
      <c r="B134" s="2187" t="s">
        <v>11</v>
      </c>
      <c r="C134" s="4194" t="s">
        <v>179</v>
      </c>
      <c r="D134" s="2872">
        <f>SUM(E134:L134)</f>
        <v>320000</v>
      </c>
      <c r="E134" s="2872">
        <f>E135</f>
        <v>0</v>
      </c>
      <c r="F134" s="2872">
        <f>F135</f>
        <v>0</v>
      </c>
      <c r="G134" s="2872">
        <f>G135</f>
        <v>320000</v>
      </c>
      <c r="H134" s="2872">
        <f t="shared" ref="H134:L134" si="112">H135</f>
        <v>0</v>
      </c>
      <c r="I134" s="2872">
        <f t="shared" si="112"/>
        <v>0</v>
      </c>
      <c r="J134" s="2872">
        <f t="shared" si="112"/>
        <v>0</v>
      </c>
      <c r="K134" s="2872">
        <f t="shared" si="112"/>
        <v>0</v>
      </c>
      <c r="L134" s="2872">
        <f t="shared" si="112"/>
        <v>0</v>
      </c>
      <c r="M134" s="3517"/>
      <c r="N134" s="4129"/>
      <c r="O134" s="4136"/>
    </row>
    <row r="135" spans="1:16" s="2385" customFormat="1" ht="15" customHeight="1">
      <c r="A135" s="4205"/>
      <c r="B135" s="2873" t="s">
        <v>54</v>
      </c>
      <c r="C135" s="4195"/>
      <c r="D135" s="1288">
        <f>E135+F135+G135+H135+I135+J135+K135+L135</f>
        <v>320000</v>
      </c>
      <c r="E135" s="1288">
        <v>0</v>
      </c>
      <c r="F135" s="2874">
        <f>100000-100000</f>
        <v>0</v>
      </c>
      <c r="G135" s="2874">
        <f>900000-580000</f>
        <v>320000</v>
      </c>
      <c r="H135" s="2872">
        <v>0</v>
      </c>
      <c r="I135" s="2872">
        <v>0</v>
      </c>
      <c r="J135" s="2872">
        <v>0</v>
      </c>
      <c r="K135" s="2872">
        <v>0</v>
      </c>
      <c r="L135" s="2872">
        <v>0</v>
      </c>
      <c r="M135" s="3517"/>
      <c r="N135" s="4129"/>
      <c r="O135" s="3734"/>
    </row>
    <row r="136" spans="1:16" s="2385" customFormat="1" ht="15" customHeight="1">
      <c r="A136" s="4199"/>
      <c r="B136" s="2187" t="s">
        <v>18</v>
      </c>
      <c r="C136" s="4196" t="s">
        <v>182</v>
      </c>
      <c r="D136" s="1366">
        <f t="shared" ref="D136:L136" si="113">D137</f>
        <v>9781075</v>
      </c>
      <c r="E136" s="1366">
        <f t="shared" ref="E136" si="114">+E137</f>
        <v>0</v>
      </c>
      <c r="F136" s="1366">
        <f t="shared" si="113"/>
        <v>0</v>
      </c>
      <c r="G136" s="1366">
        <f t="shared" si="113"/>
        <v>9781075</v>
      </c>
      <c r="H136" s="1366">
        <f t="shared" si="113"/>
        <v>0</v>
      </c>
      <c r="I136" s="1366">
        <f t="shared" si="113"/>
        <v>0</v>
      </c>
      <c r="J136" s="1366">
        <f t="shared" si="113"/>
        <v>0</v>
      </c>
      <c r="K136" s="1366">
        <f t="shared" si="113"/>
        <v>0</v>
      </c>
      <c r="L136" s="1366">
        <f t="shared" si="113"/>
        <v>0</v>
      </c>
      <c r="M136" s="3517"/>
      <c r="N136" s="4129"/>
      <c r="O136" s="3735"/>
    </row>
    <row r="137" spans="1:16" s="2385" customFormat="1" ht="15" customHeight="1" thickBot="1">
      <c r="A137" s="4200"/>
      <c r="B137" s="2865" t="s">
        <v>20</v>
      </c>
      <c r="C137" s="4197"/>
      <c r="D137" s="2031">
        <f>E137+F137+G137+H137+I137+J137+K137+L137</f>
        <v>9781075</v>
      </c>
      <c r="E137" s="2031">
        <v>0</v>
      </c>
      <c r="F137" s="1662">
        <f>2437304+323000-2760304</f>
        <v>0</v>
      </c>
      <c r="G137" s="1662">
        <f>8889087+212812+2760304-2081128</f>
        <v>9781075</v>
      </c>
      <c r="H137" s="1662">
        <v>0</v>
      </c>
      <c r="I137" s="1662">
        <v>0</v>
      </c>
      <c r="J137" s="1662">
        <v>0</v>
      </c>
      <c r="K137" s="1662">
        <v>0</v>
      </c>
      <c r="L137" s="1662">
        <v>0</v>
      </c>
      <c r="M137" s="3518"/>
      <c r="N137" s="4140"/>
      <c r="O137" s="3736"/>
    </row>
    <row r="138" spans="1:16" s="2385" customFormat="1" ht="40.5" customHeight="1">
      <c r="A138" s="4198" t="s">
        <v>83</v>
      </c>
      <c r="B138" s="2040" t="s">
        <v>487</v>
      </c>
      <c r="C138" s="247" t="s">
        <v>161</v>
      </c>
      <c r="D138" s="624"/>
      <c r="E138" s="624"/>
      <c r="F138" s="624"/>
      <c r="G138" s="624"/>
      <c r="H138" s="624"/>
      <c r="I138" s="624"/>
      <c r="J138" s="624"/>
      <c r="K138" s="624"/>
      <c r="L138" s="624"/>
      <c r="M138" s="624"/>
      <c r="N138" s="624"/>
      <c r="O138" s="3735" t="s">
        <v>312</v>
      </c>
    </row>
    <row r="139" spans="1:16" s="2385" customFormat="1" ht="15" customHeight="1">
      <c r="A139" s="4199"/>
      <c r="B139" s="1355" t="s">
        <v>10</v>
      </c>
      <c r="C139" s="2603"/>
      <c r="D139" s="1357">
        <f>D140+D144</f>
        <v>318209</v>
      </c>
      <c r="E139" s="1357">
        <f t="shared" ref="E139" si="115">E140+E144</f>
        <v>0</v>
      </c>
      <c r="F139" s="1357">
        <f>F140+F144</f>
        <v>21322</v>
      </c>
      <c r="G139" s="1357">
        <f>G140+G144</f>
        <v>92948</v>
      </c>
      <c r="H139" s="1357">
        <f>H140+H144</f>
        <v>203939</v>
      </c>
      <c r="I139" s="1357">
        <f>+I144</f>
        <v>0</v>
      </c>
      <c r="J139" s="1357">
        <f>+J144</f>
        <v>0</v>
      </c>
      <c r="K139" s="1357">
        <f>+K144</f>
        <v>0</v>
      </c>
      <c r="L139" s="1357">
        <f>+L144</f>
        <v>0</v>
      </c>
      <c r="M139" s="1358">
        <f>M140+M144</f>
        <v>318209</v>
      </c>
      <c r="N139" s="1358">
        <f>N140+N144</f>
        <v>296887</v>
      </c>
      <c r="O139" s="3735"/>
    </row>
    <row r="140" spans="1:16" s="2385" customFormat="1" ht="15" customHeight="1">
      <c r="A140" s="4199"/>
      <c r="B140" s="1359" t="s">
        <v>23</v>
      </c>
      <c r="C140" s="3522" t="s">
        <v>307</v>
      </c>
      <c r="D140" s="1360">
        <f>D141</f>
        <v>47732</v>
      </c>
      <c r="E140" s="1718">
        <f t="shared" ref="E140:H140" si="116">E141</f>
        <v>0</v>
      </c>
      <c r="F140" s="1365">
        <f t="shared" si="116"/>
        <v>3199</v>
      </c>
      <c r="G140" s="1365">
        <f t="shared" si="116"/>
        <v>13942</v>
      </c>
      <c r="H140" s="1365">
        <f t="shared" si="116"/>
        <v>30591</v>
      </c>
      <c r="I140" s="1365">
        <v>0</v>
      </c>
      <c r="J140" s="1365">
        <v>0</v>
      </c>
      <c r="K140" s="1365">
        <v>0</v>
      </c>
      <c r="L140" s="1365">
        <v>0</v>
      </c>
      <c r="M140" s="1361">
        <f>M141</f>
        <v>47732</v>
      </c>
      <c r="N140" s="1361">
        <f>N141</f>
        <v>44533</v>
      </c>
      <c r="O140" s="3735"/>
    </row>
    <row r="141" spans="1:16" s="2385" customFormat="1" ht="15" customHeight="1">
      <c r="A141" s="4199"/>
      <c r="B141" s="1362" t="s">
        <v>12</v>
      </c>
      <c r="C141" s="3566"/>
      <c r="D141" s="1288">
        <f>E141+F141+G141+H141+I141+J141+K141+L141</f>
        <v>47732</v>
      </c>
      <c r="E141" s="1288">
        <v>0</v>
      </c>
      <c r="F141" s="1363">
        <f>SUM(F142:F143)</f>
        <v>3199</v>
      </c>
      <c r="G141" s="1363">
        <f t="shared" ref="G141:H141" si="117">SUM(G142:G143)</f>
        <v>13942</v>
      </c>
      <c r="H141" s="1363">
        <f t="shared" si="117"/>
        <v>30591</v>
      </c>
      <c r="I141" s="1363">
        <v>0</v>
      </c>
      <c r="J141" s="1363">
        <v>0</v>
      </c>
      <c r="K141" s="1363">
        <v>0</v>
      </c>
      <c r="L141" s="1363">
        <v>0</v>
      </c>
      <c r="M141" s="1674">
        <f>SUM(F141:K141)</f>
        <v>47732</v>
      </c>
      <c r="N141" s="1674">
        <f>SUM(G141:L141)</f>
        <v>44533</v>
      </c>
      <c r="O141" s="3735"/>
    </row>
    <row r="142" spans="1:16" s="2385" customFormat="1" ht="15" hidden="1" customHeight="1">
      <c r="A142" s="4199"/>
      <c r="B142" s="3192" t="s">
        <v>313</v>
      </c>
      <c r="C142" s="3566"/>
      <c r="D142" s="3185">
        <f t="shared" ref="D142" si="118">E142+F142+G142+H142+I142+J142+K142+L142</f>
        <v>42592</v>
      </c>
      <c r="E142" s="3440"/>
      <c r="F142" s="3187">
        <f>3347-1656</f>
        <v>1691</v>
      </c>
      <c r="G142" s="3187">
        <f>8073+12063-8010</f>
        <v>12126</v>
      </c>
      <c r="H142" s="3187">
        <f>34839-10400+4336</f>
        <v>28775</v>
      </c>
      <c r="I142" s="3441"/>
      <c r="J142" s="3441"/>
      <c r="K142" s="3441"/>
      <c r="L142" s="3441"/>
      <c r="M142" s="1721"/>
      <c r="N142" s="1674">
        <f>SUM(G142:L142)</f>
        <v>40901</v>
      </c>
      <c r="O142" s="3735"/>
    </row>
    <row r="143" spans="1:16" s="2385" customFormat="1" ht="15" hidden="1" customHeight="1">
      <c r="A143" s="4199"/>
      <c r="B143" s="3193" t="s">
        <v>314</v>
      </c>
      <c r="C143" s="3566"/>
      <c r="D143" s="3442">
        <f t="shared" ref="D143" si="119">E143+F143+G143+H143+I143+J143+K143+L143</f>
        <v>5140</v>
      </c>
      <c r="E143" s="3443"/>
      <c r="F143" s="3444">
        <f>1514-6</f>
        <v>1508</v>
      </c>
      <c r="G143" s="3444">
        <v>1816</v>
      </c>
      <c r="H143" s="3444">
        <v>1816</v>
      </c>
      <c r="I143" s="3445"/>
      <c r="J143" s="3445"/>
      <c r="K143" s="3445"/>
      <c r="L143" s="3445"/>
      <c r="M143" s="1721"/>
      <c r="N143" s="1674">
        <f>SUM(G143:L143)</f>
        <v>3632</v>
      </c>
      <c r="O143" s="3735"/>
    </row>
    <row r="144" spans="1:16" s="2385" customFormat="1" ht="15" customHeight="1">
      <c r="A144" s="4199"/>
      <c r="B144" s="1364" t="s">
        <v>18</v>
      </c>
      <c r="C144" s="3566"/>
      <c r="D144" s="1360">
        <f>D145</f>
        <v>270477</v>
      </c>
      <c r="E144" s="1718">
        <f t="shared" ref="E144:N144" si="120">+E145</f>
        <v>0</v>
      </c>
      <c r="F144" s="1365">
        <f t="shared" ref="F144:H144" si="121">F145</f>
        <v>18123</v>
      </c>
      <c r="G144" s="1365">
        <f t="shared" si="121"/>
        <v>79006</v>
      </c>
      <c r="H144" s="1365">
        <f t="shared" si="121"/>
        <v>173348</v>
      </c>
      <c r="I144" s="1365">
        <v>0</v>
      </c>
      <c r="J144" s="1365">
        <v>0</v>
      </c>
      <c r="K144" s="1365">
        <v>0</v>
      </c>
      <c r="L144" s="1365">
        <v>0</v>
      </c>
      <c r="M144" s="1361">
        <f t="shared" si="120"/>
        <v>270477</v>
      </c>
      <c r="N144" s="1361">
        <f t="shared" si="120"/>
        <v>252354</v>
      </c>
      <c r="O144" s="3735"/>
    </row>
    <row r="145" spans="1:15" s="2385" customFormat="1" ht="15" customHeight="1">
      <c r="A145" s="4199"/>
      <c r="B145" s="3428" t="s">
        <v>20</v>
      </c>
      <c r="C145" s="3566"/>
      <c r="D145" s="1288">
        <f>E145+F145+G145+H145+I145+J145+K145+L145</f>
        <v>270477</v>
      </c>
      <c r="E145" s="1288">
        <v>0</v>
      </c>
      <c r="F145" s="1363">
        <f>SUM(F146:F147)</f>
        <v>18123</v>
      </c>
      <c r="G145" s="1363">
        <f t="shared" ref="G145:H145" si="122">SUM(G146:G147)</f>
        <v>79006</v>
      </c>
      <c r="H145" s="1363">
        <f t="shared" si="122"/>
        <v>173348</v>
      </c>
      <c r="I145" s="1363">
        <v>0</v>
      </c>
      <c r="J145" s="1363">
        <v>0</v>
      </c>
      <c r="K145" s="1363">
        <v>0</v>
      </c>
      <c r="L145" s="1363">
        <v>0</v>
      </c>
      <c r="M145" s="1674">
        <f>SUM(F145:K145)</f>
        <v>270477</v>
      </c>
      <c r="N145" s="1674">
        <f>SUM(G145:L145)</f>
        <v>252354</v>
      </c>
      <c r="O145" s="3735"/>
    </row>
    <row r="146" spans="1:15" s="2385" customFormat="1" ht="15" hidden="1" customHeight="1">
      <c r="A146" s="4199"/>
      <c r="B146" s="3192" t="s">
        <v>316</v>
      </c>
      <c r="C146" s="3566"/>
      <c r="D146" s="3185">
        <f t="shared" ref="D146" si="123">E146+F146+G146+H146+I146+J146+K146+L146</f>
        <v>241352</v>
      </c>
      <c r="E146" s="3440"/>
      <c r="F146" s="3187">
        <f>18973-9391</f>
        <v>9582</v>
      </c>
      <c r="G146" s="3187">
        <f>45747+68360-45393</f>
        <v>68714</v>
      </c>
      <c r="H146" s="3187">
        <f>197415-58934+24575</f>
        <v>163056</v>
      </c>
      <c r="I146" s="3441"/>
      <c r="J146" s="3441"/>
      <c r="K146" s="3441"/>
      <c r="L146" s="3441"/>
      <c r="M146" s="3188"/>
      <c r="N146" s="1674">
        <f>SUM(G146:L146)</f>
        <v>231770</v>
      </c>
      <c r="O146" s="3735"/>
    </row>
    <row r="147" spans="1:15" s="2385" customFormat="1" ht="15" hidden="1" customHeight="1">
      <c r="A147" s="4199"/>
      <c r="B147" s="3193" t="s">
        <v>315</v>
      </c>
      <c r="C147" s="3658"/>
      <c r="D147" s="3442">
        <f t="shared" ref="D147" si="124">E147+F147+G147+H147+I147+J147+K147+L147</f>
        <v>29125</v>
      </c>
      <c r="E147" s="3443"/>
      <c r="F147" s="3444">
        <f>8576-35</f>
        <v>8541</v>
      </c>
      <c r="G147" s="3444">
        <v>10292</v>
      </c>
      <c r="H147" s="3444">
        <v>10292</v>
      </c>
      <c r="I147" s="3445"/>
      <c r="J147" s="3445"/>
      <c r="K147" s="3445"/>
      <c r="L147" s="3445"/>
      <c r="M147" s="3188"/>
      <c r="N147" s="1674">
        <f>SUM(G147:L147)</f>
        <v>20584</v>
      </c>
      <c r="O147" s="3735"/>
    </row>
    <row r="148" spans="1:15" s="2385" customFormat="1" ht="12.75">
      <c r="A148" s="4199"/>
      <c r="B148" s="2149" t="s">
        <v>21</v>
      </c>
      <c r="C148" s="2603"/>
      <c r="D148" s="1357">
        <f t="shared" ref="D148:L149" si="125">D149</f>
        <v>270477</v>
      </c>
      <c r="E148" s="1357">
        <f t="shared" ref="E148:E149" si="126">+E149</f>
        <v>0</v>
      </c>
      <c r="F148" s="1357">
        <f t="shared" si="125"/>
        <v>977</v>
      </c>
      <c r="G148" s="1357">
        <f t="shared" si="125"/>
        <v>20069</v>
      </c>
      <c r="H148" s="1357">
        <f t="shared" si="125"/>
        <v>23937</v>
      </c>
      <c r="I148" s="1357">
        <f t="shared" si="125"/>
        <v>225494</v>
      </c>
      <c r="J148" s="1357">
        <f t="shared" si="125"/>
        <v>0</v>
      </c>
      <c r="K148" s="1357">
        <f t="shared" si="125"/>
        <v>0</v>
      </c>
      <c r="L148" s="1357">
        <f t="shared" si="125"/>
        <v>0</v>
      </c>
      <c r="M148" s="3519" t="s">
        <v>53</v>
      </c>
      <c r="N148" s="3519" t="s">
        <v>53</v>
      </c>
      <c r="O148" s="3735"/>
    </row>
    <row r="149" spans="1:15" s="2385" customFormat="1" ht="12.75">
      <c r="A149" s="4199"/>
      <c r="B149" s="2187" t="s">
        <v>18</v>
      </c>
      <c r="C149" s="3695" t="s">
        <v>160</v>
      </c>
      <c r="D149" s="1366">
        <f t="shared" si="125"/>
        <v>270477</v>
      </c>
      <c r="E149" s="1366">
        <f t="shared" si="126"/>
        <v>0</v>
      </c>
      <c r="F149" s="1366">
        <f t="shared" si="125"/>
        <v>977</v>
      </c>
      <c r="G149" s="1366">
        <f t="shared" si="125"/>
        <v>20069</v>
      </c>
      <c r="H149" s="1366">
        <f t="shared" si="125"/>
        <v>23937</v>
      </c>
      <c r="I149" s="1366">
        <f t="shared" si="125"/>
        <v>225494</v>
      </c>
      <c r="J149" s="1366">
        <f t="shared" si="125"/>
        <v>0</v>
      </c>
      <c r="K149" s="1366">
        <f t="shared" si="125"/>
        <v>0</v>
      </c>
      <c r="L149" s="1366">
        <f t="shared" si="125"/>
        <v>0</v>
      </c>
      <c r="M149" s="3517"/>
      <c r="N149" s="3517"/>
      <c r="O149" s="3735"/>
    </row>
    <row r="150" spans="1:15" s="2385" customFormat="1" ht="13.5" thickBot="1">
      <c r="A150" s="4200"/>
      <c r="B150" s="2861" t="s">
        <v>20</v>
      </c>
      <c r="C150" s="3523"/>
      <c r="D150" s="1288">
        <f>E150+F150+G150+H150+I150+J150+K150+L150</f>
        <v>270477</v>
      </c>
      <c r="E150" s="1288">
        <v>0</v>
      </c>
      <c r="F150" s="1662">
        <f>2133-1156</f>
        <v>977</v>
      </c>
      <c r="G150" s="1662">
        <f>39145-24239+5163</f>
        <v>20069</v>
      </c>
      <c r="H150" s="1662">
        <f>148930-34993-90000</f>
        <v>23937</v>
      </c>
      <c r="I150" s="1662">
        <f>101087+60388+64019</f>
        <v>225494</v>
      </c>
      <c r="J150" s="1662">
        <v>0</v>
      </c>
      <c r="K150" s="1662">
        <v>0</v>
      </c>
      <c r="L150" s="1662">
        <v>0</v>
      </c>
      <c r="M150" s="3518"/>
      <c r="N150" s="3518"/>
      <c r="O150" s="3736"/>
    </row>
    <row r="151" spans="1:15" s="2385" customFormat="1" ht="36.75" customHeight="1" thickBot="1">
      <c r="A151" s="4203" t="s">
        <v>84</v>
      </c>
      <c r="B151" s="179" t="s">
        <v>486</v>
      </c>
      <c r="C151" s="1388" t="s">
        <v>73</v>
      </c>
      <c r="D151" s="623"/>
      <c r="E151" s="2775"/>
      <c r="F151" s="2769"/>
      <c r="G151" s="2769"/>
      <c r="H151" s="2769"/>
      <c r="I151" s="2042"/>
      <c r="J151" s="2042"/>
      <c r="K151" s="2042"/>
      <c r="L151" s="2770"/>
      <c r="M151" s="625"/>
      <c r="N151" s="625"/>
      <c r="O151" s="4136" t="s">
        <v>185</v>
      </c>
    </row>
    <row r="152" spans="1:15" s="2385" customFormat="1" ht="13.5" thickBot="1">
      <c r="A152" s="4204"/>
      <c r="B152" s="1355" t="s">
        <v>10</v>
      </c>
      <c r="C152" s="2603"/>
      <c r="D152" s="1357">
        <f>D153+D155</f>
        <v>353792</v>
      </c>
      <c r="E152" s="1357">
        <f t="shared" ref="E152" si="127">E153+E155</f>
        <v>0</v>
      </c>
      <c r="F152" s="1357">
        <f>F153+F155</f>
        <v>52792</v>
      </c>
      <c r="G152" s="1357">
        <f>G153+G155</f>
        <v>81774</v>
      </c>
      <c r="H152" s="1357">
        <f>H153+H155</f>
        <v>219226</v>
      </c>
      <c r="I152" s="1357">
        <f>+I155</f>
        <v>0</v>
      </c>
      <c r="J152" s="1357">
        <f>+J155</f>
        <v>0</v>
      </c>
      <c r="K152" s="1357">
        <f>+K155</f>
        <v>0</v>
      </c>
      <c r="L152" s="1357">
        <f>+L155</f>
        <v>0</v>
      </c>
      <c r="M152" s="1358">
        <f>M153+M155</f>
        <v>353792</v>
      </c>
      <c r="N152" s="1358">
        <f>N153+N155</f>
        <v>301000</v>
      </c>
      <c r="O152" s="4136"/>
    </row>
    <row r="153" spans="1:15" s="2385" customFormat="1" ht="13.5" thickBot="1">
      <c r="A153" s="4204"/>
      <c r="B153" s="1359" t="s">
        <v>23</v>
      </c>
      <c r="C153" s="3522" t="s">
        <v>160</v>
      </c>
      <c r="D153" s="1360">
        <f>D154</f>
        <v>53069</v>
      </c>
      <c r="E153" s="1718">
        <f t="shared" ref="E153:L153" si="128">E154</f>
        <v>0</v>
      </c>
      <c r="F153" s="1365">
        <f t="shared" si="128"/>
        <v>7919</v>
      </c>
      <c r="G153" s="1365">
        <f t="shared" si="128"/>
        <v>12266</v>
      </c>
      <c r="H153" s="1365">
        <f t="shared" si="128"/>
        <v>32884</v>
      </c>
      <c r="I153" s="1365">
        <f t="shared" si="128"/>
        <v>0</v>
      </c>
      <c r="J153" s="1365">
        <f t="shared" si="128"/>
        <v>0</v>
      </c>
      <c r="K153" s="1365">
        <f t="shared" si="128"/>
        <v>0</v>
      </c>
      <c r="L153" s="1365">
        <f t="shared" si="128"/>
        <v>0</v>
      </c>
      <c r="M153" s="1361">
        <f>M154</f>
        <v>53069</v>
      </c>
      <c r="N153" s="1361">
        <f>N154</f>
        <v>45150</v>
      </c>
      <c r="O153" s="4136"/>
    </row>
    <row r="154" spans="1:15" s="2385" customFormat="1" ht="13.5" thickBot="1">
      <c r="A154" s="4204"/>
      <c r="B154" s="1362" t="s">
        <v>12</v>
      </c>
      <c r="C154" s="3566"/>
      <c r="D154" s="1288">
        <f>E154+F154+G154+H154+I154+J154+K154+L154</f>
        <v>53069</v>
      </c>
      <c r="E154" s="1288">
        <v>0</v>
      </c>
      <c r="F154" s="1363">
        <f>8310-391</f>
        <v>7919</v>
      </c>
      <c r="G154" s="1363">
        <f>37035+4441-29210</f>
        <v>12266</v>
      </c>
      <c r="H154" s="1363">
        <f>4050-4050+32884</f>
        <v>32884</v>
      </c>
      <c r="I154" s="1363">
        <v>0</v>
      </c>
      <c r="J154" s="1363">
        <v>0</v>
      </c>
      <c r="K154" s="1363">
        <v>0</v>
      </c>
      <c r="L154" s="1363">
        <v>0</v>
      </c>
      <c r="M154" s="1674">
        <f>SUM(F154:K154)</f>
        <v>53069</v>
      </c>
      <c r="N154" s="1674">
        <f>SUM(G154:L154)</f>
        <v>45150</v>
      </c>
      <c r="O154" s="4136"/>
    </row>
    <row r="155" spans="1:15" s="2385" customFormat="1" ht="13.5" thickBot="1">
      <c r="A155" s="4204"/>
      <c r="B155" s="1364" t="s">
        <v>18</v>
      </c>
      <c r="C155" s="3566"/>
      <c r="D155" s="1360">
        <f>D156</f>
        <v>300723</v>
      </c>
      <c r="E155" s="1718">
        <f t="shared" ref="E155:N155" si="129">+E156</f>
        <v>0</v>
      </c>
      <c r="F155" s="1365">
        <f t="shared" ref="F155:H155" si="130">F156</f>
        <v>44873</v>
      </c>
      <c r="G155" s="1365">
        <f t="shared" si="130"/>
        <v>69508</v>
      </c>
      <c r="H155" s="1365">
        <f t="shared" si="130"/>
        <v>186342</v>
      </c>
      <c r="I155" s="1365">
        <f t="shared" ref="I155:L155" si="131">I156</f>
        <v>0</v>
      </c>
      <c r="J155" s="1365">
        <f t="shared" si="131"/>
        <v>0</v>
      </c>
      <c r="K155" s="1365">
        <f t="shared" si="131"/>
        <v>0</v>
      </c>
      <c r="L155" s="1365">
        <f t="shared" si="131"/>
        <v>0</v>
      </c>
      <c r="M155" s="1361">
        <f t="shared" si="129"/>
        <v>300723</v>
      </c>
      <c r="N155" s="1361">
        <f t="shared" si="129"/>
        <v>255850</v>
      </c>
      <c r="O155" s="4136"/>
    </row>
    <row r="156" spans="1:15" s="2385" customFormat="1" ht="13.5" thickBot="1">
      <c r="A156" s="4204"/>
      <c r="B156" s="3428" t="s">
        <v>20</v>
      </c>
      <c r="C156" s="3658"/>
      <c r="D156" s="1288">
        <f>E156+F156+G156+H156+I156+J156+K156+L156</f>
        <v>300723</v>
      </c>
      <c r="E156" s="1288">
        <v>0</v>
      </c>
      <c r="F156" s="1363">
        <f>47090-2217</f>
        <v>44873</v>
      </c>
      <c r="G156" s="1363">
        <f>209865+25167-165524</f>
        <v>69508</v>
      </c>
      <c r="H156" s="1363">
        <f>22950-22950+186342</f>
        <v>186342</v>
      </c>
      <c r="I156" s="1363">
        <v>0</v>
      </c>
      <c r="J156" s="1363">
        <v>0</v>
      </c>
      <c r="K156" s="1363">
        <v>0</v>
      </c>
      <c r="L156" s="1363">
        <v>0</v>
      </c>
      <c r="M156" s="1674">
        <f>SUM(F156:K156)</f>
        <v>300723</v>
      </c>
      <c r="N156" s="1674">
        <f>SUM(G156:L156)</f>
        <v>255850</v>
      </c>
      <c r="O156" s="4136"/>
    </row>
    <row r="157" spans="1:15" s="2385" customFormat="1" ht="13.5" thickBot="1">
      <c r="A157" s="4204"/>
      <c r="B157" s="2149" t="s">
        <v>21</v>
      </c>
      <c r="C157" s="2603"/>
      <c r="D157" s="1357">
        <f t="shared" ref="D157:L158" si="132">D158</f>
        <v>300723</v>
      </c>
      <c r="E157" s="1357">
        <f t="shared" ref="E157:E158" si="133">+E158</f>
        <v>0</v>
      </c>
      <c r="F157" s="1357">
        <f t="shared" si="132"/>
        <v>0</v>
      </c>
      <c r="G157" s="1357">
        <f t="shared" si="132"/>
        <v>42826</v>
      </c>
      <c r="H157" s="1357">
        <f t="shared" si="132"/>
        <v>0</v>
      </c>
      <c r="I157" s="1357">
        <f t="shared" si="132"/>
        <v>257897</v>
      </c>
      <c r="J157" s="1357">
        <f t="shared" si="132"/>
        <v>0</v>
      </c>
      <c r="K157" s="1357">
        <f t="shared" si="132"/>
        <v>0</v>
      </c>
      <c r="L157" s="1357">
        <f t="shared" si="132"/>
        <v>0</v>
      </c>
      <c r="M157" s="3519" t="s">
        <v>53</v>
      </c>
      <c r="N157" s="3716" t="s">
        <v>53</v>
      </c>
      <c r="O157" s="4136"/>
    </row>
    <row r="158" spans="1:15" s="2385" customFormat="1" ht="13.5" thickBot="1">
      <c r="A158" s="4204"/>
      <c r="B158" s="2187" t="s">
        <v>18</v>
      </c>
      <c r="C158" s="4192" t="s">
        <v>160</v>
      </c>
      <c r="D158" s="1366">
        <f t="shared" si="132"/>
        <v>300723</v>
      </c>
      <c r="E158" s="1366">
        <f t="shared" si="133"/>
        <v>0</v>
      </c>
      <c r="F158" s="1366">
        <f t="shared" si="132"/>
        <v>0</v>
      </c>
      <c r="G158" s="1366">
        <f t="shared" si="132"/>
        <v>42826</v>
      </c>
      <c r="H158" s="1366">
        <f t="shared" si="132"/>
        <v>0</v>
      </c>
      <c r="I158" s="1366">
        <f t="shared" si="132"/>
        <v>257897</v>
      </c>
      <c r="J158" s="1366">
        <f t="shared" si="132"/>
        <v>0</v>
      </c>
      <c r="K158" s="1366">
        <f t="shared" si="132"/>
        <v>0</v>
      </c>
      <c r="L158" s="1366">
        <f t="shared" si="132"/>
        <v>0</v>
      </c>
      <c r="M158" s="3517"/>
      <c r="N158" s="3605"/>
      <c r="O158" s="4136"/>
    </row>
    <row r="159" spans="1:15" s="2385" customFormat="1" ht="13.5" thickBot="1">
      <c r="A159" s="4204"/>
      <c r="B159" s="2861" t="s">
        <v>20</v>
      </c>
      <c r="C159" s="3614"/>
      <c r="D159" s="1643">
        <f>E159+F159+G159+H159+I159+J159+K159+L159</f>
        <v>300723</v>
      </c>
      <c r="E159" s="2031">
        <v>0</v>
      </c>
      <c r="F159" s="1662"/>
      <c r="G159" s="1662">
        <f>73100-26460-3814</f>
        <v>42826</v>
      </c>
      <c r="H159" s="1662">
        <f>183855-5285-178570</f>
        <v>0</v>
      </c>
      <c r="I159" s="1662">
        <f>22950+31745+203202</f>
        <v>257897</v>
      </c>
      <c r="J159" s="1662">
        <v>0</v>
      </c>
      <c r="K159" s="1662">
        <v>0</v>
      </c>
      <c r="L159" s="1662">
        <v>0</v>
      </c>
      <c r="M159" s="3518"/>
      <c r="N159" s="3605"/>
      <c r="O159" s="4136"/>
    </row>
    <row r="160" spans="1:15" s="2385" customFormat="1" ht="34.5" customHeight="1" thickBot="1">
      <c r="A160" s="4203" t="s">
        <v>85</v>
      </c>
      <c r="B160" s="179" t="s">
        <v>485</v>
      </c>
      <c r="C160" s="2041" t="s">
        <v>161</v>
      </c>
      <c r="D160" s="624"/>
      <c r="E160" s="624"/>
      <c r="F160" s="624"/>
      <c r="G160" s="624"/>
      <c r="H160" s="624"/>
      <c r="I160" s="624"/>
      <c r="J160" s="624"/>
      <c r="K160" s="624"/>
      <c r="L160" s="624"/>
      <c r="M160" s="624"/>
      <c r="N160" s="624"/>
      <c r="O160" s="4136" t="s">
        <v>312</v>
      </c>
    </row>
    <row r="161" spans="1:15" s="2385" customFormat="1" ht="13.5" thickBot="1">
      <c r="A161" s="4204"/>
      <c r="B161" s="1355" t="s">
        <v>10</v>
      </c>
      <c r="C161" s="2603"/>
      <c r="D161" s="1357">
        <f>D162+D166</f>
        <v>693012</v>
      </c>
      <c r="E161" s="1357">
        <f t="shared" ref="E161" si="134">E162+E166</f>
        <v>0</v>
      </c>
      <c r="F161" s="1357">
        <f>F162+F166</f>
        <v>32378</v>
      </c>
      <c r="G161" s="1357">
        <f>G162+G166</f>
        <v>385401</v>
      </c>
      <c r="H161" s="1357">
        <f>H162+H166</f>
        <v>275233</v>
      </c>
      <c r="I161" s="1357">
        <f>+I166</f>
        <v>0</v>
      </c>
      <c r="J161" s="1357">
        <f>+J166</f>
        <v>0</v>
      </c>
      <c r="K161" s="1357">
        <f>+K166</f>
        <v>0</v>
      </c>
      <c r="L161" s="1357">
        <f>+L166</f>
        <v>0</v>
      </c>
      <c r="M161" s="1358">
        <f>M162+M166</f>
        <v>693012</v>
      </c>
      <c r="N161" s="1358">
        <f>N162+N166</f>
        <v>660634</v>
      </c>
      <c r="O161" s="4136"/>
    </row>
    <row r="162" spans="1:15" s="2385" customFormat="1" ht="13.5" thickBot="1">
      <c r="A162" s="4204"/>
      <c r="B162" s="2187" t="s">
        <v>23</v>
      </c>
      <c r="C162" s="3613" t="s">
        <v>307</v>
      </c>
      <c r="D162" s="1366">
        <f>D163</f>
        <v>119262</v>
      </c>
      <c r="E162" s="1651">
        <f t="shared" ref="E162:H162" si="135">E163</f>
        <v>0</v>
      </c>
      <c r="F162" s="1371">
        <f t="shared" si="135"/>
        <v>4857</v>
      </c>
      <c r="G162" s="1371">
        <f t="shared" si="135"/>
        <v>73120</v>
      </c>
      <c r="H162" s="1371">
        <f t="shared" si="135"/>
        <v>41285</v>
      </c>
      <c r="I162" s="1371">
        <v>0</v>
      </c>
      <c r="J162" s="1371">
        <v>0</v>
      </c>
      <c r="K162" s="1371">
        <v>0</v>
      </c>
      <c r="L162" s="1371">
        <v>0</v>
      </c>
      <c r="M162" s="1661">
        <f>M163</f>
        <v>119262</v>
      </c>
      <c r="N162" s="1361">
        <f>N163</f>
        <v>114405</v>
      </c>
      <c r="O162" s="4136"/>
    </row>
    <row r="163" spans="1:15" s="2385" customFormat="1" ht="13.5" thickBot="1">
      <c r="A163" s="4204"/>
      <c r="B163" s="3194" t="s">
        <v>12</v>
      </c>
      <c r="C163" s="3566"/>
      <c r="D163" s="837">
        <f>E163+F163+G163+H163+I163+J163+K163+L163</f>
        <v>119262</v>
      </c>
      <c r="E163" s="837">
        <v>0</v>
      </c>
      <c r="F163" s="3195">
        <f>F164+F165</f>
        <v>4857</v>
      </c>
      <c r="G163" s="3195">
        <f>G164+G165</f>
        <v>73120</v>
      </c>
      <c r="H163" s="3195">
        <f>H164+H165</f>
        <v>41285</v>
      </c>
      <c r="I163" s="3195">
        <v>0</v>
      </c>
      <c r="J163" s="3195">
        <v>0</v>
      </c>
      <c r="K163" s="3195">
        <v>0</v>
      </c>
      <c r="L163" s="3195">
        <v>0</v>
      </c>
      <c r="M163" s="2067">
        <f>SUM(F163:K163)</f>
        <v>119262</v>
      </c>
      <c r="N163" s="2067">
        <f>SUM(G163:L163)</f>
        <v>114405</v>
      </c>
      <c r="O163" s="4136"/>
    </row>
    <row r="164" spans="1:15" s="2385" customFormat="1" ht="15" hidden="1" customHeight="1" thickBot="1">
      <c r="A164" s="4204"/>
      <c r="B164" s="3193" t="s">
        <v>314</v>
      </c>
      <c r="C164" s="3566"/>
      <c r="D164" s="3442">
        <f t="shared" ref="D164:D165" si="136">E164+F164+G164+H164+I164+J164+K164+L164</f>
        <v>5597</v>
      </c>
      <c r="E164" s="3443"/>
      <c r="F164" s="3444">
        <f>1500+258+37-148</f>
        <v>1647</v>
      </c>
      <c r="G164" s="3444">
        <f>1500+258+37+360+115</f>
        <v>2270</v>
      </c>
      <c r="H164" s="3444">
        <f>1500+258+37-115</f>
        <v>1680</v>
      </c>
      <c r="I164" s="3445"/>
      <c r="J164" s="3445"/>
      <c r="K164" s="3445"/>
      <c r="L164" s="3445"/>
      <c r="M164" s="1674"/>
      <c r="N164" s="1721">
        <f>SUM(G164:L164)</f>
        <v>3950</v>
      </c>
      <c r="O164" s="4136"/>
    </row>
    <row r="165" spans="1:15" s="2385" customFormat="1" ht="15" hidden="1" customHeight="1" thickBot="1">
      <c r="A165" s="4204"/>
      <c r="B165" s="3192" t="s">
        <v>313</v>
      </c>
      <c r="C165" s="3566"/>
      <c r="D165" s="3185">
        <f t="shared" si="136"/>
        <v>113665</v>
      </c>
      <c r="E165" s="3440"/>
      <c r="F165" s="3187">
        <f>29862+1010+900-17345-750-10467</f>
        <v>3210</v>
      </c>
      <c r="G165" s="3187">
        <f>37887+3262+1350+17345+750+10256</f>
        <v>70850</v>
      </c>
      <c r="H165" s="3187">
        <f>36006+900+2700-1</f>
        <v>39605</v>
      </c>
      <c r="I165" s="3441"/>
      <c r="J165" s="3441"/>
      <c r="K165" s="3441"/>
      <c r="L165" s="3441"/>
      <c r="M165" s="1674"/>
      <c r="N165" s="1721">
        <f>SUM(G165:L165)</f>
        <v>110455</v>
      </c>
      <c r="O165" s="4136"/>
    </row>
    <row r="166" spans="1:15" s="2385" customFormat="1" ht="13.5" thickBot="1">
      <c r="A166" s="4204"/>
      <c r="B166" s="1364" t="s">
        <v>18</v>
      </c>
      <c r="C166" s="3566"/>
      <c r="D166" s="1360">
        <f>D167</f>
        <v>573750</v>
      </c>
      <c r="E166" s="1718">
        <f t="shared" ref="E166:N166" si="137">+E167</f>
        <v>0</v>
      </c>
      <c r="F166" s="1365">
        <f t="shared" ref="F166:H166" si="138">F167</f>
        <v>27521</v>
      </c>
      <c r="G166" s="1365">
        <f t="shared" si="138"/>
        <v>312281</v>
      </c>
      <c r="H166" s="1365">
        <f t="shared" si="138"/>
        <v>233948</v>
      </c>
      <c r="I166" s="1365">
        <v>0</v>
      </c>
      <c r="J166" s="1365">
        <v>0</v>
      </c>
      <c r="K166" s="1365">
        <v>0</v>
      </c>
      <c r="L166" s="1365">
        <v>0</v>
      </c>
      <c r="M166" s="1661">
        <f t="shared" si="137"/>
        <v>573750</v>
      </c>
      <c r="N166" s="1361">
        <f t="shared" si="137"/>
        <v>546229</v>
      </c>
      <c r="O166" s="4136"/>
    </row>
    <row r="167" spans="1:15" s="2385" customFormat="1" ht="13.5" thickBot="1">
      <c r="A167" s="4204"/>
      <c r="B167" s="3428" t="s">
        <v>20</v>
      </c>
      <c r="C167" s="3658"/>
      <c r="D167" s="1288">
        <f>E167+F167+G167+H167+I167+J167+K167+L167</f>
        <v>573750</v>
      </c>
      <c r="E167" s="1288">
        <v>0</v>
      </c>
      <c r="F167" s="1363">
        <f>36651-9130</f>
        <v>27521</v>
      </c>
      <c r="G167" s="1363">
        <f>G168+G169</f>
        <v>312281</v>
      </c>
      <c r="H167" s="1363">
        <f>H168+H169</f>
        <v>233948</v>
      </c>
      <c r="I167" s="1363">
        <v>0</v>
      </c>
      <c r="J167" s="1363">
        <v>0</v>
      </c>
      <c r="K167" s="1363">
        <v>0</v>
      </c>
      <c r="L167" s="1363">
        <v>0</v>
      </c>
      <c r="M167" s="1674">
        <f>SUM(F167:K167)</f>
        <v>573750</v>
      </c>
      <c r="N167" s="1674">
        <f>SUM(G167:L167)</f>
        <v>546229</v>
      </c>
      <c r="O167" s="4136"/>
    </row>
    <row r="168" spans="1:15" s="2385" customFormat="1" ht="15" hidden="1" customHeight="1" thickBot="1">
      <c r="A168" s="4204"/>
      <c r="B168" s="3193" t="s">
        <v>315</v>
      </c>
      <c r="C168" s="3424"/>
      <c r="D168" s="3442">
        <f t="shared" ref="D168:D169" si="139">E168+F168+G168+H168+I168+J168+K168+L168</f>
        <v>31701</v>
      </c>
      <c r="E168" s="3196"/>
      <c r="F168" s="3444">
        <f>8496+1459+208-829</f>
        <v>9334</v>
      </c>
      <c r="G168" s="3444">
        <f>8496+1459+208+2041+652</f>
        <v>12856</v>
      </c>
      <c r="H168" s="3444">
        <f>8496+1459+208-652</f>
        <v>9511</v>
      </c>
      <c r="I168" s="3445"/>
      <c r="J168" s="3445"/>
      <c r="K168" s="3445"/>
      <c r="L168" s="3445"/>
      <c r="M168" s="3188"/>
      <c r="N168" s="1721">
        <f>SUM(G168:L168)</f>
        <v>22367</v>
      </c>
      <c r="O168" s="4136"/>
    </row>
    <row r="169" spans="1:15" s="2385" customFormat="1" ht="15" hidden="1" customHeight="1" thickBot="1">
      <c r="A169" s="4204"/>
      <c r="B169" s="3192" t="s">
        <v>316</v>
      </c>
      <c r="C169" s="3424"/>
      <c r="D169" s="3185">
        <f t="shared" si="139"/>
        <v>542049</v>
      </c>
      <c r="E169" s="3197"/>
      <c r="F169" s="3187">
        <f>129026-98286-4250-8303</f>
        <v>18187</v>
      </c>
      <c r="G169" s="3187">
        <f>163661+18488+7650+98286+4250+7090</f>
        <v>299425</v>
      </c>
      <c r="H169" s="3187">
        <f>204036+5100+15300+1</f>
        <v>224437</v>
      </c>
      <c r="I169" s="3441"/>
      <c r="J169" s="3441"/>
      <c r="K169" s="3441"/>
      <c r="L169" s="3441"/>
      <c r="M169" s="3188"/>
      <c r="N169" s="1721">
        <f>SUM(G169:L169)</f>
        <v>523862</v>
      </c>
      <c r="O169" s="4136"/>
    </row>
    <row r="170" spans="1:15" s="2385" customFormat="1" ht="13.5" thickBot="1">
      <c r="A170" s="4204"/>
      <c r="B170" s="2149" t="s">
        <v>21</v>
      </c>
      <c r="C170" s="2603"/>
      <c r="D170" s="1357">
        <f t="shared" ref="D170:L171" si="140">D171</f>
        <v>573750</v>
      </c>
      <c r="E170" s="1357">
        <f t="shared" ref="E170:E171" si="141">+E171</f>
        <v>0</v>
      </c>
      <c r="F170" s="1357">
        <f t="shared" si="140"/>
        <v>0</v>
      </c>
      <c r="G170" s="1357">
        <f t="shared" si="140"/>
        <v>178482</v>
      </c>
      <c r="H170" s="1357">
        <f t="shared" si="140"/>
        <v>308586</v>
      </c>
      <c r="I170" s="1357">
        <f t="shared" si="140"/>
        <v>86682</v>
      </c>
      <c r="J170" s="1357">
        <f t="shared" si="140"/>
        <v>0</v>
      </c>
      <c r="K170" s="1357">
        <f t="shared" si="140"/>
        <v>0</v>
      </c>
      <c r="L170" s="1357">
        <f t="shared" si="140"/>
        <v>0</v>
      </c>
      <c r="M170" s="3519" t="s">
        <v>53</v>
      </c>
      <c r="N170" s="3519" t="s">
        <v>53</v>
      </c>
      <c r="O170" s="4136"/>
    </row>
    <row r="171" spans="1:15" s="2385" customFormat="1" ht="13.5" thickBot="1">
      <c r="A171" s="4204"/>
      <c r="B171" s="2187" t="s">
        <v>18</v>
      </c>
      <c r="C171" s="3695" t="s">
        <v>160</v>
      </c>
      <c r="D171" s="1366">
        <f t="shared" si="140"/>
        <v>573750</v>
      </c>
      <c r="E171" s="1366">
        <f t="shared" si="141"/>
        <v>0</v>
      </c>
      <c r="F171" s="1366">
        <f t="shared" si="140"/>
        <v>0</v>
      </c>
      <c r="G171" s="1366">
        <f t="shared" si="140"/>
        <v>178482</v>
      </c>
      <c r="H171" s="1366">
        <f t="shared" si="140"/>
        <v>308586</v>
      </c>
      <c r="I171" s="1366">
        <f t="shared" si="140"/>
        <v>86682</v>
      </c>
      <c r="J171" s="1366">
        <f t="shared" si="140"/>
        <v>0</v>
      </c>
      <c r="K171" s="1366">
        <f t="shared" si="140"/>
        <v>0</v>
      </c>
      <c r="L171" s="1366">
        <f t="shared" si="140"/>
        <v>0</v>
      </c>
      <c r="M171" s="3517"/>
      <c r="N171" s="3517"/>
      <c r="O171" s="4136"/>
    </row>
    <row r="172" spans="1:15" s="2385" customFormat="1" ht="13.5" thickBot="1">
      <c r="A172" s="4204"/>
      <c r="B172" s="2861" t="s">
        <v>20</v>
      </c>
      <c r="C172" s="3523"/>
      <c r="D172" s="2031">
        <f>E172+F172+G172+H172+I172+J172+K172+L172</f>
        <v>573750</v>
      </c>
      <c r="E172" s="2031">
        <v>0</v>
      </c>
      <c r="F172" s="1662">
        <f>48432-48432</f>
        <v>0</v>
      </c>
      <c r="G172" s="1662">
        <f>130050+48432</f>
        <v>178482</v>
      </c>
      <c r="H172" s="1662">
        <v>308586</v>
      </c>
      <c r="I172" s="1662">
        <v>86682</v>
      </c>
      <c r="J172" s="1662">
        <v>0</v>
      </c>
      <c r="K172" s="1662">
        <v>0</v>
      </c>
      <c r="L172" s="1662">
        <v>0</v>
      </c>
      <c r="M172" s="3518"/>
      <c r="N172" s="3518"/>
      <c r="O172" s="4136"/>
    </row>
    <row r="173" spans="1:15" s="2385" customFormat="1" ht="12.75" hidden="1">
      <c r="A173" s="4211" t="s">
        <v>83</v>
      </c>
      <c r="B173" s="179"/>
      <c r="C173" s="1388" t="s">
        <v>161</v>
      </c>
      <c r="D173" s="622"/>
      <c r="E173" s="623"/>
      <c r="F173" s="624"/>
      <c r="G173" s="624"/>
      <c r="H173" s="624"/>
      <c r="I173" s="623"/>
      <c r="J173" s="623"/>
      <c r="K173" s="623"/>
      <c r="L173" s="623"/>
      <c r="M173" s="625"/>
      <c r="N173" s="625"/>
      <c r="O173" s="3734"/>
    </row>
    <row r="174" spans="1:15" s="2385" customFormat="1" ht="15" hidden="1" customHeight="1">
      <c r="A174" s="4199"/>
      <c r="B174" s="1355" t="s">
        <v>10</v>
      </c>
      <c r="C174" s="2603"/>
      <c r="D174" s="1357">
        <f>+D175+D177</f>
        <v>0</v>
      </c>
      <c r="E174" s="1357">
        <f>+E175+E177</f>
        <v>0</v>
      </c>
      <c r="F174" s="1357">
        <f>+F175+F177</f>
        <v>0</v>
      </c>
      <c r="G174" s="1357">
        <f t="shared" ref="G174:H174" si="142">+G175+G177</f>
        <v>0</v>
      </c>
      <c r="H174" s="1357">
        <f t="shared" si="142"/>
        <v>0</v>
      </c>
      <c r="I174" s="1357">
        <v>0</v>
      </c>
      <c r="J174" s="1357">
        <v>0</v>
      </c>
      <c r="K174" s="1357">
        <v>0</v>
      </c>
      <c r="L174" s="1357">
        <v>0</v>
      </c>
      <c r="M174" s="1358">
        <f>+M175+M177</f>
        <v>0</v>
      </c>
      <c r="N174" s="1358">
        <f>+N175+N177</f>
        <v>0</v>
      </c>
      <c r="O174" s="3735"/>
    </row>
    <row r="175" spans="1:15" s="2385" customFormat="1" ht="15" hidden="1" customHeight="1">
      <c r="A175" s="4199"/>
      <c r="B175" s="1359" t="s">
        <v>23</v>
      </c>
      <c r="C175" s="3522" t="s">
        <v>179</v>
      </c>
      <c r="D175" s="1360">
        <f>+D176</f>
        <v>0</v>
      </c>
      <c r="E175" s="1365">
        <f>+E176</f>
        <v>0</v>
      </c>
      <c r="F175" s="1365">
        <f>+F176</f>
        <v>0</v>
      </c>
      <c r="G175" s="1365">
        <f t="shared" ref="G175:H175" si="143">+G176</f>
        <v>0</v>
      </c>
      <c r="H175" s="1365">
        <f t="shared" si="143"/>
        <v>0</v>
      </c>
      <c r="I175" s="1366">
        <v>0</v>
      </c>
      <c r="J175" s="1366">
        <v>0</v>
      </c>
      <c r="K175" s="1366">
        <v>0</v>
      </c>
      <c r="L175" s="1366">
        <v>0</v>
      </c>
      <c r="M175" s="1361">
        <f>+M176</f>
        <v>0</v>
      </c>
      <c r="N175" s="1361">
        <f>+N176</f>
        <v>0</v>
      </c>
      <c r="O175" s="3735"/>
    </row>
    <row r="176" spans="1:15" s="2385" customFormat="1" ht="15" hidden="1" customHeight="1">
      <c r="A176" s="4199"/>
      <c r="B176" s="1362" t="s">
        <v>12</v>
      </c>
      <c r="C176" s="3566"/>
      <c r="D176" s="1288"/>
      <c r="E176" s="1288">
        <v>0</v>
      </c>
      <c r="F176" s="1363"/>
      <c r="G176" s="1363"/>
      <c r="H176" s="1363"/>
      <c r="I176" s="1366">
        <v>0</v>
      </c>
      <c r="J176" s="1366">
        <v>0</v>
      </c>
      <c r="K176" s="1366">
        <v>0</v>
      </c>
      <c r="L176" s="1366">
        <v>0</v>
      </c>
      <c r="M176" s="1674">
        <f>SUM(F176:K176)</f>
        <v>0</v>
      </c>
      <c r="N176" s="1674">
        <f>SUM(G176:L176)</f>
        <v>0</v>
      </c>
      <c r="O176" s="3735"/>
    </row>
    <row r="177" spans="1:16" s="2385" customFormat="1" ht="15" hidden="1" customHeight="1">
      <c r="A177" s="4199"/>
      <c r="B177" s="1364" t="s">
        <v>18</v>
      </c>
      <c r="C177" s="3566"/>
      <c r="D177" s="1360">
        <f>+D178</f>
        <v>0</v>
      </c>
      <c r="E177" s="1365">
        <f>+E178</f>
        <v>0</v>
      </c>
      <c r="F177" s="1365">
        <f>+F178</f>
        <v>0</v>
      </c>
      <c r="G177" s="1365">
        <f t="shared" ref="G177:H177" si="144">+G178</f>
        <v>0</v>
      </c>
      <c r="H177" s="1365">
        <f t="shared" si="144"/>
        <v>0</v>
      </c>
      <c r="I177" s="1366">
        <v>0</v>
      </c>
      <c r="J177" s="1366">
        <v>0</v>
      </c>
      <c r="K177" s="1366">
        <v>0</v>
      </c>
      <c r="L177" s="1366">
        <v>0</v>
      </c>
      <c r="M177" s="1361">
        <f>+M178</f>
        <v>0</v>
      </c>
      <c r="N177" s="1361">
        <f>+N178</f>
        <v>0</v>
      </c>
      <c r="O177" s="3735"/>
    </row>
    <row r="178" spans="1:16" s="2385" customFormat="1" ht="15" hidden="1" customHeight="1">
      <c r="A178" s="4199"/>
      <c r="B178" s="3428" t="s">
        <v>20</v>
      </c>
      <c r="C178" s="3658"/>
      <c r="D178" s="1288"/>
      <c r="E178" s="1288">
        <v>0</v>
      </c>
      <c r="F178" s="1363"/>
      <c r="G178" s="1363"/>
      <c r="H178" s="1363"/>
      <c r="I178" s="1366">
        <v>0</v>
      </c>
      <c r="J178" s="1366">
        <v>0</v>
      </c>
      <c r="K178" s="1366">
        <v>0</v>
      </c>
      <c r="L178" s="1366">
        <v>0</v>
      </c>
      <c r="M178" s="1674">
        <f>SUM(F178:K178)</f>
        <v>0</v>
      </c>
      <c r="N178" s="1674">
        <f>SUM(G178:L178)</f>
        <v>0</v>
      </c>
      <c r="O178" s="4185"/>
    </row>
    <row r="179" spans="1:16" s="2385" customFormat="1" ht="15" hidden="1" customHeight="1">
      <c r="A179" s="4199"/>
      <c r="B179" s="2149" t="s">
        <v>21</v>
      </c>
      <c r="C179" s="2603"/>
      <c r="D179" s="1357">
        <f t="shared" ref="D179:F180" si="145">+D180</f>
        <v>0</v>
      </c>
      <c r="E179" s="1357">
        <f t="shared" si="145"/>
        <v>0</v>
      </c>
      <c r="F179" s="1357">
        <f t="shared" si="145"/>
        <v>0</v>
      </c>
      <c r="G179" s="1357">
        <f t="shared" ref="G179:H179" si="146">+G180</f>
        <v>0</v>
      </c>
      <c r="H179" s="1357">
        <f t="shared" si="146"/>
        <v>0</v>
      </c>
      <c r="I179" s="1357">
        <v>0</v>
      </c>
      <c r="J179" s="1357">
        <v>0</v>
      </c>
      <c r="K179" s="1357">
        <v>0</v>
      </c>
      <c r="L179" s="1357">
        <v>0</v>
      </c>
      <c r="M179" s="3519"/>
      <c r="N179" s="3519"/>
      <c r="O179" s="3735"/>
    </row>
    <row r="180" spans="1:16" s="2385" customFormat="1" ht="15" hidden="1" customHeight="1">
      <c r="A180" s="4199"/>
      <c r="B180" s="2187" t="s">
        <v>18</v>
      </c>
      <c r="C180" s="3695" t="s">
        <v>182</v>
      </c>
      <c r="D180" s="1360">
        <f t="shared" si="145"/>
        <v>0</v>
      </c>
      <c r="E180" s="1366">
        <f t="shared" si="145"/>
        <v>0</v>
      </c>
      <c r="F180" s="1366">
        <f t="shared" si="145"/>
        <v>0</v>
      </c>
      <c r="G180" s="1366">
        <f t="shared" ref="G180:H180" si="147">+G181</f>
        <v>0</v>
      </c>
      <c r="H180" s="1366">
        <f t="shared" si="147"/>
        <v>0</v>
      </c>
      <c r="I180" s="1366">
        <v>0</v>
      </c>
      <c r="J180" s="1366">
        <v>0</v>
      </c>
      <c r="K180" s="1366">
        <v>0</v>
      </c>
      <c r="L180" s="1366">
        <v>0</v>
      </c>
      <c r="M180" s="3517"/>
      <c r="N180" s="3517"/>
      <c r="O180" s="3735"/>
    </row>
    <row r="181" spans="1:16" s="2385" customFormat="1" ht="15" hidden="1" customHeight="1" thickBot="1">
      <c r="A181" s="4200"/>
      <c r="B181" s="2861" t="s">
        <v>20</v>
      </c>
      <c r="C181" s="3523"/>
      <c r="D181" s="2031">
        <f>E181+F181+G181+H181+I181+J181+K181+L181</f>
        <v>0</v>
      </c>
      <c r="E181" s="2031">
        <v>0</v>
      </c>
      <c r="F181" s="1662"/>
      <c r="G181" s="1662"/>
      <c r="H181" s="1662"/>
      <c r="I181" s="1662">
        <v>0</v>
      </c>
      <c r="J181" s="1662">
        <v>0</v>
      </c>
      <c r="K181" s="1662">
        <v>0</v>
      </c>
      <c r="L181" s="1662">
        <v>0</v>
      </c>
      <c r="M181" s="3518"/>
      <c r="N181" s="3518"/>
      <c r="O181" s="3736"/>
    </row>
    <row r="182" spans="1:16" s="2385" customFormat="1" ht="12.75" hidden="1">
      <c r="A182" s="4198" t="s">
        <v>84</v>
      </c>
      <c r="B182" s="179"/>
      <c r="C182" s="1388" t="s">
        <v>73</v>
      </c>
      <c r="D182" s="622"/>
      <c r="E182" s="1286"/>
      <c r="F182" s="624"/>
      <c r="G182" s="624"/>
      <c r="H182" s="624"/>
      <c r="I182" s="623"/>
      <c r="J182" s="623"/>
      <c r="K182" s="623"/>
      <c r="L182" s="623"/>
      <c r="M182" s="625"/>
      <c r="N182" s="625"/>
      <c r="O182" s="3734"/>
    </row>
    <row r="183" spans="1:16" s="2385" customFormat="1" ht="15" hidden="1" customHeight="1">
      <c r="A183" s="4199"/>
      <c r="B183" s="1355" t="s">
        <v>10</v>
      </c>
      <c r="C183" s="2603"/>
      <c r="D183" s="1357">
        <f>+D184+D186</f>
        <v>0</v>
      </c>
      <c r="E183" s="1357">
        <f>+E184+E186</f>
        <v>0</v>
      </c>
      <c r="F183" s="1357">
        <f>+F184+F186</f>
        <v>0</v>
      </c>
      <c r="G183" s="1357">
        <f t="shared" ref="G183:I183" si="148">+G184+G186</f>
        <v>0</v>
      </c>
      <c r="H183" s="1357">
        <f t="shared" si="148"/>
        <v>0</v>
      </c>
      <c r="I183" s="1357">
        <f t="shared" si="148"/>
        <v>0</v>
      </c>
      <c r="J183" s="1357">
        <v>0</v>
      </c>
      <c r="K183" s="1357">
        <v>0</v>
      </c>
      <c r="L183" s="1357">
        <v>0</v>
      </c>
      <c r="M183" s="1358">
        <f>+M184+M186</f>
        <v>0</v>
      </c>
      <c r="N183" s="1358">
        <f>+N184+N186</f>
        <v>0</v>
      </c>
      <c r="O183" s="3735"/>
    </row>
    <row r="184" spans="1:16" s="2385" customFormat="1" ht="15" hidden="1" customHeight="1">
      <c r="A184" s="4199"/>
      <c r="B184" s="1359" t="s">
        <v>23</v>
      </c>
      <c r="C184" s="3522" t="s">
        <v>179</v>
      </c>
      <c r="D184" s="1360">
        <f>+D185</f>
        <v>0</v>
      </c>
      <c r="E184" s="1365">
        <f>+E185</f>
        <v>0</v>
      </c>
      <c r="F184" s="1365">
        <f>+F185</f>
        <v>0</v>
      </c>
      <c r="G184" s="1365">
        <f>+G185</f>
        <v>0</v>
      </c>
      <c r="H184" s="1365">
        <f t="shared" ref="H184:I184" si="149">+H185</f>
        <v>0</v>
      </c>
      <c r="I184" s="1365">
        <f t="shared" si="149"/>
        <v>0</v>
      </c>
      <c r="J184" s="1366">
        <v>0</v>
      </c>
      <c r="K184" s="1366">
        <v>0</v>
      </c>
      <c r="L184" s="1366">
        <v>0</v>
      </c>
      <c r="M184" s="1361">
        <f>+M185</f>
        <v>0</v>
      </c>
      <c r="N184" s="1361">
        <f>+N185</f>
        <v>0</v>
      </c>
      <c r="O184" s="3735"/>
    </row>
    <row r="185" spans="1:16" s="2385" customFormat="1" ht="15" hidden="1" customHeight="1">
      <c r="A185" s="4199"/>
      <c r="B185" s="1362" t="s">
        <v>12</v>
      </c>
      <c r="C185" s="3566"/>
      <c r="D185" s="1288"/>
      <c r="E185" s="1288">
        <v>0</v>
      </c>
      <c r="F185" s="1363"/>
      <c r="G185" s="1363"/>
      <c r="H185" s="1363"/>
      <c r="I185" s="1363"/>
      <c r="J185" s="1366">
        <v>0</v>
      </c>
      <c r="K185" s="1366">
        <v>0</v>
      </c>
      <c r="L185" s="1366">
        <v>0</v>
      </c>
      <c r="M185" s="1674">
        <f>SUM(F185:K185)</f>
        <v>0</v>
      </c>
      <c r="N185" s="1674">
        <f>SUM(G185:L185)</f>
        <v>0</v>
      </c>
      <c r="O185" s="3735"/>
    </row>
    <row r="186" spans="1:16" s="2385" customFormat="1" ht="15" hidden="1" customHeight="1">
      <c r="A186" s="4199"/>
      <c r="B186" s="1364" t="s">
        <v>18</v>
      </c>
      <c r="C186" s="3566"/>
      <c r="D186" s="1360">
        <f>+D187</f>
        <v>0</v>
      </c>
      <c r="E186" s="1365">
        <f>+E187</f>
        <v>0</v>
      </c>
      <c r="F186" s="1365">
        <f>+F187</f>
        <v>0</v>
      </c>
      <c r="G186" s="1365">
        <f t="shared" ref="G186:I186" si="150">+G187</f>
        <v>0</v>
      </c>
      <c r="H186" s="1365">
        <f t="shared" si="150"/>
        <v>0</v>
      </c>
      <c r="I186" s="1365">
        <f t="shared" si="150"/>
        <v>0</v>
      </c>
      <c r="J186" s="1366">
        <v>0</v>
      </c>
      <c r="K186" s="1366">
        <v>0</v>
      </c>
      <c r="L186" s="1366">
        <v>0</v>
      </c>
      <c r="M186" s="1361">
        <f>+M187</f>
        <v>0</v>
      </c>
      <c r="N186" s="1361">
        <f>+N187</f>
        <v>0</v>
      </c>
      <c r="O186" s="3735"/>
    </row>
    <row r="187" spans="1:16" s="2385" customFormat="1" ht="15" hidden="1" customHeight="1">
      <c r="A187" s="4199"/>
      <c r="B187" s="3428" t="s">
        <v>20</v>
      </c>
      <c r="C187" s="3658"/>
      <c r="D187" s="1288"/>
      <c r="E187" s="1339">
        <v>0</v>
      </c>
      <c r="F187" s="1369"/>
      <c r="G187" s="1369"/>
      <c r="H187" s="1369"/>
      <c r="I187" s="1369"/>
      <c r="J187" s="1366">
        <v>0</v>
      </c>
      <c r="K187" s="1366">
        <v>0</v>
      </c>
      <c r="L187" s="1366">
        <v>0</v>
      </c>
      <c r="M187" s="1674">
        <f>SUM(F187:K187)</f>
        <v>0</v>
      </c>
      <c r="N187" s="1674">
        <f>SUM(G187:L187)</f>
        <v>0</v>
      </c>
      <c r="O187" s="4185"/>
    </row>
    <row r="188" spans="1:16" s="2385" customFormat="1" ht="15" hidden="1" customHeight="1">
      <c r="A188" s="4199"/>
      <c r="B188" s="2149" t="s">
        <v>21</v>
      </c>
      <c r="C188" s="2603"/>
      <c r="D188" s="1357">
        <f t="shared" ref="D188:F189" si="151">+D189</f>
        <v>0</v>
      </c>
      <c r="E188" s="97">
        <f t="shared" si="151"/>
        <v>0</v>
      </c>
      <c r="F188" s="97">
        <f t="shared" si="151"/>
        <v>0</v>
      </c>
      <c r="G188" s="97">
        <f t="shared" ref="G188:I188" si="152">+G189</f>
        <v>0</v>
      </c>
      <c r="H188" s="97">
        <f t="shared" si="152"/>
        <v>0</v>
      </c>
      <c r="I188" s="97">
        <f t="shared" si="152"/>
        <v>0</v>
      </c>
      <c r="J188" s="1357">
        <v>0</v>
      </c>
      <c r="K188" s="1357">
        <v>0</v>
      </c>
      <c r="L188" s="1357">
        <v>0</v>
      </c>
      <c r="M188" s="3519"/>
      <c r="N188" s="3519"/>
      <c r="O188" s="3735"/>
    </row>
    <row r="189" spans="1:16" s="2385" customFormat="1" ht="15" hidden="1" customHeight="1">
      <c r="A189" s="4199"/>
      <c r="B189" s="2187" t="s">
        <v>18</v>
      </c>
      <c r="C189" s="3695" t="s">
        <v>182</v>
      </c>
      <c r="D189" s="1360">
        <f t="shared" si="151"/>
        <v>0</v>
      </c>
      <c r="E189" s="1366">
        <f t="shared" si="151"/>
        <v>0</v>
      </c>
      <c r="F189" s="1366">
        <f t="shared" si="151"/>
        <v>0</v>
      </c>
      <c r="G189" s="1366">
        <f t="shared" ref="G189:I189" si="153">+G190</f>
        <v>0</v>
      </c>
      <c r="H189" s="1366">
        <f t="shared" si="153"/>
        <v>0</v>
      </c>
      <c r="I189" s="1366">
        <f t="shared" si="153"/>
        <v>0</v>
      </c>
      <c r="J189" s="1366">
        <v>0</v>
      </c>
      <c r="K189" s="1366">
        <v>0</v>
      </c>
      <c r="L189" s="1366">
        <v>0</v>
      </c>
      <c r="M189" s="3517"/>
      <c r="N189" s="3517"/>
      <c r="O189" s="3735"/>
    </row>
    <row r="190" spans="1:16" s="2385" customFormat="1" ht="15" hidden="1" customHeight="1" thickBot="1">
      <c r="A190" s="4200"/>
      <c r="B190" s="2861" t="s">
        <v>20</v>
      </c>
      <c r="C190" s="3523"/>
      <c r="D190" s="1288"/>
      <c r="E190" s="1288">
        <v>0</v>
      </c>
      <c r="F190" s="1662"/>
      <c r="G190" s="1662"/>
      <c r="H190" s="1662"/>
      <c r="I190" s="1662"/>
      <c r="J190" s="1662">
        <v>0</v>
      </c>
      <c r="K190" s="1662">
        <v>0</v>
      </c>
      <c r="L190" s="1662">
        <v>0</v>
      </c>
      <c r="M190" s="3518"/>
      <c r="N190" s="3518"/>
      <c r="O190" s="3736"/>
    </row>
    <row r="191" spans="1:16" s="2385" customFormat="1" ht="22.5" customHeight="1">
      <c r="A191" s="4211" t="s">
        <v>86</v>
      </c>
      <c r="B191" s="179" t="s">
        <v>483</v>
      </c>
      <c r="C191" s="2041" t="s">
        <v>100</v>
      </c>
      <c r="D191" s="624"/>
      <c r="E191" s="624"/>
      <c r="F191" s="624"/>
      <c r="G191" s="624"/>
      <c r="H191" s="624"/>
      <c r="I191" s="624"/>
      <c r="J191" s="624"/>
      <c r="K191" s="624"/>
      <c r="L191" s="624"/>
      <c r="M191" s="624">
        <f t="shared" ref="M191" si="154">+M196+M200</f>
        <v>121909</v>
      </c>
      <c r="N191" s="624"/>
      <c r="O191" s="3734" t="s">
        <v>312</v>
      </c>
    </row>
    <row r="192" spans="1:16" s="2385" customFormat="1" ht="12.75">
      <c r="A192" s="4199"/>
      <c r="B192" s="1355" t="s">
        <v>10</v>
      </c>
      <c r="C192" s="2603"/>
      <c r="D192" s="1357">
        <f>+D193+D197</f>
        <v>653000</v>
      </c>
      <c r="E192" s="1357">
        <f t="shared" ref="E192" si="155">+E193+E197</f>
        <v>0</v>
      </c>
      <c r="F192" s="1357">
        <f t="shared" ref="F192:L192" si="156">+F193+F197</f>
        <v>915</v>
      </c>
      <c r="G192" s="1357">
        <f t="shared" si="156"/>
        <v>76680</v>
      </c>
      <c r="H192" s="1357">
        <f t="shared" si="156"/>
        <v>427626</v>
      </c>
      <c r="I192" s="1357">
        <f t="shared" si="156"/>
        <v>147779</v>
      </c>
      <c r="J192" s="1367">
        <f t="shared" si="156"/>
        <v>0</v>
      </c>
      <c r="K192" s="1367">
        <f t="shared" si="156"/>
        <v>0</v>
      </c>
      <c r="L192" s="1367">
        <f t="shared" si="156"/>
        <v>0</v>
      </c>
      <c r="M192" s="1358">
        <f>+M193+M197</f>
        <v>653000</v>
      </c>
      <c r="N192" s="1358">
        <f>+N193+N197</f>
        <v>652085</v>
      </c>
      <c r="O192" s="3735"/>
      <c r="P192" s="2385" t="s">
        <v>356</v>
      </c>
    </row>
    <row r="193" spans="1:16" s="2385" customFormat="1" ht="15" customHeight="1">
      <c r="A193" s="4199"/>
      <c r="B193" s="1359" t="s">
        <v>23</v>
      </c>
      <c r="C193" s="3522" t="s">
        <v>351</v>
      </c>
      <c r="D193" s="1360">
        <f>SUM(D194)</f>
        <v>98843</v>
      </c>
      <c r="E193" s="1360">
        <f t="shared" ref="E193:L193" si="157">SUM(E194)</f>
        <v>0</v>
      </c>
      <c r="F193" s="1360">
        <f t="shared" si="157"/>
        <v>137</v>
      </c>
      <c r="G193" s="1360">
        <f t="shared" si="157"/>
        <v>11800</v>
      </c>
      <c r="H193" s="1360">
        <f t="shared" si="157"/>
        <v>64441</v>
      </c>
      <c r="I193" s="1360">
        <f t="shared" si="157"/>
        <v>22465</v>
      </c>
      <c r="J193" s="1368">
        <f t="shared" si="157"/>
        <v>0</v>
      </c>
      <c r="K193" s="1368">
        <f t="shared" si="157"/>
        <v>0</v>
      </c>
      <c r="L193" s="1368">
        <f t="shared" si="157"/>
        <v>0</v>
      </c>
      <c r="M193" s="1361">
        <f>+M194</f>
        <v>98843</v>
      </c>
      <c r="N193" s="1361">
        <f>+N194</f>
        <v>98706</v>
      </c>
      <c r="O193" s="3735"/>
    </row>
    <row r="194" spans="1:16" s="2385" customFormat="1" ht="13.5" thickBot="1">
      <c r="A194" s="4199"/>
      <c r="B194" s="1362" t="s">
        <v>12</v>
      </c>
      <c r="C194" s="3566"/>
      <c r="D194" s="1288">
        <f>E194+F194+G194+H194+I194+J194+K194+L194</f>
        <v>98843</v>
      </c>
      <c r="E194" s="1288">
        <v>0</v>
      </c>
      <c r="F194" s="1288">
        <f>SUM(F195:F196)</f>
        <v>137</v>
      </c>
      <c r="G194" s="1288">
        <f t="shared" ref="G194:L194" si="158">SUM(G195:G196)</f>
        <v>11800</v>
      </c>
      <c r="H194" s="1288">
        <f t="shared" si="158"/>
        <v>64441</v>
      </c>
      <c r="I194" s="1288">
        <f t="shared" si="158"/>
        <v>22465</v>
      </c>
      <c r="J194" s="2049">
        <f t="shared" si="158"/>
        <v>0</v>
      </c>
      <c r="K194" s="2049">
        <f t="shared" si="158"/>
        <v>0</v>
      </c>
      <c r="L194" s="2049">
        <f t="shared" si="158"/>
        <v>0</v>
      </c>
      <c r="M194" s="1674">
        <f>+M195+M196</f>
        <v>98843</v>
      </c>
      <c r="N194" s="1674">
        <f>+N195+N196</f>
        <v>98706</v>
      </c>
      <c r="O194" s="3735"/>
    </row>
    <row r="195" spans="1:16" s="2385" customFormat="1" ht="15" hidden="1" customHeight="1">
      <c r="A195" s="4199"/>
      <c r="B195" s="3184" t="s">
        <v>352</v>
      </c>
      <c r="C195" s="3566"/>
      <c r="D195" s="3185">
        <f>SUM(E195:L195)</f>
        <v>80557</v>
      </c>
      <c r="E195" s="3446">
        <v>0</v>
      </c>
      <c r="F195" s="3447">
        <f>2151-2014</f>
        <v>137</v>
      </c>
      <c r="G195" s="3447">
        <f>22007+4408-15714</f>
        <v>10701</v>
      </c>
      <c r="H195" s="3447">
        <f>45779+8214</f>
        <v>53993</v>
      </c>
      <c r="I195" s="3447">
        <f>8226+7500</f>
        <v>15726</v>
      </c>
      <c r="J195" s="3448">
        <v>0</v>
      </c>
      <c r="K195" s="3448">
        <v>0</v>
      </c>
      <c r="L195" s="3448">
        <v>0</v>
      </c>
      <c r="M195" s="1674">
        <f>SUM(F195:K195)</f>
        <v>80557</v>
      </c>
      <c r="N195" s="1674">
        <f>SUM(G195:L195)</f>
        <v>80420</v>
      </c>
      <c r="O195" s="3735"/>
    </row>
    <row r="196" spans="1:16" s="2385" customFormat="1" ht="15" hidden="1" customHeight="1" thickBot="1">
      <c r="A196" s="4200"/>
      <c r="B196" s="3449" t="s">
        <v>250</v>
      </c>
      <c r="C196" s="3566"/>
      <c r="D196" s="3442">
        <v>18286</v>
      </c>
      <c r="E196" s="3450">
        <v>0</v>
      </c>
      <c r="F196" s="3451">
        <v>0</v>
      </c>
      <c r="G196" s="3445">
        <f>6027-4928</f>
        <v>1099</v>
      </c>
      <c r="H196" s="3445">
        <v>10448</v>
      </c>
      <c r="I196" s="3445">
        <f>1811+4928</f>
        <v>6739</v>
      </c>
      <c r="J196" s="3452">
        <v>0</v>
      </c>
      <c r="K196" s="3452">
        <v>0</v>
      </c>
      <c r="L196" s="3452">
        <v>0</v>
      </c>
      <c r="M196" s="1674">
        <f>SUM(F196:K196)</f>
        <v>18286</v>
      </c>
      <c r="N196" s="1674">
        <f>SUM(G196:L196)</f>
        <v>18286</v>
      </c>
      <c r="O196" s="3735"/>
    </row>
    <row r="197" spans="1:16" s="2385" customFormat="1" ht="13.5" thickBot="1">
      <c r="A197" s="4204"/>
      <c r="B197" s="1364" t="s">
        <v>18</v>
      </c>
      <c r="C197" s="3566"/>
      <c r="D197" s="1360">
        <f>SUM(E197:L197)</f>
        <v>554157</v>
      </c>
      <c r="E197" s="1360">
        <f t="shared" ref="E197:L197" si="159">SUM(E198)</f>
        <v>0</v>
      </c>
      <c r="F197" s="1360">
        <f t="shared" si="159"/>
        <v>778</v>
      </c>
      <c r="G197" s="1360">
        <f t="shared" si="159"/>
        <v>64880</v>
      </c>
      <c r="H197" s="1360">
        <f t="shared" si="159"/>
        <v>363185</v>
      </c>
      <c r="I197" s="1360">
        <f t="shared" si="159"/>
        <v>125314</v>
      </c>
      <c r="J197" s="1368">
        <f t="shared" si="159"/>
        <v>0</v>
      </c>
      <c r="K197" s="1368">
        <f t="shared" si="159"/>
        <v>0</v>
      </c>
      <c r="L197" s="1368">
        <f t="shared" si="159"/>
        <v>0</v>
      </c>
      <c r="M197" s="1361">
        <f>+M198</f>
        <v>554157</v>
      </c>
      <c r="N197" s="1361">
        <f>+N198</f>
        <v>553379</v>
      </c>
      <c r="O197" s="3735"/>
    </row>
    <row r="198" spans="1:16" s="2385" customFormat="1" ht="13.5" thickBot="1">
      <c r="A198" s="4204"/>
      <c r="B198" s="3453" t="s">
        <v>20</v>
      </c>
      <c r="C198" s="3566"/>
      <c r="D198" s="1288">
        <f>E198+F198+G198+H198+I198+J198+K198+L198</f>
        <v>554157</v>
      </c>
      <c r="E198" s="1288">
        <v>0</v>
      </c>
      <c r="F198" s="2054">
        <f t="shared" ref="F198:L198" si="160">SUM(F199:F200)</f>
        <v>778</v>
      </c>
      <c r="G198" s="2054">
        <f t="shared" si="160"/>
        <v>64880</v>
      </c>
      <c r="H198" s="2054">
        <f t="shared" si="160"/>
        <v>363185</v>
      </c>
      <c r="I198" s="2054">
        <f t="shared" si="160"/>
        <v>125314</v>
      </c>
      <c r="J198" s="2055">
        <f t="shared" si="160"/>
        <v>0</v>
      </c>
      <c r="K198" s="2055">
        <f t="shared" si="160"/>
        <v>0</v>
      </c>
      <c r="L198" s="2055">
        <f t="shared" si="160"/>
        <v>0</v>
      </c>
      <c r="M198" s="1674">
        <f>SUM(F198:K198)</f>
        <v>554157</v>
      </c>
      <c r="N198" s="1674">
        <f>SUM(G198:L198)</f>
        <v>553379</v>
      </c>
      <c r="O198" s="3735"/>
    </row>
    <row r="199" spans="1:16" s="2385" customFormat="1" ht="15" hidden="1" customHeight="1" thickBot="1">
      <c r="A199" s="4204"/>
      <c r="B199" s="3454" t="s">
        <v>352</v>
      </c>
      <c r="C199" s="4206"/>
      <c r="D199" s="2054">
        <f>SUM(E199:L199)</f>
        <v>450534</v>
      </c>
      <c r="E199" s="3455">
        <v>0</v>
      </c>
      <c r="F199" s="3441">
        <f>12189-11411</f>
        <v>778</v>
      </c>
      <c r="G199" s="3441">
        <f>122723+24977-89045</f>
        <v>58655</v>
      </c>
      <c r="H199" s="3441">
        <f>257431+46545</f>
        <v>303976</v>
      </c>
      <c r="I199" s="3441">
        <f>44625+42500</f>
        <v>87125</v>
      </c>
      <c r="J199" s="3456">
        <v>0</v>
      </c>
      <c r="K199" s="3456">
        <v>0</v>
      </c>
      <c r="L199" s="3456">
        <v>0</v>
      </c>
      <c r="M199" s="1358">
        <f t="shared" ref="M199:M200" si="161">SUM(E199:K199)</f>
        <v>450534</v>
      </c>
      <c r="N199" s="1674">
        <f>SUM(G199:L199)</f>
        <v>449756</v>
      </c>
      <c r="O199" s="3735"/>
    </row>
    <row r="200" spans="1:16" s="2385" customFormat="1" ht="15" hidden="1" customHeight="1" thickBot="1">
      <c r="A200" s="4204"/>
      <c r="B200" s="3457" t="s">
        <v>250</v>
      </c>
      <c r="C200" s="4072"/>
      <c r="D200" s="3442">
        <f>SUM(E200:L200)</f>
        <v>103623</v>
      </c>
      <c r="E200" s="3458">
        <v>0</v>
      </c>
      <c r="F200" s="3459">
        <v>0</v>
      </c>
      <c r="G200" s="2102">
        <f>34150-27925</f>
        <v>6225</v>
      </c>
      <c r="H200" s="2102">
        <v>59209</v>
      </c>
      <c r="I200" s="2102">
        <f>10264+27925</f>
        <v>38189</v>
      </c>
      <c r="J200" s="3460">
        <v>0</v>
      </c>
      <c r="K200" s="3460">
        <v>0</v>
      </c>
      <c r="L200" s="3460">
        <v>0</v>
      </c>
      <c r="M200" s="1358">
        <f t="shared" si="161"/>
        <v>103623</v>
      </c>
      <c r="N200" s="1674">
        <f>SUM(G200:L200)</f>
        <v>103623</v>
      </c>
      <c r="O200" s="4185"/>
    </row>
    <row r="201" spans="1:16" s="2385" customFormat="1" ht="13.5" customHeight="1" thickBot="1">
      <c r="A201" s="4204"/>
      <c r="B201" s="80" t="s">
        <v>21</v>
      </c>
      <c r="C201" s="2603"/>
      <c r="D201" s="1357">
        <f>SUM(E201:L201)</f>
        <v>554157</v>
      </c>
      <c r="E201" s="1357">
        <f t="shared" ref="E201:L201" si="162">+E202</f>
        <v>0</v>
      </c>
      <c r="F201" s="1367">
        <f t="shared" si="162"/>
        <v>0</v>
      </c>
      <c r="G201" s="1357">
        <f t="shared" si="162"/>
        <v>37120</v>
      </c>
      <c r="H201" s="1357">
        <f t="shared" si="162"/>
        <v>367384</v>
      </c>
      <c r="I201" s="1357">
        <f t="shared" si="162"/>
        <v>149653</v>
      </c>
      <c r="J201" s="1367">
        <f t="shared" si="162"/>
        <v>0</v>
      </c>
      <c r="K201" s="1367">
        <f t="shared" si="162"/>
        <v>0</v>
      </c>
      <c r="L201" s="1367">
        <f t="shared" si="162"/>
        <v>0</v>
      </c>
      <c r="M201" s="3519"/>
      <c r="N201" s="3519"/>
      <c r="O201" s="4191" t="s">
        <v>185</v>
      </c>
    </row>
    <row r="202" spans="1:16" s="2385" customFormat="1" ht="15" customHeight="1" thickBot="1">
      <c r="A202" s="4204"/>
      <c r="B202" s="2187" t="s">
        <v>18</v>
      </c>
      <c r="C202" s="3695" t="s">
        <v>160</v>
      </c>
      <c r="D202" s="1360">
        <f>SUM(E202:L202)</f>
        <v>554157</v>
      </c>
      <c r="E202" s="1360">
        <f t="shared" ref="E202:L202" si="163">SUM(E203)</f>
        <v>0</v>
      </c>
      <c r="F202" s="1368">
        <f t="shared" si="163"/>
        <v>0</v>
      </c>
      <c r="G202" s="1360">
        <f t="shared" si="163"/>
        <v>37120</v>
      </c>
      <c r="H202" s="1360">
        <f t="shared" si="163"/>
        <v>367384</v>
      </c>
      <c r="I202" s="1360">
        <f t="shared" si="163"/>
        <v>149653</v>
      </c>
      <c r="J202" s="1368">
        <f t="shared" si="163"/>
        <v>0</v>
      </c>
      <c r="K202" s="1368">
        <f t="shared" si="163"/>
        <v>0</v>
      </c>
      <c r="L202" s="1368">
        <f t="shared" si="163"/>
        <v>0</v>
      </c>
      <c r="M202" s="3517"/>
      <c r="N202" s="3517"/>
      <c r="O202" s="3735"/>
    </row>
    <row r="203" spans="1:16" s="2385" customFormat="1" ht="13.5" thickBot="1">
      <c r="A203" s="4204"/>
      <c r="B203" s="2861" t="s">
        <v>20</v>
      </c>
      <c r="C203" s="3523"/>
      <c r="D203" s="1288">
        <f>E203+F203+G203+H203+I203+J203+K203+L203</f>
        <v>554157</v>
      </c>
      <c r="E203" s="1288">
        <v>0</v>
      </c>
      <c r="F203" s="1811">
        <v>0</v>
      </c>
      <c r="G203" s="1662">
        <f>69700-32580</f>
        <v>37120</v>
      </c>
      <c r="H203" s="1662">
        <f>353818+13566</f>
        <v>367384</v>
      </c>
      <c r="I203" s="1662">
        <f>117073+32580</f>
        <v>149653</v>
      </c>
      <c r="J203" s="1811">
        <v>0</v>
      </c>
      <c r="K203" s="1811">
        <v>0</v>
      </c>
      <c r="L203" s="1811">
        <v>0</v>
      </c>
      <c r="M203" s="3518"/>
      <c r="N203" s="3518"/>
      <c r="O203" s="3736"/>
    </row>
    <row r="204" spans="1:16" s="2385" customFormat="1" ht="24" hidden="1" customHeight="1">
      <c r="A204" s="4203" t="s">
        <v>84</v>
      </c>
      <c r="B204" s="179" t="s">
        <v>358</v>
      </c>
      <c r="C204" s="1388" t="s">
        <v>73</v>
      </c>
      <c r="D204" s="622"/>
      <c r="E204" s="1286"/>
      <c r="F204" s="624"/>
      <c r="G204" s="624"/>
      <c r="H204" s="624"/>
      <c r="I204" s="623"/>
      <c r="J204" s="623"/>
      <c r="K204" s="623"/>
      <c r="L204" s="623"/>
      <c r="M204" s="625"/>
      <c r="N204" s="625"/>
      <c r="O204" s="3734" t="s">
        <v>185</v>
      </c>
      <c r="P204" s="2385" t="s">
        <v>356</v>
      </c>
    </row>
    <row r="205" spans="1:16" s="2385" customFormat="1" ht="13.5" hidden="1" thickBot="1">
      <c r="A205" s="4204"/>
      <c r="B205" s="1355" t="s">
        <v>10</v>
      </c>
      <c r="C205" s="2603"/>
      <c r="D205" s="1357">
        <f>SUM(E205:L205)</f>
        <v>0</v>
      </c>
      <c r="E205" s="2043">
        <f>SUM(E206,E208)</f>
        <v>0</v>
      </c>
      <c r="F205" s="1656">
        <f t="shared" ref="F205:L205" si="164">F206+F208</f>
        <v>0</v>
      </c>
      <c r="G205" s="2043">
        <f>SUM(G206,G208)</f>
        <v>0</v>
      </c>
      <c r="H205" s="1656">
        <f t="shared" si="164"/>
        <v>0</v>
      </c>
      <c r="I205" s="1656">
        <f t="shared" si="164"/>
        <v>0</v>
      </c>
      <c r="J205" s="1656">
        <f t="shared" si="164"/>
        <v>0</v>
      </c>
      <c r="K205" s="1656">
        <f t="shared" si="164"/>
        <v>0</v>
      </c>
      <c r="L205" s="1656">
        <f t="shared" si="164"/>
        <v>0</v>
      </c>
      <c r="M205" s="1358">
        <f>+M206+M208</f>
        <v>0</v>
      </c>
      <c r="N205" s="1358">
        <f>+N206+N208</f>
        <v>0</v>
      </c>
      <c r="O205" s="3735"/>
    </row>
    <row r="206" spans="1:16" s="2385" customFormat="1" ht="15" hidden="1" customHeight="1">
      <c r="A206" s="4204"/>
      <c r="B206" s="1359" t="s">
        <v>23</v>
      </c>
      <c r="C206" s="3522" t="s">
        <v>160</v>
      </c>
      <c r="D206" s="1360">
        <f>SUM(E206:L206)</f>
        <v>0</v>
      </c>
      <c r="E206" s="2044">
        <f t="shared" ref="E206:L206" si="165">E207</f>
        <v>0</v>
      </c>
      <c r="F206" s="2045">
        <f t="shared" si="165"/>
        <v>0</v>
      </c>
      <c r="G206" s="2044">
        <f t="shared" si="165"/>
        <v>0</v>
      </c>
      <c r="H206" s="2045">
        <f t="shared" si="165"/>
        <v>0</v>
      </c>
      <c r="I206" s="2045">
        <f t="shared" si="165"/>
        <v>0</v>
      </c>
      <c r="J206" s="2045">
        <f t="shared" si="165"/>
        <v>0</v>
      </c>
      <c r="K206" s="2045">
        <f t="shared" si="165"/>
        <v>0</v>
      </c>
      <c r="L206" s="2045">
        <f t="shared" si="165"/>
        <v>0</v>
      </c>
      <c r="M206" s="1361">
        <f>+M207</f>
        <v>0</v>
      </c>
      <c r="N206" s="1361">
        <f>+N207</f>
        <v>0</v>
      </c>
      <c r="O206" s="3735"/>
    </row>
    <row r="207" spans="1:16" s="2385" customFormat="1" ht="11.25" hidden="1" customHeight="1">
      <c r="A207" s="4204"/>
      <c r="B207" s="2386" t="s">
        <v>12</v>
      </c>
      <c r="C207" s="3566"/>
      <c r="D207" s="1288">
        <f>E207+F207+G207+H207+I207+J207+K207+L207</f>
        <v>0</v>
      </c>
      <c r="E207" s="1288">
        <v>0</v>
      </c>
      <c r="F207" s="2046">
        <v>0</v>
      </c>
      <c r="G207" s="2047">
        <f>2394-2394</f>
        <v>0</v>
      </c>
      <c r="H207" s="2046">
        <v>0</v>
      </c>
      <c r="I207" s="2046">
        <v>0</v>
      </c>
      <c r="J207" s="2046">
        <v>0</v>
      </c>
      <c r="K207" s="2046">
        <v>0</v>
      </c>
      <c r="L207" s="2046">
        <v>0</v>
      </c>
      <c r="M207" s="1674">
        <f>SUM(F207:K207)</f>
        <v>0</v>
      </c>
      <c r="N207" s="1674">
        <f>SUM(G207:L207)</f>
        <v>0</v>
      </c>
      <c r="O207" s="3735"/>
    </row>
    <row r="208" spans="1:16" s="2385" customFormat="1" ht="12.75" hidden="1" customHeight="1">
      <c r="A208" s="4204"/>
      <c r="B208" s="2476" t="s">
        <v>18</v>
      </c>
      <c r="C208" s="3566"/>
      <c r="D208" s="1360">
        <f>SUM(E208:L208)</f>
        <v>0</v>
      </c>
      <c r="E208" s="2044">
        <f>E209</f>
        <v>0</v>
      </c>
      <c r="F208" s="2045">
        <v>0</v>
      </c>
      <c r="G208" s="2044">
        <f>G209</f>
        <v>0</v>
      </c>
      <c r="H208" s="2045">
        <v>0</v>
      </c>
      <c r="I208" s="2045">
        <v>0</v>
      </c>
      <c r="J208" s="2045">
        <v>0</v>
      </c>
      <c r="K208" s="2045">
        <v>0</v>
      </c>
      <c r="L208" s="2045">
        <v>0</v>
      </c>
      <c r="M208" s="1361">
        <f>+M209</f>
        <v>0</v>
      </c>
      <c r="N208" s="1361">
        <f>+N209</f>
        <v>0</v>
      </c>
      <c r="O208" s="3735"/>
    </row>
    <row r="209" spans="1:15" s="2385" customFormat="1" ht="13.5" hidden="1" thickBot="1">
      <c r="A209" s="4204"/>
      <c r="B209" s="3428" t="s">
        <v>20</v>
      </c>
      <c r="C209" s="3658"/>
      <c r="D209" s="1288">
        <f>E209+F209+G209+H209+I209+J209+K209+L209</f>
        <v>0</v>
      </c>
      <c r="E209" s="1288">
        <v>0</v>
      </c>
      <c r="F209" s="2046">
        <v>0</v>
      </c>
      <c r="G209" s="2047">
        <f>13566-13566</f>
        <v>0</v>
      </c>
      <c r="H209" s="2046">
        <v>0</v>
      </c>
      <c r="I209" s="2046">
        <v>0</v>
      </c>
      <c r="J209" s="2046">
        <v>0</v>
      </c>
      <c r="K209" s="2046">
        <v>0</v>
      </c>
      <c r="L209" s="2046">
        <v>0</v>
      </c>
      <c r="M209" s="1674">
        <f>SUM(F209:K209)</f>
        <v>0</v>
      </c>
      <c r="N209" s="1674">
        <f>SUM(G209:L209)</f>
        <v>0</v>
      </c>
      <c r="O209" s="4185"/>
    </row>
    <row r="210" spans="1:15" s="2385" customFormat="1" ht="13.5" hidden="1" thickBot="1">
      <c r="A210" s="4204"/>
      <c r="B210" s="2149" t="s">
        <v>21</v>
      </c>
      <c r="C210" s="2603"/>
      <c r="D210" s="1357">
        <f>SUM(E210:L210)</f>
        <v>0</v>
      </c>
      <c r="E210" s="2043">
        <f t="shared" ref="E210:L211" si="166">E211</f>
        <v>0</v>
      </c>
      <c r="F210" s="1656">
        <f t="shared" si="166"/>
        <v>0</v>
      </c>
      <c r="G210" s="2043">
        <f t="shared" si="166"/>
        <v>0</v>
      </c>
      <c r="H210" s="1656">
        <f t="shared" si="166"/>
        <v>0</v>
      </c>
      <c r="I210" s="1656">
        <f t="shared" si="166"/>
        <v>0</v>
      </c>
      <c r="J210" s="1656">
        <f t="shared" si="166"/>
        <v>0</v>
      </c>
      <c r="K210" s="1656">
        <f t="shared" si="166"/>
        <v>0</v>
      </c>
      <c r="L210" s="1656">
        <f t="shared" si="166"/>
        <v>0</v>
      </c>
      <c r="M210" s="3519"/>
      <c r="N210" s="3519"/>
      <c r="O210" s="3735" t="s">
        <v>185</v>
      </c>
    </row>
    <row r="211" spans="1:15" s="2385" customFormat="1" ht="12.75" hidden="1" customHeight="1">
      <c r="A211" s="4204"/>
      <c r="B211" s="2187" t="s">
        <v>18</v>
      </c>
      <c r="C211" s="3695" t="s">
        <v>160</v>
      </c>
      <c r="D211" s="1360">
        <f>SUM(E211:L211)</f>
        <v>0</v>
      </c>
      <c r="E211" s="2048">
        <f t="shared" si="166"/>
        <v>0</v>
      </c>
      <c r="F211" s="1417">
        <f t="shared" si="166"/>
        <v>0</v>
      </c>
      <c r="G211" s="2048">
        <f t="shared" si="166"/>
        <v>0</v>
      </c>
      <c r="H211" s="1417">
        <f t="shared" si="166"/>
        <v>0</v>
      </c>
      <c r="I211" s="1417">
        <f t="shared" si="166"/>
        <v>0</v>
      </c>
      <c r="J211" s="1417">
        <f t="shared" si="166"/>
        <v>0</v>
      </c>
      <c r="K211" s="1417">
        <f t="shared" si="166"/>
        <v>0</v>
      </c>
      <c r="L211" s="1417">
        <f t="shared" si="166"/>
        <v>0</v>
      </c>
      <c r="M211" s="3517"/>
      <c r="N211" s="3517"/>
      <c r="O211" s="3735"/>
    </row>
    <row r="212" spans="1:15" s="2385" customFormat="1" ht="12" hidden="1" customHeight="1" thickBot="1">
      <c r="A212" s="4204"/>
      <c r="B212" s="2861" t="s">
        <v>20</v>
      </c>
      <c r="C212" s="3523"/>
      <c r="D212" s="2031">
        <f>E212+F212+G212+H212+I212+J212+K212+L212</f>
        <v>0</v>
      </c>
      <c r="E212" s="2031">
        <v>0</v>
      </c>
      <c r="F212" s="2032">
        <v>0</v>
      </c>
      <c r="G212" s="3461">
        <f>13566-13566</f>
        <v>0</v>
      </c>
      <c r="H212" s="2032">
        <v>0</v>
      </c>
      <c r="I212" s="2032">
        <v>0</v>
      </c>
      <c r="J212" s="2032">
        <v>0</v>
      </c>
      <c r="K212" s="2032">
        <v>0</v>
      </c>
      <c r="L212" s="2032">
        <v>0</v>
      </c>
      <c r="M212" s="3518"/>
      <c r="N212" s="3518"/>
      <c r="O212" s="3736"/>
    </row>
    <row r="213" spans="1:15" s="2385" customFormat="1" ht="40.5" customHeight="1" thickBot="1">
      <c r="A213" s="4203" t="s">
        <v>87</v>
      </c>
      <c r="B213" s="179" t="s">
        <v>484</v>
      </c>
      <c r="C213" s="1388" t="s">
        <v>100</v>
      </c>
      <c r="D213" s="623"/>
      <c r="E213" s="2775"/>
      <c r="F213" s="2769"/>
      <c r="G213" s="2769"/>
      <c r="H213" s="2769"/>
      <c r="I213" s="2042"/>
      <c r="J213" s="2042"/>
      <c r="K213" s="2042"/>
      <c r="L213" s="2770"/>
      <c r="M213" s="625"/>
      <c r="N213" s="625"/>
      <c r="O213" s="3734" t="s">
        <v>312</v>
      </c>
    </row>
    <row r="214" spans="1:15" s="2385" customFormat="1" ht="15" customHeight="1" thickBot="1">
      <c r="A214" s="4204"/>
      <c r="B214" s="1355" t="s">
        <v>10</v>
      </c>
      <c r="C214" s="2603"/>
      <c r="D214" s="1357">
        <f>+D215+D219</f>
        <v>1276500</v>
      </c>
      <c r="E214" s="1357">
        <f t="shared" ref="E214" si="167">+E215+E219</f>
        <v>0</v>
      </c>
      <c r="F214" s="1357">
        <f>+F215+F219</f>
        <v>25422</v>
      </c>
      <c r="G214" s="1357">
        <f>+G215+G219</f>
        <v>545621</v>
      </c>
      <c r="H214" s="1357">
        <f t="shared" ref="H214:L214" si="168">+H215+H219</f>
        <v>671780</v>
      </c>
      <c r="I214" s="1357">
        <f t="shared" si="168"/>
        <v>33677</v>
      </c>
      <c r="J214" s="1367">
        <f t="shared" si="168"/>
        <v>0</v>
      </c>
      <c r="K214" s="1367">
        <f t="shared" si="168"/>
        <v>0</v>
      </c>
      <c r="L214" s="1367">
        <f t="shared" si="168"/>
        <v>0</v>
      </c>
      <c r="M214" s="1358">
        <f>+M215+M219</f>
        <v>1276500</v>
      </c>
      <c r="N214" s="1358">
        <f>+N215+N219</f>
        <v>1251078</v>
      </c>
      <c r="O214" s="3735"/>
    </row>
    <row r="215" spans="1:15" s="2385" customFormat="1" ht="15" customHeight="1" thickBot="1">
      <c r="A215" s="4204"/>
      <c r="B215" s="1359" t="s">
        <v>23</v>
      </c>
      <c r="C215" s="3522" t="s">
        <v>351</v>
      </c>
      <c r="D215" s="1360">
        <f>SUM(D216)</f>
        <v>191898</v>
      </c>
      <c r="E215" s="1360">
        <f t="shared" ref="E215:L215" si="169">SUM(E216)</f>
        <v>0</v>
      </c>
      <c r="F215" s="1360">
        <f t="shared" si="169"/>
        <v>3813</v>
      </c>
      <c r="G215" s="1360">
        <f t="shared" si="169"/>
        <v>82013</v>
      </c>
      <c r="H215" s="1360">
        <f t="shared" si="169"/>
        <v>100937</v>
      </c>
      <c r="I215" s="1360">
        <f t="shared" si="169"/>
        <v>5135</v>
      </c>
      <c r="J215" s="1368">
        <f t="shared" si="169"/>
        <v>0</v>
      </c>
      <c r="K215" s="1368">
        <f t="shared" si="169"/>
        <v>0</v>
      </c>
      <c r="L215" s="1368">
        <f t="shared" si="169"/>
        <v>0</v>
      </c>
      <c r="M215" s="1361">
        <f>+M216</f>
        <v>191898</v>
      </c>
      <c r="N215" s="1361">
        <f>+N216</f>
        <v>188085</v>
      </c>
      <c r="O215" s="3735"/>
    </row>
    <row r="216" spans="1:15" s="2385" customFormat="1" ht="12" customHeight="1" thickBot="1">
      <c r="A216" s="4204"/>
      <c r="B216" s="1362" t="s">
        <v>12</v>
      </c>
      <c r="C216" s="3566"/>
      <c r="D216" s="1288">
        <f>E216+F216+G216+H216+I216+J216+K216+L216</f>
        <v>191898</v>
      </c>
      <c r="E216" s="1288">
        <v>0</v>
      </c>
      <c r="F216" s="1288">
        <f t="shared" ref="F216:L216" si="170">SUM(F217:F218)</f>
        <v>3813</v>
      </c>
      <c r="G216" s="1288">
        <f t="shared" si="170"/>
        <v>82013</v>
      </c>
      <c r="H216" s="1288">
        <f t="shared" si="170"/>
        <v>100937</v>
      </c>
      <c r="I216" s="1288">
        <f t="shared" si="170"/>
        <v>5135</v>
      </c>
      <c r="J216" s="2049">
        <f t="shared" si="170"/>
        <v>0</v>
      </c>
      <c r="K216" s="2049">
        <f t="shared" si="170"/>
        <v>0</v>
      </c>
      <c r="L216" s="2049">
        <f t="shared" si="170"/>
        <v>0</v>
      </c>
      <c r="M216" s="1674">
        <f>+M217+M218</f>
        <v>191898</v>
      </c>
      <c r="N216" s="1674">
        <f>+N217+N218</f>
        <v>188085</v>
      </c>
      <c r="O216" s="3735"/>
    </row>
    <row r="217" spans="1:15" s="2385" customFormat="1" ht="15" hidden="1" customHeight="1">
      <c r="A217" s="4204"/>
      <c r="B217" s="2050" t="s">
        <v>352</v>
      </c>
      <c r="C217" s="3566"/>
      <c r="D217" s="2051">
        <f>SUM(E217:L217)</f>
        <v>156108</v>
      </c>
      <c r="E217" s="2052">
        <v>0</v>
      </c>
      <c r="F217" s="1448">
        <f>3150-50</f>
        <v>3100</v>
      </c>
      <c r="G217" s="1448">
        <f>66665+50</f>
        <v>66715</v>
      </c>
      <c r="H217" s="1448">
        <v>82100</v>
      </c>
      <c r="I217" s="1448">
        <v>4193</v>
      </c>
      <c r="J217" s="2053">
        <v>0</v>
      </c>
      <c r="K217" s="2053">
        <v>0</v>
      </c>
      <c r="L217" s="2053">
        <v>0</v>
      </c>
      <c r="M217" s="1674">
        <f>SUM(F217:K217)</f>
        <v>156108</v>
      </c>
      <c r="N217" s="1674">
        <f>SUM(G217:L217)</f>
        <v>153008</v>
      </c>
      <c r="O217" s="3735"/>
    </row>
    <row r="218" spans="1:15" s="2385" customFormat="1" ht="15" hidden="1" customHeight="1">
      <c r="A218" s="4204"/>
      <c r="B218" s="2050" t="s">
        <v>250</v>
      </c>
      <c r="C218" s="3566"/>
      <c r="D218" s="2051">
        <f>SUM(E218:L218)</f>
        <v>35790</v>
      </c>
      <c r="E218" s="2052">
        <v>0</v>
      </c>
      <c r="F218" s="1448">
        <f>724-11</f>
        <v>713</v>
      </c>
      <c r="G218" s="1448">
        <f>15287+11</f>
        <v>15298</v>
      </c>
      <c r="H218" s="1448">
        <v>18837</v>
      </c>
      <c r="I218" s="1448">
        <v>942</v>
      </c>
      <c r="J218" s="2053">
        <v>0</v>
      </c>
      <c r="K218" s="2053">
        <v>0</v>
      </c>
      <c r="L218" s="2053">
        <v>0</v>
      </c>
      <c r="M218" s="1674">
        <f>SUM(F218:K218)</f>
        <v>35790</v>
      </c>
      <c r="N218" s="1674">
        <f>SUM(G218:L218)</f>
        <v>35077</v>
      </c>
      <c r="O218" s="3735"/>
    </row>
    <row r="219" spans="1:15" s="2385" customFormat="1" ht="15" customHeight="1" thickBot="1">
      <c r="A219" s="4204"/>
      <c r="B219" s="1364" t="s">
        <v>18</v>
      </c>
      <c r="C219" s="3566"/>
      <c r="D219" s="1360">
        <f>SUM(E219:L219)</f>
        <v>1084602</v>
      </c>
      <c r="E219" s="1360">
        <f t="shared" ref="E219:L219" si="171">SUM(E220)</f>
        <v>0</v>
      </c>
      <c r="F219" s="1360">
        <f t="shared" si="171"/>
        <v>21609</v>
      </c>
      <c r="G219" s="1360">
        <f t="shared" si="171"/>
        <v>463608</v>
      </c>
      <c r="H219" s="1360">
        <f t="shared" si="171"/>
        <v>570843</v>
      </c>
      <c r="I219" s="1360">
        <f t="shared" si="171"/>
        <v>28542</v>
      </c>
      <c r="J219" s="1368">
        <f t="shared" si="171"/>
        <v>0</v>
      </c>
      <c r="K219" s="1368">
        <f t="shared" si="171"/>
        <v>0</v>
      </c>
      <c r="L219" s="1368">
        <f t="shared" si="171"/>
        <v>0</v>
      </c>
      <c r="M219" s="1361">
        <f>+M220</f>
        <v>1084602</v>
      </c>
      <c r="N219" s="1361">
        <f>+N220</f>
        <v>1062993</v>
      </c>
      <c r="O219" s="3735"/>
    </row>
    <row r="220" spans="1:15" s="2385" customFormat="1" ht="15" customHeight="1" thickBot="1">
      <c r="A220" s="4204"/>
      <c r="B220" s="3428" t="s">
        <v>20</v>
      </c>
      <c r="C220" s="3566"/>
      <c r="D220" s="1288">
        <f>E220+F220+G220+H220+I220+J220+K220+L220</f>
        <v>1084602</v>
      </c>
      <c r="E220" s="1288">
        <v>0</v>
      </c>
      <c r="F220" s="2054">
        <f t="shared" ref="F220:L220" si="172">SUM(F221:F222)</f>
        <v>21609</v>
      </c>
      <c r="G220" s="2054">
        <f t="shared" si="172"/>
        <v>463608</v>
      </c>
      <c r="H220" s="2054">
        <f t="shared" si="172"/>
        <v>570843</v>
      </c>
      <c r="I220" s="2054">
        <f t="shared" si="172"/>
        <v>28542</v>
      </c>
      <c r="J220" s="2055">
        <f t="shared" si="172"/>
        <v>0</v>
      </c>
      <c r="K220" s="2055">
        <f t="shared" si="172"/>
        <v>0</v>
      </c>
      <c r="L220" s="2056">
        <f t="shared" si="172"/>
        <v>0</v>
      </c>
      <c r="M220" s="1674">
        <f>+M221+M222</f>
        <v>1084602</v>
      </c>
      <c r="N220" s="1674">
        <f>+N221+N222</f>
        <v>1062993</v>
      </c>
      <c r="O220" s="3735"/>
    </row>
    <row r="221" spans="1:15" s="2385" customFormat="1" ht="15" hidden="1" customHeight="1">
      <c r="A221" s="4225"/>
      <c r="B221" s="3462" t="s">
        <v>352</v>
      </c>
      <c r="C221" s="4206"/>
      <c r="D221" s="1447">
        <f>SUM(E221:L221)</f>
        <v>881790</v>
      </c>
      <c r="E221" s="2057">
        <v>0</v>
      </c>
      <c r="F221" s="2058">
        <f>17850-282</f>
        <v>17568</v>
      </c>
      <c r="G221" s="2058">
        <f>376635+282</f>
        <v>376917</v>
      </c>
      <c r="H221" s="2058">
        <v>464100</v>
      </c>
      <c r="I221" s="2058">
        <v>23205</v>
      </c>
      <c r="J221" s="2059">
        <v>0</v>
      </c>
      <c r="K221" s="2060">
        <v>0</v>
      </c>
      <c r="L221" s="2060">
        <v>0</v>
      </c>
      <c r="M221" s="1674">
        <f>SUM(F221:K221)</f>
        <v>881790</v>
      </c>
      <c r="N221" s="1892">
        <f>SUM(G221:L221)</f>
        <v>864222</v>
      </c>
      <c r="O221" s="3736"/>
    </row>
    <row r="222" spans="1:15" s="2385" customFormat="1" ht="15" hidden="1" customHeight="1">
      <c r="A222" s="4225"/>
      <c r="B222" s="3463" t="s">
        <v>250</v>
      </c>
      <c r="C222" s="4206"/>
      <c r="D222" s="2051">
        <f>SUM(E222:L222)</f>
        <v>202812</v>
      </c>
      <c r="E222" s="2061">
        <v>0</v>
      </c>
      <c r="F222" s="1871">
        <f>4106-65</f>
        <v>4041</v>
      </c>
      <c r="G222" s="1871">
        <f>86626+65</f>
        <v>86691</v>
      </c>
      <c r="H222" s="1871">
        <v>106743</v>
      </c>
      <c r="I222" s="1871">
        <v>5337</v>
      </c>
      <c r="J222" s="2059">
        <v>0</v>
      </c>
      <c r="K222" s="2060">
        <v>0</v>
      </c>
      <c r="L222" s="2060">
        <v>0</v>
      </c>
      <c r="M222" s="1674">
        <f>SUM(F222:K222)</f>
        <v>202812</v>
      </c>
      <c r="N222" s="2407">
        <f>SUM(G222:L222)</f>
        <v>198771</v>
      </c>
      <c r="O222" s="4136"/>
    </row>
    <row r="223" spans="1:15" s="2385" customFormat="1" ht="15" customHeight="1" thickBot="1">
      <c r="A223" s="4204"/>
      <c r="B223" s="80" t="s">
        <v>21</v>
      </c>
      <c r="C223" s="2603"/>
      <c r="D223" s="1357">
        <f>SUM(E223:L223)</f>
        <v>1084602</v>
      </c>
      <c r="E223" s="1357">
        <f t="shared" ref="E223:L223" si="173">+E224</f>
        <v>0</v>
      </c>
      <c r="F223" s="1367">
        <f t="shared" si="173"/>
        <v>0</v>
      </c>
      <c r="G223" s="1357">
        <f t="shared" si="173"/>
        <v>253586</v>
      </c>
      <c r="H223" s="1357">
        <f t="shared" si="173"/>
        <v>517052</v>
      </c>
      <c r="I223" s="1357">
        <f t="shared" si="173"/>
        <v>313964</v>
      </c>
      <c r="J223" s="1367">
        <f t="shared" si="173"/>
        <v>0</v>
      </c>
      <c r="K223" s="1367">
        <f t="shared" si="173"/>
        <v>0</v>
      </c>
      <c r="L223" s="1367">
        <f t="shared" si="173"/>
        <v>0</v>
      </c>
      <c r="M223" s="3519"/>
      <c r="N223" s="3605"/>
      <c r="O223" s="4136" t="s">
        <v>185</v>
      </c>
    </row>
    <row r="224" spans="1:15" s="2385" customFormat="1" ht="15" customHeight="1" thickBot="1">
      <c r="A224" s="4204"/>
      <c r="B224" s="2187" t="s">
        <v>18</v>
      </c>
      <c r="C224" s="4153" t="s">
        <v>160</v>
      </c>
      <c r="D224" s="1360">
        <f>SUM(E224:L224)</f>
        <v>1084602</v>
      </c>
      <c r="E224" s="1360">
        <f t="shared" ref="E224:L224" si="174">SUM(E225)</f>
        <v>0</v>
      </c>
      <c r="F224" s="1368">
        <f t="shared" si="174"/>
        <v>0</v>
      </c>
      <c r="G224" s="1360">
        <f t="shared" si="174"/>
        <v>253586</v>
      </c>
      <c r="H224" s="1360">
        <f t="shared" si="174"/>
        <v>517052</v>
      </c>
      <c r="I224" s="1360">
        <f t="shared" si="174"/>
        <v>313964</v>
      </c>
      <c r="J224" s="1368">
        <f t="shared" si="174"/>
        <v>0</v>
      </c>
      <c r="K224" s="1368">
        <f t="shared" si="174"/>
        <v>0</v>
      </c>
      <c r="L224" s="1368">
        <f t="shared" si="174"/>
        <v>0</v>
      </c>
      <c r="M224" s="3517"/>
      <c r="N224" s="3605"/>
      <c r="O224" s="4136"/>
    </row>
    <row r="225" spans="1:16" s="2385" customFormat="1" ht="15" customHeight="1" thickBot="1">
      <c r="A225" s="4204"/>
      <c r="B225" s="2861" t="s">
        <v>20</v>
      </c>
      <c r="C225" s="3614"/>
      <c r="D225" s="2031">
        <f>E225+F225+G225+H225+I225+J225+K225+L225</f>
        <v>1084602</v>
      </c>
      <c r="E225" s="2031">
        <v>0</v>
      </c>
      <c r="F225" s="1811">
        <v>0</v>
      </c>
      <c r="G225" s="1662">
        <v>253586</v>
      </c>
      <c r="H225" s="1662">
        <v>517052</v>
      </c>
      <c r="I225" s="1662">
        <v>313964</v>
      </c>
      <c r="J225" s="1811">
        <v>0</v>
      </c>
      <c r="K225" s="1811">
        <v>0</v>
      </c>
      <c r="L225" s="1811">
        <v>0</v>
      </c>
      <c r="M225" s="3518"/>
      <c r="N225" s="3605"/>
      <c r="O225" s="4136"/>
    </row>
    <row r="226" spans="1:16" s="2385" customFormat="1" ht="27.75" customHeight="1" thickBot="1">
      <c r="A226" s="4203" t="s">
        <v>88</v>
      </c>
      <c r="B226" s="179" t="s">
        <v>482</v>
      </c>
      <c r="C226" s="1388" t="s">
        <v>161</v>
      </c>
      <c r="D226" s="623"/>
      <c r="E226" s="2775"/>
      <c r="F226" s="2769"/>
      <c r="G226" s="2769"/>
      <c r="H226" s="2769"/>
      <c r="I226" s="2042"/>
      <c r="J226" s="2042"/>
      <c r="K226" s="2042"/>
      <c r="L226" s="2770"/>
      <c r="M226" s="625"/>
      <c r="N226" s="625"/>
      <c r="O226" s="4136" t="s">
        <v>304</v>
      </c>
    </row>
    <row r="227" spans="1:16" s="2385" customFormat="1" ht="15" customHeight="1" thickBot="1">
      <c r="A227" s="4204"/>
      <c r="B227" s="1355" t="s">
        <v>10</v>
      </c>
      <c r="C227" s="2603"/>
      <c r="D227" s="1357">
        <f>D228+D230</f>
        <v>225600</v>
      </c>
      <c r="E227" s="1656">
        <f t="shared" ref="E227" si="175">E228+E230</f>
        <v>0</v>
      </c>
      <c r="F227" s="1656">
        <f t="shared" ref="F227" si="176">+F230</f>
        <v>0</v>
      </c>
      <c r="G227" s="1357">
        <f>G228+G232</f>
        <v>1000</v>
      </c>
      <c r="H227" s="1357">
        <f t="shared" ref="H227:L227" si="177">H228+H232</f>
        <v>1000</v>
      </c>
      <c r="I227" s="1357">
        <f>I228+I230</f>
        <v>223600</v>
      </c>
      <c r="J227" s="1656">
        <f>J228+J230</f>
        <v>0</v>
      </c>
      <c r="K227" s="1656">
        <f t="shared" si="177"/>
        <v>0</v>
      </c>
      <c r="L227" s="1656">
        <f t="shared" si="177"/>
        <v>0</v>
      </c>
      <c r="M227" s="1358">
        <f>+M230+M228</f>
        <v>225600</v>
      </c>
      <c r="N227" s="1358">
        <f>+N230+N228</f>
        <v>225600</v>
      </c>
      <c r="O227" s="4136"/>
      <c r="P227" s="2385" t="s">
        <v>343</v>
      </c>
    </row>
    <row r="228" spans="1:16" s="2385" customFormat="1" ht="15" customHeight="1" thickBot="1">
      <c r="A228" s="4204"/>
      <c r="B228" s="1359" t="s">
        <v>23</v>
      </c>
      <c r="C228" s="3522" t="s">
        <v>179</v>
      </c>
      <c r="D228" s="1360">
        <f>D229</f>
        <v>36390</v>
      </c>
      <c r="E228" s="1722">
        <f t="shared" ref="E228:F228" si="178">E229</f>
        <v>0</v>
      </c>
      <c r="F228" s="1722">
        <f t="shared" si="178"/>
        <v>0</v>
      </c>
      <c r="G228" s="1365">
        <f>G229</f>
        <v>1000</v>
      </c>
      <c r="H228" s="1365">
        <f>H229</f>
        <v>1000</v>
      </c>
      <c r="I228" s="1365">
        <f t="shared" ref="I228:L228" si="179">I229</f>
        <v>34390</v>
      </c>
      <c r="J228" s="1417">
        <f t="shared" si="179"/>
        <v>0</v>
      </c>
      <c r="K228" s="1417">
        <f t="shared" si="179"/>
        <v>0</v>
      </c>
      <c r="L228" s="1417">
        <f t="shared" si="179"/>
        <v>0</v>
      </c>
      <c r="M228" s="1361">
        <f>M229</f>
        <v>36390</v>
      </c>
      <c r="N228" s="1361">
        <f>N229</f>
        <v>36390</v>
      </c>
      <c r="O228" s="4136"/>
    </row>
    <row r="229" spans="1:16" s="2385" customFormat="1" ht="15" customHeight="1" thickBot="1">
      <c r="A229" s="4204"/>
      <c r="B229" s="1362" t="s">
        <v>12</v>
      </c>
      <c r="C229" s="3566"/>
      <c r="D229" s="1288">
        <f>E229+F229+G229+H229+I229+J229+K229+L229</f>
        <v>36390</v>
      </c>
      <c r="E229" s="1719">
        <v>0</v>
      </c>
      <c r="F229" s="1719">
        <v>0</v>
      </c>
      <c r="G229" s="1363">
        <v>1000</v>
      </c>
      <c r="H229" s="1363">
        <v>1000</v>
      </c>
      <c r="I229" s="1363">
        <v>34390</v>
      </c>
      <c r="J229" s="1417">
        <v>0</v>
      </c>
      <c r="K229" s="1719">
        <v>0</v>
      </c>
      <c r="L229" s="1719">
        <v>0</v>
      </c>
      <c r="M229" s="1674">
        <f>SUM(F229:K229)</f>
        <v>36390</v>
      </c>
      <c r="N229" s="1674">
        <f>SUM(G229:L229)</f>
        <v>36390</v>
      </c>
      <c r="O229" s="4136"/>
    </row>
    <row r="230" spans="1:16" s="2385" customFormat="1" ht="15" customHeight="1" thickBot="1">
      <c r="A230" s="4204"/>
      <c r="B230" s="1364" t="s">
        <v>18</v>
      </c>
      <c r="C230" s="3566"/>
      <c r="D230" s="1360">
        <f>D231</f>
        <v>189210</v>
      </c>
      <c r="E230" s="1722">
        <f t="shared" ref="E230:N230" si="180">+E231</f>
        <v>0</v>
      </c>
      <c r="F230" s="1722">
        <v>0</v>
      </c>
      <c r="G230" s="1800">
        <f>G231</f>
        <v>0</v>
      </c>
      <c r="H230" s="1800">
        <v>0</v>
      </c>
      <c r="I230" s="1365">
        <f>I231</f>
        <v>189210</v>
      </c>
      <c r="J230" s="1417">
        <v>0</v>
      </c>
      <c r="K230" s="1417">
        <v>0</v>
      </c>
      <c r="L230" s="1417">
        <v>0</v>
      </c>
      <c r="M230" s="1361">
        <f t="shared" si="180"/>
        <v>189210</v>
      </c>
      <c r="N230" s="1361">
        <f t="shared" si="180"/>
        <v>189210</v>
      </c>
      <c r="O230" s="4136"/>
    </row>
    <row r="231" spans="1:16" s="2385" customFormat="1" ht="15" customHeight="1" thickBot="1">
      <c r="A231" s="4204"/>
      <c r="B231" s="3428" t="s">
        <v>20</v>
      </c>
      <c r="C231" s="3658"/>
      <c r="D231" s="1288">
        <f>E231+F231+G231+H231+I231+J231+K231+L231</f>
        <v>189210</v>
      </c>
      <c r="E231" s="1719">
        <v>0</v>
      </c>
      <c r="F231" s="1719">
        <v>0</v>
      </c>
      <c r="G231" s="1796">
        <v>0</v>
      </c>
      <c r="H231" s="1796">
        <v>0</v>
      </c>
      <c r="I231" s="1363">
        <v>189210</v>
      </c>
      <c r="J231" s="1719">
        <v>0</v>
      </c>
      <c r="K231" s="1719">
        <v>0</v>
      </c>
      <c r="L231" s="1719">
        <v>0</v>
      </c>
      <c r="M231" s="1674">
        <f>SUM(F231:K231)</f>
        <v>189210</v>
      </c>
      <c r="N231" s="1674">
        <f>SUM(G231:L231)</f>
        <v>189210</v>
      </c>
      <c r="O231" s="4136"/>
    </row>
    <row r="232" spans="1:16" s="2385" customFormat="1" ht="15" customHeight="1" thickBot="1">
      <c r="A232" s="4204"/>
      <c r="B232" s="2149" t="s">
        <v>21</v>
      </c>
      <c r="C232" s="2603"/>
      <c r="D232" s="1357">
        <f t="shared" ref="D232:L233" si="181">D233</f>
        <v>189210</v>
      </c>
      <c r="E232" s="1656">
        <f t="shared" ref="E232" si="182">+E235</f>
        <v>0</v>
      </c>
      <c r="F232" s="1656">
        <f t="shared" si="181"/>
        <v>0</v>
      </c>
      <c r="G232" s="1367">
        <f t="shared" si="181"/>
        <v>0</v>
      </c>
      <c r="H232" s="1367">
        <f t="shared" si="181"/>
        <v>0</v>
      </c>
      <c r="I232" s="1367">
        <f t="shared" si="181"/>
        <v>0</v>
      </c>
      <c r="J232" s="1357">
        <f t="shared" si="181"/>
        <v>189210</v>
      </c>
      <c r="K232" s="1656">
        <f t="shared" si="181"/>
        <v>0</v>
      </c>
      <c r="L232" s="1656">
        <f t="shared" si="181"/>
        <v>0</v>
      </c>
      <c r="M232" s="3519" t="s">
        <v>53</v>
      </c>
      <c r="N232" s="3716" t="s">
        <v>53</v>
      </c>
      <c r="O232" s="4136" t="s">
        <v>185</v>
      </c>
    </row>
    <row r="233" spans="1:16" s="2385" customFormat="1" ht="15" customHeight="1" thickBot="1">
      <c r="A233" s="4204"/>
      <c r="B233" s="2187" t="s">
        <v>18</v>
      </c>
      <c r="C233" s="4192" t="s">
        <v>179</v>
      </c>
      <c r="D233" s="1366">
        <f t="shared" si="181"/>
        <v>189210</v>
      </c>
      <c r="E233" s="1722">
        <f t="shared" si="181"/>
        <v>0</v>
      </c>
      <c r="F233" s="1417">
        <f t="shared" si="181"/>
        <v>0</v>
      </c>
      <c r="G233" s="2053">
        <f t="shared" si="181"/>
        <v>0</v>
      </c>
      <c r="H233" s="2053">
        <f t="shared" si="181"/>
        <v>0</v>
      </c>
      <c r="I233" s="2053">
        <f t="shared" si="181"/>
        <v>0</v>
      </c>
      <c r="J233" s="1366">
        <f t="shared" si="181"/>
        <v>189210</v>
      </c>
      <c r="K233" s="1417">
        <f t="shared" si="181"/>
        <v>0</v>
      </c>
      <c r="L233" s="1417">
        <f t="shared" si="181"/>
        <v>0</v>
      </c>
      <c r="M233" s="3517"/>
      <c r="N233" s="3605"/>
      <c r="O233" s="4136"/>
    </row>
    <row r="234" spans="1:16" s="2385" customFormat="1" ht="15" customHeight="1" thickBot="1">
      <c r="A234" s="4204"/>
      <c r="B234" s="2861" t="s">
        <v>20</v>
      </c>
      <c r="C234" s="3614"/>
      <c r="D234" s="1643">
        <f>E234+F234+G234+H234+I234+J234+K234+L234</f>
        <v>189210</v>
      </c>
      <c r="E234" s="2417">
        <v>0</v>
      </c>
      <c r="F234" s="1663">
        <v>0</v>
      </c>
      <c r="G234" s="1811">
        <v>0</v>
      </c>
      <c r="H234" s="1811">
        <v>0</v>
      </c>
      <c r="I234" s="1811">
        <v>0</v>
      </c>
      <c r="J234" s="1662">
        <v>189210</v>
      </c>
      <c r="K234" s="2417">
        <v>0</v>
      </c>
      <c r="L234" s="2417">
        <v>0</v>
      </c>
      <c r="M234" s="3518"/>
      <c r="N234" s="3605"/>
      <c r="O234" s="4136"/>
    </row>
    <row r="235" spans="1:16" s="2385" customFormat="1" ht="29.25" customHeight="1" thickBot="1">
      <c r="A235" s="4203" t="s">
        <v>89</v>
      </c>
      <c r="B235" s="179" t="s">
        <v>481</v>
      </c>
      <c r="C235" s="2041" t="s">
        <v>73</v>
      </c>
      <c r="D235" s="623"/>
      <c r="E235" s="2775"/>
      <c r="F235" s="2769"/>
      <c r="G235" s="2769"/>
      <c r="H235" s="2769"/>
      <c r="I235" s="2042"/>
      <c r="J235" s="2042"/>
      <c r="K235" s="2042"/>
      <c r="L235" s="2770"/>
      <c r="M235" s="625"/>
      <c r="N235" s="625"/>
      <c r="O235" s="4136" t="s">
        <v>304</v>
      </c>
    </row>
    <row r="236" spans="1:16" s="2385" customFormat="1" ht="15" customHeight="1" thickBot="1">
      <c r="A236" s="4204"/>
      <c r="B236" s="1355" t="s">
        <v>10</v>
      </c>
      <c r="C236" s="2603"/>
      <c r="D236" s="1357">
        <f>D237+D240</f>
        <v>6246481</v>
      </c>
      <c r="E236" s="1357">
        <f t="shared" ref="E236" si="183">E237+E240</f>
        <v>284314</v>
      </c>
      <c r="F236" s="2875">
        <f>F237</f>
        <v>30000</v>
      </c>
      <c r="G236" s="1357">
        <f>+G240+G237</f>
        <v>101919</v>
      </c>
      <c r="H236" s="1357">
        <f>+H240+H237</f>
        <v>3685930</v>
      </c>
      <c r="I236" s="1357">
        <f t="shared" ref="I236:L236" si="184">+I240+I237</f>
        <v>2144318</v>
      </c>
      <c r="J236" s="1656">
        <f t="shared" si="184"/>
        <v>0</v>
      </c>
      <c r="K236" s="1656">
        <f t="shared" si="184"/>
        <v>0</v>
      </c>
      <c r="L236" s="1656">
        <f t="shared" si="184"/>
        <v>0</v>
      </c>
      <c r="M236" s="1358">
        <f>+M240+M237</f>
        <v>5962167</v>
      </c>
      <c r="N236" s="1358">
        <f>+N240+N237</f>
        <v>5932167</v>
      </c>
      <c r="O236" s="4136"/>
      <c r="P236" s="2385" t="s">
        <v>343</v>
      </c>
    </row>
    <row r="237" spans="1:16" s="2385" customFormat="1" ht="15" customHeight="1" thickBot="1">
      <c r="A237" s="4204"/>
      <c r="B237" s="1359" t="s">
        <v>23</v>
      </c>
      <c r="C237" s="3522" t="s">
        <v>179</v>
      </c>
      <c r="D237" s="1360">
        <f>D238+D239</f>
        <v>1034156</v>
      </c>
      <c r="E237" s="1360">
        <f t="shared" ref="E237:I237" si="185">E238+E239</f>
        <v>114331</v>
      </c>
      <c r="F237" s="1360">
        <f t="shared" si="185"/>
        <v>30000</v>
      </c>
      <c r="G237" s="1360">
        <f t="shared" si="185"/>
        <v>15288</v>
      </c>
      <c r="H237" s="1360">
        <f t="shared" si="185"/>
        <v>552889</v>
      </c>
      <c r="I237" s="1360">
        <f t="shared" si="185"/>
        <v>321648</v>
      </c>
      <c r="J237" s="1719">
        <f t="shared" ref="J237:L237" si="186">J238+J239</f>
        <v>0</v>
      </c>
      <c r="K237" s="1719">
        <f t="shared" si="186"/>
        <v>0</v>
      </c>
      <c r="L237" s="1719">
        <f t="shared" si="186"/>
        <v>0</v>
      </c>
      <c r="M237" s="1361">
        <f>M238+M239</f>
        <v>919825</v>
      </c>
      <c r="N237" s="1361">
        <f>N238</f>
        <v>889825</v>
      </c>
      <c r="O237" s="4136"/>
    </row>
    <row r="238" spans="1:16" s="2385" customFormat="1" ht="15" customHeight="1" thickBot="1">
      <c r="A238" s="4204"/>
      <c r="B238" s="1362" t="s">
        <v>12</v>
      </c>
      <c r="C238" s="3566"/>
      <c r="D238" s="1288">
        <f>E238+F238+G238+H238+I238+J238+K238+L238</f>
        <v>1004156</v>
      </c>
      <c r="E238" s="1288">
        <v>114331</v>
      </c>
      <c r="F238" s="1719">
        <v>0</v>
      </c>
      <c r="G238" s="1363">
        <f>270726-255438</f>
        <v>15288</v>
      </c>
      <c r="H238" s="1363">
        <f>297451+255438</f>
        <v>552889</v>
      </c>
      <c r="I238" s="1363">
        <v>321648</v>
      </c>
      <c r="J238" s="1719">
        <v>0</v>
      </c>
      <c r="K238" s="1719">
        <v>0</v>
      </c>
      <c r="L238" s="1719">
        <v>0</v>
      </c>
      <c r="M238" s="1674">
        <f>SUM(F238:K238)</f>
        <v>889825</v>
      </c>
      <c r="N238" s="1674">
        <f>SUM(G238:L238)</f>
        <v>889825</v>
      </c>
      <c r="O238" s="4136"/>
    </row>
    <row r="239" spans="1:16" s="2385" customFormat="1" ht="15" customHeight="1" thickBot="1">
      <c r="A239" s="4204"/>
      <c r="B239" s="1362" t="s">
        <v>15</v>
      </c>
      <c r="C239" s="3566"/>
      <c r="D239" s="1288">
        <f>E239+F239+G239+H239+I239+J239+K239+L239</f>
        <v>30000</v>
      </c>
      <c r="E239" s="1719">
        <v>0</v>
      </c>
      <c r="F239" s="2876">
        <v>30000</v>
      </c>
      <c r="G239" s="1720">
        <v>0</v>
      </c>
      <c r="H239" s="1720">
        <v>0</v>
      </c>
      <c r="I239" s="1720">
        <v>0</v>
      </c>
      <c r="J239" s="1720">
        <v>0</v>
      </c>
      <c r="K239" s="1720">
        <v>0</v>
      </c>
      <c r="L239" s="1720">
        <v>0</v>
      </c>
      <c r="M239" s="1674">
        <f>SUM(F239:K239)</f>
        <v>30000</v>
      </c>
      <c r="N239" s="1721"/>
      <c r="O239" s="4136"/>
    </row>
    <row r="240" spans="1:16" s="2385" customFormat="1" ht="15" customHeight="1" thickBot="1">
      <c r="A240" s="4204"/>
      <c r="B240" s="1364" t="s">
        <v>18</v>
      </c>
      <c r="C240" s="3566"/>
      <c r="D240" s="1360">
        <f>D241</f>
        <v>5212325</v>
      </c>
      <c r="E240" s="1718">
        <f t="shared" ref="E240:N240" si="187">+E241</f>
        <v>169983</v>
      </c>
      <c r="F240" s="1722">
        <v>0</v>
      </c>
      <c r="G240" s="1365">
        <f>G241</f>
        <v>86631</v>
      </c>
      <c r="H240" s="1365">
        <f t="shared" ref="H240:L240" si="188">H241</f>
        <v>3133041</v>
      </c>
      <c r="I240" s="1365">
        <f t="shared" si="188"/>
        <v>1822670</v>
      </c>
      <c r="J240" s="1722">
        <f t="shared" si="188"/>
        <v>0</v>
      </c>
      <c r="K240" s="1722">
        <f t="shared" si="188"/>
        <v>0</v>
      </c>
      <c r="L240" s="1722">
        <f t="shared" si="188"/>
        <v>0</v>
      </c>
      <c r="M240" s="1361">
        <f t="shared" si="187"/>
        <v>5042342</v>
      </c>
      <c r="N240" s="1361">
        <f t="shared" si="187"/>
        <v>5042342</v>
      </c>
      <c r="O240" s="4136"/>
    </row>
    <row r="241" spans="1:16" s="2385" customFormat="1" ht="15" customHeight="1" thickBot="1">
      <c r="A241" s="4204"/>
      <c r="B241" s="3428" t="s">
        <v>20</v>
      </c>
      <c r="C241" s="3658"/>
      <c r="D241" s="1288">
        <f>E241+F241+G241+H241+I241+J241+K241+L241</f>
        <v>5212325</v>
      </c>
      <c r="E241" s="1288">
        <v>169983</v>
      </c>
      <c r="F241" s="1719">
        <v>0</v>
      </c>
      <c r="G241" s="1363">
        <f>1534116-1447485</f>
        <v>86631</v>
      </c>
      <c r="H241" s="1363">
        <f>1685556+1447485</f>
        <v>3133041</v>
      </c>
      <c r="I241" s="1363">
        <v>1822670</v>
      </c>
      <c r="J241" s="1720">
        <v>0</v>
      </c>
      <c r="K241" s="1720">
        <v>0</v>
      </c>
      <c r="L241" s="1720">
        <v>0</v>
      </c>
      <c r="M241" s="1674">
        <f>SUM(F241:K241)</f>
        <v>5042342</v>
      </c>
      <c r="N241" s="1674">
        <f>SUM(G241:L241)</f>
        <v>5042342</v>
      </c>
      <c r="O241" s="4137"/>
    </row>
    <row r="242" spans="1:16" s="2385" customFormat="1" ht="15" customHeight="1" thickBot="1">
      <c r="A242" s="4204"/>
      <c r="B242" s="2149" t="s">
        <v>21</v>
      </c>
      <c r="C242" s="2603"/>
      <c r="D242" s="1357">
        <f>D245+D243</f>
        <v>5242325</v>
      </c>
      <c r="E242" s="1656">
        <f t="shared" ref="E242:L242" si="189">E245+E243</f>
        <v>0</v>
      </c>
      <c r="F242" s="1357">
        <f t="shared" si="189"/>
        <v>30000</v>
      </c>
      <c r="G242" s="1357">
        <f t="shared" si="189"/>
        <v>0</v>
      </c>
      <c r="H242" s="1357">
        <f t="shared" si="189"/>
        <v>1780856</v>
      </c>
      <c r="I242" s="1357">
        <f t="shared" si="189"/>
        <v>1671276</v>
      </c>
      <c r="J242" s="1357">
        <f t="shared" si="189"/>
        <v>1760193</v>
      </c>
      <c r="K242" s="1656">
        <f t="shared" si="189"/>
        <v>0</v>
      </c>
      <c r="L242" s="1656">
        <f t="shared" si="189"/>
        <v>0</v>
      </c>
      <c r="M242" s="3519" t="s">
        <v>53</v>
      </c>
      <c r="N242" s="3519" t="s">
        <v>53</v>
      </c>
      <c r="O242" s="3735" t="s">
        <v>185</v>
      </c>
    </row>
    <row r="243" spans="1:16" s="2385" customFormat="1" ht="15" customHeight="1" thickBot="1">
      <c r="A243" s="4204"/>
      <c r="B243" s="2187" t="s">
        <v>399</v>
      </c>
      <c r="C243" s="3695" t="s">
        <v>179</v>
      </c>
      <c r="D243" s="1366">
        <f t="shared" ref="D243:L245" si="190">D244</f>
        <v>30000</v>
      </c>
      <c r="E243" s="1722">
        <f t="shared" ref="E243:E245" si="191">+E244</f>
        <v>0</v>
      </c>
      <c r="F243" s="2784">
        <f t="shared" si="190"/>
        <v>30000</v>
      </c>
      <c r="G243" s="1722">
        <f t="shared" si="190"/>
        <v>0</v>
      </c>
      <c r="H243" s="1722">
        <f t="shared" si="190"/>
        <v>0</v>
      </c>
      <c r="I243" s="1722">
        <f t="shared" si="190"/>
        <v>0</v>
      </c>
      <c r="J243" s="1722">
        <f t="shared" si="190"/>
        <v>0</v>
      </c>
      <c r="K243" s="1722">
        <f t="shared" si="190"/>
        <v>0</v>
      </c>
      <c r="L243" s="1722">
        <f t="shared" si="190"/>
        <v>0</v>
      </c>
      <c r="M243" s="3517"/>
      <c r="N243" s="3517"/>
      <c r="O243" s="3735"/>
    </row>
    <row r="244" spans="1:16" s="2385" customFormat="1" ht="15" customHeight="1" thickBot="1">
      <c r="A244" s="4204"/>
      <c r="B244" s="2860" t="s">
        <v>15</v>
      </c>
      <c r="C244" s="3598"/>
      <c r="D244" s="1334">
        <f>E244+F244+G244+H244+I244+J244+K244+L244</f>
        <v>30000</v>
      </c>
      <c r="E244" s="1399">
        <v>0</v>
      </c>
      <c r="F244" s="2785">
        <v>30000</v>
      </c>
      <c r="G244" s="1399">
        <v>0</v>
      </c>
      <c r="H244" s="1399">
        <v>0</v>
      </c>
      <c r="I244" s="1399">
        <v>0</v>
      </c>
      <c r="J244" s="1399">
        <v>0</v>
      </c>
      <c r="K244" s="1399">
        <v>0</v>
      </c>
      <c r="L244" s="1399">
        <v>0</v>
      </c>
      <c r="M244" s="3517"/>
      <c r="N244" s="3517"/>
      <c r="O244" s="3735"/>
    </row>
    <row r="245" spans="1:16" s="2385" customFormat="1" ht="15" customHeight="1" thickBot="1">
      <c r="A245" s="4204"/>
      <c r="B245" s="2733" t="s">
        <v>18</v>
      </c>
      <c r="C245" s="3598"/>
      <c r="D245" s="1723">
        <f t="shared" si="190"/>
        <v>5212325</v>
      </c>
      <c r="E245" s="1724">
        <f t="shared" si="191"/>
        <v>0</v>
      </c>
      <c r="F245" s="2736">
        <f t="shared" si="190"/>
        <v>0</v>
      </c>
      <c r="G245" s="1722">
        <f t="shared" si="190"/>
        <v>0</v>
      </c>
      <c r="H245" s="1723">
        <f t="shared" si="190"/>
        <v>1780856</v>
      </c>
      <c r="I245" s="1723">
        <f t="shared" si="190"/>
        <v>1671276</v>
      </c>
      <c r="J245" s="1723">
        <f t="shared" si="190"/>
        <v>1760193</v>
      </c>
      <c r="K245" s="1724">
        <f t="shared" si="190"/>
        <v>0</v>
      </c>
      <c r="L245" s="1724">
        <f t="shared" si="190"/>
        <v>0</v>
      </c>
      <c r="M245" s="3517"/>
      <c r="N245" s="3517"/>
      <c r="O245" s="3735"/>
    </row>
    <row r="246" spans="1:16" s="2385" customFormat="1" ht="15" customHeight="1" thickBot="1">
      <c r="A246" s="4204"/>
      <c r="B246" s="2861" t="s">
        <v>20</v>
      </c>
      <c r="C246" s="4153"/>
      <c r="D246" s="1643">
        <f>E246+F246+G246+H246+I246+J246+K246+L246</f>
        <v>5212325</v>
      </c>
      <c r="E246" s="2417">
        <v>0</v>
      </c>
      <c r="F246" s="1663">
        <v>0</v>
      </c>
      <c r="G246" s="2417">
        <f>219403-219403</f>
        <v>0</v>
      </c>
      <c r="H246" s="1662">
        <f>1561453+219403</f>
        <v>1780856</v>
      </c>
      <c r="I246" s="1662">
        <v>1671276</v>
      </c>
      <c r="J246" s="1662">
        <v>1760193</v>
      </c>
      <c r="K246" s="2417">
        <v>0</v>
      </c>
      <c r="L246" s="2417">
        <v>0</v>
      </c>
      <c r="M246" s="3518"/>
      <c r="N246" s="3518"/>
      <c r="O246" s="3736"/>
    </row>
    <row r="247" spans="1:16" s="2385" customFormat="1" ht="27" customHeight="1">
      <c r="A247" s="4230" t="s">
        <v>91</v>
      </c>
      <c r="B247" s="1650" t="s">
        <v>480</v>
      </c>
      <c r="C247" s="1388" t="s">
        <v>161</v>
      </c>
      <c r="D247" s="623"/>
      <c r="E247" s="2775"/>
      <c r="F247" s="2769"/>
      <c r="G247" s="2769"/>
      <c r="H247" s="2769"/>
      <c r="I247" s="2042"/>
      <c r="J247" s="2042"/>
      <c r="K247" s="2042"/>
      <c r="L247" s="2770"/>
      <c r="M247" s="625"/>
      <c r="N247" s="625"/>
      <c r="O247" s="3734" t="s">
        <v>304</v>
      </c>
    </row>
    <row r="248" spans="1:16" s="2385" customFormat="1" ht="15" customHeight="1">
      <c r="A248" s="4231"/>
      <c r="B248" s="1355" t="s">
        <v>10</v>
      </c>
      <c r="C248" s="2603"/>
      <c r="D248" s="1357">
        <f>D249+D251</f>
        <v>161298</v>
      </c>
      <c r="E248" s="1656">
        <f t="shared" ref="E248" si="192">E249+E251</f>
        <v>0</v>
      </c>
      <c r="F248" s="1656">
        <f t="shared" ref="F248" si="193">+F251</f>
        <v>0</v>
      </c>
      <c r="G248" s="1367">
        <f>G249+G253</f>
        <v>0</v>
      </c>
      <c r="H248" s="1357">
        <f t="shared" ref="H248" si="194">H249+H253</f>
        <v>1500</v>
      </c>
      <c r="I248" s="1357">
        <f>I249+I251</f>
        <v>159798</v>
      </c>
      <c r="J248" s="1656">
        <f>J249+J251</f>
        <v>0</v>
      </c>
      <c r="K248" s="1656">
        <f t="shared" ref="K248:L248" si="195">K249+K253</f>
        <v>0</v>
      </c>
      <c r="L248" s="1656">
        <f t="shared" si="195"/>
        <v>0</v>
      </c>
      <c r="M248" s="1358">
        <f>+M251+M249</f>
        <v>161298</v>
      </c>
      <c r="N248" s="1358">
        <f>+N251+N249</f>
        <v>161298</v>
      </c>
      <c r="O248" s="3735"/>
      <c r="P248" s="2385" t="s">
        <v>343</v>
      </c>
    </row>
    <row r="249" spans="1:16" s="2385" customFormat="1" ht="15" customHeight="1">
      <c r="A249" s="4231"/>
      <c r="B249" s="1359" t="s">
        <v>23</v>
      </c>
      <c r="C249" s="3522" t="s">
        <v>179</v>
      </c>
      <c r="D249" s="1360">
        <f>D250</f>
        <v>26745</v>
      </c>
      <c r="E249" s="1722">
        <f t="shared" ref="E249:F249" si="196">E250</f>
        <v>0</v>
      </c>
      <c r="F249" s="1722">
        <f t="shared" si="196"/>
        <v>0</v>
      </c>
      <c r="G249" s="1800">
        <f>G250</f>
        <v>0</v>
      </c>
      <c r="H249" s="1365">
        <f>H250</f>
        <v>1500</v>
      </c>
      <c r="I249" s="1365">
        <f t="shared" ref="I249:L249" si="197">I250</f>
        <v>25245</v>
      </c>
      <c r="J249" s="1417">
        <f t="shared" si="197"/>
        <v>0</v>
      </c>
      <c r="K249" s="1417">
        <f t="shared" si="197"/>
        <v>0</v>
      </c>
      <c r="L249" s="1417">
        <f t="shared" si="197"/>
        <v>0</v>
      </c>
      <c r="M249" s="1361">
        <f>M250</f>
        <v>26745</v>
      </c>
      <c r="N249" s="1361">
        <f>N250</f>
        <v>26745</v>
      </c>
      <c r="O249" s="3735"/>
    </row>
    <row r="250" spans="1:16" s="2385" customFormat="1" ht="15" customHeight="1">
      <c r="A250" s="4231"/>
      <c r="B250" s="1362" t="s">
        <v>12</v>
      </c>
      <c r="C250" s="3566"/>
      <c r="D250" s="1288">
        <f>E250+F250+G250+H250+I250+J250+K250+L250</f>
        <v>26745</v>
      </c>
      <c r="E250" s="1719">
        <v>0</v>
      </c>
      <c r="F250" s="1719">
        <v>0</v>
      </c>
      <c r="G250" s="1796">
        <v>0</v>
      </c>
      <c r="H250" s="1363">
        <v>1500</v>
      </c>
      <c r="I250" s="1363">
        <v>25245</v>
      </c>
      <c r="J250" s="1417">
        <v>0</v>
      </c>
      <c r="K250" s="1719">
        <v>0</v>
      </c>
      <c r="L250" s="1719">
        <v>0</v>
      </c>
      <c r="M250" s="1674">
        <f>SUM(F250:K250)</f>
        <v>26745</v>
      </c>
      <c r="N250" s="1674">
        <f>SUM(G250:L250)</f>
        <v>26745</v>
      </c>
      <c r="O250" s="3735"/>
    </row>
    <row r="251" spans="1:16" s="2385" customFormat="1" ht="15" customHeight="1">
      <c r="A251" s="4231"/>
      <c r="B251" s="1364" t="s">
        <v>18</v>
      </c>
      <c r="C251" s="3566"/>
      <c r="D251" s="1360">
        <f>D252</f>
        <v>134553</v>
      </c>
      <c r="E251" s="1722">
        <f t="shared" ref="E251:N251" si="198">+E252</f>
        <v>0</v>
      </c>
      <c r="F251" s="1722">
        <v>0</v>
      </c>
      <c r="G251" s="3464">
        <f>G252</f>
        <v>0</v>
      </c>
      <c r="H251" s="3464">
        <v>0</v>
      </c>
      <c r="I251" s="1365">
        <f>I252</f>
        <v>134553</v>
      </c>
      <c r="J251" s="1417">
        <v>0</v>
      </c>
      <c r="K251" s="1417">
        <v>0</v>
      </c>
      <c r="L251" s="1417">
        <v>0</v>
      </c>
      <c r="M251" s="1361">
        <f t="shared" si="198"/>
        <v>134553</v>
      </c>
      <c r="N251" s="1361">
        <f t="shared" si="198"/>
        <v>134553</v>
      </c>
      <c r="O251" s="3735"/>
    </row>
    <row r="252" spans="1:16" s="2385" customFormat="1" ht="15" customHeight="1">
      <c r="A252" s="4231"/>
      <c r="B252" s="3428" t="s">
        <v>20</v>
      </c>
      <c r="C252" s="3658"/>
      <c r="D252" s="1288">
        <f>E252+F252+G252+H252+I252+J252+K252+L252</f>
        <v>134553</v>
      </c>
      <c r="E252" s="1719">
        <v>0</v>
      </c>
      <c r="F252" s="1719">
        <v>0</v>
      </c>
      <c r="G252" s="3465">
        <v>0</v>
      </c>
      <c r="H252" s="3465">
        <v>0</v>
      </c>
      <c r="I252" s="1363">
        <v>134553</v>
      </c>
      <c r="J252" s="1719">
        <v>0</v>
      </c>
      <c r="K252" s="1719">
        <v>0</v>
      </c>
      <c r="L252" s="1719">
        <v>0</v>
      </c>
      <c r="M252" s="1674">
        <f>SUM(F252:K252)</f>
        <v>134553</v>
      </c>
      <c r="N252" s="1674">
        <f>SUM(G252:L252)</f>
        <v>134553</v>
      </c>
      <c r="O252" s="4185"/>
    </row>
    <row r="253" spans="1:16" s="2385" customFormat="1" ht="15" customHeight="1">
      <c r="A253" s="4231"/>
      <c r="B253" s="1355" t="s">
        <v>21</v>
      </c>
      <c r="C253" s="2603"/>
      <c r="D253" s="1357">
        <f t="shared" ref="D253:L254" si="199">D254</f>
        <v>134553</v>
      </c>
      <c r="E253" s="1656">
        <f t="shared" ref="E253" si="200">+E256</f>
        <v>0</v>
      </c>
      <c r="F253" s="1656">
        <f t="shared" si="199"/>
        <v>0</v>
      </c>
      <c r="G253" s="1792">
        <f t="shared" si="199"/>
        <v>0</v>
      </c>
      <c r="H253" s="1792">
        <f t="shared" si="199"/>
        <v>0</v>
      </c>
      <c r="I253" s="1792">
        <f t="shared" si="199"/>
        <v>0</v>
      </c>
      <c r="J253" s="1357">
        <f t="shared" si="199"/>
        <v>134553</v>
      </c>
      <c r="K253" s="1656">
        <f t="shared" si="199"/>
        <v>0</v>
      </c>
      <c r="L253" s="1656">
        <f t="shared" si="199"/>
        <v>0</v>
      </c>
      <c r="M253" s="3519" t="s">
        <v>53</v>
      </c>
      <c r="N253" s="3519" t="s">
        <v>53</v>
      </c>
      <c r="O253" s="3735" t="s">
        <v>185</v>
      </c>
    </row>
    <row r="254" spans="1:16" s="2385" customFormat="1" ht="15" customHeight="1">
      <c r="A254" s="4231"/>
      <c r="B254" s="1364" t="s">
        <v>18</v>
      </c>
      <c r="C254" s="3695" t="s">
        <v>179</v>
      </c>
      <c r="D254" s="1366">
        <f t="shared" si="199"/>
        <v>134553</v>
      </c>
      <c r="E254" s="1722">
        <f t="shared" si="199"/>
        <v>0</v>
      </c>
      <c r="F254" s="1417">
        <f t="shared" si="199"/>
        <v>0</v>
      </c>
      <c r="G254" s="1793">
        <f t="shared" si="199"/>
        <v>0</v>
      </c>
      <c r="H254" s="1793">
        <f t="shared" si="199"/>
        <v>0</v>
      </c>
      <c r="I254" s="1793">
        <f t="shared" si="199"/>
        <v>0</v>
      </c>
      <c r="J254" s="1366">
        <f t="shared" si="199"/>
        <v>134553</v>
      </c>
      <c r="K254" s="1417">
        <f t="shared" si="199"/>
        <v>0</v>
      </c>
      <c r="L254" s="1417">
        <f t="shared" si="199"/>
        <v>0</v>
      </c>
      <c r="M254" s="3517"/>
      <c r="N254" s="3517"/>
      <c r="O254" s="3735"/>
    </row>
    <row r="255" spans="1:16" s="2385" customFormat="1" ht="15" customHeight="1" thickBot="1">
      <c r="A255" s="4232"/>
      <c r="B255" s="2877" t="s">
        <v>20</v>
      </c>
      <c r="C255" s="3523"/>
      <c r="D255" s="2031">
        <f>E255+F255+G255+H255+I255+J255+K255+L255</f>
        <v>134553</v>
      </c>
      <c r="E255" s="2417">
        <v>0</v>
      </c>
      <c r="F255" s="1663">
        <v>0</v>
      </c>
      <c r="G255" s="1794">
        <v>0</v>
      </c>
      <c r="H255" s="1794">
        <v>0</v>
      </c>
      <c r="I255" s="1794">
        <v>0</v>
      </c>
      <c r="J255" s="1662">
        <v>134553</v>
      </c>
      <c r="K255" s="2417">
        <v>0</v>
      </c>
      <c r="L255" s="2417">
        <v>0</v>
      </c>
      <c r="M255" s="3518"/>
      <c r="N255" s="3518"/>
      <c r="O255" s="3736"/>
    </row>
    <row r="256" spans="1:16" s="2385" customFormat="1" ht="36.75" customHeight="1">
      <c r="A256" s="4229" t="s">
        <v>248</v>
      </c>
      <c r="B256" s="1650" t="s">
        <v>479</v>
      </c>
      <c r="C256" s="1388" t="s">
        <v>73</v>
      </c>
      <c r="D256" s="623"/>
      <c r="E256" s="2775"/>
      <c r="F256" s="2769"/>
      <c r="G256" s="2769"/>
      <c r="H256" s="2769"/>
      <c r="I256" s="2042"/>
      <c r="J256" s="2042"/>
      <c r="K256" s="2042"/>
      <c r="L256" s="2770"/>
      <c r="M256" s="625"/>
      <c r="N256" s="625"/>
      <c r="O256" s="3734" t="s">
        <v>304</v>
      </c>
    </row>
    <row r="257" spans="1:16" s="2385" customFormat="1" ht="15" customHeight="1">
      <c r="A257" s="3676"/>
      <c r="B257" s="1355" t="s">
        <v>10</v>
      </c>
      <c r="C257" s="2603"/>
      <c r="D257" s="1357">
        <f>D258+D261</f>
        <v>7217997</v>
      </c>
      <c r="E257" s="1357">
        <f t="shared" ref="E257" si="201">E258+E261</f>
        <v>191980</v>
      </c>
      <c r="F257" s="1795">
        <f>F258</f>
        <v>0</v>
      </c>
      <c r="G257" s="1367">
        <f>+G261+G258</f>
        <v>0</v>
      </c>
      <c r="H257" s="1357">
        <f>+H261+H258</f>
        <v>4414172</v>
      </c>
      <c r="I257" s="1357">
        <f t="shared" ref="I257:L257" si="202">+I261+I258</f>
        <v>2611845</v>
      </c>
      <c r="J257" s="1656">
        <f t="shared" si="202"/>
        <v>0</v>
      </c>
      <c r="K257" s="1656">
        <f t="shared" si="202"/>
        <v>0</v>
      </c>
      <c r="L257" s="1656">
        <f t="shared" si="202"/>
        <v>0</v>
      </c>
      <c r="M257" s="1358">
        <f>+M261+M258</f>
        <v>7026017</v>
      </c>
      <c r="N257" s="1358">
        <f>+N261+N258</f>
        <v>7026017</v>
      </c>
      <c r="O257" s="3735"/>
      <c r="P257" s="2385" t="s">
        <v>343</v>
      </c>
    </row>
    <row r="258" spans="1:16" s="2385" customFormat="1" ht="15" customHeight="1">
      <c r="A258" s="3676"/>
      <c r="B258" s="1359" t="s">
        <v>23</v>
      </c>
      <c r="C258" s="3522" t="s">
        <v>179</v>
      </c>
      <c r="D258" s="1360">
        <f>D259+D260</f>
        <v>1203400</v>
      </c>
      <c r="E258" s="1360">
        <f t="shared" ref="E258:L258" si="203">E259+E260</f>
        <v>149497</v>
      </c>
      <c r="F258" s="1368">
        <f t="shared" si="203"/>
        <v>0</v>
      </c>
      <c r="G258" s="1368">
        <f t="shared" si="203"/>
        <v>0</v>
      </c>
      <c r="H258" s="1360">
        <f t="shared" si="203"/>
        <v>662126</v>
      </c>
      <c r="I258" s="1360">
        <f t="shared" si="203"/>
        <v>391777</v>
      </c>
      <c r="J258" s="1719">
        <f t="shared" si="203"/>
        <v>0</v>
      </c>
      <c r="K258" s="1719">
        <f t="shared" si="203"/>
        <v>0</v>
      </c>
      <c r="L258" s="1719">
        <f t="shared" si="203"/>
        <v>0</v>
      </c>
      <c r="M258" s="1361">
        <f>M259+M260</f>
        <v>1053903</v>
      </c>
      <c r="N258" s="1361">
        <f>N259</f>
        <v>1053903</v>
      </c>
      <c r="O258" s="3735"/>
    </row>
    <row r="259" spans="1:16" s="2385" customFormat="1" ht="15" customHeight="1">
      <c r="A259" s="3676"/>
      <c r="B259" s="1362" t="s">
        <v>12</v>
      </c>
      <c r="C259" s="3566"/>
      <c r="D259" s="1288">
        <f>E259+F259+G259+H259+I259+J259+K259+L259</f>
        <v>1083400</v>
      </c>
      <c r="E259" s="1288">
        <v>29497</v>
      </c>
      <c r="F259" s="1720">
        <v>0</v>
      </c>
      <c r="G259" s="1796">
        <v>0</v>
      </c>
      <c r="H259" s="1363">
        <v>662126</v>
      </c>
      <c r="I259" s="1363">
        <v>391777</v>
      </c>
      <c r="J259" s="1719">
        <v>0</v>
      </c>
      <c r="K259" s="1719">
        <v>0</v>
      </c>
      <c r="L259" s="1719">
        <v>0</v>
      </c>
      <c r="M259" s="1674">
        <f>SUM(F259:K259)</f>
        <v>1053903</v>
      </c>
      <c r="N259" s="1674">
        <f>SUM(G259:L259)</f>
        <v>1053903</v>
      </c>
      <c r="O259" s="3735"/>
    </row>
    <row r="260" spans="1:16" s="2385" customFormat="1" ht="15" customHeight="1">
      <c r="A260" s="3676"/>
      <c r="B260" s="1362" t="s">
        <v>15</v>
      </c>
      <c r="C260" s="3566"/>
      <c r="D260" s="1797">
        <f>E260+F260+G260+H260+I260+J260+K260+L260</f>
        <v>120000</v>
      </c>
      <c r="E260" s="1798">
        <v>120000</v>
      </c>
      <c r="F260" s="1720">
        <v>0</v>
      </c>
      <c r="G260" s="1720">
        <v>0</v>
      </c>
      <c r="H260" s="1720">
        <v>0</v>
      </c>
      <c r="I260" s="1720">
        <v>0</v>
      </c>
      <c r="J260" s="1720">
        <v>0</v>
      </c>
      <c r="K260" s="1720">
        <v>0</v>
      </c>
      <c r="L260" s="1720">
        <v>0</v>
      </c>
      <c r="M260" s="1674">
        <f>SUM(F260:K260)</f>
        <v>0</v>
      </c>
      <c r="N260" s="1674">
        <f>SUM(G260:L260)</f>
        <v>0</v>
      </c>
      <c r="O260" s="3735"/>
    </row>
    <row r="261" spans="1:16" s="2385" customFormat="1" ht="15" customHeight="1">
      <c r="A261" s="3676"/>
      <c r="B261" s="1364" t="s">
        <v>18</v>
      </c>
      <c r="C261" s="3566"/>
      <c r="D261" s="1360">
        <f>D262</f>
        <v>6014597</v>
      </c>
      <c r="E261" s="1718">
        <f t="shared" ref="E261:N261" si="204">+E262</f>
        <v>42483</v>
      </c>
      <c r="F261" s="1799">
        <v>0</v>
      </c>
      <c r="G261" s="1800">
        <f>G262</f>
        <v>0</v>
      </c>
      <c r="H261" s="1365">
        <f t="shared" ref="H261:L261" si="205">H262</f>
        <v>3752046</v>
      </c>
      <c r="I261" s="1365">
        <f t="shared" si="205"/>
        <v>2220068</v>
      </c>
      <c r="J261" s="1722">
        <f t="shared" si="205"/>
        <v>0</v>
      </c>
      <c r="K261" s="1722">
        <f t="shared" si="205"/>
        <v>0</v>
      </c>
      <c r="L261" s="1722">
        <f t="shared" si="205"/>
        <v>0</v>
      </c>
      <c r="M261" s="1361">
        <f t="shared" si="204"/>
        <v>5972114</v>
      </c>
      <c r="N261" s="1361">
        <f t="shared" si="204"/>
        <v>5972114</v>
      </c>
      <c r="O261" s="3735"/>
    </row>
    <row r="262" spans="1:16" s="2385" customFormat="1" ht="15" customHeight="1">
      <c r="A262" s="3676"/>
      <c r="B262" s="3428" t="s">
        <v>20</v>
      </c>
      <c r="C262" s="3658"/>
      <c r="D262" s="1288">
        <f>SUM(E262:L262)</f>
        <v>6014597</v>
      </c>
      <c r="E262" s="1288">
        <v>42483</v>
      </c>
      <c r="F262" s="1720">
        <v>0</v>
      </c>
      <c r="G262" s="1796">
        <v>0</v>
      </c>
      <c r="H262" s="1363">
        <v>3752046</v>
      </c>
      <c r="I262" s="1363">
        <v>2220068</v>
      </c>
      <c r="J262" s="1720">
        <v>0</v>
      </c>
      <c r="K262" s="1720">
        <v>0</v>
      </c>
      <c r="L262" s="1720">
        <v>0</v>
      </c>
      <c r="M262" s="1674">
        <f>SUM(F262:K262)</f>
        <v>5972114</v>
      </c>
      <c r="N262" s="1674">
        <f>SUM(G262:L262)</f>
        <v>5972114</v>
      </c>
      <c r="O262" s="4185"/>
    </row>
    <row r="263" spans="1:16" s="2385" customFormat="1" ht="15" customHeight="1">
      <c r="A263" s="3676"/>
      <c r="B263" s="1355" t="s">
        <v>21</v>
      </c>
      <c r="C263" s="2603"/>
      <c r="D263" s="1357">
        <f>D266+D264</f>
        <v>6134597</v>
      </c>
      <c r="E263" s="1801">
        <f t="shared" ref="E263:L263" si="206">E266+E264</f>
        <v>120000</v>
      </c>
      <c r="F263" s="1367">
        <f t="shared" si="206"/>
        <v>0</v>
      </c>
      <c r="G263" s="1367">
        <f t="shared" si="206"/>
        <v>0</v>
      </c>
      <c r="H263" s="1357">
        <f t="shared" si="206"/>
        <v>237555</v>
      </c>
      <c r="I263" s="1357">
        <f t="shared" si="206"/>
        <v>4513210</v>
      </c>
      <c r="J263" s="1357">
        <f t="shared" si="206"/>
        <v>1263832</v>
      </c>
      <c r="K263" s="1656">
        <f t="shared" si="206"/>
        <v>0</v>
      </c>
      <c r="L263" s="1656">
        <f t="shared" si="206"/>
        <v>0</v>
      </c>
      <c r="M263" s="3519" t="s">
        <v>53</v>
      </c>
      <c r="N263" s="3519" t="s">
        <v>53</v>
      </c>
      <c r="O263" s="3735" t="s">
        <v>185</v>
      </c>
    </row>
    <row r="264" spans="1:16" s="2385" customFormat="1" ht="15" customHeight="1">
      <c r="A264" s="3676"/>
      <c r="B264" s="1364" t="s">
        <v>399</v>
      </c>
      <c r="C264" s="3695" t="s">
        <v>179</v>
      </c>
      <c r="D264" s="1366">
        <f t="shared" ref="D264:L266" si="207">D265</f>
        <v>120000</v>
      </c>
      <c r="E264" s="1802">
        <f t="shared" ref="E264:E266" si="208">+E265</f>
        <v>120000</v>
      </c>
      <c r="F264" s="1803">
        <f t="shared" si="207"/>
        <v>0</v>
      </c>
      <c r="G264" s="1799">
        <f t="shared" si="207"/>
        <v>0</v>
      </c>
      <c r="H264" s="1722">
        <f t="shared" si="207"/>
        <v>0</v>
      </c>
      <c r="I264" s="1722">
        <f t="shared" si="207"/>
        <v>0</v>
      </c>
      <c r="J264" s="1722">
        <f t="shared" si="207"/>
        <v>0</v>
      </c>
      <c r="K264" s="1722">
        <f t="shared" si="207"/>
        <v>0</v>
      </c>
      <c r="L264" s="1722">
        <f t="shared" si="207"/>
        <v>0</v>
      </c>
      <c r="M264" s="3517"/>
      <c r="N264" s="3517"/>
      <c r="O264" s="3735"/>
    </row>
    <row r="265" spans="1:16" s="2385" customFormat="1" ht="15" customHeight="1">
      <c r="A265" s="3676"/>
      <c r="B265" s="2878" t="s">
        <v>15</v>
      </c>
      <c r="C265" s="3598"/>
      <c r="D265" s="1334">
        <f>E265+F265+G265+H265+I265+J265+K265+L265</f>
        <v>120000</v>
      </c>
      <c r="E265" s="1804">
        <v>120000</v>
      </c>
      <c r="F265" s="1805">
        <v>0</v>
      </c>
      <c r="G265" s="1806">
        <v>0</v>
      </c>
      <c r="H265" s="1399">
        <v>0</v>
      </c>
      <c r="I265" s="1399">
        <v>0</v>
      </c>
      <c r="J265" s="1399">
        <v>0</v>
      </c>
      <c r="K265" s="1399">
        <v>0</v>
      </c>
      <c r="L265" s="1399">
        <v>0</v>
      </c>
      <c r="M265" s="3517"/>
      <c r="N265" s="3517"/>
      <c r="O265" s="3735"/>
    </row>
    <row r="266" spans="1:16" s="2385" customFormat="1" ht="15" customHeight="1">
      <c r="A266" s="3676"/>
      <c r="B266" s="1807" t="s">
        <v>18</v>
      </c>
      <c r="C266" s="3598"/>
      <c r="D266" s="1723">
        <f t="shared" si="207"/>
        <v>6014597</v>
      </c>
      <c r="E266" s="1724">
        <f t="shared" si="208"/>
        <v>0</v>
      </c>
      <c r="F266" s="1808">
        <f t="shared" si="207"/>
        <v>0</v>
      </c>
      <c r="G266" s="1809">
        <f t="shared" si="207"/>
        <v>0</v>
      </c>
      <c r="H266" s="1723">
        <f t="shared" si="207"/>
        <v>237555</v>
      </c>
      <c r="I266" s="1723">
        <f t="shared" si="207"/>
        <v>4513210</v>
      </c>
      <c r="J266" s="1723">
        <f t="shared" si="207"/>
        <v>1263832</v>
      </c>
      <c r="K266" s="1724">
        <f t="shared" si="207"/>
        <v>0</v>
      </c>
      <c r="L266" s="1724">
        <f t="shared" si="207"/>
        <v>0</v>
      </c>
      <c r="M266" s="3517"/>
      <c r="N266" s="3517"/>
      <c r="O266" s="3735"/>
    </row>
    <row r="267" spans="1:16" s="2385" customFormat="1" ht="15" customHeight="1" thickBot="1">
      <c r="A267" s="3675"/>
      <c r="B267" s="2877" t="s">
        <v>20</v>
      </c>
      <c r="C267" s="4153"/>
      <c r="D267" s="2031">
        <f>E267+F267+G267+H267+I267+J267+K267+L267</f>
        <v>6014597</v>
      </c>
      <c r="E267" s="2417">
        <v>0</v>
      </c>
      <c r="F267" s="1810">
        <v>0</v>
      </c>
      <c r="G267" s="1811">
        <v>0</v>
      </c>
      <c r="H267" s="1662">
        <v>237555</v>
      </c>
      <c r="I267" s="1662">
        <v>4513210</v>
      </c>
      <c r="J267" s="1662">
        <v>1263832</v>
      </c>
      <c r="K267" s="2417">
        <v>0</v>
      </c>
      <c r="L267" s="2417">
        <v>0</v>
      </c>
      <c r="M267" s="3518"/>
      <c r="N267" s="3518"/>
      <c r="O267" s="3736"/>
    </row>
    <row r="268" spans="1:16" ht="23.25" customHeight="1" thickBot="1">
      <c r="A268" s="186" t="s">
        <v>162</v>
      </c>
      <c r="B268" s="629"/>
      <c r="C268" s="629"/>
      <c r="D268" s="629"/>
      <c r="E268" s="629"/>
      <c r="F268" s="629"/>
      <c r="G268" s="629"/>
      <c r="H268" s="629"/>
      <c r="I268" s="629"/>
      <c r="J268" s="629"/>
      <c r="K268" s="629"/>
      <c r="L268" s="629"/>
      <c r="M268" s="630"/>
      <c r="N268" s="630"/>
      <c r="O268" s="631"/>
    </row>
    <row r="269" spans="1:16" ht="18.75" customHeight="1" thickBot="1">
      <c r="A269" s="632"/>
      <c r="B269" s="202" t="s">
        <v>68</v>
      </c>
      <c r="C269" s="416"/>
      <c r="D269" s="204">
        <f>+D270+D271</f>
        <v>16198501</v>
      </c>
      <c r="E269" s="204">
        <f t="shared" ref="E269:F269" si="209">+E270+E271</f>
        <v>7742800</v>
      </c>
      <c r="F269" s="204">
        <f t="shared" si="209"/>
        <v>2600000</v>
      </c>
      <c r="G269" s="204">
        <f t="shared" ref="G269:N269" si="210">+G270+G271</f>
        <v>2647000</v>
      </c>
      <c r="H269" s="204">
        <f t="shared" si="210"/>
        <v>2788899</v>
      </c>
      <c r="I269" s="204">
        <f t="shared" si="210"/>
        <v>83899</v>
      </c>
      <c r="J269" s="204">
        <f t="shared" si="210"/>
        <v>97429</v>
      </c>
      <c r="K269" s="204">
        <f t="shared" si="210"/>
        <v>113579</v>
      </c>
      <c r="L269" s="204">
        <f t="shared" si="210"/>
        <v>124895</v>
      </c>
      <c r="M269" s="16">
        <f t="shared" ref="M269" si="211">+M270+M271</f>
        <v>8330806</v>
      </c>
      <c r="N269" s="16">
        <f t="shared" si="210"/>
        <v>5855701</v>
      </c>
      <c r="O269" s="4228"/>
    </row>
    <row r="270" spans="1:16" ht="14.25" customHeight="1" thickBot="1">
      <c r="A270" s="538"/>
      <c r="B270" s="205" t="s">
        <v>69</v>
      </c>
      <c r="C270" s="207"/>
      <c r="D270" s="207">
        <f>D281+D285</f>
        <v>16198501</v>
      </c>
      <c r="E270" s="207">
        <f t="shared" ref="E270:L270" si="212">E281+E285</f>
        <v>7742800</v>
      </c>
      <c r="F270" s="207">
        <f t="shared" si="212"/>
        <v>2600000</v>
      </c>
      <c r="G270" s="207">
        <f t="shared" si="212"/>
        <v>2647000</v>
      </c>
      <c r="H270" s="207">
        <f t="shared" si="212"/>
        <v>2788899</v>
      </c>
      <c r="I270" s="207">
        <f t="shared" si="212"/>
        <v>83899</v>
      </c>
      <c r="J270" s="207">
        <f t="shared" si="212"/>
        <v>97429</v>
      </c>
      <c r="K270" s="207">
        <f t="shared" si="212"/>
        <v>113579</v>
      </c>
      <c r="L270" s="207">
        <f t="shared" si="212"/>
        <v>124895</v>
      </c>
      <c r="M270" s="18">
        <f>SUM(F270:K270)</f>
        <v>8330806</v>
      </c>
      <c r="N270" s="18">
        <f>SUM(G270:L270)</f>
        <v>5855701</v>
      </c>
      <c r="O270" s="4228"/>
    </row>
    <row r="271" spans="1:16" ht="14.25" customHeight="1" thickBot="1">
      <c r="A271" s="538"/>
      <c r="B271" s="633" t="s">
        <v>9</v>
      </c>
      <c r="C271" s="618"/>
      <c r="D271" s="618">
        <v>0</v>
      </c>
      <c r="E271" s="618">
        <v>0</v>
      </c>
      <c r="F271" s="618">
        <v>0</v>
      </c>
      <c r="G271" s="618">
        <v>0</v>
      </c>
      <c r="H271" s="618">
        <v>0</v>
      </c>
      <c r="I271" s="618">
        <f>+I281</f>
        <v>0</v>
      </c>
      <c r="J271" s="618">
        <f>+J281</f>
        <v>0</v>
      </c>
      <c r="K271" s="618">
        <f>+K281</f>
        <v>0</v>
      </c>
      <c r="L271" s="618">
        <f>+L281</f>
        <v>0</v>
      </c>
      <c r="M271" s="147">
        <f>SUM(E271:K271)</f>
        <v>0</v>
      </c>
      <c r="N271" s="147">
        <f>SUM(G271:L271)</f>
        <v>0</v>
      </c>
      <c r="O271" s="4228"/>
    </row>
    <row r="272" spans="1:16" ht="16.5" customHeight="1" thickBot="1">
      <c r="A272" s="339"/>
      <c r="B272" s="2425" t="s">
        <v>10</v>
      </c>
      <c r="C272" s="2426"/>
      <c r="D272" s="2427">
        <f t="shared" ref="D272:L272" si="213">+D273</f>
        <v>16198501</v>
      </c>
      <c r="E272" s="2427">
        <f t="shared" si="213"/>
        <v>7742800</v>
      </c>
      <c r="F272" s="2427">
        <f t="shared" si="213"/>
        <v>2600000</v>
      </c>
      <c r="G272" s="2427">
        <f t="shared" si="213"/>
        <v>2647000</v>
      </c>
      <c r="H272" s="2427">
        <f t="shared" si="213"/>
        <v>2788899</v>
      </c>
      <c r="I272" s="2427">
        <f t="shared" si="213"/>
        <v>83899</v>
      </c>
      <c r="J272" s="2427">
        <f t="shared" si="213"/>
        <v>97429</v>
      </c>
      <c r="K272" s="2427">
        <f t="shared" si="213"/>
        <v>113579</v>
      </c>
      <c r="L272" s="2427">
        <f t="shared" si="213"/>
        <v>124895</v>
      </c>
      <c r="M272" s="2428">
        <f>+M273</f>
        <v>8330806</v>
      </c>
      <c r="N272" s="2428">
        <f>+N273</f>
        <v>5855701</v>
      </c>
      <c r="O272" s="4228"/>
    </row>
    <row r="273" spans="1:17" ht="15" customHeight="1" thickBot="1">
      <c r="A273" s="190"/>
      <c r="B273" s="2393" t="s">
        <v>11</v>
      </c>
      <c r="C273" s="4226" t="s">
        <v>53</v>
      </c>
      <c r="D273" s="2423">
        <f>+D276+D274</f>
        <v>16198501</v>
      </c>
      <c r="E273" s="2423">
        <f t="shared" ref="E273:L273" si="214">+E276+E274</f>
        <v>7742800</v>
      </c>
      <c r="F273" s="2423">
        <f t="shared" si="214"/>
        <v>2600000</v>
      </c>
      <c r="G273" s="2423">
        <f t="shared" si="214"/>
        <v>2647000</v>
      </c>
      <c r="H273" s="2423">
        <f t="shared" si="214"/>
        <v>2788899</v>
      </c>
      <c r="I273" s="2423">
        <f t="shared" si="214"/>
        <v>83899</v>
      </c>
      <c r="J273" s="2423">
        <f t="shared" si="214"/>
        <v>97429</v>
      </c>
      <c r="K273" s="2423">
        <f t="shared" si="214"/>
        <v>113579</v>
      </c>
      <c r="L273" s="2423">
        <f t="shared" si="214"/>
        <v>124895</v>
      </c>
      <c r="M273" s="2424">
        <f>+M274+M275+M276</f>
        <v>8330806</v>
      </c>
      <c r="N273" s="2424">
        <f>+N274+N275+N276</f>
        <v>5855701</v>
      </c>
      <c r="O273" s="4228"/>
    </row>
    <row r="274" spans="1:17" s="1093" customFormat="1" ht="15" customHeight="1" thickBot="1">
      <c r="A274" s="190"/>
      <c r="B274" s="2420" t="s">
        <v>12</v>
      </c>
      <c r="C274" s="4227"/>
      <c r="D274" s="2421">
        <f>D287</f>
        <v>503701</v>
      </c>
      <c r="E274" s="2422">
        <f t="shared" ref="E274:L274" si="215">E287</f>
        <v>0</v>
      </c>
      <c r="F274" s="2422">
        <f t="shared" si="215"/>
        <v>0</v>
      </c>
      <c r="G274" s="2422">
        <f t="shared" si="215"/>
        <v>0</v>
      </c>
      <c r="H274" s="2422">
        <f t="shared" si="215"/>
        <v>83899</v>
      </c>
      <c r="I274" s="2422">
        <f t="shared" si="215"/>
        <v>83899</v>
      </c>
      <c r="J274" s="2422">
        <f t="shared" si="215"/>
        <v>97429</v>
      </c>
      <c r="K274" s="2422">
        <f t="shared" si="215"/>
        <v>113579</v>
      </c>
      <c r="L274" s="2422">
        <f t="shared" si="215"/>
        <v>124895</v>
      </c>
      <c r="M274" s="2067">
        <f t="shared" ref="M274:N276" si="216">SUM(F274:K274)</f>
        <v>378806</v>
      </c>
      <c r="N274" s="2067">
        <f t="shared" si="216"/>
        <v>503701</v>
      </c>
      <c r="O274" s="4228"/>
    </row>
    <row r="275" spans="1:17" ht="13.5" hidden="1" customHeight="1">
      <c r="A275" s="190"/>
      <c r="B275" s="2418" t="s">
        <v>54</v>
      </c>
      <c r="C275" s="4227"/>
      <c r="D275" s="3466">
        <f t="shared" ref="D275:L275" si="217">D291</f>
        <v>0</v>
      </c>
      <c r="E275" s="1717">
        <f t="shared" si="217"/>
        <v>0</v>
      </c>
      <c r="F275" s="1717">
        <f t="shared" si="217"/>
        <v>0</v>
      </c>
      <c r="G275" s="1717">
        <f t="shared" si="217"/>
        <v>0</v>
      </c>
      <c r="H275" s="1717">
        <f t="shared" si="217"/>
        <v>0</v>
      </c>
      <c r="I275" s="1717">
        <f t="shared" si="217"/>
        <v>0</v>
      </c>
      <c r="J275" s="1717">
        <f t="shared" si="217"/>
        <v>0</v>
      </c>
      <c r="K275" s="1717">
        <f t="shared" si="217"/>
        <v>0</v>
      </c>
      <c r="L275" s="1717">
        <f t="shared" si="217"/>
        <v>0</v>
      </c>
      <c r="M275" s="1674">
        <f t="shared" si="216"/>
        <v>0</v>
      </c>
      <c r="N275" s="1674">
        <f t="shared" si="216"/>
        <v>0</v>
      </c>
      <c r="O275" s="4228"/>
    </row>
    <row r="276" spans="1:17" ht="15.75" customHeight="1" thickBot="1">
      <c r="A276" s="2415"/>
      <c r="B276" s="26" t="s">
        <v>165</v>
      </c>
      <c r="C276" s="4227"/>
      <c r="D276" s="2419">
        <f t="shared" ref="D276:E276" si="218">+D283+D291</f>
        <v>15694800</v>
      </c>
      <c r="E276" s="2419">
        <f t="shared" si="218"/>
        <v>7742800</v>
      </c>
      <c r="F276" s="2419">
        <f t="shared" ref="F276:I276" si="219">+F283</f>
        <v>2600000</v>
      </c>
      <c r="G276" s="2419">
        <f t="shared" si="219"/>
        <v>2647000</v>
      </c>
      <c r="H276" s="2419">
        <f t="shared" si="219"/>
        <v>2705000</v>
      </c>
      <c r="I276" s="2419">
        <f t="shared" si="219"/>
        <v>0</v>
      </c>
      <c r="J276" s="2419">
        <f>+J283</f>
        <v>0</v>
      </c>
      <c r="K276" s="2419">
        <f>+K283</f>
        <v>0</v>
      </c>
      <c r="L276" s="2419">
        <f>+L283</f>
        <v>0</v>
      </c>
      <c r="M276" s="1892">
        <f t="shared" si="216"/>
        <v>7952000</v>
      </c>
      <c r="N276" s="1892">
        <f t="shared" si="216"/>
        <v>5352000</v>
      </c>
      <c r="O276" s="4228"/>
    </row>
    <row r="277" spans="1:17" ht="18.75" hidden="1" customHeight="1">
      <c r="A277" s="2416"/>
      <c r="B277" s="2408" t="s">
        <v>21</v>
      </c>
      <c r="C277" s="2409"/>
      <c r="D277" s="2410">
        <f t="shared" ref="D277:I278" si="220">D278</f>
        <v>0</v>
      </c>
      <c r="E277" s="2410">
        <f t="shared" si="220"/>
        <v>0</v>
      </c>
      <c r="F277" s="2410">
        <f t="shared" si="220"/>
        <v>0</v>
      </c>
      <c r="G277" s="2410">
        <f t="shared" si="220"/>
        <v>0</v>
      </c>
      <c r="H277" s="2410">
        <f t="shared" si="220"/>
        <v>0</v>
      </c>
      <c r="I277" s="2410">
        <f t="shared" si="220"/>
        <v>0</v>
      </c>
      <c r="J277" s="2410">
        <f t="shared" ref="J277:L278" si="221">J278</f>
        <v>0</v>
      </c>
      <c r="K277" s="2410">
        <f t="shared" si="221"/>
        <v>0</v>
      </c>
      <c r="L277" s="2410">
        <f t="shared" si="221"/>
        <v>0</v>
      </c>
      <c r="M277" s="3605" t="s">
        <v>53</v>
      </c>
      <c r="N277" s="3605" t="s">
        <v>53</v>
      </c>
      <c r="O277" s="4228"/>
    </row>
    <row r="278" spans="1:17" ht="13.5" hidden="1" customHeight="1">
      <c r="A278" s="2416"/>
      <c r="B278" s="2411" t="s">
        <v>11</v>
      </c>
      <c r="C278" s="2412"/>
      <c r="D278" s="2413">
        <f t="shared" si="220"/>
        <v>0</v>
      </c>
      <c r="E278" s="2413">
        <f t="shared" si="220"/>
        <v>0</v>
      </c>
      <c r="F278" s="2413">
        <f t="shared" si="220"/>
        <v>0</v>
      </c>
      <c r="G278" s="2413">
        <f t="shared" si="220"/>
        <v>0</v>
      </c>
      <c r="H278" s="2413">
        <f t="shared" si="220"/>
        <v>0</v>
      </c>
      <c r="I278" s="2413">
        <f t="shared" si="220"/>
        <v>0</v>
      </c>
      <c r="J278" s="2413">
        <f t="shared" si="221"/>
        <v>0</v>
      </c>
      <c r="K278" s="2413">
        <f t="shared" si="221"/>
        <v>0</v>
      </c>
      <c r="L278" s="2413">
        <f t="shared" si="221"/>
        <v>0</v>
      </c>
      <c r="M278" s="3605"/>
      <c r="N278" s="3605"/>
      <c r="O278" s="4228"/>
    </row>
    <row r="279" spans="1:17" ht="13.5" hidden="1" customHeight="1" thickBot="1">
      <c r="A279" s="2416"/>
      <c r="B279" s="2414" t="s">
        <v>54</v>
      </c>
      <c r="C279" s="2412"/>
      <c r="D279" s="2405"/>
      <c r="E279" s="2406">
        <f t="shared" ref="E279:G279" si="222">E293+E311+E318+E325+E332+E302+E339+E346+E353+E360</f>
        <v>0</v>
      </c>
      <c r="F279" s="2406">
        <f t="shared" si="222"/>
        <v>0</v>
      </c>
      <c r="G279" s="2406">
        <f t="shared" si="222"/>
        <v>0</v>
      </c>
      <c r="H279" s="2406">
        <f>H294</f>
        <v>0</v>
      </c>
      <c r="I279" s="2406">
        <f>I294</f>
        <v>0</v>
      </c>
      <c r="J279" s="2406">
        <f>J294</f>
        <v>0</v>
      </c>
      <c r="K279" s="2406">
        <f>K294</f>
        <v>0</v>
      </c>
      <c r="L279" s="2406">
        <f>L294</f>
        <v>0</v>
      </c>
      <c r="M279" s="3605"/>
      <c r="N279" s="3605"/>
      <c r="O279" s="4228"/>
    </row>
    <row r="280" spans="1:17" ht="36.75" customHeight="1" thickBot="1">
      <c r="A280" s="4224" t="s">
        <v>55</v>
      </c>
      <c r="B280" s="179" t="s">
        <v>276</v>
      </c>
      <c r="C280" s="2041" t="s">
        <v>161</v>
      </c>
      <c r="D280" s="623"/>
      <c r="E280" s="2042"/>
      <c r="F280" s="2769"/>
      <c r="G280" s="2769"/>
      <c r="H280" s="2769"/>
      <c r="I280" s="2042"/>
      <c r="J280" s="2042"/>
      <c r="K280" s="2042"/>
      <c r="L280" s="2770"/>
      <c r="M280" s="625"/>
      <c r="N280" s="625"/>
      <c r="O280" s="4136" t="s">
        <v>163</v>
      </c>
    </row>
    <row r="281" spans="1:17" ht="15.75" customHeight="1" thickBot="1">
      <c r="A281" s="4224"/>
      <c r="B281" s="2149" t="s">
        <v>10</v>
      </c>
      <c r="C281" s="2603"/>
      <c r="D281" s="1357">
        <f t="shared" ref="D281:N282" si="223">+D282</f>
        <v>15694800</v>
      </c>
      <c r="E281" s="1357">
        <f t="shared" si="223"/>
        <v>7742800</v>
      </c>
      <c r="F281" s="1357">
        <f t="shared" si="223"/>
        <v>2600000</v>
      </c>
      <c r="G281" s="1357">
        <f t="shared" si="223"/>
        <v>2647000</v>
      </c>
      <c r="H281" s="1357">
        <f t="shared" si="223"/>
        <v>2705000</v>
      </c>
      <c r="I281" s="1357">
        <f t="shared" si="223"/>
        <v>0</v>
      </c>
      <c r="J281" s="1357">
        <f t="shared" si="223"/>
        <v>0</v>
      </c>
      <c r="K281" s="1357">
        <f t="shared" si="223"/>
        <v>0</v>
      </c>
      <c r="L281" s="1357">
        <f t="shared" si="223"/>
        <v>0</v>
      </c>
      <c r="M281" s="1419">
        <f t="shared" si="223"/>
        <v>7952000</v>
      </c>
      <c r="N281" s="1419">
        <f t="shared" si="223"/>
        <v>5352000</v>
      </c>
      <c r="O281" s="4136"/>
    </row>
    <row r="282" spans="1:17" ht="15" customHeight="1" thickBot="1">
      <c r="A282" s="4224"/>
      <c r="B282" s="1359" t="s">
        <v>23</v>
      </c>
      <c r="C282" s="3522" t="s">
        <v>164</v>
      </c>
      <c r="D282" s="1718">
        <f t="shared" si="223"/>
        <v>15694800</v>
      </c>
      <c r="E282" s="1718">
        <f t="shared" si="223"/>
        <v>7742800</v>
      </c>
      <c r="F282" s="1365">
        <f t="shared" ref="F282:H282" si="224">F283</f>
        <v>2600000</v>
      </c>
      <c r="G282" s="1365">
        <f t="shared" si="224"/>
        <v>2647000</v>
      </c>
      <c r="H282" s="1365">
        <f t="shared" si="224"/>
        <v>2705000</v>
      </c>
      <c r="I282" s="1365">
        <v>0</v>
      </c>
      <c r="J282" s="1365">
        <v>0</v>
      </c>
      <c r="K282" s="1365">
        <v>0</v>
      </c>
      <c r="L282" s="1365">
        <v>0</v>
      </c>
      <c r="M282" s="1361">
        <f t="shared" si="223"/>
        <v>7952000</v>
      </c>
      <c r="N282" s="1361">
        <f t="shared" si="223"/>
        <v>5352000</v>
      </c>
      <c r="O282" s="4136"/>
    </row>
    <row r="283" spans="1:17" ht="15" customHeight="1" thickBot="1">
      <c r="A283" s="4224"/>
      <c r="B283" s="2877" t="s">
        <v>165</v>
      </c>
      <c r="C283" s="3567"/>
      <c r="D283" s="1643">
        <f>E283+F283+G283+H283+I283+J283+K283+L283</f>
        <v>15694800</v>
      </c>
      <c r="E283" s="1643">
        <v>7742800</v>
      </c>
      <c r="F283" s="3467">
        <v>2600000</v>
      </c>
      <c r="G283" s="3467">
        <v>2647000</v>
      </c>
      <c r="H283" s="3467">
        <v>2705000</v>
      </c>
      <c r="I283" s="3467">
        <v>0</v>
      </c>
      <c r="J283" s="3467">
        <v>0</v>
      </c>
      <c r="K283" s="3467">
        <v>0</v>
      </c>
      <c r="L283" s="3467">
        <v>0</v>
      </c>
      <c r="M283" s="1674">
        <f>SUM(F283:K283)</f>
        <v>7952000</v>
      </c>
      <c r="N283" s="1892">
        <f>SUM(G283:L283)</f>
        <v>5352000</v>
      </c>
      <c r="O283" s="4136"/>
    </row>
    <row r="284" spans="1:17" ht="35.25" customHeight="1">
      <c r="A284" s="3510" t="s">
        <v>56</v>
      </c>
      <c r="B284" s="592" t="s">
        <v>303</v>
      </c>
      <c r="C284" s="605" t="s">
        <v>100</v>
      </c>
      <c r="D284" s="2879"/>
      <c r="E284" s="2757"/>
      <c r="F284" s="2757"/>
      <c r="G284" s="2757"/>
      <c r="H284" s="2757"/>
      <c r="I284" s="2757"/>
      <c r="J284" s="2757"/>
      <c r="K284" s="2757"/>
      <c r="L284" s="58"/>
      <c r="M284" s="593"/>
      <c r="N284" s="593"/>
      <c r="O284" s="4158" t="s">
        <v>185</v>
      </c>
      <c r="Q284" s="195"/>
    </row>
    <row r="285" spans="1:17" ht="15" customHeight="1">
      <c r="A285" s="3510"/>
      <c r="B285" s="2149" t="s">
        <v>10</v>
      </c>
      <c r="C285" s="3468"/>
      <c r="D285" s="1357">
        <f>D286</f>
        <v>503701</v>
      </c>
      <c r="E285" s="1357">
        <f t="shared" ref="E285:L286" si="225">E286</f>
        <v>0</v>
      </c>
      <c r="F285" s="1656">
        <f t="shared" si="225"/>
        <v>0</v>
      </c>
      <c r="G285" s="1656">
        <f t="shared" si="225"/>
        <v>0</v>
      </c>
      <c r="H285" s="1357">
        <f t="shared" si="225"/>
        <v>83899</v>
      </c>
      <c r="I285" s="1357">
        <f t="shared" si="225"/>
        <v>83899</v>
      </c>
      <c r="J285" s="1357">
        <f t="shared" si="225"/>
        <v>97429</v>
      </c>
      <c r="K285" s="1357">
        <f t="shared" si="225"/>
        <v>113579</v>
      </c>
      <c r="L285" s="1418">
        <f t="shared" si="225"/>
        <v>124895</v>
      </c>
      <c r="M285" s="1701">
        <f>M286</f>
        <v>503701</v>
      </c>
      <c r="N285" s="1701">
        <f>N286</f>
        <v>503701</v>
      </c>
      <c r="O285" s="4158"/>
    </row>
    <row r="286" spans="1:17" ht="15" customHeight="1">
      <c r="A286" s="3510"/>
      <c r="B286" s="2133" t="s">
        <v>11</v>
      </c>
      <c r="C286" s="4210" t="s">
        <v>160</v>
      </c>
      <c r="D286" s="1442">
        <f>D287</f>
        <v>503701</v>
      </c>
      <c r="E286" s="1442">
        <f t="shared" si="225"/>
        <v>0</v>
      </c>
      <c r="F286" s="2076">
        <f t="shared" si="225"/>
        <v>0</v>
      </c>
      <c r="G286" s="2076">
        <f t="shared" si="225"/>
        <v>0</v>
      </c>
      <c r="H286" s="1442">
        <f t="shared" si="225"/>
        <v>83899</v>
      </c>
      <c r="I286" s="1442">
        <f t="shared" si="225"/>
        <v>83899</v>
      </c>
      <c r="J286" s="1442">
        <f t="shared" si="225"/>
        <v>97429</v>
      </c>
      <c r="K286" s="1442">
        <f t="shared" si="225"/>
        <v>113579</v>
      </c>
      <c r="L286" s="1442">
        <f t="shared" si="225"/>
        <v>124895</v>
      </c>
      <c r="M286" s="1661">
        <f>M287</f>
        <v>503701</v>
      </c>
      <c r="N286" s="1661">
        <f>N287</f>
        <v>503701</v>
      </c>
      <c r="O286" s="4158"/>
    </row>
    <row r="287" spans="1:17" ht="15" customHeight="1" thickBot="1">
      <c r="A287" s="3511"/>
      <c r="B287" s="79" t="s">
        <v>12</v>
      </c>
      <c r="C287" s="3547"/>
      <c r="D287" s="1643">
        <f>E287+F287+G287+H287+I287+J287+K287+L287</f>
        <v>503701</v>
      </c>
      <c r="E287" s="1643">
        <v>0</v>
      </c>
      <c r="F287" s="1090">
        <v>0</v>
      </c>
      <c r="G287" s="1090">
        <v>0</v>
      </c>
      <c r="H287" s="1091">
        <v>83899</v>
      </c>
      <c r="I287" s="1091">
        <v>83899</v>
      </c>
      <c r="J287" s="1091">
        <v>97429</v>
      </c>
      <c r="K287" s="1091">
        <v>113579</v>
      </c>
      <c r="L287" s="1091">
        <v>124895</v>
      </c>
      <c r="M287" s="2079">
        <f>SUM(F287:L287)</f>
        <v>503701</v>
      </c>
      <c r="N287" s="2079">
        <f>SUM(G287:L287)</f>
        <v>503701</v>
      </c>
      <c r="O287" s="4159"/>
    </row>
    <row r="288" spans="1:17" ht="40.5" hidden="1" customHeight="1">
      <c r="A288" s="4219" t="s">
        <v>57</v>
      </c>
      <c r="B288" s="252"/>
      <c r="C288" s="247" t="s">
        <v>161</v>
      </c>
      <c r="D288" s="635"/>
      <c r="E288" s="636"/>
      <c r="F288" s="637"/>
      <c r="G288" s="637"/>
      <c r="H288" s="637"/>
      <c r="I288" s="636"/>
      <c r="J288" s="636"/>
      <c r="K288" s="636"/>
      <c r="L288" s="636"/>
      <c r="M288" s="638"/>
      <c r="N288" s="638"/>
      <c r="O288" s="4220" t="s">
        <v>180</v>
      </c>
    </row>
    <row r="289" spans="1:15" ht="17.25" hidden="1" customHeight="1">
      <c r="A289" s="4219"/>
      <c r="B289" s="131" t="s">
        <v>10</v>
      </c>
      <c r="C289" s="131"/>
      <c r="D289" s="225"/>
      <c r="E289" s="225"/>
      <c r="F289" s="254"/>
      <c r="G289" s="253">
        <f t="shared" ref="G289:N289" si="226">+G290</f>
        <v>0</v>
      </c>
      <c r="H289" s="253">
        <f t="shared" si="226"/>
        <v>0</v>
      </c>
      <c r="I289" s="254">
        <f t="shared" si="226"/>
        <v>0</v>
      </c>
      <c r="J289" s="254"/>
      <c r="K289" s="254"/>
      <c r="L289" s="254"/>
      <c r="M289" s="63">
        <f t="shared" si="226"/>
        <v>0</v>
      </c>
      <c r="N289" s="63">
        <f t="shared" si="226"/>
        <v>0</v>
      </c>
      <c r="O289" s="4220"/>
    </row>
    <row r="290" spans="1:15" ht="16.5" hidden="1" customHeight="1">
      <c r="A290" s="4219"/>
      <c r="B290" s="170" t="s">
        <v>181</v>
      </c>
      <c r="C290" s="4221" t="s">
        <v>179</v>
      </c>
      <c r="D290" s="255"/>
      <c r="E290" s="256"/>
      <c r="F290" s="256"/>
      <c r="G290" s="256">
        <f>G291</f>
        <v>0</v>
      </c>
      <c r="H290" s="256">
        <f>H291</f>
        <v>0</v>
      </c>
      <c r="I290" s="257">
        <f>I291</f>
        <v>0</v>
      </c>
      <c r="J290" s="257"/>
      <c r="K290" s="257"/>
      <c r="L290" s="257"/>
      <c r="M290" s="77">
        <f>+M291</f>
        <v>0</v>
      </c>
      <c r="N290" s="77">
        <f>+N291</f>
        <v>0</v>
      </c>
      <c r="O290" s="4220"/>
    </row>
    <row r="291" spans="1:15" ht="13.5" hidden="1" customHeight="1">
      <c r="A291" s="4219"/>
      <c r="B291" s="2880" t="s">
        <v>54</v>
      </c>
      <c r="C291" s="4222"/>
      <c r="D291" s="258"/>
      <c r="E291" s="259"/>
      <c r="F291" s="259"/>
      <c r="G291" s="259">
        <v>0</v>
      </c>
      <c r="H291" s="259">
        <v>0</v>
      </c>
      <c r="I291" s="259">
        <v>0</v>
      </c>
      <c r="J291" s="259"/>
      <c r="K291" s="259"/>
      <c r="L291" s="259"/>
      <c r="M291" s="260"/>
      <c r="N291" s="260"/>
      <c r="O291" s="4220"/>
    </row>
    <row r="292" spans="1:15" ht="15.75" hidden="1" customHeight="1">
      <c r="A292" s="4219"/>
      <c r="B292" s="261" t="s">
        <v>21</v>
      </c>
      <c r="C292" s="22"/>
      <c r="D292" s="29"/>
      <c r="E292" s="192"/>
      <c r="F292" s="192"/>
      <c r="G292" s="192"/>
      <c r="H292" s="192">
        <f t="shared" ref="G292:I293" si="227">H293</f>
        <v>0</v>
      </c>
      <c r="I292" s="192">
        <f t="shared" si="227"/>
        <v>0</v>
      </c>
      <c r="J292" s="639"/>
      <c r="K292" s="639"/>
      <c r="L292" s="639"/>
      <c r="M292" s="3517" t="s">
        <v>53</v>
      </c>
      <c r="N292" s="3517" t="s">
        <v>53</v>
      </c>
      <c r="O292" s="4220"/>
    </row>
    <row r="293" spans="1:15" ht="16.5" hidden="1" customHeight="1">
      <c r="A293" s="4219"/>
      <c r="B293" s="170" t="s">
        <v>11</v>
      </c>
      <c r="C293" s="4223" t="s">
        <v>179</v>
      </c>
      <c r="D293" s="122"/>
      <c r="E293" s="48"/>
      <c r="F293" s="48"/>
      <c r="G293" s="48">
        <f t="shared" si="227"/>
        <v>0</v>
      </c>
      <c r="H293" s="48">
        <f t="shared" si="227"/>
        <v>0</v>
      </c>
      <c r="I293" s="48">
        <f t="shared" si="227"/>
        <v>0</v>
      </c>
      <c r="J293" s="277"/>
      <c r="K293" s="277"/>
      <c r="L293" s="277"/>
      <c r="M293" s="3517"/>
      <c r="N293" s="3517"/>
      <c r="O293" s="4220"/>
    </row>
    <row r="294" spans="1:15" ht="13.5" hidden="1" customHeight="1" thickBot="1">
      <c r="A294" s="4219"/>
      <c r="B294" s="2861" t="s">
        <v>54</v>
      </c>
      <c r="C294" s="3523"/>
      <c r="D294" s="262"/>
      <c r="E294" s="71"/>
      <c r="F294" s="70"/>
      <c r="G294" s="70">
        <v>0</v>
      </c>
      <c r="H294" s="70">
        <v>0</v>
      </c>
      <c r="I294" s="70">
        <v>0</v>
      </c>
      <c r="J294" s="54"/>
      <c r="K294" s="54"/>
      <c r="L294" s="54"/>
      <c r="M294" s="3518"/>
      <c r="N294" s="3518"/>
      <c r="O294" s="4220"/>
    </row>
    <row r="295" spans="1:15" ht="17.25" customHeight="1">
      <c r="A295" s="614" t="s">
        <v>373</v>
      </c>
      <c r="E295" s="558"/>
      <c r="O295" s="640"/>
    </row>
    <row r="296" spans="1:15" ht="11.25" hidden="1" customHeight="1">
      <c r="A296" s="4218"/>
      <c r="B296" s="4218"/>
      <c r="C296" s="4218"/>
      <c r="D296" s="4218"/>
      <c r="E296" s="4218"/>
      <c r="F296" s="4218"/>
      <c r="G296" s="4218"/>
      <c r="H296" s="4218"/>
      <c r="I296" s="4218"/>
      <c r="J296" s="4218"/>
      <c r="K296" s="4218"/>
      <c r="L296" s="4218"/>
      <c r="M296" s="4218"/>
      <c r="N296" s="4218"/>
      <c r="O296" s="4218"/>
    </row>
    <row r="297" spans="1:15" hidden="1">
      <c r="A297" s="4218"/>
      <c r="B297" s="4218"/>
      <c r="C297" s="4218"/>
      <c r="D297" s="4218"/>
      <c r="E297" s="4218"/>
      <c r="F297" s="4218"/>
      <c r="G297" s="4218"/>
      <c r="H297" s="4218"/>
      <c r="I297" s="4218"/>
      <c r="J297" s="4218"/>
      <c r="K297" s="4218"/>
      <c r="L297" s="4218"/>
      <c r="M297" s="4218"/>
      <c r="N297" s="4218"/>
      <c r="O297" s="4218"/>
    </row>
    <row r="298" spans="1:15" ht="15" hidden="1" customHeight="1">
      <c r="B298" s="1139" t="s">
        <v>338</v>
      </c>
      <c r="C298" s="2881"/>
      <c r="D298" s="2881"/>
      <c r="E298" s="2881"/>
      <c r="F298" s="2881"/>
      <c r="G298" s="2881"/>
      <c r="H298" s="2881"/>
      <c r="I298" s="2881"/>
      <c r="J298" s="2881"/>
      <c r="K298" s="2881"/>
      <c r="L298" s="2881"/>
      <c r="O298" s="640"/>
    </row>
    <row r="299" spans="1:15" ht="15" hidden="1" customHeight="1">
      <c r="B299" s="1172" t="s">
        <v>339</v>
      </c>
      <c r="C299" s="2881"/>
      <c r="D299" s="2882">
        <f t="shared" ref="D299:L299" si="228">D123+D148+D170+D179+D201+D223+D232+D255+D114</f>
        <v>3076429</v>
      </c>
      <c r="E299" s="2882">
        <f t="shared" si="228"/>
        <v>0</v>
      </c>
      <c r="F299" s="2882">
        <f t="shared" si="228"/>
        <v>977</v>
      </c>
      <c r="G299" s="2882">
        <f t="shared" si="228"/>
        <v>590917</v>
      </c>
      <c r="H299" s="2882">
        <f>H123+H148+H170+H179+H201+H223+H232+H255+H114</f>
        <v>1384979</v>
      </c>
      <c r="I299" s="2882">
        <f t="shared" si="228"/>
        <v>775793</v>
      </c>
      <c r="J299" s="2882">
        <f t="shared" si="228"/>
        <v>323763</v>
      </c>
      <c r="K299" s="2882">
        <f t="shared" si="228"/>
        <v>0</v>
      </c>
      <c r="L299" s="2882">
        <f t="shared" si="228"/>
        <v>0</v>
      </c>
      <c r="O299" s="640"/>
    </row>
    <row r="300" spans="1:15" ht="15" hidden="1" customHeight="1">
      <c r="B300" s="1172" t="s">
        <v>340</v>
      </c>
      <c r="C300" s="2881"/>
      <c r="D300" s="2882">
        <f>D32+D44+D56+D79+D92+D133+D157+D188+D210+D242+D267+D265+D105+D68</f>
        <v>84908374</v>
      </c>
      <c r="E300" s="2882">
        <f t="shared" ref="E300:L300" si="229">E32+E44+E56+E79+E92+E133+E157+E188+E210+E242+E267+E265+E105</f>
        <v>120000</v>
      </c>
      <c r="F300" s="2882">
        <f t="shared" si="229"/>
        <v>45886</v>
      </c>
      <c r="G300" s="2882">
        <f t="shared" si="229"/>
        <v>50789854</v>
      </c>
      <c r="H300" s="2882">
        <f>H32+H44+H56+H79+H92+H133+H157+H188+H210+H242+H267+H265+H105+H68</f>
        <v>21211226</v>
      </c>
      <c r="I300" s="2882">
        <f t="shared" si="229"/>
        <v>9717383</v>
      </c>
      <c r="J300" s="2882">
        <f t="shared" si="229"/>
        <v>3024025</v>
      </c>
      <c r="K300" s="2882">
        <f t="shared" si="229"/>
        <v>0</v>
      </c>
      <c r="L300" s="2882">
        <f t="shared" si="229"/>
        <v>0</v>
      </c>
      <c r="O300" s="640"/>
    </row>
    <row r="301" spans="1:15" ht="15" hidden="1" customHeight="1">
      <c r="B301" s="1172" t="s">
        <v>341</v>
      </c>
      <c r="C301" s="2881"/>
      <c r="D301" s="1137">
        <f>D299+D300</f>
        <v>87984803</v>
      </c>
      <c r="E301" s="1137">
        <f t="shared" ref="E301:I301" si="230">E299+E300</f>
        <v>120000</v>
      </c>
      <c r="F301" s="1137">
        <f t="shared" si="230"/>
        <v>46863</v>
      </c>
      <c r="G301" s="1137">
        <f t="shared" si="230"/>
        <v>51380771</v>
      </c>
      <c r="H301" s="1137">
        <f>H299+H300</f>
        <v>22596205</v>
      </c>
      <c r="I301" s="1137">
        <f t="shared" si="230"/>
        <v>10493176</v>
      </c>
      <c r="J301" s="1137">
        <f t="shared" ref="J301:L301" si="231">J299+J300</f>
        <v>3347788</v>
      </c>
      <c r="K301" s="1137">
        <f t="shared" si="231"/>
        <v>0</v>
      </c>
      <c r="L301" s="1137">
        <f t="shared" si="231"/>
        <v>0</v>
      </c>
      <c r="O301" s="640"/>
    </row>
    <row r="302" spans="1:15" ht="15" hidden="1" customHeight="1">
      <c r="B302" s="1134" t="s">
        <v>41</v>
      </c>
      <c r="C302" s="1136"/>
      <c r="D302" s="1138">
        <f>D301-D18</f>
        <v>0</v>
      </c>
      <c r="E302" s="1138">
        <f t="shared" ref="E302:L302" si="232">E301-E18</f>
        <v>0</v>
      </c>
      <c r="F302" s="1138">
        <f t="shared" si="232"/>
        <v>0</v>
      </c>
      <c r="G302" s="1138">
        <f t="shared" si="232"/>
        <v>0</v>
      </c>
      <c r="H302" s="1138">
        <f t="shared" si="232"/>
        <v>0</v>
      </c>
      <c r="I302" s="1138">
        <f t="shared" si="232"/>
        <v>0</v>
      </c>
      <c r="J302" s="1138">
        <f t="shared" si="232"/>
        <v>0</v>
      </c>
      <c r="K302" s="1138">
        <f t="shared" si="232"/>
        <v>0</v>
      </c>
      <c r="L302" s="1138">
        <f t="shared" si="232"/>
        <v>0</v>
      </c>
      <c r="O302" s="640"/>
    </row>
    <row r="303" spans="1:15" hidden="1">
      <c r="E303" s="558"/>
      <c r="O303" s="640"/>
    </row>
    <row r="304" spans="1:15" hidden="1">
      <c r="E304" s="558"/>
      <c r="O304" s="640"/>
    </row>
    <row r="305" spans="5:15" hidden="1">
      <c r="E305" s="558"/>
      <c r="O305" s="640"/>
    </row>
    <row r="306" spans="5:15" hidden="1">
      <c r="E306" s="558"/>
      <c r="O306" s="640"/>
    </row>
    <row r="307" spans="5:15" hidden="1">
      <c r="E307" s="558"/>
      <c r="O307" s="640"/>
    </row>
    <row r="308" spans="5:15" hidden="1">
      <c r="E308" s="558"/>
      <c r="O308" s="640"/>
    </row>
    <row r="309" spans="5:15" hidden="1">
      <c r="E309" s="558"/>
      <c r="O309" s="640"/>
    </row>
    <row r="310" spans="5:15" hidden="1">
      <c r="E310" s="558"/>
      <c r="O310" s="640"/>
    </row>
    <row r="311" spans="5:15" hidden="1">
      <c r="E311" s="558"/>
      <c r="O311" s="640"/>
    </row>
    <row r="312" spans="5:15" hidden="1">
      <c r="E312" s="558"/>
      <c r="O312" s="640"/>
    </row>
    <row r="313" spans="5:15" hidden="1">
      <c r="E313" s="558"/>
      <c r="O313" s="640"/>
    </row>
    <row r="314" spans="5:15" hidden="1">
      <c r="E314" s="558"/>
      <c r="O314" s="640"/>
    </row>
    <row r="315" spans="5:15" hidden="1">
      <c r="E315" s="558"/>
      <c r="O315" s="640"/>
    </row>
    <row r="316" spans="5:15" hidden="1">
      <c r="E316" s="558"/>
      <c r="O316" s="640"/>
    </row>
    <row r="317" spans="5:15" hidden="1">
      <c r="E317" s="558"/>
      <c r="O317" s="640"/>
    </row>
    <row r="318" spans="5:15" hidden="1">
      <c r="E318" s="558"/>
      <c r="O318" s="640"/>
    </row>
    <row r="319" spans="5:15">
      <c r="E319" s="558"/>
      <c r="O319" s="640"/>
    </row>
    <row r="320" spans="5:15">
      <c r="E320" s="558"/>
      <c r="O320" s="640"/>
    </row>
    <row r="321" spans="5:15">
      <c r="E321" s="558"/>
      <c r="O321" s="640"/>
    </row>
    <row r="322" spans="5:15">
      <c r="E322" s="558"/>
      <c r="O322" s="640"/>
    </row>
    <row r="323" spans="5:15">
      <c r="E323" s="558"/>
      <c r="O323" s="640"/>
    </row>
    <row r="324" spans="5:15">
      <c r="E324" s="558"/>
      <c r="O324" s="640"/>
    </row>
    <row r="325" spans="5:15">
      <c r="E325" s="558"/>
      <c r="O325" s="640"/>
    </row>
    <row r="326" spans="5:15">
      <c r="E326" s="558"/>
      <c r="O326" s="640"/>
    </row>
    <row r="327" spans="5:15">
      <c r="E327" s="558"/>
      <c r="O327" s="640"/>
    </row>
    <row r="328" spans="5:15">
      <c r="E328" s="558"/>
      <c r="O328" s="640"/>
    </row>
    <row r="329" spans="5:15">
      <c r="E329" s="558"/>
      <c r="O329" s="640"/>
    </row>
    <row r="330" spans="5:15">
      <c r="E330" s="558"/>
      <c r="O330" s="640"/>
    </row>
    <row r="331" spans="5:15">
      <c r="E331" s="558"/>
      <c r="O331" s="640"/>
    </row>
    <row r="332" spans="5:15">
      <c r="E332" s="558"/>
      <c r="O332" s="640"/>
    </row>
    <row r="333" spans="5:15">
      <c r="E333" s="558"/>
      <c r="O333" s="640"/>
    </row>
    <row r="334" spans="5:15">
      <c r="E334" s="558"/>
      <c r="O334" s="640"/>
    </row>
    <row r="335" spans="5:15">
      <c r="E335" s="558"/>
      <c r="O335" s="640"/>
    </row>
    <row r="336" spans="5:15">
      <c r="E336" s="558"/>
      <c r="O336" s="640"/>
    </row>
    <row r="337" spans="5:15">
      <c r="E337" s="558"/>
      <c r="O337" s="640"/>
    </row>
    <row r="338" spans="5:15">
      <c r="E338" s="558"/>
      <c r="O338" s="640"/>
    </row>
    <row r="339" spans="5:15">
      <c r="E339" s="558"/>
      <c r="O339" s="640"/>
    </row>
    <row r="340" spans="5:15">
      <c r="E340" s="558"/>
      <c r="O340" s="640"/>
    </row>
    <row r="341" spans="5:15">
      <c r="E341" s="558"/>
      <c r="O341" s="640"/>
    </row>
    <row r="342" spans="5:15">
      <c r="E342" s="558"/>
      <c r="O342" s="640"/>
    </row>
    <row r="343" spans="5:15">
      <c r="E343" s="558"/>
      <c r="O343" s="640"/>
    </row>
    <row r="344" spans="5:15">
      <c r="E344" s="558"/>
      <c r="O344" s="640"/>
    </row>
    <row r="345" spans="5:15">
      <c r="E345" s="558"/>
      <c r="O345" s="640"/>
    </row>
    <row r="346" spans="5:15">
      <c r="E346" s="558"/>
      <c r="O346" s="640"/>
    </row>
    <row r="347" spans="5:15">
      <c r="E347" s="558"/>
      <c r="O347" s="640"/>
    </row>
    <row r="348" spans="5:15">
      <c r="E348" s="558"/>
      <c r="O348" s="640"/>
    </row>
    <row r="349" spans="5:15">
      <c r="E349" s="558"/>
      <c r="O349" s="640"/>
    </row>
    <row r="350" spans="5:15">
      <c r="E350" s="558"/>
      <c r="O350" s="640"/>
    </row>
    <row r="351" spans="5:15">
      <c r="E351" s="558"/>
      <c r="O351" s="640"/>
    </row>
    <row r="352" spans="5:15">
      <c r="E352" s="558"/>
      <c r="O352" s="640"/>
    </row>
    <row r="353" spans="5:15">
      <c r="E353" s="558"/>
      <c r="O353" s="640"/>
    </row>
    <row r="354" spans="5:15">
      <c r="E354" s="558"/>
      <c r="O354" s="640"/>
    </row>
    <row r="355" spans="5:15">
      <c r="E355" s="558"/>
      <c r="O355" s="640"/>
    </row>
    <row r="356" spans="5:15">
      <c r="E356" s="558"/>
      <c r="O356" s="640"/>
    </row>
    <row r="357" spans="5:15">
      <c r="E357" s="558"/>
      <c r="O357" s="640"/>
    </row>
    <row r="358" spans="5:15">
      <c r="E358" s="558"/>
      <c r="O358" s="640"/>
    </row>
    <row r="359" spans="5:15">
      <c r="E359" s="558"/>
      <c r="O359" s="640"/>
    </row>
    <row r="360" spans="5:15">
      <c r="E360" s="558"/>
      <c r="O360" s="640"/>
    </row>
    <row r="361" spans="5:15">
      <c r="E361" s="558"/>
      <c r="O361" s="640"/>
    </row>
    <row r="362" spans="5:15">
      <c r="E362" s="558"/>
      <c r="O362" s="640"/>
    </row>
    <row r="363" spans="5:15">
      <c r="E363" s="558"/>
      <c r="O363" s="640"/>
    </row>
    <row r="364" spans="5:15">
      <c r="E364" s="558"/>
      <c r="O364" s="640"/>
    </row>
    <row r="365" spans="5:15">
      <c r="E365" s="558"/>
      <c r="O365" s="640"/>
    </row>
    <row r="366" spans="5:15">
      <c r="E366" s="558"/>
      <c r="O366" s="640"/>
    </row>
    <row r="367" spans="5:15">
      <c r="E367" s="558"/>
      <c r="O367" s="640"/>
    </row>
    <row r="368" spans="5:15">
      <c r="E368" s="558"/>
      <c r="O368" s="640"/>
    </row>
    <row r="369" spans="5:15">
      <c r="E369" s="558"/>
      <c r="O369" s="640"/>
    </row>
    <row r="370" spans="5:15">
      <c r="E370" s="558"/>
      <c r="O370" s="640"/>
    </row>
    <row r="371" spans="5:15">
      <c r="E371" s="558"/>
      <c r="O371" s="640"/>
    </row>
    <row r="372" spans="5:15">
      <c r="E372" s="558"/>
      <c r="O372" s="640"/>
    </row>
    <row r="373" spans="5:15">
      <c r="E373" s="558"/>
      <c r="O373" s="640"/>
    </row>
    <row r="374" spans="5:15">
      <c r="E374" s="558"/>
      <c r="O374" s="640"/>
    </row>
    <row r="375" spans="5:15">
      <c r="E375" s="558"/>
      <c r="O375" s="640"/>
    </row>
    <row r="376" spans="5:15">
      <c r="E376" s="558"/>
      <c r="O376" s="640"/>
    </row>
    <row r="377" spans="5:15">
      <c r="E377" s="558"/>
      <c r="O377" s="640"/>
    </row>
    <row r="378" spans="5:15">
      <c r="E378" s="558"/>
      <c r="O378" s="640"/>
    </row>
    <row r="379" spans="5:15">
      <c r="E379" s="558"/>
      <c r="O379" s="640"/>
    </row>
    <row r="380" spans="5:15">
      <c r="E380" s="558"/>
      <c r="O380" s="640"/>
    </row>
    <row r="381" spans="5:15">
      <c r="E381" s="558"/>
      <c r="O381" s="640"/>
    </row>
    <row r="382" spans="5:15">
      <c r="E382" s="558"/>
      <c r="O382" s="640"/>
    </row>
    <row r="383" spans="5:15">
      <c r="E383" s="558"/>
      <c r="O383" s="640"/>
    </row>
    <row r="384" spans="5:15">
      <c r="E384" s="558"/>
      <c r="O384" s="640"/>
    </row>
    <row r="385" spans="5:15">
      <c r="E385" s="558"/>
      <c r="O385" s="640"/>
    </row>
    <row r="386" spans="5:15">
      <c r="E386" s="558"/>
      <c r="O386" s="640"/>
    </row>
    <row r="387" spans="5:15">
      <c r="E387" s="558"/>
      <c r="O387" s="640"/>
    </row>
    <row r="388" spans="5:15">
      <c r="E388" s="558"/>
      <c r="O388" s="640"/>
    </row>
    <row r="389" spans="5:15">
      <c r="E389" s="558"/>
      <c r="O389" s="640"/>
    </row>
    <row r="390" spans="5:15">
      <c r="E390" s="558"/>
      <c r="O390" s="640"/>
    </row>
    <row r="391" spans="5:15">
      <c r="E391" s="558"/>
      <c r="O391" s="640"/>
    </row>
    <row r="392" spans="5:15">
      <c r="E392" s="558"/>
      <c r="O392" s="640"/>
    </row>
    <row r="393" spans="5:15">
      <c r="E393" s="558"/>
      <c r="O393" s="640"/>
    </row>
    <row r="394" spans="5:15">
      <c r="E394" s="558"/>
      <c r="O394" s="640"/>
    </row>
    <row r="395" spans="5:15">
      <c r="E395" s="558"/>
      <c r="O395" s="640"/>
    </row>
    <row r="396" spans="5:15">
      <c r="E396" s="558"/>
      <c r="O396" s="640"/>
    </row>
    <row r="397" spans="5:15">
      <c r="E397" s="558"/>
      <c r="O397" s="640"/>
    </row>
    <row r="398" spans="5:15">
      <c r="E398" s="558"/>
      <c r="O398" s="640"/>
    </row>
    <row r="399" spans="5:15">
      <c r="E399" s="558"/>
      <c r="O399" s="640"/>
    </row>
    <row r="400" spans="5:15">
      <c r="E400" s="558"/>
      <c r="O400" s="640"/>
    </row>
    <row r="401" spans="5:15">
      <c r="E401" s="558"/>
      <c r="O401" s="640"/>
    </row>
    <row r="402" spans="5:15">
      <c r="E402" s="558"/>
      <c r="O402" s="640"/>
    </row>
    <row r="403" spans="5:15">
      <c r="E403" s="558"/>
      <c r="O403" s="640"/>
    </row>
    <row r="404" spans="5:15">
      <c r="E404" s="558"/>
      <c r="O404" s="640"/>
    </row>
    <row r="405" spans="5:15">
      <c r="E405" s="558"/>
      <c r="O405" s="640"/>
    </row>
    <row r="406" spans="5:15">
      <c r="E406" s="558"/>
      <c r="O406" s="640"/>
    </row>
    <row r="407" spans="5:15">
      <c r="E407" s="558"/>
      <c r="O407" s="640"/>
    </row>
    <row r="408" spans="5:15">
      <c r="E408" s="558"/>
      <c r="O408" s="640"/>
    </row>
    <row r="409" spans="5:15">
      <c r="E409" s="558"/>
      <c r="O409" s="640"/>
    </row>
    <row r="410" spans="5:15">
      <c r="E410" s="558"/>
      <c r="O410" s="640"/>
    </row>
    <row r="411" spans="5:15">
      <c r="E411" s="558"/>
      <c r="O411" s="640"/>
    </row>
    <row r="412" spans="5:15">
      <c r="E412" s="558"/>
      <c r="O412" s="640"/>
    </row>
    <row r="413" spans="5:15">
      <c r="E413" s="558"/>
      <c r="O413" s="640"/>
    </row>
    <row r="414" spans="5:15">
      <c r="E414" s="558"/>
      <c r="O414" s="640"/>
    </row>
    <row r="415" spans="5:15">
      <c r="E415" s="558"/>
      <c r="O415" s="640"/>
    </row>
    <row r="416" spans="5:15">
      <c r="E416" s="558"/>
      <c r="O416" s="640"/>
    </row>
    <row r="417" spans="1:15">
      <c r="E417" s="558"/>
      <c r="O417" s="640"/>
    </row>
    <row r="418" spans="1:15">
      <c r="E418" s="558"/>
      <c r="O418" s="640"/>
    </row>
    <row r="419" spans="1:15">
      <c r="E419" s="558"/>
      <c r="O419" s="640"/>
    </row>
    <row r="420" spans="1:15">
      <c r="E420" s="558"/>
      <c r="O420" s="640"/>
    </row>
    <row r="421" spans="1:15">
      <c r="E421" s="558"/>
      <c r="O421" s="640"/>
    </row>
    <row r="422" spans="1:15" ht="12" thickBot="1">
      <c r="A422" s="2457"/>
      <c r="E422" s="558"/>
      <c r="O422" s="640"/>
    </row>
    <row r="423" spans="1:15" ht="12" thickBot="1">
      <c r="A423" s="2458"/>
      <c r="E423" s="558"/>
      <c r="O423" s="640"/>
    </row>
    <row r="424" spans="1:15" ht="12" thickBot="1">
      <c r="A424" s="2458"/>
      <c r="E424" s="558"/>
      <c r="O424" s="640"/>
    </row>
    <row r="425" spans="1:15" ht="12" thickBot="1">
      <c r="A425" s="2458"/>
      <c r="E425" s="558"/>
      <c r="O425" s="640"/>
    </row>
    <row r="426" spans="1:15" ht="12" thickBot="1">
      <c r="A426" s="2458"/>
      <c r="E426" s="558"/>
      <c r="O426" s="640"/>
    </row>
    <row r="427" spans="1:15" ht="12" thickBot="1">
      <c r="A427" s="2458"/>
      <c r="E427" s="558"/>
      <c r="O427" s="640"/>
    </row>
    <row r="428" spans="1:15" ht="12" thickBot="1">
      <c r="A428" s="2458"/>
      <c r="E428" s="558"/>
      <c r="N428" s="2445"/>
      <c r="O428" s="2451"/>
    </row>
    <row r="429" spans="1:15" ht="12" thickBot="1">
      <c r="A429" s="2458"/>
      <c r="C429" s="2445"/>
      <c r="E429" s="558"/>
      <c r="N429" s="2446"/>
      <c r="O429" s="2452"/>
    </row>
    <row r="430" spans="1:15" ht="12" thickBot="1">
      <c r="A430" s="2458"/>
      <c r="C430" s="2446"/>
      <c r="D430" s="2445"/>
      <c r="E430" s="2445"/>
      <c r="F430" s="2445"/>
      <c r="G430" s="2445"/>
      <c r="H430" s="2445"/>
      <c r="I430" s="2445"/>
      <c r="J430" s="2445"/>
      <c r="K430" s="2445"/>
      <c r="L430" s="2445"/>
      <c r="N430" s="2446"/>
      <c r="O430" s="2452"/>
    </row>
    <row r="431" spans="1:15" ht="12" thickBot="1">
      <c r="A431" s="2458"/>
      <c r="C431" s="2447"/>
      <c r="D431" s="2447"/>
      <c r="E431" s="2447"/>
      <c r="F431" s="2447"/>
      <c r="G431" s="2447"/>
      <c r="H431" s="2447"/>
      <c r="I431" s="2447"/>
      <c r="J431" s="2447"/>
      <c r="K431" s="2447"/>
      <c r="L431" s="2447"/>
      <c r="N431" s="2447"/>
      <c r="O431" s="2452"/>
    </row>
    <row r="432" spans="1:15" ht="12" thickBot="1">
      <c r="A432" s="2458"/>
      <c r="E432" s="558"/>
      <c r="O432" s="2452"/>
    </row>
    <row r="433" spans="1:15" ht="12" thickBot="1">
      <c r="A433" s="2458"/>
      <c r="E433" s="558"/>
      <c r="O433" s="2452"/>
    </row>
    <row r="434" spans="1:15" ht="12" thickBot="1">
      <c r="A434" s="2458"/>
      <c r="E434" s="558"/>
      <c r="O434" s="2452"/>
    </row>
    <row r="435" spans="1:15" ht="12" thickBot="1">
      <c r="A435" s="2458"/>
      <c r="E435" s="558"/>
      <c r="O435" s="2452"/>
    </row>
    <row r="436" spans="1:15" ht="12" thickBot="1">
      <c r="A436" s="2458"/>
      <c r="E436" s="558"/>
      <c r="O436" s="2453"/>
    </row>
    <row r="437" spans="1:15" ht="12" thickBot="1">
      <c r="A437" s="2458"/>
      <c r="E437" s="558"/>
      <c r="O437" s="640"/>
    </row>
    <row r="438" spans="1:15" ht="12" thickBot="1">
      <c r="A438" s="2458"/>
      <c r="E438" s="558"/>
      <c r="O438" s="640"/>
    </row>
    <row r="439" spans="1:15">
      <c r="A439" s="2459"/>
      <c r="E439" s="558"/>
      <c r="O439" s="640"/>
    </row>
    <row r="440" spans="1:15">
      <c r="E440" s="558"/>
      <c r="O440" s="640"/>
    </row>
    <row r="441" spans="1:15">
      <c r="E441" s="558"/>
      <c r="O441" s="640"/>
    </row>
    <row r="442" spans="1:15">
      <c r="E442" s="558"/>
      <c r="O442" s="640"/>
    </row>
    <row r="443" spans="1:15">
      <c r="E443" s="558"/>
      <c r="O443" s="640"/>
    </row>
    <row r="444" spans="1:15">
      <c r="E444" s="558"/>
      <c r="O444" s="640"/>
    </row>
    <row r="445" spans="1:15">
      <c r="E445" s="558"/>
      <c r="O445" s="640"/>
    </row>
    <row r="446" spans="1:15">
      <c r="E446" s="558"/>
      <c r="O446" s="640"/>
    </row>
    <row r="447" spans="1:15">
      <c r="E447" s="558"/>
      <c r="O447" s="640"/>
    </row>
    <row r="448" spans="1:15">
      <c r="E448" s="558"/>
      <c r="O448" s="640"/>
    </row>
    <row r="449" spans="5:15">
      <c r="E449" s="558"/>
      <c r="O449" s="640"/>
    </row>
    <row r="450" spans="5:15">
      <c r="E450" s="558"/>
      <c r="O450" s="640"/>
    </row>
    <row r="451" spans="5:15">
      <c r="E451" s="558"/>
      <c r="O451" s="640"/>
    </row>
    <row r="452" spans="5:15">
      <c r="E452" s="558"/>
      <c r="O452" s="640"/>
    </row>
    <row r="453" spans="5:15">
      <c r="E453" s="558"/>
      <c r="O453" s="640"/>
    </row>
    <row r="454" spans="5:15">
      <c r="E454" s="558"/>
      <c r="O454" s="640"/>
    </row>
    <row r="455" spans="5:15">
      <c r="E455" s="558"/>
      <c r="O455" s="640"/>
    </row>
    <row r="456" spans="5:15">
      <c r="E456" s="558"/>
      <c r="O456" s="640"/>
    </row>
    <row r="457" spans="5:15">
      <c r="E457" s="558"/>
      <c r="O457" s="640"/>
    </row>
    <row r="458" spans="5:15">
      <c r="E458" s="558"/>
      <c r="O458" s="640"/>
    </row>
    <row r="459" spans="5:15">
      <c r="E459" s="558"/>
      <c r="O459" s="640"/>
    </row>
    <row r="460" spans="5:15">
      <c r="E460" s="558"/>
      <c r="O460" s="640"/>
    </row>
    <row r="461" spans="5:15">
      <c r="E461" s="558"/>
      <c r="O461" s="640"/>
    </row>
    <row r="462" spans="5:15">
      <c r="E462" s="558"/>
      <c r="O462" s="640"/>
    </row>
    <row r="463" spans="5:15">
      <c r="E463" s="558"/>
      <c r="O463" s="640"/>
    </row>
    <row r="464" spans="5:15">
      <c r="E464" s="558"/>
      <c r="O464" s="640"/>
    </row>
    <row r="465" spans="5:15">
      <c r="E465" s="558"/>
      <c r="O465" s="640"/>
    </row>
    <row r="466" spans="5:15">
      <c r="E466" s="558"/>
      <c r="O466" s="640"/>
    </row>
    <row r="467" spans="5:15">
      <c r="E467" s="558"/>
      <c r="O467" s="640"/>
    </row>
    <row r="468" spans="5:15">
      <c r="E468" s="558"/>
      <c r="O468" s="640"/>
    </row>
    <row r="469" spans="5:15">
      <c r="E469" s="558"/>
      <c r="O469" s="640"/>
    </row>
    <row r="470" spans="5:15">
      <c r="E470" s="558"/>
      <c r="O470" s="640"/>
    </row>
    <row r="471" spans="5:15">
      <c r="E471" s="558"/>
      <c r="O471" s="640"/>
    </row>
    <row r="472" spans="5:15">
      <c r="E472" s="558"/>
      <c r="O472" s="640"/>
    </row>
    <row r="473" spans="5:15">
      <c r="E473" s="558"/>
      <c r="O473" s="640"/>
    </row>
    <row r="474" spans="5:15">
      <c r="E474" s="558"/>
      <c r="O474" s="640"/>
    </row>
    <row r="475" spans="5:15">
      <c r="E475" s="558"/>
      <c r="O475" s="640"/>
    </row>
    <row r="476" spans="5:15">
      <c r="E476" s="558"/>
      <c r="O476" s="640"/>
    </row>
    <row r="477" spans="5:15">
      <c r="E477" s="558"/>
      <c r="O477" s="640"/>
    </row>
    <row r="478" spans="5:15">
      <c r="E478" s="558"/>
      <c r="O478" s="640"/>
    </row>
    <row r="479" spans="5:15">
      <c r="E479" s="558"/>
      <c r="O479" s="640"/>
    </row>
    <row r="480" spans="5:15">
      <c r="E480" s="558"/>
      <c r="O480" s="640"/>
    </row>
    <row r="481" spans="5:15">
      <c r="E481" s="558"/>
      <c r="O481" s="640"/>
    </row>
    <row r="482" spans="5:15">
      <c r="E482" s="558"/>
      <c r="O482" s="640"/>
    </row>
    <row r="483" spans="5:15">
      <c r="E483" s="558"/>
      <c r="O483" s="640"/>
    </row>
    <row r="484" spans="5:15">
      <c r="E484" s="558"/>
      <c r="O484" s="640"/>
    </row>
    <row r="485" spans="5:15">
      <c r="E485" s="558"/>
      <c r="O485" s="640"/>
    </row>
    <row r="486" spans="5:15">
      <c r="E486" s="558"/>
      <c r="O486" s="640"/>
    </row>
    <row r="487" spans="5:15">
      <c r="E487" s="558"/>
      <c r="O487" s="640"/>
    </row>
    <row r="488" spans="5:15">
      <c r="E488" s="558"/>
      <c r="O488" s="640"/>
    </row>
    <row r="489" spans="5:15">
      <c r="E489" s="558"/>
      <c r="O489" s="640"/>
    </row>
    <row r="490" spans="5:15">
      <c r="E490" s="558"/>
      <c r="O490" s="640"/>
    </row>
    <row r="491" spans="5:15">
      <c r="E491" s="558"/>
      <c r="O491" s="640"/>
    </row>
    <row r="492" spans="5:15">
      <c r="E492" s="558"/>
      <c r="O492" s="640"/>
    </row>
    <row r="493" spans="5:15">
      <c r="E493" s="558"/>
      <c r="O493" s="640"/>
    </row>
    <row r="494" spans="5:15">
      <c r="E494" s="558"/>
      <c r="O494" s="640"/>
    </row>
    <row r="495" spans="5:15">
      <c r="E495" s="558"/>
      <c r="O495" s="640"/>
    </row>
    <row r="496" spans="5:15">
      <c r="E496" s="558"/>
      <c r="O496" s="640"/>
    </row>
    <row r="497" spans="5:15">
      <c r="E497" s="558"/>
      <c r="O497" s="640"/>
    </row>
    <row r="498" spans="5:15">
      <c r="E498" s="558"/>
      <c r="O498" s="640"/>
    </row>
    <row r="499" spans="5:15">
      <c r="E499" s="558"/>
      <c r="O499" s="640"/>
    </row>
    <row r="500" spans="5:15">
      <c r="E500" s="558"/>
      <c r="O500" s="640"/>
    </row>
    <row r="501" spans="5:15">
      <c r="E501" s="558"/>
      <c r="O501" s="640"/>
    </row>
    <row r="502" spans="5:15">
      <c r="E502" s="558"/>
      <c r="O502" s="640"/>
    </row>
    <row r="503" spans="5:15">
      <c r="E503" s="558"/>
      <c r="O503" s="640"/>
    </row>
    <row r="504" spans="5:15">
      <c r="E504" s="558"/>
      <c r="O504" s="640"/>
    </row>
    <row r="505" spans="5:15">
      <c r="E505" s="558"/>
      <c r="O505" s="640"/>
    </row>
    <row r="506" spans="5:15">
      <c r="E506" s="558"/>
      <c r="O506" s="640"/>
    </row>
    <row r="507" spans="5:15">
      <c r="E507" s="558"/>
      <c r="O507" s="640"/>
    </row>
    <row r="508" spans="5:15">
      <c r="E508" s="558"/>
      <c r="O508" s="640"/>
    </row>
    <row r="509" spans="5:15">
      <c r="E509" s="558"/>
      <c r="O509" s="640"/>
    </row>
    <row r="510" spans="5:15">
      <c r="E510" s="558"/>
      <c r="O510" s="640"/>
    </row>
    <row r="511" spans="5:15">
      <c r="E511" s="558"/>
      <c r="O511" s="640"/>
    </row>
    <row r="512" spans="5:15">
      <c r="E512" s="558"/>
      <c r="O512" s="640"/>
    </row>
    <row r="513" spans="5:15">
      <c r="E513" s="558"/>
      <c r="O513" s="640"/>
    </row>
    <row r="514" spans="5:15">
      <c r="E514" s="558"/>
      <c r="O514" s="640"/>
    </row>
    <row r="515" spans="5:15">
      <c r="E515" s="558"/>
      <c r="O515" s="640"/>
    </row>
    <row r="516" spans="5:15">
      <c r="E516" s="558"/>
      <c r="O516" s="640"/>
    </row>
    <row r="517" spans="5:15">
      <c r="E517" s="558"/>
      <c r="O517" s="640"/>
    </row>
    <row r="518" spans="5:15">
      <c r="E518" s="558"/>
      <c r="O518" s="640"/>
    </row>
    <row r="519" spans="5:15">
      <c r="E519" s="558"/>
      <c r="O519" s="640"/>
    </row>
    <row r="520" spans="5:15">
      <c r="E520" s="558"/>
      <c r="O520" s="640"/>
    </row>
    <row r="521" spans="5:15">
      <c r="E521" s="558"/>
      <c r="O521" s="640"/>
    </row>
    <row r="522" spans="5:15">
      <c r="E522" s="558"/>
      <c r="O522" s="640"/>
    </row>
    <row r="523" spans="5:15">
      <c r="E523" s="558"/>
      <c r="O523" s="640"/>
    </row>
    <row r="524" spans="5:15">
      <c r="E524" s="558"/>
      <c r="O524" s="640"/>
    </row>
    <row r="525" spans="5:15">
      <c r="E525" s="558"/>
      <c r="O525" s="640"/>
    </row>
    <row r="526" spans="5:15">
      <c r="E526" s="558"/>
      <c r="O526" s="640"/>
    </row>
    <row r="527" spans="5:15">
      <c r="E527" s="558"/>
      <c r="O527" s="640"/>
    </row>
    <row r="528" spans="5:15">
      <c r="E528" s="558"/>
      <c r="O528" s="640"/>
    </row>
    <row r="529" spans="5:15">
      <c r="E529" s="558"/>
      <c r="O529" s="640"/>
    </row>
    <row r="530" spans="5:15">
      <c r="E530" s="558"/>
      <c r="O530" s="640"/>
    </row>
    <row r="531" spans="5:15">
      <c r="E531" s="558"/>
      <c r="O531" s="640"/>
    </row>
    <row r="532" spans="5:15">
      <c r="E532" s="558"/>
      <c r="O532" s="640"/>
    </row>
    <row r="533" spans="5:15">
      <c r="E533" s="558"/>
      <c r="O533" s="640"/>
    </row>
    <row r="534" spans="5:15">
      <c r="E534" s="558"/>
      <c r="O534" s="640"/>
    </row>
    <row r="535" spans="5:15">
      <c r="E535" s="558"/>
      <c r="O535" s="640"/>
    </row>
    <row r="536" spans="5:15">
      <c r="E536" s="558"/>
      <c r="O536" s="640"/>
    </row>
    <row r="537" spans="5:15" ht="12" thickBot="1">
      <c r="E537" s="558"/>
      <c r="O537" s="2451"/>
    </row>
    <row r="538" spans="5:15" ht="12" thickBot="1">
      <c r="E538" s="558"/>
      <c r="O538" s="2452"/>
    </row>
    <row r="539" spans="5:15" ht="12" thickBot="1">
      <c r="E539" s="558"/>
      <c r="O539" s="2452"/>
    </row>
    <row r="540" spans="5:15" ht="12" thickBot="1">
      <c r="E540" s="558"/>
      <c r="O540" s="2452"/>
    </row>
    <row r="541" spans="5:15" ht="12" thickBot="1">
      <c r="E541" s="558"/>
      <c r="N541" s="2445"/>
      <c r="O541" s="2452"/>
    </row>
    <row r="542" spans="5:15" ht="12" thickBot="1">
      <c r="E542" s="558"/>
      <c r="N542" s="2446"/>
      <c r="O542" s="2452"/>
    </row>
    <row r="543" spans="5:15" ht="12" thickBot="1">
      <c r="E543" s="558"/>
      <c r="N543" s="2446"/>
      <c r="O543" s="2452"/>
    </row>
    <row r="544" spans="5:15" ht="12" thickBot="1">
      <c r="E544" s="558"/>
      <c r="N544" s="2446"/>
      <c r="O544" s="2452"/>
    </row>
    <row r="545" spans="1:15" ht="12" thickBot="1">
      <c r="E545" s="558"/>
      <c r="N545" s="2446"/>
      <c r="O545" s="2452"/>
    </row>
    <row r="546" spans="1:15" ht="12" thickBot="1">
      <c r="A546" s="2457"/>
      <c r="B546" s="2445"/>
      <c r="C546" s="2445"/>
      <c r="D546" s="2445"/>
      <c r="E546" s="2445"/>
      <c r="F546" s="2445"/>
      <c r="G546" s="2445"/>
      <c r="H546" s="2445"/>
      <c r="I546" s="2445"/>
      <c r="J546" s="2445"/>
      <c r="K546" s="2445"/>
      <c r="L546" s="2445"/>
      <c r="N546" s="2446"/>
      <c r="O546" s="2452"/>
    </row>
    <row r="547" spans="1:15" ht="12" thickBot="1">
      <c r="A547" s="2458"/>
      <c r="B547" s="2447"/>
      <c r="C547" s="2447"/>
      <c r="D547" s="2447"/>
      <c r="E547" s="2447"/>
      <c r="F547" s="2447"/>
      <c r="G547" s="2447"/>
      <c r="H547" s="2447"/>
      <c r="I547" s="2447"/>
      <c r="J547" s="2447"/>
      <c r="K547" s="2447"/>
      <c r="L547" s="2447"/>
      <c r="N547" s="2447"/>
      <c r="O547" s="2452"/>
    </row>
    <row r="548" spans="1:15" ht="12" thickBot="1">
      <c r="A548" s="2458"/>
      <c r="E548" s="558"/>
      <c r="O548" s="2452"/>
    </row>
    <row r="549" spans="1:15" ht="12" thickBot="1">
      <c r="A549" s="2458"/>
      <c r="E549" s="558"/>
      <c r="O549" s="2452"/>
    </row>
    <row r="550" spans="1:15" ht="12" thickBot="1">
      <c r="A550" s="2458"/>
      <c r="E550" s="558"/>
      <c r="O550" s="2452"/>
    </row>
    <row r="551" spans="1:15" ht="12" thickBot="1">
      <c r="A551" s="2458"/>
      <c r="E551" s="558"/>
      <c r="O551" s="2452"/>
    </row>
    <row r="552" spans="1:15" ht="12" thickBot="1">
      <c r="A552" s="2458"/>
      <c r="E552" s="558"/>
      <c r="O552" s="2452"/>
    </row>
    <row r="553" spans="1:15" ht="12" thickBot="1">
      <c r="A553" s="2458"/>
      <c r="E553" s="558"/>
      <c r="O553" s="2452"/>
    </row>
    <row r="554" spans="1:15">
      <c r="A554" s="2459"/>
      <c r="E554" s="558"/>
      <c r="O554" s="2453"/>
    </row>
    <row r="555" spans="1:15">
      <c r="E555" s="558"/>
      <c r="O555" s="640"/>
    </row>
    <row r="556" spans="1:15">
      <c r="E556" s="558"/>
      <c r="O556" s="640"/>
    </row>
    <row r="557" spans="1:15">
      <c r="E557" s="558"/>
      <c r="O557" s="640"/>
    </row>
    <row r="558" spans="1:15">
      <c r="E558" s="558"/>
      <c r="O558" s="640"/>
    </row>
    <row r="559" spans="1:15">
      <c r="E559" s="558"/>
      <c r="O559" s="640"/>
    </row>
    <row r="560" spans="1:15">
      <c r="E560" s="558"/>
      <c r="O560" s="640"/>
    </row>
    <row r="561" spans="5:15">
      <c r="E561" s="558"/>
      <c r="O561" s="640"/>
    </row>
    <row r="562" spans="5:15">
      <c r="E562" s="558"/>
      <c r="O562" s="640"/>
    </row>
    <row r="563" spans="5:15">
      <c r="E563" s="558"/>
      <c r="O563" s="640"/>
    </row>
    <row r="564" spans="5:15">
      <c r="E564" s="558"/>
      <c r="O564" s="640"/>
    </row>
    <row r="565" spans="5:15">
      <c r="E565" s="558"/>
      <c r="O565" s="640"/>
    </row>
    <row r="566" spans="5:15">
      <c r="E566" s="558"/>
      <c r="O566" s="640"/>
    </row>
    <row r="567" spans="5:15">
      <c r="E567" s="558"/>
      <c r="O567" s="640"/>
    </row>
    <row r="568" spans="5:15">
      <c r="E568" s="558"/>
      <c r="O568" s="640"/>
    </row>
    <row r="569" spans="5:15">
      <c r="E569" s="558"/>
      <c r="O569" s="640"/>
    </row>
    <row r="570" spans="5:15">
      <c r="E570" s="558"/>
      <c r="O570" s="640"/>
    </row>
    <row r="571" spans="5:15">
      <c r="E571" s="558"/>
      <c r="O571" s="640"/>
    </row>
    <row r="572" spans="5:15">
      <c r="E572" s="558"/>
      <c r="O572" s="640"/>
    </row>
    <row r="573" spans="5:15">
      <c r="E573" s="558"/>
      <c r="O573" s="640"/>
    </row>
    <row r="574" spans="5:15">
      <c r="E574" s="558"/>
      <c r="O574" s="640"/>
    </row>
    <row r="575" spans="5:15">
      <c r="E575" s="558"/>
      <c r="O575" s="640"/>
    </row>
    <row r="576" spans="5:15">
      <c r="E576" s="558"/>
      <c r="O576" s="640"/>
    </row>
    <row r="577" spans="5:15">
      <c r="E577" s="558"/>
      <c r="O577" s="640"/>
    </row>
    <row r="578" spans="5:15">
      <c r="E578" s="558"/>
      <c r="O578" s="640"/>
    </row>
    <row r="579" spans="5:15">
      <c r="E579" s="558"/>
      <c r="O579" s="640"/>
    </row>
    <row r="580" spans="5:15">
      <c r="E580" s="558"/>
      <c r="O580" s="640"/>
    </row>
    <row r="581" spans="5:15">
      <c r="E581" s="558"/>
      <c r="O581" s="640"/>
    </row>
    <row r="582" spans="5:15">
      <c r="E582" s="558"/>
      <c r="O582" s="640"/>
    </row>
    <row r="583" spans="5:15">
      <c r="E583" s="558"/>
      <c r="O583" s="640"/>
    </row>
    <row r="584" spans="5:15">
      <c r="E584" s="558"/>
      <c r="O584" s="640"/>
    </row>
    <row r="585" spans="5:15">
      <c r="E585" s="558"/>
      <c r="O585" s="640"/>
    </row>
    <row r="586" spans="5:15">
      <c r="E586" s="558"/>
      <c r="O586" s="640"/>
    </row>
    <row r="587" spans="5:15">
      <c r="E587" s="558"/>
      <c r="O587" s="640"/>
    </row>
    <row r="588" spans="5:15">
      <c r="E588" s="558"/>
      <c r="O588" s="640"/>
    </row>
    <row r="589" spans="5:15">
      <c r="E589" s="558"/>
      <c r="O589" s="640"/>
    </row>
    <row r="590" spans="5:15">
      <c r="E590" s="558"/>
      <c r="O590" s="640"/>
    </row>
    <row r="591" spans="5:15">
      <c r="E591" s="558"/>
      <c r="O591" s="640"/>
    </row>
    <row r="592" spans="5:15">
      <c r="E592" s="558"/>
      <c r="O592" s="640"/>
    </row>
    <row r="593" spans="5:15">
      <c r="E593" s="558"/>
      <c r="O593" s="640"/>
    </row>
    <row r="594" spans="5:15">
      <c r="E594" s="558"/>
      <c r="O594" s="640"/>
    </row>
    <row r="595" spans="5:15">
      <c r="E595" s="558"/>
      <c r="O595" s="640"/>
    </row>
    <row r="596" spans="5:15">
      <c r="E596" s="558"/>
      <c r="O596" s="640"/>
    </row>
    <row r="597" spans="5:15">
      <c r="E597" s="558"/>
      <c r="O597" s="640"/>
    </row>
    <row r="598" spans="5:15">
      <c r="E598" s="558"/>
      <c r="O598" s="640"/>
    </row>
    <row r="599" spans="5:15">
      <c r="E599" s="558"/>
      <c r="O599" s="640"/>
    </row>
    <row r="600" spans="5:15">
      <c r="E600" s="558"/>
      <c r="O600" s="640"/>
    </row>
    <row r="601" spans="5:15">
      <c r="E601" s="558"/>
      <c r="O601" s="640"/>
    </row>
    <row r="602" spans="5:15">
      <c r="E602" s="558"/>
      <c r="O602" s="640"/>
    </row>
    <row r="603" spans="5:15">
      <c r="E603" s="558"/>
      <c r="O603" s="640"/>
    </row>
    <row r="604" spans="5:15">
      <c r="E604" s="558"/>
      <c r="O604" s="640"/>
    </row>
    <row r="605" spans="5:15">
      <c r="E605" s="558"/>
      <c r="O605" s="640"/>
    </row>
    <row r="606" spans="5:15">
      <c r="E606" s="558"/>
      <c r="O606" s="640"/>
    </row>
    <row r="607" spans="5:15">
      <c r="E607" s="558"/>
      <c r="O607" s="640"/>
    </row>
    <row r="608" spans="5:15">
      <c r="E608" s="558"/>
      <c r="O608" s="640"/>
    </row>
    <row r="609" spans="5:15">
      <c r="E609" s="558"/>
      <c r="O609" s="640"/>
    </row>
    <row r="610" spans="5:15">
      <c r="E610" s="558"/>
      <c r="O610" s="640"/>
    </row>
    <row r="611" spans="5:15">
      <c r="E611" s="558"/>
      <c r="O611" s="640"/>
    </row>
    <row r="612" spans="5:15">
      <c r="E612" s="558"/>
      <c r="O612" s="640"/>
    </row>
    <row r="613" spans="5:15">
      <c r="E613" s="558"/>
      <c r="O613" s="640"/>
    </row>
    <row r="614" spans="5:15">
      <c r="E614" s="558"/>
      <c r="O614" s="640"/>
    </row>
    <row r="615" spans="5:15">
      <c r="E615" s="558"/>
      <c r="O615" s="640"/>
    </row>
    <row r="616" spans="5:15">
      <c r="E616" s="558"/>
      <c r="O616" s="640"/>
    </row>
    <row r="617" spans="5:15">
      <c r="E617" s="558"/>
      <c r="O617" s="640"/>
    </row>
    <row r="618" spans="5:15">
      <c r="E618" s="558"/>
      <c r="O618" s="640"/>
    </row>
    <row r="619" spans="5:15">
      <c r="E619" s="558"/>
      <c r="O619" s="640"/>
    </row>
    <row r="620" spans="5:15">
      <c r="E620" s="558"/>
      <c r="O620" s="640"/>
    </row>
    <row r="621" spans="5:15">
      <c r="E621" s="558"/>
      <c r="O621" s="640"/>
    </row>
    <row r="622" spans="5:15">
      <c r="E622" s="558"/>
      <c r="O622" s="640"/>
    </row>
    <row r="623" spans="5:15">
      <c r="E623" s="558"/>
      <c r="O623" s="640"/>
    </row>
    <row r="624" spans="5:15">
      <c r="E624" s="558"/>
      <c r="O624" s="640"/>
    </row>
    <row r="625" spans="5:15">
      <c r="E625" s="558"/>
      <c r="O625" s="640"/>
    </row>
    <row r="626" spans="5:15">
      <c r="E626" s="558"/>
      <c r="O626" s="640"/>
    </row>
    <row r="627" spans="5:15">
      <c r="E627" s="558"/>
      <c r="O627" s="640"/>
    </row>
    <row r="628" spans="5:15">
      <c r="E628" s="558"/>
      <c r="O628" s="640"/>
    </row>
    <row r="629" spans="5:15">
      <c r="E629" s="558"/>
      <c r="O629" s="640"/>
    </row>
    <row r="630" spans="5:15">
      <c r="E630" s="558"/>
      <c r="O630" s="640"/>
    </row>
    <row r="631" spans="5:15">
      <c r="E631" s="558"/>
      <c r="O631" s="640"/>
    </row>
    <row r="632" spans="5:15">
      <c r="E632" s="558"/>
      <c r="O632" s="640"/>
    </row>
    <row r="633" spans="5:15">
      <c r="E633" s="558"/>
      <c r="O633" s="640"/>
    </row>
    <row r="634" spans="5:15">
      <c r="E634" s="558"/>
      <c r="O634" s="640"/>
    </row>
    <row r="635" spans="5:15">
      <c r="E635" s="558"/>
      <c r="O635" s="640"/>
    </row>
    <row r="636" spans="5:15">
      <c r="E636" s="558"/>
      <c r="O636" s="640"/>
    </row>
    <row r="637" spans="5:15">
      <c r="E637" s="558"/>
      <c r="O637" s="640"/>
    </row>
    <row r="638" spans="5:15">
      <c r="E638" s="558"/>
      <c r="O638" s="640"/>
    </row>
    <row r="639" spans="5:15">
      <c r="E639" s="558"/>
      <c r="O639" s="640"/>
    </row>
    <row r="640" spans="5:15">
      <c r="E640" s="558"/>
      <c r="O640" s="640"/>
    </row>
    <row r="641" spans="5:15">
      <c r="E641" s="558"/>
      <c r="O641" s="640"/>
    </row>
    <row r="642" spans="5:15">
      <c r="E642" s="558"/>
      <c r="O642" s="640"/>
    </row>
    <row r="643" spans="5:15">
      <c r="E643" s="558"/>
      <c r="O643" s="640"/>
    </row>
    <row r="644" spans="5:15">
      <c r="E644" s="558"/>
      <c r="O644" s="640"/>
    </row>
    <row r="645" spans="5:15">
      <c r="E645" s="558"/>
      <c r="O645" s="640"/>
    </row>
    <row r="646" spans="5:15">
      <c r="E646" s="558"/>
      <c r="O646" s="640"/>
    </row>
    <row r="647" spans="5:15">
      <c r="E647" s="558"/>
      <c r="O647" s="640"/>
    </row>
    <row r="648" spans="5:15">
      <c r="E648" s="558"/>
      <c r="O648" s="640"/>
    </row>
    <row r="649" spans="5:15">
      <c r="E649" s="558"/>
      <c r="O649" s="640"/>
    </row>
    <row r="650" spans="5:15">
      <c r="E650" s="558"/>
      <c r="O650" s="640"/>
    </row>
    <row r="651" spans="5:15">
      <c r="E651" s="558"/>
      <c r="O651" s="640"/>
    </row>
    <row r="652" spans="5:15">
      <c r="E652" s="558"/>
      <c r="O652" s="640"/>
    </row>
    <row r="653" spans="5:15">
      <c r="E653" s="558"/>
      <c r="O653" s="640"/>
    </row>
    <row r="654" spans="5:15">
      <c r="E654" s="558"/>
      <c r="O654" s="640"/>
    </row>
    <row r="655" spans="5:15">
      <c r="E655" s="558"/>
      <c r="O655" s="640"/>
    </row>
    <row r="656" spans="5:15">
      <c r="E656" s="558"/>
      <c r="O656" s="640"/>
    </row>
    <row r="657" spans="5:15">
      <c r="E657" s="558"/>
      <c r="O657" s="640"/>
    </row>
    <row r="658" spans="5:15">
      <c r="E658" s="558"/>
      <c r="O658" s="640"/>
    </row>
    <row r="659" spans="5:15">
      <c r="E659" s="558"/>
      <c r="O659" s="640"/>
    </row>
    <row r="660" spans="5:15">
      <c r="E660" s="558"/>
      <c r="O660" s="640"/>
    </row>
    <row r="661" spans="5:15">
      <c r="E661" s="558"/>
      <c r="O661" s="640"/>
    </row>
    <row r="662" spans="5:15">
      <c r="E662" s="558"/>
      <c r="O662" s="640"/>
    </row>
    <row r="663" spans="5:15">
      <c r="E663" s="558"/>
      <c r="O663" s="640"/>
    </row>
    <row r="664" spans="5:15">
      <c r="E664" s="558"/>
      <c r="O664" s="640"/>
    </row>
    <row r="665" spans="5:15">
      <c r="E665" s="558"/>
      <c r="O665" s="640"/>
    </row>
    <row r="666" spans="5:15">
      <c r="E666" s="558"/>
      <c r="O666" s="640"/>
    </row>
    <row r="667" spans="5:15">
      <c r="E667" s="558"/>
      <c r="O667" s="640"/>
    </row>
    <row r="668" spans="5:15">
      <c r="E668" s="558"/>
      <c r="O668" s="640"/>
    </row>
    <row r="669" spans="5:15">
      <c r="E669" s="558"/>
      <c r="O669" s="640"/>
    </row>
    <row r="670" spans="5:15">
      <c r="E670" s="558"/>
      <c r="O670" s="640"/>
    </row>
    <row r="671" spans="5:15">
      <c r="E671" s="558"/>
      <c r="O671" s="640"/>
    </row>
    <row r="672" spans="5:15">
      <c r="E672" s="558"/>
      <c r="O672" s="640"/>
    </row>
    <row r="673" spans="5:15">
      <c r="E673" s="558"/>
      <c r="O673" s="640"/>
    </row>
    <row r="674" spans="5:15">
      <c r="E674" s="558"/>
      <c r="O674" s="640"/>
    </row>
    <row r="675" spans="5:15">
      <c r="E675" s="558"/>
      <c r="O675" s="640"/>
    </row>
    <row r="676" spans="5:15">
      <c r="E676" s="558"/>
      <c r="O676" s="640"/>
    </row>
    <row r="677" spans="5:15">
      <c r="E677" s="558"/>
      <c r="O677" s="640"/>
    </row>
    <row r="678" spans="5:15">
      <c r="E678" s="558"/>
      <c r="O678" s="640"/>
    </row>
    <row r="679" spans="5:15">
      <c r="E679" s="558"/>
      <c r="O679" s="640"/>
    </row>
  </sheetData>
  <mergeCells count="184">
    <mergeCell ref="A256:A267"/>
    <mergeCell ref="A247:A255"/>
    <mergeCell ref="O247:O252"/>
    <mergeCell ref="C249:C252"/>
    <mergeCell ref="M253:M255"/>
    <mergeCell ref="N253:N255"/>
    <mergeCell ref="O253:O255"/>
    <mergeCell ref="C254:C255"/>
    <mergeCell ref="O256:O262"/>
    <mergeCell ref="C258:C262"/>
    <mergeCell ref="M263:M267"/>
    <mergeCell ref="N263:N267"/>
    <mergeCell ref="O263:O267"/>
    <mergeCell ref="C264:C267"/>
    <mergeCell ref="O201:O203"/>
    <mergeCell ref="C202:C203"/>
    <mergeCell ref="A204:A212"/>
    <mergeCell ref="O204:O209"/>
    <mergeCell ref="C206:C209"/>
    <mergeCell ref="N210:N212"/>
    <mergeCell ref="O210:O212"/>
    <mergeCell ref="C211:C212"/>
    <mergeCell ref="A191:A203"/>
    <mergeCell ref="O191:O200"/>
    <mergeCell ref="C193:C200"/>
    <mergeCell ref="N201:N203"/>
    <mergeCell ref="M201:M203"/>
    <mergeCell ref="M210:M212"/>
    <mergeCell ref="A226:A234"/>
    <mergeCell ref="O226:O231"/>
    <mergeCell ref="C228:C231"/>
    <mergeCell ref="M232:M234"/>
    <mergeCell ref="N232:N234"/>
    <mergeCell ref="O232:O234"/>
    <mergeCell ref="C233:C234"/>
    <mergeCell ref="A235:A246"/>
    <mergeCell ref="O235:O241"/>
    <mergeCell ref="C237:C241"/>
    <mergeCell ref="M242:M246"/>
    <mergeCell ref="N242:N246"/>
    <mergeCell ref="O242:O246"/>
    <mergeCell ref="C243:C246"/>
    <mergeCell ref="A173:A181"/>
    <mergeCell ref="C175:C178"/>
    <mergeCell ref="N179:N181"/>
    <mergeCell ref="C180:C181"/>
    <mergeCell ref="A182:A190"/>
    <mergeCell ref="C184:C187"/>
    <mergeCell ref="N188:N190"/>
    <mergeCell ref="C189:C190"/>
    <mergeCell ref="O173:O178"/>
    <mergeCell ref="O179:O181"/>
    <mergeCell ref="O182:O187"/>
    <mergeCell ref="O188:O190"/>
    <mergeCell ref="M179:M181"/>
    <mergeCell ref="M188:M190"/>
    <mergeCell ref="A296:O297"/>
    <mergeCell ref="A288:A294"/>
    <mergeCell ref="O288:O294"/>
    <mergeCell ref="C290:C291"/>
    <mergeCell ref="C293:C294"/>
    <mergeCell ref="N292:N294"/>
    <mergeCell ref="A280:A283"/>
    <mergeCell ref="A213:A225"/>
    <mergeCell ref="O213:O222"/>
    <mergeCell ref="C215:C222"/>
    <mergeCell ref="N223:N225"/>
    <mergeCell ref="O223:O225"/>
    <mergeCell ref="C224:C225"/>
    <mergeCell ref="A284:A287"/>
    <mergeCell ref="O284:O287"/>
    <mergeCell ref="C286:C287"/>
    <mergeCell ref="O280:O283"/>
    <mergeCell ref="C282:C283"/>
    <mergeCell ref="C273:C276"/>
    <mergeCell ref="O269:O279"/>
    <mergeCell ref="N277:N279"/>
    <mergeCell ref="M223:M225"/>
    <mergeCell ref="M277:M279"/>
    <mergeCell ref="M292:M294"/>
    <mergeCell ref="M18:M24"/>
    <mergeCell ref="A117:A125"/>
    <mergeCell ref="C119:C122"/>
    <mergeCell ref="N123:N125"/>
    <mergeCell ref="C124:C125"/>
    <mergeCell ref="O25:O31"/>
    <mergeCell ref="O32:O36"/>
    <mergeCell ref="A82:A94"/>
    <mergeCell ref="N18:N24"/>
    <mergeCell ref="A25:A36"/>
    <mergeCell ref="C35:C36"/>
    <mergeCell ref="C27:C31"/>
    <mergeCell ref="N32:N36"/>
    <mergeCell ref="A37:A48"/>
    <mergeCell ref="O92:O94"/>
    <mergeCell ref="A108:A116"/>
    <mergeCell ref="C110:C113"/>
    <mergeCell ref="M114:M116"/>
    <mergeCell ref="N114:N116"/>
    <mergeCell ref="C115:C116"/>
    <mergeCell ref="O105:O107"/>
    <mergeCell ref="O95:O102"/>
    <mergeCell ref="O114:O116"/>
    <mergeCell ref="O108:O113"/>
    <mergeCell ref="A3:O3"/>
    <mergeCell ref="B4:B5"/>
    <mergeCell ref="C4:C5"/>
    <mergeCell ref="D4:D5"/>
    <mergeCell ref="O4:O5"/>
    <mergeCell ref="N4:N5"/>
    <mergeCell ref="F4:F5"/>
    <mergeCell ref="G4:L4"/>
    <mergeCell ref="M4:M5"/>
    <mergeCell ref="M32:M36"/>
    <mergeCell ref="M44:M48"/>
    <mergeCell ref="C45:C46"/>
    <mergeCell ref="C33:C34"/>
    <mergeCell ref="C57:C58"/>
    <mergeCell ref="A95:A107"/>
    <mergeCell ref="C97:C102"/>
    <mergeCell ref="C106:C107"/>
    <mergeCell ref="M105:M107"/>
    <mergeCell ref="A61:A72"/>
    <mergeCell ref="C63:C67"/>
    <mergeCell ref="M68:M72"/>
    <mergeCell ref="C39:C43"/>
    <mergeCell ref="C93:C94"/>
    <mergeCell ref="A49:A60"/>
    <mergeCell ref="C51:C55"/>
    <mergeCell ref="C59:C60"/>
    <mergeCell ref="M56:M60"/>
    <mergeCell ref="M79:M81"/>
    <mergeCell ref="M92:M94"/>
    <mergeCell ref="A73:A81"/>
    <mergeCell ref="C75:C78"/>
    <mergeCell ref="C80:C81"/>
    <mergeCell ref="C84:C89"/>
    <mergeCell ref="A138:A150"/>
    <mergeCell ref="N148:N150"/>
    <mergeCell ref="C149:C150"/>
    <mergeCell ref="N105:N107"/>
    <mergeCell ref="O68:O72"/>
    <mergeCell ref="C69:C70"/>
    <mergeCell ref="C71:C72"/>
    <mergeCell ref="N170:N172"/>
    <mergeCell ref="C171:C172"/>
    <mergeCell ref="M170:M172"/>
    <mergeCell ref="A151:A159"/>
    <mergeCell ref="C153:C156"/>
    <mergeCell ref="A126:A137"/>
    <mergeCell ref="C128:C132"/>
    <mergeCell ref="A160:A172"/>
    <mergeCell ref="O160:O172"/>
    <mergeCell ref="C162:C167"/>
    <mergeCell ref="C140:C147"/>
    <mergeCell ref="N92:N94"/>
    <mergeCell ref="O83:O89"/>
    <mergeCell ref="O73:O78"/>
    <mergeCell ref="N79:N81"/>
    <mergeCell ref="O79:O81"/>
    <mergeCell ref="O37:O43"/>
    <mergeCell ref="O44:O48"/>
    <mergeCell ref="C47:C48"/>
    <mergeCell ref="N44:N48"/>
    <mergeCell ref="O123:O125"/>
    <mergeCell ref="O117:O122"/>
    <mergeCell ref="O126:O132"/>
    <mergeCell ref="O133:O137"/>
    <mergeCell ref="N157:N159"/>
    <mergeCell ref="C158:C159"/>
    <mergeCell ref="O138:O150"/>
    <mergeCell ref="O151:O159"/>
    <mergeCell ref="M123:M125"/>
    <mergeCell ref="M133:M137"/>
    <mergeCell ref="M148:M150"/>
    <mergeCell ref="M157:M159"/>
    <mergeCell ref="O61:O67"/>
    <mergeCell ref="N68:N72"/>
    <mergeCell ref="N133:N137"/>
    <mergeCell ref="O49:O55"/>
    <mergeCell ref="N56:N60"/>
    <mergeCell ref="O56:O60"/>
    <mergeCell ref="C134:C135"/>
    <mergeCell ref="C136:C137"/>
  </mergeCells>
  <printOptions horizontalCentered="1"/>
  <pageMargins left="3.937007874015748E-2" right="7.874015748031496E-2" top="0.51181102362204722" bottom="0.51181102362204722" header="0.11811023622047245" footer="0.15748031496062992"/>
  <pageSetup paperSize="9" scale="64" firstPageNumber="54" orientation="landscape" useFirstPageNumber="1" r:id="rId1"/>
  <headerFooter alignWithMargins="0">
    <oddHeader>&amp;C&amp;"Arial,Kursywa"Wieloletnia prognoza finansowa Województwa Zachodniopomorskiego&amp;"Arial,Normalny"
_______________________________________________________________________________________________________________________</oddHeader>
    <oddFooter>&amp;C&amp;9&amp;P</oddFooter>
  </headerFooter>
  <rowBreaks count="5" manualBreakCount="5">
    <brk id="48" max="14" man="1"/>
    <brk id="94" max="14" man="1"/>
    <brk id="137" max="14" man="1"/>
    <brk id="225" max="14" man="1"/>
    <brk id="267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10</vt:i4>
      </vt:variant>
      <vt:variant>
        <vt:lpstr>Zakresy nazwane</vt:lpstr>
      </vt:variant>
      <vt:variant>
        <vt:i4>19</vt:i4>
      </vt:variant>
    </vt:vector>
  </HeadingPairs>
  <TitlesOfParts>
    <vt:vector size="29" baseType="lpstr">
      <vt:lpstr>Tabela nr 6</vt:lpstr>
      <vt:lpstr>Tab. 6A -Drogi</vt:lpstr>
      <vt:lpstr>Tab. 6B Polit społ i rozwój prz</vt:lpstr>
      <vt:lpstr>Tab. 6C - Ochrona zdrowia</vt:lpstr>
      <vt:lpstr>Tab. 6D - Oświata</vt:lpstr>
      <vt:lpstr>Tab. 6E - Administracja</vt:lpstr>
      <vt:lpstr>Tab. 6F - Kultura</vt:lpstr>
      <vt:lpstr>Tab. 6G - Roln i ochrona środ.</vt:lpstr>
      <vt:lpstr>Tab. 6H - Kultura fiz. i turyst</vt:lpstr>
      <vt:lpstr>Tab.6I - Planow. przestrz.</vt:lpstr>
      <vt:lpstr>'Tab. 6A -Drogi'!Obszar_wydruku</vt:lpstr>
      <vt:lpstr>'Tab. 6B Polit społ i rozwój prz'!Obszar_wydruku</vt:lpstr>
      <vt:lpstr>'Tab. 6C - Ochrona zdrowia'!Obszar_wydruku</vt:lpstr>
      <vt:lpstr>'Tab. 6D - Oświata'!Obszar_wydruku</vt:lpstr>
      <vt:lpstr>'Tab. 6E - Administracja'!Obszar_wydruku</vt:lpstr>
      <vt:lpstr>'Tab. 6F - Kultura'!Obszar_wydruku</vt:lpstr>
      <vt:lpstr>'Tab. 6G - Roln i ochrona środ.'!Obszar_wydruku</vt:lpstr>
      <vt:lpstr>'Tab. 6H - Kultura fiz. i turyst'!Obszar_wydruku</vt:lpstr>
      <vt:lpstr>'Tab.6I - Planow. przestrz.'!Obszar_wydruku</vt:lpstr>
      <vt:lpstr>'Tabela nr 6'!Obszar_wydruku</vt:lpstr>
      <vt:lpstr>'Tab. 6A -Drogi'!Tytuły_wydruku</vt:lpstr>
      <vt:lpstr>'Tab. 6B Polit społ i rozwój prz'!Tytuły_wydruku</vt:lpstr>
      <vt:lpstr>'Tab. 6C - Ochrona zdrowia'!Tytuły_wydruku</vt:lpstr>
      <vt:lpstr>'Tab. 6D - Oświata'!Tytuły_wydruku</vt:lpstr>
      <vt:lpstr>'Tab. 6E - Administracja'!Tytuły_wydruku</vt:lpstr>
      <vt:lpstr>'Tab. 6F - Kultura'!Tytuły_wydruku</vt:lpstr>
      <vt:lpstr>'Tab. 6G - Roln i ochrona środ.'!Tytuły_wydruku</vt:lpstr>
      <vt:lpstr>'Tab. 6H - Kultura fiz. i turyst'!Tytuły_wydruku</vt:lpstr>
      <vt:lpstr>'Tab.6I - Planow. przestrz.'!Tytuły_wydruku</vt:lpstr>
    </vt:vector>
  </TitlesOfParts>
  <Company>Urząd Marszałkowski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Magdalena Nowocień</dc:creator>
  <cp:lastModifiedBy>mtomaszewska</cp:lastModifiedBy>
  <cp:lastPrinted>2018-12-06T11:06:06Z</cp:lastPrinted>
  <dcterms:created xsi:type="dcterms:W3CDTF">2015-01-20T07:24:04Z</dcterms:created>
  <dcterms:modified xsi:type="dcterms:W3CDTF">2018-12-28T10:33:38Z</dcterms:modified>
</cp:coreProperties>
</file>